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tabRatio="793" firstSheet="7" activeTab="9"/>
  </bookViews>
  <sheets>
    <sheet name="RESUMEN" sheetId="1" r:id="rId1"/>
    <sheet name="Anchov y SardC LTP" sheetId="2" r:id="rId2"/>
    <sheet name="Anchoveta" sheetId="7" r:id="rId3"/>
    <sheet name="Sardina comun" sheetId="3" r:id="rId4"/>
    <sheet name="Remanente Anchoveta y Sardina" sheetId="17" r:id="rId5"/>
    <sheet name="IC Anch-SardC V-VII y IX-X" sheetId="5" r:id="rId6"/>
    <sheet name="IC Anch y SardC VIII" sheetId="8" r:id="rId7"/>
    <sheet name="Consumo humano" sheetId="9" r:id="rId8"/>
    <sheet name="Cuota Imprevistos" sheetId="16" r:id="rId9"/>
    <sheet name="Cesiones Indiv y Colecti VIII" sheetId="12" r:id="rId10"/>
    <sheet name="Cesiones Ind IX-XIV" sheetId="13" r:id="rId11"/>
    <sheet name="Remanente Cesiones" sheetId="21" r:id="rId12"/>
    <sheet name="Pescas de Investigacion" sheetId="15" r:id="rId13"/>
    <sheet name="Compilado" sheetId="14" r:id="rId14"/>
  </sheets>
  <definedNames>
    <definedName name="_xlnm._FilterDatabase" localSheetId="10" hidden="1">'Cesiones Ind IX-XIV'!$A$3:$Q$187</definedName>
    <definedName name="_xlnm._FilterDatabase" localSheetId="9" hidden="1">'Cesiones Indiv y Colecti VIII'!$A$3:$P$1135</definedName>
    <definedName name="_xlnm._FilterDatabase" localSheetId="13" hidden="1">Compilado!$A$1:$Q$1</definedName>
    <definedName name="_xlnm._FilterDatabase" localSheetId="12" hidden="1">'Pescas de Investigacion'!$C$4:$J$34</definedName>
  </definedNames>
  <calcPr calcId="125725"/>
</workbook>
</file>

<file path=xl/calcChain.xml><?xml version="1.0" encoding="utf-8"?>
<calcChain xmlns="http://schemas.openxmlformats.org/spreadsheetml/2006/main">
  <c r="U3" i="13"/>
  <c r="N1133" i="12"/>
  <c r="M1133"/>
  <c r="N1130"/>
  <c r="M1130"/>
  <c r="G101" i="3"/>
  <c r="G101" i="7"/>
  <c r="H36" i="2"/>
  <c r="H8"/>
  <c r="G124" i="3"/>
  <c r="G123" l="1"/>
  <c r="G123" i="7"/>
  <c r="G122" i="3"/>
  <c r="G122" i="7"/>
  <c r="Z3" i="13"/>
  <c r="Y3"/>
  <c r="T3"/>
  <c r="V3"/>
  <c r="S3"/>
  <c r="F35" i="1" l="1"/>
  <c r="G8" i="3"/>
  <c r="O187" i="13"/>
  <c r="N187"/>
  <c r="G105" i="7"/>
  <c r="G124"/>
  <c r="G77" i="3"/>
  <c r="G77" i="7"/>
  <c r="G129" i="3"/>
  <c r="G129" i="7"/>
  <c r="O7" i="5"/>
  <c r="O186" i="13"/>
  <c r="N186"/>
  <c r="O185"/>
  <c r="N185"/>
  <c r="O184"/>
  <c r="N184"/>
  <c r="O183"/>
  <c r="N183"/>
  <c r="G105" i="3"/>
  <c r="O182" i="13"/>
  <c r="N182"/>
  <c r="G119" i="3"/>
  <c r="G54"/>
  <c r="P183" i="13" l="1"/>
  <c r="P185"/>
  <c r="W3"/>
  <c r="G111" i="7"/>
  <c r="M130" i="13"/>
  <c r="X3" s="1"/>
  <c r="O181"/>
  <c r="N181"/>
  <c r="O180"/>
  <c r="N180"/>
  <c r="O179"/>
  <c r="N179"/>
  <c r="O178"/>
  <c r="N178"/>
  <c r="O177"/>
  <c r="N177"/>
  <c r="O176"/>
  <c r="N176"/>
  <c r="O175"/>
  <c r="N175"/>
  <c r="O174"/>
  <c r="N174"/>
  <c r="G119" i="7"/>
  <c r="G108" i="3"/>
  <c r="G108" i="7"/>
  <c r="P174" i="13" l="1"/>
  <c r="P176"/>
  <c r="P178"/>
  <c r="P180"/>
  <c r="O165"/>
  <c r="N165"/>
  <c r="O163"/>
  <c r="N163"/>
  <c r="O172"/>
  <c r="N172"/>
  <c r="O24" i="5" l="1"/>
  <c r="O28" l="1"/>
  <c r="M1128" i="12" l="1"/>
  <c r="N1128"/>
  <c r="M1129"/>
  <c r="N1129"/>
  <c r="G87" i="3"/>
  <c r="G87" i="7"/>
  <c r="O31" i="5"/>
  <c r="O27"/>
  <c r="O23"/>
  <c r="O22"/>
  <c r="O173" i="13"/>
  <c r="N173"/>
  <c r="P172" s="1"/>
  <c r="O171"/>
  <c r="N171"/>
  <c r="O170"/>
  <c r="N170"/>
  <c r="O169"/>
  <c r="N169"/>
  <c r="O168"/>
  <c r="N168"/>
  <c r="O167"/>
  <c r="N167"/>
  <c r="O166"/>
  <c r="N166"/>
  <c r="O164"/>
  <c r="N164"/>
  <c r="P164" s="1"/>
  <c r="O162"/>
  <c r="N162"/>
  <c r="P162" s="1"/>
  <c r="O161"/>
  <c r="N161"/>
  <c r="O160"/>
  <c r="N160"/>
  <c r="O159"/>
  <c r="N159"/>
  <c r="N1127" i="12"/>
  <c r="M1127"/>
  <c r="N1125"/>
  <c r="M1125"/>
  <c r="N1123"/>
  <c r="M1123"/>
  <c r="G130" i="3"/>
  <c r="G128"/>
  <c r="G127"/>
  <c r="G126"/>
  <c r="G125"/>
  <c r="G117"/>
  <c r="G116"/>
  <c r="G109"/>
  <c r="G99"/>
  <c r="G98"/>
  <c r="G97"/>
  <c r="G95"/>
  <c r="G94"/>
  <c r="G93"/>
  <c r="G91"/>
  <c r="G90"/>
  <c r="G89"/>
  <c r="G86"/>
  <c r="G85"/>
  <c r="G84"/>
  <c r="G83"/>
  <c r="G81"/>
  <c r="G79"/>
  <c r="G76"/>
  <c r="G75"/>
  <c r="G74"/>
  <c r="G73"/>
  <c r="G72"/>
  <c r="G71"/>
  <c r="G69"/>
  <c r="G67"/>
  <c r="G66"/>
  <c r="G63"/>
  <c r="G62"/>
  <c r="G60"/>
  <c r="G59"/>
  <c r="G58"/>
  <c r="G57"/>
  <c r="G56"/>
  <c r="G53"/>
  <c r="G52"/>
  <c r="G51"/>
  <c r="G50"/>
  <c r="G48"/>
  <c r="G47"/>
  <c r="G46"/>
  <c r="G45"/>
  <c r="G43"/>
  <c r="G41"/>
  <c r="G39"/>
  <c r="G37"/>
  <c r="G36"/>
  <c r="G35"/>
  <c r="G34"/>
  <c r="G32"/>
  <c r="G27"/>
  <c r="G26"/>
  <c r="G25"/>
  <c r="G23"/>
  <c r="G130" i="7"/>
  <c r="G128"/>
  <c r="G127"/>
  <c r="G126"/>
  <c r="G125"/>
  <c r="G118"/>
  <c r="G117"/>
  <c r="G116"/>
  <c r="G115"/>
  <c r="G114"/>
  <c r="G113"/>
  <c r="G112"/>
  <c r="G110"/>
  <c r="G109"/>
  <c r="G99"/>
  <c r="G98"/>
  <c r="G97"/>
  <c r="G95"/>
  <c r="G94"/>
  <c r="G93"/>
  <c r="G91"/>
  <c r="G90"/>
  <c r="G89"/>
  <c r="G86"/>
  <c r="G85"/>
  <c r="G83"/>
  <c r="G81"/>
  <c r="G79"/>
  <c r="G78"/>
  <c r="G76"/>
  <c r="G75"/>
  <c r="G74"/>
  <c r="G73"/>
  <c r="G72"/>
  <c r="G71"/>
  <c r="G70"/>
  <c r="G69"/>
  <c r="G67"/>
  <c r="G63"/>
  <c r="G62"/>
  <c r="G60"/>
  <c r="G59"/>
  <c r="G58"/>
  <c r="G57"/>
  <c r="G56"/>
  <c r="G53"/>
  <c r="G52"/>
  <c r="G51"/>
  <c r="G50"/>
  <c r="G48"/>
  <c r="G47"/>
  <c r="G46"/>
  <c r="G41"/>
  <c r="G40"/>
  <c r="G39"/>
  <c r="G37"/>
  <c r="G36"/>
  <c r="G35"/>
  <c r="G34"/>
  <c r="G32"/>
  <c r="G27"/>
  <c r="G26"/>
  <c r="G25"/>
  <c r="G23"/>
  <c r="P166" i="13" l="1"/>
  <c r="P170"/>
  <c r="P160"/>
  <c r="P168"/>
  <c r="H46" i="2"/>
  <c r="O29" i="5"/>
  <c r="O158" i="13"/>
  <c r="N158"/>
  <c r="O157"/>
  <c r="N157"/>
  <c r="O156"/>
  <c r="N156"/>
  <c r="O155"/>
  <c r="N155"/>
  <c r="O154"/>
  <c r="N154"/>
  <c r="O153"/>
  <c r="N153"/>
  <c r="O152"/>
  <c r="N152"/>
  <c r="O151"/>
  <c r="N151"/>
  <c r="O150"/>
  <c r="N150"/>
  <c r="O149"/>
  <c r="N149"/>
  <c r="O97"/>
  <c r="N97"/>
  <c r="P155" l="1"/>
  <c r="P149"/>
  <c r="P151"/>
  <c r="P157"/>
  <c r="P153"/>
  <c r="H19" i="2"/>
  <c r="O66" i="13"/>
  <c r="N66"/>
  <c r="O126"/>
  <c r="N126"/>
  <c r="N1122" i="12"/>
  <c r="M1122"/>
  <c r="O26" i="5"/>
  <c r="F18" i="1" l="1"/>
  <c r="J18" s="1"/>
  <c r="I7" i="16" l="1"/>
  <c r="N366" i="12"/>
  <c r="M366"/>
  <c r="H26" i="2"/>
  <c r="N455" i="12"/>
  <c r="M455"/>
  <c r="N453"/>
  <c r="M453"/>
  <c r="O146" i="13"/>
  <c r="N146"/>
  <c r="O143"/>
  <c r="N143"/>
  <c r="P143" l="1"/>
  <c r="O453" i="12"/>
  <c r="I119" i="3"/>
  <c r="I119" i="7"/>
  <c r="I105" i="3"/>
  <c r="I105" i="7"/>
  <c r="M105" i="17" l="1"/>
  <c r="M106"/>
  <c r="M107"/>
  <c r="M108"/>
  <c r="M109"/>
  <c r="M110"/>
  <c r="M111"/>
  <c r="M112"/>
  <c r="M104"/>
  <c r="M95"/>
  <c r="M96"/>
  <c r="M97"/>
  <c r="M98"/>
  <c r="M99"/>
  <c r="M100"/>
  <c r="M101"/>
  <c r="M102"/>
  <c r="M94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19"/>
  <c r="M16"/>
  <c r="M17"/>
  <c r="M15"/>
  <c r="M13"/>
  <c r="M8"/>
  <c r="M9"/>
  <c r="M10"/>
  <c r="M11"/>
  <c r="M7"/>
  <c r="N1118" i="12" l="1"/>
  <c r="M1118"/>
  <c r="N1114"/>
  <c r="M1114"/>
  <c r="H43" i="2"/>
  <c r="N1113" i="12"/>
  <c r="M1113"/>
  <c r="N1112"/>
  <c r="M1112"/>
  <c r="H40" i="2"/>
  <c r="H16"/>
  <c r="N1111" i="12"/>
  <c r="M1111"/>
  <c r="F43" i="2"/>
  <c r="O21" i="14"/>
  <c r="H21"/>
  <c r="I21"/>
  <c r="K21"/>
  <c r="E21"/>
  <c r="L26" i="2"/>
  <c r="M21" i="14" s="1"/>
  <c r="G26" i="2"/>
  <c r="I26" s="1"/>
  <c r="I101" i="3"/>
  <c r="I101" i="7"/>
  <c r="K26" i="2" l="1"/>
  <c r="L21" i="14" s="1"/>
  <c r="J21"/>
  <c r="G18" i="3"/>
  <c r="N1110" i="12"/>
  <c r="M1110"/>
  <c r="H45" i="2"/>
  <c r="N1109" i="12"/>
  <c r="M1109"/>
  <c r="N1105"/>
  <c r="M1105"/>
  <c r="N1103"/>
  <c r="M1103"/>
  <c r="N1099"/>
  <c r="M1099"/>
  <c r="H15" i="2"/>
  <c r="N1098" i="12"/>
  <c r="M1098"/>
  <c r="N1097"/>
  <c r="M1097"/>
  <c r="N1096"/>
  <c r="M1096"/>
  <c r="N1095"/>
  <c r="M1095"/>
  <c r="N1091"/>
  <c r="M1091"/>
  <c r="N1087"/>
  <c r="M1087"/>
  <c r="N1085"/>
  <c r="M1085"/>
  <c r="N1082"/>
  <c r="M1082"/>
  <c r="H53" i="2"/>
  <c r="O1087" i="12" l="1"/>
  <c r="N1081"/>
  <c r="M1081"/>
  <c r="O39" i="5"/>
  <c r="H163" i="21" l="1"/>
  <c r="H145"/>
  <c r="H138"/>
  <c r="H118"/>
  <c r="H167"/>
  <c r="H158"/>
  <c r="H156"/>
  <c r="H154"/>
  <c r="H149"/>
  <c r="H130"/>
  <c r="H125"/>
  <c r="H123"/>
  <c r="H116"/>
  <c r="H160"/>
  <c r="H151"/>
  <c r="H142"/>
  <c r="H135"/>
  <c r="H132"/>
  <c r="H127"/>
  <c r="H113"/>
  <c r="N163"/>
  <c r="K163"/>
  <c r="M163" s="1"/>
  <c r="L163"/>
  <c r="N145"/>
  <c r="K145"/>
  <c r="L145"/>
  <c r="N138"/>
  <c r="L138"/>
  <c r="N118"/>
  <c r="L118"/>
  <c r="N113"/>
  <c r="K113"/>
  <c r="L113"/>
  <c r="N127"/>
  <c r="K127"/>
  <c r="L127"/>
  <c r="N132"/>
  <c r="K132"/>
  <c r="M132" s="1"/>
  <c r="L132"/>
  <c r="N135"/>
  <c r="K135"/>
  <c r="L135"/>
  <c r="N142"/>
  <c r="K142"/>
  <c r="L142"/>
  <c r="N151"/>
  <c r="K151"/>
  <c r="L151"/>
  <c r="N160"/>
  <c r="K160"/>
  <c r="M160" s="1"/>
  <c r="L160"/>
  <c r="N116"/>
  <c r="K116"/>
  <c r="L116"/>
  <c r="M116" s="1"/>
  <c r="K125"/>
  <c r="L125"/>
  <c r="N125"/>
  <c r="N123"/>
  <c r="K123"/>
  <c r="L123"/>
  <c r="N130"/>
  <c r="K130"/>
  <c r="M130" s="1"/>
  <c r="L130"/>
  <c r="N149"/>
  <c r="K149"/>
  <c r="L149"/>
  <c r="N154"/>
  <c r="K154"/>
  <c r="L154"/>
  <c r="K158"/>
  <c r="L158"/>
  <c r="N158"/>
  <c r="N156"/>
  <c r="K156"/>
  <c r="L156"/>
  <c r="N194"/>
  <c r="L167"/>
  <c r="N167"/>
  <c r="H84" i="3"/>
  <c r="K84" s="1"/>
  <c r="N1079" i="12"/>
  <c r="M1079"/>
  <c r="N1077"/>
  <c r="M1077"/>
  <c r="H118" i="7"/>
  <c r="G104"/>
  <c r="N131" i="13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O130"/>
  <c r="N130"/>
  <c r="O129"/>
  <c r="N129"/>
  <c r="O128"/>
  <c r="N128"/>
  <c r="O127"/>
  <c r="N127"/>
  <c r="O125"/>
  <c r="N125"/>
  <c r="P125" s="1"/>
  <c r="N1076" i="12"/>
  <c r="M1076"/>
  <c r="H52" i="2"/>
  <c r="N1075" i="12"/>
  <c r="M1075"/>
  <c r="N1073"/>
  <c r="M1073"/>
  <c r="N1071"/>
  <c r="M1071"/>
  <c r="N1069"/>
  <c r="M1069"/>
  <c r="N1067"/>
  <c r="M1067"/>
  <c r="N1066"/>
  <c r="M1066"/>
  <c r="H39" i="2"/>
  <c r="N1064" i="12"/>
  <c r="M1064"/>
  <c r="N1063"/>
  <c r="M1063"/>
  <c r="O124" i="13"/>
  <c r="N124"/>
  <c r="H48" i="2"/>
  <c r="N1062" i="12"/>
  <c r="M1062"/>
  <c r="N1058"/>
  <c r="M1058"/>
  <c r="H38" i="2"/>
  <c r="N1054" i="12"/>
  <c r="M1054"/>
  <c r="N1053"/>
  <c r="M1053"/>
  <c r="N1051"/>
  <c r="M1051"/>
  <c r="N1049"/>
  <c r="M1049"/>
  <c r="N1048"/>
  <c r="M1048"/>
  <c r="N1046"/>
  <c r="M1046"/>
  <c r="N1045"/>
  <c r="M1045"/>
  <c r="N1044"/>
  <c r="M1044"/>
  <c r="O123" i="13"/>
  <c r="N123"/>
  <c r="H49" i="2"/>
  <c r="L49" s="1"/>
  <c r="H51"/>
  <c r="O122" i="13"/>
  <c r="N122"/>
  <c r="N1043" i="12"/>
  <c r="M1043"/>
  <c r="N1042"/>
  <c r="M1042"/>
  <c r="O62" i="8"/>
  <c r="O33"/>
  <c r="O38"/>
  <c r="O41"/>
  <c r="N1039" i="12"/>
  <c r="M1039"/>
  <c r="N1036"/>
  <c r="M1036"/>
  <c r="N1031"/>
  <c r="M1031"/>
  <c r="N1030"/>
  <c r="M1030"/>
  <c r="N1029"/>
  <c r="M1029"/>
  <c r="N1028"/>
  <c r="M1028"/>
  <c r="N1027"/>
  <c r="M1027"/>
  <c r="N1026"/>
  <c r="M1026"/>
  <c r="N1032"/>
  <c r="M1032"/>
  <c r="N1034"/>
  <c r="M1034"/>
  <c r="O121" i="13"/>
  <c r="N121"/>
  <c r="O120"/>
  <c r="N120"/>
  <c r="N1023" i="12"/>
  <c r="M1023"/>
  <c r="N1024"/>
  <c r="M1024"/>
  <c r="N1021"/>
  <c r="M1021"/>
  <c r="H42" i="2"/>
  <c r="N174" i="21"/>
  <c r="L174"/>
  <c r="M174" s="1"/>
  <c r="K17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6"/>
  <c r="K84"/>
  <c r="L84"/>
  <c r="N84"/>
  <c r="K85"/>
  <c r="L85"/>
  <c r="N85"/>
  <c r="K25"/>
  <c r="L25"/>
  <c r="M25" s="1"/>
  <c r="N25"/>
  <c r="K57"/>
  <c r="L57"/>
  <c r="N57"/>
  <c r="K58"/>
  <c r="L58"/>
  <c r="N58"/>
  <c r="K87"/>
  <c r="M87" s="1"/>
  <c r="L87"/>
  <c r="N87"/>
  <c r="K88"/>
  <c r="L88"/>
  <c r="M88" s="1"/>
  <c r="N88"/>
  <c r="K92"/>
  <c r="L92"/>
  <c r="N92"/>
  <c r="L55"/>
  <c r="N55"/>
  <c r="K55"/>
  <c r="L35"/>
  <c r="N35"/>
  <c r="K35"/>
  <c r="K64"/>
  <c r="L64"/>
  <c r="N64"/>
  <c r="K79"/>
  <c r="L79"/>
  <c r="N79"/>
  <c r="K107"/>
  <c r="L107"/>
  <c r="N107"/>
  <c r="K24"/>
  <c r="L24"/>
  <c r="N24"/>
  <c r="K39"/>
  <c r="L39"/>
  <c r="N39"/>
  <c r="K40"/>
  <c r="L40"/>
  <c r="N40"/>
  <c r="K21"/>
  <c r="L21"/>
  <c r="N21"/>
  <c r="L68"/>
  <c r="N68"/>
  <c r="K68"/>
  <c r="K100"/>
  <c r="L100"/>
  <c r="N100"/>
  <c r="K66"/>
  <c r="L66"/>
  <c r="N66"/>
  <c r="K29"/>
  <c r="L29"/>
  <c r="N29"/>
  <c r="K30"/>
  <c r="L30"/>
  <c r="N30"/>
  <c r="K48"/>
  <c r="L48"/>
  <c r="N48"/>
  <c r="K44"/>
  <c r="L44"/>
  <c r="N44"/>
  <c r="K45"/>
  <c r="M45" s="1"/>
  <c r="L45"/>
  <c r="N45"/>
  <c r="K109"/>
  <c r="L109"/>
  <c r="N109"/>
  <c r="K70"/>
  <c r="L70"/>
  <c r="N70"/>
  <c r="K71"/>
  <c r="L71"/>
  <c r="N71"/>
  <c r="K72"/>
  <c r="L72"/>
  <c r="N72"/>
  <c r="M992" i="12"/>
  <c r="N992"/>
  <c r="M993"/>
  <c r="N993"/>
  <c r="M994"/>
  <c r="N994"/>
  <c r="M995"/>
  <c r="N995"/>
  <c r="M996"/>
  <c r="N996"/>
  <c r="M997"/>
  <c r="N997"/>
  <c r="M998"/>
  <c r="N998"/>
  <c r="M999"/>
  <c r="N999"/>
  <c r="M1000"/>
  <c r="N1000"/>
  <c r="M1001"/>
  <c r="N1001"/>
  <c r="M1002"/>
  <c r="N1002"/>
  <c r="M1003"/>
  <c r="N1003"/>
  <c r="M1004"/>
  <c r="N1004"/>
  <c r="M1005"/>
  <c r="N1005"/>
  <c r="M1006"/>
  <c r="N1006"/>
  <c r="M1007"/>
  <c r="N1007"/>
  <c r="M1008"/>
  <c r="N1008"/>
  <c r="M1009"/>
  <c r="N1009"/>
  <c r="M1010"/>
  <c r="N1010"/>
  <c r="M1011"/>
  <c r="N1011"/>
  <c r="M1012"/>
  <c r="N1012"/>
  <c r="M1013"/>
  <c r="N1013"/>
  <c r="M1014"/>
  <c r="N1014"/>
  <c r="M1015"/>
  <c r="N1015"/>
  <c r="M1016"/>
  <c r="N1016"/>
  <c r="M1017"/>
  <c r="N1017"/>
  <c r="M1018"/>
  <c r="N1018"/>
  <c r="M1019"/>
  <c r="N1019"/>
  <c r="M1020"/>
  <c r="N1020"/>
  <c r="N991"/>
  <c r="M991"/>
  <c r="N990"/>
  <c r="M990"/>
  <c r="N989"/>
  <c r="M989"/>
  <c r="H44" i="2"/>
  <c r="N987" i="12"/>
  <c r="M987"/>
  <c r="N985"/>
  <c r="M985"/>
  <c r="N983"/>
  <c r="M983"/>
  <c r="N981"/>
  <c r="M981"/>
  <c r="M971"/>
  <c r="N971"/>
  <c r="M972"/>
  <c r="N972"/>
  <c r="M973"/>
  <c r="N973"/>
  <c r="M974"/>
  <c r="N974"/>
  <c r="M975"/>
  <c r="N975"/>
  <c r="M976"/>
  <c r="N976"/>
  <c r="M977"/>
  <c r="N977"/>
  <c r="M978"/>
  <c r="N978"/>
  <c r="M979"/>
  <c r="N979"/>
  <c r="M980"/>
  <c r="N980"/>
  <c r="N970"/>
  <c r="M970"/>
  <c r="N969"/>
  <c r="M969"/>
  <c r="M29" i="21"/>
  <c r="H37" i="2"/>
  <c r="H9"/>
  <c r="K53" i="21"/>
  <c r="L53"/>
  <c r="N53"/>
  <c r="K54"/>
  <c r="L54"/>
  <c r="N54"/>
  <c r="K96"/>
  <c r="M96" s="1"/>
  <c r="L96"/>
  <c r="N96"/>
  <c r="K97"/>
  <c r="L97"/>
  <c r="M97" s="1"/>
  <c r="N97"/>
  <c r="K98"/>
  <c r="L98"/>
  <c r="N98"/>
  <c r="K82"/>
  <c r="L82"/>
  <c r="N82"/>
  <c r="K61"/>
  <c r="L61"/>
  <c r="N61"/>
  <c r="N178"/>
  <c r="N179"/>
  <c r="N180"/>
  <c r="N181"/>
  <c r="N182"/>
  <c r="N183"/>
  <c r="N184"/>
  <c r="N185"/>
  <c r="N186"/>
  <c r="N187"/>
  <c r="N188"/>
  <c r="N189"/>
  <c r="N190"/>
  <c r="N191"/>
  <c r="N192"/>
  <c r="N193"/>
  <c r="N177"/>
  <c r="N170"/>
  <c r="N171"/>
  <c r="N172"/>
  <c r="N173"/>
  <c r="N169"/>
  <c r="N7"/>
  <c r="N8"/>
  <c r="N9"/>
  <c r="N10"/>
  <c r="N11"/>
  <c r="N12"/>
  <c r="N13"/>
  <c r="N14"/>
  <c r="N15"/>
  <c r="N16"/>
  <c r="N17"/>
  <c r="N18"/>
  <c r="N19"/>
  <c r="N20"/>
  <c r="N22"/>
  <c r="N23"/>
  <c r="N26"/>
  <c r="N27"/>
  <c r="N28"/>
  <c r="N31"/>
  <c r="N32"/>
  <c r="N33"/>
  <c r="N34"/>
  <c r="N36"/>
  <c r="N37"/>
  <c r="N38"/>
  <c r="N41"/>
  <c r="N42"/>
  <c r="N43"/>
  <c r="N46"/>
  <c r="N47"/>
  <c r="N49"/>
  <c r="N50"/>
  <c r="N51"/>
  <c r="N52"/>
  <c r="N56"/>
  <c r="N59"/>
  <c r="N60"/>
  <c r="N62"/>
  <c r="N63"/>
  <c r="N65"/>
  <c r="N67"/>
  <c r="N69"/>
  <c r="N73"/>
  <c r="N74"/>
  <c r="N75"/>
  <c r="N76"/>
  <c r="N77"/>
  <c r="N78"/>
  <c r="N80"/>
  <c r="N81"/>
  <c r="N83"/>
  <c r="N86"/>
  <c r="N89"/>
  <c r="N90"/>
  <c r="N91"/>
  <c r="N93"/>
  <c r="N94"/>
  <c r="N95"/>
  <c r="N99"/>
  <c r="N101"/>
  <c r="N102"/>
  <c r="N103"/>
  <c r="N104"/>
  <c r="N105"/>
  <c r="N106"/>
  <c r="N108"/>
  <c r="N110"/>
  <c r="N111"/>
  <c r="N112"/>
  <c r="N6"/>
  <c r="L7"/>
  <c r="L8"/>
  <c r="L9"/>
  <c r="L10"/>
  <c r="L11"/>
  <c r="L12"/>
  <c r="L13"/>
  <c r="L14"/>
  <c r="L15"/>
  <c r="L16"/>
  <c r="L17"/>
  <c r="L18"/>
  <c r="L19"/>
  <c r="L20"/>
  <c r="L22"/>
  <c r="L23"/>
  <c r="L26"/>
  <c r="L27"/>
  <c r="L28"/>
  <c r="L31"/>
  <c r="L32"/>
  <c r="L33"/>
  <c r="L34"/>
  <c r="L36"/>
  <c r="L37"/>
  <c r="L38"/>
  <c r="L41"/>
  <c r="L42"/>
  <c r="L43"/>
  <c r="L46"/>
  <c r="L47"/>
  <c r="L49"/>
  <c r="L50"/>
  <c r="L51"/>
  <c r="L52"/>
  <c r="L56"/>
  <c r="L59"/>
  <c r="L60"/>
  <c r="L62"/>
  <c r="L63"/>
  <c r="L65"/>
  <c r="L67"/>
  <c r="L69"/>
  <c r="L73"/>
  <c r="L74"/>
  <c r="L75"/>
  <c r="L76"/>
  <c r="L77"/>
  <c r="L78"/>
  <c r="L80"/>
  <c r="L81"/>
  <c r="L83"/>
  <c r="L86"/>
  <c r="L89"/>
  <c r="L90"/>
  <c r="L91"/>
  <c r="L93"/>
  <c r="L94"/>
  <c r="L95"/>
  <c r="L99"/>
  <c r="L101"/>
  <c r="L102"/>
  <c r="L103"/>
  <c r="L104"/>
  <c r="L105"/>
  <c r="L106"/>
  <c r="L108"/>
  <c r="L110"/>
  <c r="L111"/>
  <c r="L112"/>
  <c r="L6"/>
  <c r="N968" i="12"/>
  <c r="M968"/>
  <c r="N967"/>
  <c r="M967"/>
  <c r="N108" i="13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O107"/>
  <c r="N107"/>
  <c r="O106"/>
  <c r="N106"/>
  <c r="O105"/>
  <c r="N105"/>
  <c r="O104"/>
  <c r="N104"/>
  <c r="O103"/>
  <c r="N103"/>
  <c r="O102"/>
  <c r="N102"/>
  <c r="N966" i="12"/>
  <c r="M966"/>
  <c r="N961"/>
  <c r="M961"/>
  <c r="N964"/>
  <c r="M964"/>
  <c r="N962"/>
  <c r="M962"/>
  <c r="N958"/>
  <c r="M958"/>
  <c r="N956"/>
  <c r="M956"/>
  <c r="M950"/>
  <c r="N950"/>
  <c r="M951"/>
  <c r="N951"/>
  <c r="M952"/>
  <c r="N952"/>
  <c r="M953"/>
  <c r="N953"/>
  <c r="M954"/>
  <c r="N954"/>
  <c r="M955"/>
  <c r="N955"/>
  <c r="N949"/>
  <c r="M949"/>
  <c r="N948"/>
  <c r="M948"/>
  <c r="N947"/>
  <c r="M947"/>
  <c r="N946"/>
  <c r="M946"/>
  <c r="O101" i="13"/>
  <c r="N101"/>
  <c r="O100"/>
  <c r="N100"/>
  <c r="O99"/>
  <c r="N99"/>
  <c r="N944" i="12"/>
  <c r="M944"/>
  <c r="N942"/>
  <c r="M942"/>
  <c r="M934"/>
  <c r="N934"/>
  <c r="M935"/>
  <c r="N935"/>
  <c r="M936"/>
  <c r="N936"/>
  <c r="M937"/>
  <c r="N937"/>
  <c r="M938"/>
  <c r="N938"/>
  <c r="M939"/>
  <c r="N939"/>
  <c r="M940"/>
  <c r="N940"/>
  <c r="M941"/>
  <c r="N941"/>
  <c r="N933"/>
  <c r="M933"/>
  <c r="N932"/>
  <c r="M932"/>
  <c r="O98" i="13"/>
  <c r="N98"/>
  <c r="H47" i="2"/>
  <c r="O96" i="13"/>
  <c r="N96"/>
  <c r="P96" s="1"/>
  <c r="N931" i="12"/>
  <c r="M931"/>
  <c r="N930"/>
  <c r="M930"/>
  <c r="N929"/>
  <c r="M929"/>
  <c r="N928"/>
  <c r="M928"/>
  <c r="N925"/>
  <c r="M925"/>
  <c r="N922"/>
  <c r="M922"/>
  <c r="N920"/>
  <c r="M920"/>
  <c r="N918"/>
  <c r="M918"/>
  <c r="N916"/>
  <c r="M916"/>
  <c r="N914"/>
  <c r="M914"/>
  <c r="N910"/>
  <c r="M910"/>
  <c r="N906"/>
  <c r="M906"/>
  <c r="N904"/>
  <c r="M904"/>
  <c r="N902"/>
  <c r="M902"/>
  <c r="M876"/>
  <c r="N876"/>
  <c r="M877"/>
  <c r="N877"/>
  <c r="M878"/>
  <c r="N878"/>
  <c r="M879"/>
  <c r="N879"/>
  <c r="M880"/>
  <c r="N880"/>
  <c r="M881"/>
  <c r="N881"/>
  <c r="M882"/>
  <c r="N882"/>
  <c r="M883"/>
  <c r="N883"/>
  <c r="M884"/>
  <c r="N884"/>
  <c r="M885"/>
  <c r="N885"/>
  <c r="M886"/>
  <c r="N886"/>
  <c r="M887"/>
  <c r="N887"/>
  <c r="M888"/>
  <c r="N888"/>
  <c r="M889"/>
  <c r="N889"/>
  <c r="M890"/>
  <c r="N890"/>
  <c r="M891"/>
  <c r="N891"/>
  <c r="M892"/>
  <c r="N892"/>
  <c r="M893"/>
  <c r="N893"/>
  <c r="M894"/>
  <c r="N894"/>
  <c r="M895"/>
  <c r="N895"/>
  <c r="M896"/>
  <c r="N896"/>
  <c r="M897"/>
  <c r="N897"/>
  <c r="M898"/>
  <c r="N898"/>
  <c r="M899"/>
  <c r="N899"/>
  <c r="M900"/>
  <c r="N900"/>
  <c r="M901"/>
  <c r="N901"/>
  <c r="N875"/>
  <c r="M875"/>
  <c r="N874"/>
  <c r="M874"/>
  <c r="N873"/>
  <c r="M873"/>
  <c r="H35" i="2"/>
  <c r="N90" i="13"/>
  <c r="O90"/>
  <c r="N91"/>
  <c r="O91"/>
  <c r="N92"/>
  <c r="O92"/>
  <c r="N93"/>
  <c r="O93"/>
  <c r="N94"/>
  <c r="O94"/>
  <c r="N95"/>
  <c r="O95"/>
  <c r="N872" i="12"/>
  <c r="M872"/>
  <c r="N871"/>
  <c r="M871"/>
  <c r="N870"/>
  <c r="M870"/>
  <c r="N869"/>
  <c r="M869"/>
  <c r="N868"/>
  <c r="M868"/>
  <c r="N867"/>
  <c r="M867"/>
  <c r="N866"/>
  <c r="M866"/>
  <c r="M865"/>
  <c r="N865"/>
  <c r="G19" i="3"/>
  <c r="I174" i="14" s="1"/>
  <c r="G7" i="3"/>
  <c r="N864" i="12"/>
  <c r="M864"/>
  <c r="N863"/>
  <c r="M863"/>
  <c r="H55" i="2"/>
  <c r="H22"/>
  <c r="O89" i="13"/>
  <c r="N89"/>
  <c r="O88"/>
  <c r="N88"/>
  <c r="O87"/>
  <c r="N87"/>
  <c r="O86"/>
  <c r="N86"/>
  <c r="M858" i="12"/>
  <c r="N858"/>
  <c r="M859"/>
  <c r="N859"/>
  <c r="M860"/>
  <c r="N860"/>
  <c r="M861"/>
  <c r="N861"/>
  <c r="M862"/>
  <c r="N862"/>
  <c r="N857"/>
  <c r="M857"/>
  <c r="N854"/>
  <c r="M854"/>
  <c r="O85" i="13"/>
  <c r="N85"/>
  <c r="P85" s="1"/>
  <c r="H50" i="2"/>
  <c r="N853" i="12"/>
  <c r="M853"/>
  <c r="N852"/>
  <c r="M852"/>
  <c r="N850"/>
  <c r="M850"/>
  <c r="N848"/>
  <c r="M848"/>
  <c r="N847"/>
  <c r="M847"/>
  <c r="N845"/>
  <c r="M845"/>
  <c r="N843"/>
  <c r="M843"/>
  <c r="N842"/>
  <c r="M842"/>
  <c r="N841"/>
  <c r="M841"/>
  <c r="H25" i="7"/>
  <c r="L25" s="1"/>
  <c r="M62" i="14" s="1"/>
  <c r="H25" i="3"/>
  <c r="L25" s="1"/>
  <c r="M179" i="14" s="1"/>
  <c r="H85" i="7"/>
  <c r="H85" i="3"/>
  <c r="H109" i="7"/>
  <c r="H110"/>
  <c r="L110" s="1"/>
  <c r="H111"/>
  <c r="H112"/>
  <c r="H113"/>
  <c r="H114"/>
  <c r="L114" s="1"/>
  <c r="M147" i="14" s="1"/>
  <c r="H115" i="7"/>
  <c r="H116"/>
  <c r="H108"/>
  <c r="L108" s="1"/>
  <c r="M141" i="14" s="1"/>
  <c r="H104" i="7"/>
  <c r="J139" i="14" s="1"/>
  <c r="N840" i="12"/>
  <c r="M840"/>
  <c r="N839"/>
  <c r="M839"/>
  <c r="F37" i="2"/>
  <c r="N837" i="12"/>
  <c r="M837"/>
  <c r="G104" i="3"/>
  <c r="N191" i="14"/>
  <c r="N835" i="12"/>
  <c r="M835"/>
  <c r="N833"/>
  <c r="M833"/>
  <c r="N831"/>
  <c r="M831"/>
  <c r="N600"/>
  <c r="M600"/>
  <c r="N598"/>
  <c r="M598"/>
  <c r="N830"/>
  <c r="M830"/>
  <c r="N829"/>
  <c r="M829"/>
  <c r="L189" i="21"/>
  <c r="K194"/>
  <c r="L194"/>
  <c r="M194" s="1"/>
  <c r="H192"/>
  <c r="H186"/>
  <c r="L170"/>
  <c r="L171"/>
  <c r="L172"/>
  <c r="L173"/>
  <c r="M173" s="1"/>
  <c r="L169"/>
  <c r="K170"/>
  <c r="K171"/>
  <c r="K172"/>
  <c r="M172" s="1"/>
  <c r="K173"/>
  <c r="K169"/>
  <c r="L178"/>
  <c r="L179"/>
  <c r="L180"/>
  <c r="L181"/>
  <c r="L182"/>
  <c r="L183"/>
  <c r="L184"/>
  <c r="L185"/>
  <c r="L186"/>
  <c r="L187"/>
  <c r="L188"/>
  <c r="L190"/>
  <c r="L191"/>
  <c r="L192"/>
  <c r="L193"/>
  <c r="L177"/>
  <c r="K178"/>
  <c r="K179"/>
  <c r="M179" s="1"/>
  <c r="K180"/>
  <c r="K181"/>
  <c r="M181" s="1"/>
  <c r="K182"/>
  <c r="M182" s="1"/>
  <c r="K183"/>
  <c r="M183" s="1"/>
  <c r="K184"/>
  <c r="M184" s="1"/>
  <c r="K185"/>
  <c r="K186"/>
  <c r="M186" s="1"/>
  <c r="K187"/>
  <c r="K188"/>
  <c r="M188" s="1"/>
  <c r="K189"/>
  <c r="K190"/>
  <c r="K191"/>
  <c r="K193"/>
  <c r="M193" s="1"/>
  <c r="K177"/>
  <c r="M177" s="1"/>
  <c r="H174"/>
  <c r="H194"/>
  <c r="H178"/>
  <c r="H179"/>
  <c r="H180"/>
  <c r="H181"/>
  <c r="H182"/>
  <c r="H183"/>
  <c r="H184"/>
  <c r="H185"/>
  <c r="H187"/>
  <c r="H188"/>
  <c r="H189"/>
  <c r="H190"/>
  <c r="H191"/>
  <c r="H193"/>
  <c r="H177"/>
  <c r="H170"/>
  <c r="H171"/>
  <c r="H172"/>
  <c r="H173"/>
  <c r="H169"/>
  <c r="K167"/>
  <c r="M167" s="1"/>
  <c r="K138"/>
  <c r="K118"/>
  <c r="K112"/>
  <c r="M112" s="1"/>
  <c r="K111"/>
  <c r="K110"/>
  <c r="M110" s="1"/>
  <c r="K108"/>
  <c r="K106"/>
  <c r="M106" s="1"/>
  <c r="K105"/>
  <c r="K104"/>
  <c r="M104" s="1"/>
  <c r="K103"/>
  <c r="K102"/>
  <c r="M102" s="1"/>
  <c r="K101"/>
  <c r="K99"/>
  <c r="M99" s="1"/>
  <c r="K95"/>
  <c r="K94"/>
  <c r="M94" s="1"/>
  <c r="K93"/>
  <c r="K91"/>
  <c r="M91" s="1"/>
  <c r="K90"/>
  <c r="K89"/>
  <c r="M89" s="1"/>
  <c r="K86"/>
  <c r="K83"/>
  <c r="M83" s="1"/>
  <c r="K81"/>
  <c r="K80"/>
  <c r="M80" s="1"/>
  <c r="K78"/>
  <c r="K77"/>
  <c r="M77" s="1"/>
  <c r="K76"/>
  <c r="K75"/>
  <c r="M75" s="1"/>
  <c r="K74"/>
  <c r="M74" s="1"/>
  <c r="K73"/>
  <c r="M73" s="1"/>
  <c r="K69"/>
  <c r="K67"/>
  <c r="M67" s="1"/>
  <c r="K65"/>
  <c r="M65" s="1"/>
  <c r="K63"/>
  <c r="M63" s="1"/>
  <c r="K62"/>
  <c r="K60"/>
  <c r="M60" s="1"/>
  <c r="K59"/>
  <c r="M59" s="1"/>
  <c r="K56"/>
  <c r="M56" s="1"/>
  <c r="K52"/>
  <c r="K51"/>
  <c r="M51" s="1"/>
  <c r="K50"/>
  <c r="M50" s="1"/>
  <c r="K49"/>
  <c r="M49" s="1"/>
  <c r="K47"/>
  <c r="K46"/>
  <c r="M46" s="1"/>
  <c r="K43"/>
  <c r="M43" s="1"/>
  <c r="K42"/>
  <c r="M42" s="1"/>
  <c r="K41"/>
  <c r="K38"/>
  <c r="M38" s="1"/>
  <c r="K37"/>
  <c r="M37" s="1"/>
  <c r="K36"/>
  <c r="M36" s="1"/>
  <c r="K34"/>
  <c r="K33"/>
  <c r="M33" s="1"/>
  <c r="K32"/>
  <c r="M32" s="1"/>
  <c r="K31"/>
  <c r="M31" s="1"/>
  <c r="K28"/>
  <c r="K27"/>
  <c r="M27" s="1"/>
  <c r="K26"/>
  <c r="M26" s="1"/>
  <c r="K23"/>
  <c r="M23" s="1"/>
  <c r="K22"/>
  <c r="K20"/>
  <c r="M20" s="1"/>
  <c r="K19"/>
  <c r="M19" s="1"/>
  <c r="K18"/>
  <c r="M18" s="1"/>
  <c r="K17"/>
  <c r="K16"/>
  <c r="M16" s="1"/>
  <c r="K15"/>
  <c r="M15" s="1"/>
  <c r="K14"/>
  <c r="M14" s="1"/>
  <c r="K13"/>
  <c r="K12"/>
  <c r="M12" s="1"/>
  <c r="K11"/>
  <c r="M11" s="1"/>
  <c r="K10"/>
  <c r="M10" s="1"/>
  <c r="K9"/>
  <c r="K8"/>
  <c r="M8" s="1"/>
  <c r="K7"/>
  <c r="M7" s="1"/>
  <c r="K6"/>
  <c r="B3"/>
  <c r="N827" i="12"/>
  <c r="M827"/>
  <c r="N825"/>
  <c r="M825"/>
  <c r="F9" i="2"/>
  <c r="O45" i="14"/>
  <c r="K45"/>
  <c r="M45"/>
  <c r="E45"/>
  <c r="J57" i="2"/>
  <c r="H56"/>
  <c r="I45" i="14" s="1"/>
  <c r="G56" i="2"/>
  <c r="O22" i="14"/>
  <c r="K22"/>
  <c r="M22"/>
  <c r="E22"/>
  <c r="H27" i="2"/>
  <c r="I22" i="14" s="1"/>
  <c r="G27" i="2"/>
  <c r="H18"/>
  <c r="J28"/>
  <c r="M187" i="21"/>
  <c r="M190"/>
  <c r="K192"/>
  <c r="M185"/>
  <c r="M180"/>
  <c r="M178"/>
  <c r="O84" i="13"/>
  <c r="N84"/>
  <c r="O83"/>
  <c r="N83"/>
  <c r="G95" i="17"/>
  <c r="G96"/>
  <c r="G97"/>
  <c r="G98"/>
  <c r="G99"/>
  <c r="G100"/>
  <c r="G101"/>
  <c r="G102"/>
  <c r="G94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19"/>
  <c r="G16"/>
  <c r="G17"/>
  <c r="G15"/>
  <c r="G13"/>
  <c r="G8"/>
  <c r="G9"/>
  <c r="G10"/>
  <c r="G11"/>
  <c r="G7"/>
  <c r="G105"/>
  <c r="G106"/>
  <c r="G107"/>
  <c r="G108"/>
  <c r="G109"/>
  <c r="G110"/>
  <c r="G111"/>
  <c r="G112"/>
  <c r="G104"/>
  <c r="N824" i="12"/>
  <c r="M824"/>
  <c r="N823"/>
  <c r="M823"/>
  <c r="N822"/>
  <c r="M822"/>
  <c r="N821"/>
  <c r="M821"/>
  <c r="N820"/>
  <c r="M820"/>
  <c r="N819"/>
  <c r="M819"/>
  <c r="O69" i="8"/>
  <c r="N240" i="14" s="1"/>
  <c r="N818" i="12"/>
  <c r="M818"/>
  <c r="N817"/>
  <c r="M817"/>
  <c r="N816"/>
  <c r="M816"/>
  <c r="N815"/>
  <c r="M815"/>
  <c r="N814"/>
  <c r="M814"/>
  <c r="N813"/>
  <c r="M813"/>
  <c r="N812"/>
  <c r="M812"/>
  <c r="N811"/>
  <c r="M811"/>
  <c r="H20" i="2"/>
  <c r="O82" i="13"/>
  <c r="N82"/>
  <c r="N810" i="12"/>
  <c r="M810"/>
  <c r="N180" i="14"/>
  <c r="N182"/>
  <c r="N183"/>
  <c r="N184"/>
  <c r="N185"/>
  <c r="N187"/>
  <c r="N188"/>
  <c r="N189"/>
  <c r="N190"/>
  <c r="N193"/>
  <c r="N195"/>
  <c r="N196"/>
  <c r="N197"/>
  <c r="N198"/>
  <c r="N199"/>
  <c r="N200"/>
  <c r="N201"/>
  <c r="N203"/>
  <c r="N204"/>
  <c r="N205"/>
  <c r="N207"/>
  <c r="N208"/>
  <c r="N209"/>
  <c r="N210"/>
  <c r="N211"/>
  <c r="N212"/>
  <c r="N213"/>
  <c r="N215"/>
  <c r="N216"/>
  <c r="N217"/>
  <c r="N218"/>
  <c r="N219"/>
  <c r="N222"/>
  <c r="N223"/>
  <c r="N224"/>
  <c r="N225"/>
  <c r="N226"/>
  <c r="N227"/>
  <c r="N228"/>
  <c r="N229"/>
  <c r="N231"/>
  <c r="N234"/>
  <c r="N236"/>
  <c r="N237"/>
  <c r="N239"/>
  <c r="N243"/>
  <c r="N244"/>
  <c r="N245"/>
  <c r="N246"/>
  <c r="N248"/>
  <c r="N250"/>
  <c r="N251"/>
  <c r="N252"/>
  <c r="N253"/>
  <c r="N179"/>
  <c r="N136"/>
  <c r="N135"/>
  <c r="N134"/>
  <c r="N133"/>
  <c r="N131"/>
  <c r="N129"/>
  <c r="N128"/>
  <c r="N127"/>
  <c r="N126"/>
  <c r="N122"/>
  <c r="N120"/>
  <c r="N119"/>
  <c r="N117"/>
  <c r="N114"/>
  <c r="N112"/>
  <c r="N111"/>
  <c r="N110"/>
  <c r="N109"/>
  <c r="N108"/>
  <c r="N107"/>
  <c r="N106"/>
  <c r="N105"/>
  <c r="N102"/>
  <c r="N101"/>
  <c r="N100"/>
  <c r="N99"/>
  <c r="N98"/>
  <c r="N96"/>
  <c r="N95"/>
  <c r="N94"/>
  <c r="N93"/>
  <c r="N92"/>
  <c r="N91"/>
  <c r="N90"/>
  <c r="N88"/>
  <c r="N87"/>
  <c r="N86"/>
  <c r="N84"/>
  <c r="N83"/>
  <c r="N82"/>
  <c r="N81"/>
  <c r="N80"/>
  <c r="N79"/>
  <c r="N78"/>
  <c r="N76"/>
  <c r="N74"/>
  <c r="N73"/>
  <c r="N72"/>
  <c r="N71"/>
  <c r="N70"/>
  <c r="N68"/>
  <c r="N67"/>
  <c r="N66"/>
  <c r="N65"/>
  <c r="N63"/>
  <c r="N62"/>
  <c r="N809" i="12"/>
  <c r="M809"/>
  <c r="N806"/>
  <c r="M806"/>
  <c r="N803"/>
  <c r="M803"/>
  <c r="O81" i="13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N802" i="12"/>
  <c r="M802"/>
  <c r="N801"/>
  <c r="M801"/>
  <c r="N800"/>
  <c r="M800"/>
  <c r="N799"/>
  <c r="M799"/>
  <c r="N798"/>
  <c r="M798"/>
  <c r="N797"/>
  <c r="M797"/>
  <c r="N796"/>
  <c r="M796"/>
  <c r="N795"/>
  <c r="M795"/>
  <c r="N794"/>
  <c r="M794"/>
  <c r="N793"/>
  <c r="M793"/>
  <c r="N792"/>
  <c r="M792"/>
  <c r="N791"/>
  <c r="M791"/>
  <c r="N790"/>
  <c r="M790"/>
  <c r="N789"/>
  <c r="M789"/>
  <c r="N788"/>
  <c r="M788"/>
  <c r="N787"/>
  <c r="M787"/>
  <c r="N786"/>
  <c r="M786"/>
  <c r="N785"/>
  <c r="M785"/>
  <c r="N784"/>
  <c r="M784"/>
  <c r="N783"/>
  <c r="M783"/>
  <c r="N782"/>
  <c r="M782"/>
  <c r="N781"/>
  <c r="M781"/>
  <c r="N780"/>
  <c r="M780"/>
  <c r="N779"/>
  <c r="M779"/>
  <c r="N778"/>
  <c r="M778"/>
  <c r="N777"/>
  <c r="M777"/>
  <c r="N776"/>
  <c r="M776"/>
  <c r="N775"/>
  <c r="M775"/>
  <c r="N774"/>
  <c r="M774"/>
  <c r="N773"/>
  <c r="M773"/>
  <c r="N772"/>
  <c r="M772"/>
  <c r="N771"/>
  <c r="M771"/>
  <c r="N770"/>
  <c r="M770"/>
  <c r="N769"/>
  <c r="M769"/>
  <c r="N768"/>
  <c r="M768"/>
  <c r="N767"/>
  <c r="M767"/>
  <c r="N766"/>
  <c r="M766"/>
  <c r="N765"/>
  <c r="M765"/>
  <c r="N764"/>
  <c r="M764"/>
  <c r="N763"/>
  <c r="M763"/>
  <c r="N762"/>
  <c r="M762"/>
  <c r="N761"/>
  <c r="M761"/>
  <c r="N760"/>
  <c r="M760"/>
  <c r="N759"/>
  <c r="M759"/>
  <c r="N758"/>
  <c r="M758"/>
  <c r="N757"/>
  <c r="M757"/>
  <c r="N756"/>
  <c r="M756"/>
  <c r="N755"/>
  <c r="M755"/>
  <c r="N754"/>
  <c r="M754"/>
  <c r="N753"/>
  <c r="M753"/>
  <c r="N752"/>
  <c r="M752"/>
  <c r="N751"/>
  <c r="M751"/>
  <c r="N750"/>
  <c r="M750"/>
  <c r="N749"/>
  <c r="M749"/>
  <c r="N748"/>
  <c r="M748"/>
  <c r="N747"/>
  <c r="M747"/>
  <c r="N746"/>
  <c r="M746"/>
  <c r="N745"/>
  <c r="M745"/>
  <c r="N744"/>
  <c r="M744"/>
  <c r="N743"/>
  <c r="M743"/>
  <c r="N742"/>
  <c r="M742"/>
  <c r="N741"/>
  <c r="M741"/>
  <c r="N740"/>
  <c r="M740"/>
  <c r="N739"/>
  <c r="M739"/>
  <c r="N738"/>
  <c r="M738"/>
  <c r="N737"/>
  <c r="M737"/>
  <c r="N736"/>
  <c r="M736"/>
  <c r="N735"/>
  <c r="M735"/>
  <c r="N734"/>
  <c r="M734"/>
  <c r="N733"/>
  <c r="M733"/>
  <c r="N732"/>
  <c r="M732"/>
  <c r="N730"/>
  <c r="M730"/>
  <c r="N728"/>
  <c r="M728"/>
  <c r="N726"/>
  <c r="M726"/>
  <c r="N724"/>
  <c r="M724"/>
  <c r="N723"/>
  <c r="M723"/>
  <c r="N722"/>
  <c r="M722"/>
  <c r="N721"/>
  <c r="M721"/>
  <c r="N720"/>
  <c r="M720"/>
  <c r="N719"/>
  <c r="M719"/>
  <c r="N718"/>
  <c r="M718"/>
  <c r="H25" i="2"/>
  <c r="O20" i="14"/>
  <c r="I20"/>
  <c r="K20"/>
  <c r="E20"/>
  <c r="F25" i="2"/>
  <c r="G25" s="1"/>
  <c r="N717" i="12"/>
  <c r="M717"/>
  <c r="H24" i="2"/>
  <c r="I19" i="14" s="1"/>
  <c r="O19"/>
  <c r="K19"/>
  <c r="E19"/>
  <c r="G24" i="2"/>
  <c r="H19" i="14" s="1"/>
  <c r="N716" i="12"/>
  <c r="M716"/>
  <c r="N715"/>
  <c r="M715"/>
  <c r="O15" i="8"/>
  <c r="N69" i="14" s="1"/>
  <c r="N714" i="12"/>
  <c r="M714"/>
  <c r="N713"/>
  <c r="M713"/>
  <c r="O18" i="13"/>
  <c r="N18"/>
  <c r="N242" i="14"/>
  <c r="N125"/>
  <c r="N220"/>
  <c r="N103"/>
  <c r="N711" i="12"/>
  <c r="M711"/>
  <c r="N709"/>
  <c r="M709"/>
  <c r="N707"/>
  <c r="M707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M676"/>
  <c r="N676"/>
  <c r="M677"/>
  <c r="N677"/>
  <c r="M678"/>
  <c r="N678"/>
  <c r="M679"/>
  <c r="N679"/>
  <c r="M680"/>
  <c r="N680"/>
  <c r="M681"/>
  <c r="N681"/>
  <c r="M682"/>
  <c r="N682"/>
  <c r="M683"/>
  <c r="N683"/>
  <c r="M684"/>
  <c r="N684"/>
  <c r="M685"/>
  <c r="N685"/>
  <c r="M686"/>
  <c r="N686"/>
  <c r="M687"/>
  <c r="N687"/>
  <c r="M688"/>
  <c r="N688"/>
  <c r="M689"/>
  <c r="N689"/>
  <c r="M690"/>
  <c r="N690"/>
  <c r="M691"/>
  <c r="N691"/>
  <c r="M692"/>
  <c r="N692"/>
  <c r="M693"/>
  <c r="N693"/>
  <c r="M694"/>
  <c r="N694"/>
  <c r="M695"/>
  <c r="N695"/>
  <c r="M696"/>
  <c r="N696"/>
  <c r="M697"/>
  <c r="N697"/>
  <c r="M698"/>
  <c r="N698"/>
  <c r="M699"/>
  <c r="N699"/>
  <c r="M700"/>
  <c r="N700"/>
  <c r="M701"/>
  <c r="N701"/>
  <c r="M702"/>
  <c r="N702"/>
  <c r="M703"/>
  <c r="N703"/>
  <c r="M704"/>
  <c r="N704"/>
  <c r="M705"/>
  <c r="N705"/>
  <c r="M706"/>
  <c r="N706"/>
  <c r="N666"/>
  <c r="M666"/>
  <c r="N665"/>
  <c r="M665"/>
  <c r="O71" i="13"/>
  <c r="N71"/>
  <c r="O70"/>
  <c r="N70"/>
  <c r="O69"/>
  <c r="N69"/>
  <c r="N664" i="12"/>
  <c r="M664"/>
  <c r="N663"/>
  <c r="M663"/>
  <c r="N662"/>
  <c r="M662"/>
  <c r="N661"/>
  <c r="M661"/>
  <c r="N660"/>
  <c r="M660"/>
  <c r="N659"/>
  <c r="M659"/>
  <c r="H7" i="2"/>
  <c r="O68" i="13"/>
  <c r="N68"/>
  <c r="O67"/>
  <c r="N67"/>
  <c r="H12" i="2"/>
  <c r="O65" i="13"/>
  <c r="N65"/>
  <c r="P65" s="1"/>
  <c r="N658" i="12"/>
  <c r="M658"/>
  <c r="N657"/>
  <c r="M657"/>
  <c r="O657" s="1"/>
  <c r="N654"/>
  <c r="M654"/>
  <c r="N651"/>
  <c r="M651"/>
  <c r="N649"/>
  <c r="M649"/>
  <c r="N647"/>
  <c r="M647"/>
  <c r="N646"/>
  <c r="M646"/>
  <c r="O646" s="1"/>
  <c r="K351"/>
  <c r="N645"/>
  <c r="M645"/>
  <c r="N644"/>
  <c r="M644"/>
  <c r="N643"/>
  <c r="M643"/>
  <c r="N642"/>
  <c r="M642"/>
  <c r="N641"/>
  <c r="M641"/>
  <c r="N640"/>
  <c r="M640"/>
  <c r="N639"/>
  <c r="M639"/>
  <c r="N638"/>
  <c r="M638"/>
  <c r="N637"/>
  <c r="M637"/>
  <c r="N636"/>
  <c r="M636"/>
  <c r="N635"/>
  <c r="M635"/>
  <c r="N634"/>
  <c r="M634"/>
  <c r="N633"/>
  <c r="M633"/>
  <c r="N632"/>
  <c r="M632"/>
  <c r="N631"/>
  <c r="M631"/>
  <c r="N630"/>
  <c r="M630"/>
  <c r="N629"/>
  <c r="M629"/>
  <c r="N628"/>
  <c r="M628"/>
  <c r="N627"/>
  <c r="M627"/>
  <c r="N626"/>
  <c r="M626"/>
  <c r="N625"/>
  <c r="M625"/>
  <c r="N624"/>
  <c r="M624"/>
  <c r="N623"/>
  <c r="M623"/>
  <c r="N622"/>
  <c r="M622"/>
  <c r="N621"/>
  <c r="M621"/>
  <c r="N620"/>
  <c r="M620"/>
  <c r="N619"/>
  <c r="M619"/>
  <c r="N618"/>
  <c r="M618"/>
  <c r="N615"/>
  <c r="M615"/>
  <c r="N612"/>
  <c r="M612"/>
  <c r="N609"/>
  <c r="M609"/>
  <c r="N606"/>
  <c r="M606"/>
  <c r="N604"/>
  <c r="M604"/>
  <c r="N602"/>
  <c r="M602"/>
  <c r="O64" i="13"/>
  <c r="N64"/>
  <c r="O63"/>
  <c r="N63"/>
  <c r="O62"/>
  <c r="N62"/>
  <c r="O61"/>
  <c r="N61"/>
  <c r="N57"/>
  <c r="O57"/>
  <c r="N58"/>
  <c r="O58"/>
  <c r="N59"/>
  <c r="O59"/>
  <c r="N60"/>
  <c r="O60"/>
  <c r="K13" i="17"/>
  <c r="J13"/>
  <c r="K105"/>
  <c r="K106"/>
  <c r="K107"/>
  <c r="K108"/>
  <c r="K109"/>
  <c r="K110"/>
  <c r="K111"/>
  <c r="K112"/>
  <c r="K104"/>
  <c r="K95"/>
  <c r="K96"/>
  <c r="K97"/>
  <c r="L97" s="1"/>
  <c r="K98"/>
  <c r="K99"/>
  <c r="L99" s="1"/>
  <c r="K100"/>
  <c r="K101"/>
  <c r="K102"/>
  <c r="K94"/>
  <c r="K20"/>
  <c r="K21"/>
  <c r="K22"/>
  <c r="K23"/>
  <c r="K24"/>
  <c r="K25"/>
  <c r="K26"/>
  <c r="K27"/>
  <c r="K28"/>
  <c r="K29"/>
  <c r="K30"/>
  <c r="K31"/>
  <c r="L31" s="1"/>
  <c r="K32"/>
  <c r="K33"/>
  <c r="K34"/>
  <c r="K35"/>
  <c r="K36"/>
  <c r="K37"/>
  <c r="K38"/>
  <c r="K39"/>
  <c r="K40"/>
  <c r="K41"/>
  <c r="K42"/>
  <c r="K43"/>
  <c r="K44"/>
  <c r="K45"/>
  <c r="K46"/>
  <c r="K47"/>
  <c r="L47" s="1"/>
  <c r="K48"/>
  <c r="K49"/>
  <c r="L49" s="1"/>
  <c r="K50"/>
  <c r="K51"/>
  <c r="L51" s="1"/>
  <c r="K52"/>
  <c r="K53"/>
  <c r="K54"/>
  <c r="K55"/>
  <c r="K56"/>
  <c r="K57"/>
  <c r="K58"/>
  <c r="K59"/>
  <c r="L59" s="1"/>
  <c r="K60"/>
  <c r="K61"/>
  <c r="K62"/>
  <c r="K63"/>
  <c r="K64"/>
  <c r="K65"/>
  <c r="K66"/>
  <c r="K67"/>
  <c r="L67" s="1"/>
  <c r="K68"/>
  <c r="K69"/>
  <c r="K70"/>
  <c r="K71"/>
  <c r="L71" s="1"/>
  <c r="K72"/>
  <c r="K73"/>
  <c r="L73" s="1"/>
  <c r="K74"/>
  <c r="K75"/>
  <c r="L75" s="1"/>
  <c r="K76"/>
  <c r="K77"/>
  <c r="K78"/>
  <c r="K79"/>
  <c r="L79" s="1"/>
  <c r="K80"/>
  <c r="K81"/>
  <c r="L81" s="1"/>
  <c r="K82"/>
  <c r="K83"/>
  <c r="L83" s="1"/>
  <c r="K84"/>
  <c r="K85"/>
  <c r="L85" s="1"/>
  <c r="K86"/>
  <c r="K87"/>
  <c r="L87" s="1"/>
  <c r="K88"/>
  <c r="K89"/>
  <c r="K90"/>
  <c r="K91"/>
  <c r="K92"/>
  <c r="K19"/>
  <c r="K16"/>
  <c r="K17"/>
  <c r="L17" s="1"/>
  <c r="K15"/>
  <c r="K8"/>
  <c r="K9"/>
  <c r="K10"/>
  <c r="K11"/>
  <c r="K7"/>
  <c r="J105"/>
  <c r="J106"/>
  <c r="L106" s="1"/>
  <c r="J107"/>
  <c r="J108"/>
  <c r="J109"/>
  <c r="L109" s="1"/>
  <c r="J110"/>
  <c r="J111"/>
  <c r="J112"/>
  <c r="L112" s="1"/>
  <c r="J104"/>
  <c r="L104" s="1"/>
  <c r="J95"/>
  <c r="J96"/>
  <c r="L96" s="1"/>
  <c r="J97"/>
  <c r="J98"/>
  <c r="L98" s="1"/>
  <c r="J99"/>
  <c r="J100"/>
  <c r="J101"/>
  <c r="L101"/>
  <c r="J102"/>
  <c r="J94"/>
  <c r="J20"/>
  <c r="J21"/>
  <c r="L21" s="1"/>
  <c r="J22"/>
  <c r="L22" s="1"/>
  <c r="J23"/>
  <c r="J24"/>
  <c r="J25"/>
  <c r="J26"/>
  <c r="L26" s="1"/>
  <c r="J27"/>
  <c r="J28"/>
  <c r="J29"/>
  <c r="J30"/>
  <c r="L30" s="1"/>
  <c r="J31"/>
  <c r="J32"/>
  <c r="J33"/>
  <c r="L33" s="1"/>
  <c r="J34"/>
  <c r="J35"/>
  <c r="J36"/>
  <c r="L36" s="1"/>
  <c r="J37"/>
  <c r="J38"/>
  <c r="J39"/>
  <c r="J40"/>
  <c r="L40" s="1"/>
  <c r="J41"/>
  <c r="J42"/>
  <c r="J43"/>
  <c r="J44"/>
  <c r="L44" s="1"/>
  <c r="J45"/>
  <c r="J46"/>
  <c r="L46" s="1"/>
  <c r="J47"/>
  <c r="J48"/>
  <c r="L48" s="1"/>
  <c r="J49"/>
  <c r="J50"/>
  <c r="L50" s="1"/>
  <c r="J51"/>
  <c r="J52"/>
  <c r="J53"/>
  <c r="L53" s="1"/>
  <c r="J54"/>
  <c r="J55"/>
  <c r="J56"/>
  <c r="J57"/>
  <c r="L57" s="1"/>
  <c r="J58"/>
  <c r="L58" s="1"/>
  <c r="J59"/>
  <c r="J60"/>
  <c r="J61"/>
  <c r="J62"/>
  <c r="L62" s="1"/>
  <c r="J63"/>
  <c r="J64"/>
  <c r="L64" s="1"/>
  <c r="J65"/>
  <c r="J66"/>
  <c r="J67"/>
  <c r="J68"/>
  <c r="L68" s="1"/>
  <c r="J69"/>
  <c r="J70"/>
  <c r="L70" s="1"/>
  <c r="J71"/>
  <c r="J72"/>
  <c r="J73"/>
  <c r="J74"/>
  <c r="L74" s="1"/>
  <c r="J75"/>
  <c r="J76"/>
  <c r="L76" s="1"/>
  <c r="J77"/>
  <c r="J78"/>
  <c r="L78" s="1"/>
  <c r="J79"/>
  <c r="J80"/>
  <c r="J81"/>
  <c r="J82"/>
  <c r="L82" s="1"/>
  <c r="J83"/>
  <c r="J84"/>
  <c r="L84" s="1"/>
  <c r="J85"/>
  <c r="J86"/>
  <c r="L86" s="1"/>
  <c r="J87"/>
  <c r="J88"/>
  <c r="J89"/>
  <c r="L89" s="1"/>
  <c r="J90"/>
  <c r="J91"/>
  <c r="J92"/>
  <c r="J19"/>
  <c r="L19" s="1"/>
  <c r="J16"/>
  <c r="L16" s="1"/>
  <c r="J17"/>
  <c r="J15"/>
  <c r="J8"/>
  <c r="L8" s="1"/>
  <c r="J9"/>
  <c r="L9" s="1"/>
  <c r="J10"/>
  <c r="J11"/>
  <c r="L11" s="1"/>
  <c r="J7"/>
  <c r="N597" i="12"/>
  <c r="M597"/>
  <c r="N596"/>
  <c r="M596"/>
  <c r="O56" i="13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L7" i="17"/>
  <c r="L35"/>
  <c r="L13"/>
  <c r="L77"/>
  <c r="L39"/>
  <c r="L15"/>
  <c r="L92"/>
  <c r="L90"/>
  <c r="L88"/>
  <c r="L80"/>
  <c r="L72"/>
  <c r="L66"/>
  <c r="L60"/>
  <c r="L56"/>
  <c r="L54"/>
  <c r="L52"/>
  <c r="L42"/>
  <c r="L38"/>
  <c r="L34"/>
  <c r="L32"/>
  <c r="L28"/>
  <c r="L24"/>
  <c r="L20"/>
  <c r="L102"/>
  <c r="L100"/>
  <c r="L111"/>
  <c r="L107"/>
  <c r="L105"/>
  <c r="M576" i="12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N575"/>
  <c r="M575"/>
  <c r="N574"/>
  <c r="M574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N531"/>
  <c r="M531"/>
  <c r="N530"/>
  <c r="M530"/>
  <c r="N526"/>
  <c r="M526"/>
  <c r="N522"/>
  <c r="M522"/>
  <c r="N71"/>
  <c r="M71"/>
  <c r="N70"/>
  <c r="M70"/>
  <c r="O43" i="1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N521" i="12"/>
  <c r="M521"/>
  <c r="N520"/>
  <c r="M520"/>
  <c r="N519"/>
  <c r="M519"/>
  <c r="N518"/>
  <c r="M518"/>
  <c r="N517"/>
  <c r="M517"/>
  <c r="N516"/>
  <c r="M516"/>
  <c r="N515"/>
  <c r="M515"/>
  <c r="N514"/>
  <c r="M514"/>
  <c r="N513"/>
  <c r="M513"/>
  <c r="N512"/>
  <c r="M512"/>
  <c r="N511"/>
  <c r="M511"/>
  <c r="N510"/>
  <c r="M510"/>
  <c r="N509"/>
  <c r="M509"/>
  <c r="N508"/>
  <c r="M508"/>
  <c r="N507"/>
  <c r="M507"/>
  <c r="N506"/>
  <c r="M506"/>
  <c r="N505"/>
  <c r="M505"/>
  <c r="N504"/>
  <c r="M504"/>
  <c r="N503"/>
  <c r="M503"/>
  <c r="N502"/>
  <c r="M502"/>
  <c r="N501"/>
  <c r="M501"/>
  <c r="N500"/>
  <c r="M500"/>
  <c r="N499"/>
  <c r="M499"/>
  <c r="N498"/>
  <c r="M498"/>
  <c r="N497"/>
  <c r="M497"/>
  <c r="N496"/>
  <c r="M496"/>
  <c r="N495"/>
  <c r="M495"/>
  <c r="N494"/>
  <c r="M494"/>
  <c r="N491"/>
  <c r="M491"/>
  <c r="N488"/>
  <c r="M488"/>
  <c r="N484"/>
  <c r="M484"/>
  <c r="N480"/>
  <c r="M480"/>
  <c r="N479"/>
  <c r="M479"/>
  <c r="N478"/>
  <c r="M478"/>
  <c r="N476"/>
  <c r="M476"/>
  <c r="N474"/>
  <c r="M474"/>
  <c r="N473"/>
  <c r="M473"/>
  <c r="N472"/>
  <c r="M472"/>
  <c r="N471"/>
  <c r="M471"/>
  <c r="N470"/>
  <c r="M470"/>
  <c r="N469"/>
  <c r="M469"/>
  <c r="O23" i="13"/>
  <c r="N23"/>
  <c r="O22"/>
  <c r="N22"/>
  <c r="O21"/>
  <c r="N21"/>
  <c r="O20"/>
  <c r="N20"/>
  <c r="O14"/>
  <c r="N14"/>
  <c r="O29"/>
  <c r="N29"/>
  <c r="O28"/>
  <c r="N28"/>
  <c r="O27"/>
  <c r="N27"/>
  <c r="O26"/>
  <c r="N26"/>
  <c r="L18" i="3"/>
  <c r="G18" i="7"/>
  <c r="L18" s="1"/>
  <c r="N468" i="12"/>
  <c r="M468"/>
  <c r="N467"/>
  <c r="M467"/>
  <c r="N463"/>
  <c r="M463"/>
  <c r="N459"/>
  <c r="M459"/>
  <c r="N458"/>
  <c r="M458"/>
  <c r="N457"/>
  <c r="M457"/>
  <c r="O25" i="13"/>
  <c r="N25"/>
  <c r="O24"/>
  <c r="N24"/>
  <c r="N451" i="12"/>
  <c r="M451"/>
  <c r="N449"/>
  <c r="M449"/>
  <c r="N447"/>
  <c r="M447"/>
  <c r="N445"/>
  <c r="M445"/>
  <c r="N442"/>
  <c r="M442"/>
  <c r="N439"/>
  <c r="M439"/>
  <c r="B3" i="17"/>
  <c r="N437" i="12"/>
  <c r="M437"/>
  <c r="N435"/>
  <c r="M435"/>
  <c r="N433"/>
  <c r="M433"/>
  <c r="N431"/>
  <c r="M431"/>
  <c r="N428"/>
  <c r="M428"/>
  <c r="N425"/>
  <c r="M425"/>
  <c r="N422"/>
  <c r="M422"/>
  <c r="N419"/>
  <c r="M419"/>
  <c r="O19" i="13"/>
  <c r="N19"/>
  <c r="O78" i="8"/>
  <c r="N249" i="14" s="1"/>
  <c r="N238"/>
  <c r="N418" i="12"/>
  <c r="M418"/>
  <c r="O418" s="1"/>
  <c r="O17" i="13"/>
  <c r="N17"/>
  <c r="O16"/>
  <c r="N16"/>
  <c r="N121" i="14"/>
  <c r="N132"/>
  <c r="N192"/>
  <c r="N75"/>
  <c r="N417" i="12"/>
  <c r="M417"/>
  <c r="H23" i="2"/>
  <c r="I18" i="14"/>
  <c r="O18"/>
  <c r="K18"/>
  <c r="E18"/>
  <c r="F23" i="2"/>
  <c r="G23" s="1"/>
  <c r="H18" i="14" s="1"/>
  <c r="O15" i="13"/>
  <c r="N15"/>
  <c r="O13"/>
  <c r="N13"/>
  <c r="H11" i="2"/>
  <c r="F11"/>
  <c r="I6" i="16"/>
  <c r="N416" i="12"/>
  <c r="M416"/>
  <c r="N415"/>
  <c r="M415"/>
  <c r="L7" i="3"/>
  <c r="G7" i="7"/>
  <c r="L7" s="1"/>
  <c r="N411" i="12"/>
  <c r="M411"/>
  <c r="N407"/>
  <c r="M407"/>
  <c r="N406"/>
  <c r="M406"/>
  <c r="N405"/>
  <c r="M405"/>
  <c r="N404"/>
  <c r="M404"/>
  <c r="N403"/>
  <c r="M403"/>
  <c r="N402"/>
  <c r="M402"/>
  <c r="N401"/>
  <c r="M401"/>
  <c r="N400"/>
  <c r="M400"/>
  <c r="N399"/>
  <c r="M399"/>
  <c r="N398"/>
  <c r="M398"/>
  <c r="N397"/>
  <c r="M397"/>
  <c r="O76" i="8"/>
  <c r="N247" i="14" s="1"/>
  <c r="O50" i="8"/>
  <c r="O10"/>
  <c r="N181" i="14" s="1"/>
  <c r="O35" i="8"/>
  <c r="N396" i="12"/>
  <c r="M396"/>
  <c r="N395"/>
  <c r="M395"/>
  <c r="L79" i="3"/>
  <c r="M233" i="14" s="1"/>
  <c r="L79" i="7"/>
  <c r="O12" i="13"/>
  <c r="N12"/>
  <c r="O11"/>
  <c r="N11"/>
  <c r="L128" i="3"/>
  <c r="L128" i="7"/>
  <c r="N394" i="12"/>
  <c r="M394"/>
  <c r="N393"/>
  <c r="M393"/>
  <c r="N214" i="14"/>
  <c r="N235"/>
  <c r="N118"/>
  <c r="N206"/>
  <c r="N89"/>
  <c r="N221"/>
  <c r="N104"/>
  <c r="L67" i="3"/>
  <c r="M221" i="14" s="1"/>
  <c r="L67" i="7"/>
  <c r="N392" i="12"/>
  <c r="M392"/>
  <c r="N391"/>
  <c r="M391"/>
  <c r="N390"/>
  <c r="M390"/>
  <c r="N389"/>
  <c r="M389"/>
  <c r="N388"/>
  <c r="M388"/>
  <c r="N387"/>
  <c r="M387"/>
  <c r="N386"/>
  <c r="M386"/>
  <c r="N385"/>
  <c r="M385"/>
  <c r="N384"/>
  <c r="M384"/>
  <c r="N383"/>
  <c r="M383"/>
  <c r="N382"/>
  <c r="M382"/>
  <c r="N381"/>
  <c r="M381"/>
  <c r="N380"/>
  <c r="M380"/>
  <c r="N379"/>
  <c r="M379"/>
  <c r="N378"/>
  <c r="M378"/>
  <c r="N377"/>
  <c r="M377"/>
  <c r="N376"/>
  <c r="M376"/>
  <c r="N375"/>
  <c r="M375"/>
  <c r="N374"/>
  <c r="M374"/>
  <c r="N373"/>
  <c r="M373"/>
  <c r="N372"/>
  <c r="M372"/>
  <c r="N371"/>
  <c r="M371"/>
  <c r="L8" i="3"/>
  <c r="G8" i="7"/>
  <c r="N367" i="12"/>
  <c r="M367"/>
  <c r="H13" i="2"/>
  <c r="N211" i="12"/>
  <c r="M211"/>
  <c r="N225"/>
  <c r="M225"/>
  <c r="N199"/>
  <c r="M199"/>
  <c r="M360"/>
  <c r="N360"/>
  <c r="M361"/>
  <c r="N361"/>
  <c r="M362"/>
  <c r="N362"/>
  <c r="M363"/>
  <c r="N363"/>
  <c r="M364"/>
  <c r="N364"/>
  <c r="M365"/>
  <c r="N365"/>
  <c r="N359"/>
  <c r="M359"/>
  <c r="N358"/>
  <c r="M358"/>
  <c r="N356"/>
  <c r="M356"/>
  <c r="N354"/>
  <c r="M354"/>
  <c r="M347"/>
  <c r="N347"/>
  <c r="M348"/>
  <c r="N348"/>
  <c r="M349"/>
  <c r="N349"/>
  <c r="M350"/>
  <c r="N350"/>
  <c r="N346"/>
  <c r="M346"/>
  <c r="N345"/>
  <c r="M345"/>
  <c r="M342"/>
  <c r="N342"/>
  <c r="N339"/>
  <c r="M339"/>
  <c r="M335"/>
  <c r="N335"/>
  <c r="N331"/>
  <c r="M331"/>
  <c r="M329"/>
  <c r="N329"/>
  <c r="N327"/>
  <c r="M327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N298"/>
  <c r="M298"/>
  <c r="N297"/>
  <c r="M297"/>
  <c r="N296"/>
  <c r="M296"/>
  <c r="N295"/>
  <c r="M295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N252"/>
  <c r="M252"/>
  <c r="N251"/>
  <c r="M251"/>
  <c r="N250"/>
  <c r="M250"/>
  <c r="N249"/>
  <c r="M249"/>
  <c r="N248"/>
  <c r="M248"/>
  <c r="N247"/>
  <c r="M247"/>
  <c r="G12" i="9"/>
  <c r="N246" i="12"/>
  <c r="M246"/>
  <c r="N245"/>
  <c r="M245"/>
  <c r="M238"/>
  <c r="N238"/>
  <c r="M239"/>
  <c r="N239"/>
  <c r="M240"/>
  <c r="N240"/>
  <c r="M241"/>
  <c r="N241"/>
  <c r="M242"/>
  <c r="N242"/>
  <c r="M243"/>
  <c r="N243"/>
  <c r="M244"/>
  <c r="N244"/>
  <c r="N237"/>
  <c r="M237"/>
  <c r="N235"/>
  <c r="M235"/>
  <c r="O235" s="1"/>
  <c r="N178" i="14"/>
  <c r="N61"/>
  <c r="N233" i="12"/>
  <c r="M233"/>
  <c r="O59" i="8"/>
  <c r="N230" i="14" s="1"/>
  <c r="N232" i="12"/>
  <c r="M232"/>
  <c r="N231"/>
  <c r="M231"/>
  <c r="N229"/>
  <c r="M229"/>
  <c r="N223"/>
  <c r="M223"/>
  <c r="N219"/>
  <c r="M219"/>
  <c r="O219" s="1"/>
  <c r="N215"/>
  <c r="M215"/>
  <c r="O215" s="1"/>
  <c r="H14" i="2"/>
  <c r="F15" i="1" s="1"/>
  <c r="N207" i="12"/>
  <c r="M207"/>
  <c r="N205"/>
  <c r="M205"/>
  <c r="N203"/>
  <c r="M203"/>
  <c r="O10" i="13"/>
  <c r="N10"/>
  <c r="O9"/>
  <c r="N9"/>
  <c r="N187" i="12"/>
  <c r="M187"/>
  <c r="O187" s="1"/>
  <c r="N198"/>
  <c r="M198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5"/>
  <c r="M185"/>
  <c r="N184"/>
  <c r="M184"/>
  <c r="M183"/>
  <c r="O183" s="1"/>
  <c r="N183"/>
  <c r="N182"/>
  <c r="M182"/>
  <c r="N181"/>
  <c r="M181"/>
  <c r="N180"/>
  <c r="M180"/>
  <c r="O31" i="8"/>
  <c r="N202" i="14" s="1"/>
  <c r="N178" i="12"/>
  <c r="M178"/>
  <c r="N176"/>
  <c r="M176"/>
  <c r="N85" i="14"/>
  <c r="L93" i="3"/>
  <c r="L93" i="7"/>
  <c r="M130" i="14" s="1"/>
  <c r="O23" i="8"/>
  <c r="N241" i="14"/>
  <c r="O61" i="8"/>
  <c r="N232" i="14" s="1"/>
  <c r="N8" i="13"/>
  <c r="O8"/>
  <c r="M170" i="12"/>
  <c r="N170"/>
  <c r="M171"/>
  <c r="N171"/>
  <c r="M172"/>
  <c r="N172"/>
  <c r="M173"/>
  <c r="N173"/>
  <c r="M174"/>
  <c r="N174"/>
  <c r="M175"/>
  <c r="N175"/>
  <c r="N169"/>
  <c r="M169"/>
  <c r="N168"/>
  <c r="M168"/>
  <c r="N167"/>
  <c r="M167"/>
  <c r="N166"/>
  <c r="M166"/>
  <c r="N165"/>
  <c r="M165"/>
  <c r="N164"/>
  <c r="M164"/>
  <c r="N163"/>
  <c r="M163"/>
  <c r="N162"/>
  <c r="M162"/>
  <c r="N160"/>
  <c r="M160"/>
  <c r="O160" s="1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N97"/>
  <c r="M97"/>
  <c r="N96"/>
  <c r="M96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N35"/>
  <c r="M35"/>
  <c r="N34"/>
  <c r="M34"/>
  <c r="L27" i="3"/>
  <c r="L27" i="7"/>
  <c r="N33" i="12"/>
  <c r="M33"/>
  <c r="N32"/>
  <c r="M32"/>
  <c r="N115" i="14"/>
  <c r="N124"/>
  <c r="N177"/>
  <c r="N60"/>
  <c r="N194"/>
  <c r="N77"/>
  <c r="N31" i="12"/>
  <c r="M31"/>
  <c r="N30"/>
  <c r="M30"/>
  <c r="G11" i="9"/>
  <c r="G10"/>
  <c r="G9"/>
  <c r="G8"/>
  <c r="G7"/>
  <c r="G6"/>
  <c r="N29" i="12"/>
  <c r="M29"/>
  <c r="N28"/>
  <c r="M28"/>
  <c r="N27"/>
  <c r="M27"/>
  <c r="N26"/>
  <c r="M26"/>
  <c r="N25"/>
  <c r="M25"/>
  <c r="N24"/>
  <c r="M24"/>
  <c r="N23"/>
  <c r="M23"/>
  <c r="N22"/>
  <c r="M22"/>
  <c r="N20"/>
  <c r="M20"/>
  <c r="N18"/>
  <c r="M18"/>
  <c r="N16"/>
  <c r="M16"/>
  <c r="N14"/>
  <c r="M14"/>
  <c r="N13"/>
  <c r="M13"/>
  <c r="N12"/>
  <c r="M12"/>
  <c r="O83" i="8"/>
  <c r="N254" i="14" s="1"/>
  <c r="G19" i="7"/>
  <c r="L19" s="1"/>
  <c r="M57" i="14" s="1"/>
  <c r="M10" i="12"/>
  <c r="N10"/>
  <c r="M11"/>
  <c r="N11"/>
  <c r="N5" i="13"/>
  <c r="N6"/>
  <c r="N7"/>
  <c r="O5"/>
  <c r="O6"/>
  <c r="O7"/>
  <c r="O4"/>
  <c r="N4"/>
  <c r="N9" i="12"/>
  <c r="N8"/>
  <c r="M9"/>
  <c r="M8"/>
  <c r="N6"/>
  <c r="N4"/>
  <c r="M6"/>
  <c r="M4"/>
  <c r="L52" i="3"/>
  <c r="M206" i="14" s="1"/>
  <c r="L52" i="7"/>
  <c r="J14" i="8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G12"/>
  <c r="G13"/>
  <c r="G14"/>
  <c r="G15"/>
  <c r="G16"/>
  <c r="G17"/>
  <c r="G18"/>
  <c r="G19"/>
  <c r="G20"/>
  <c r="G21"/>
  <c r="G22"/>
  <c r="G23"/>
  <c r="G24"/>
  <c r="I24" s="1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H62"/>
  <c r="I62" s="1"/>
  <c r="H61"/>
  <c r="H31"/>
  <c r="H30"/>
  <c r="F102" i="3"/>
  <c r="O83" i="14"/>
  <c r="H61"/>
  <c r="I61"/>
  <c r="K61"/>
  <c r="H62"/>
  <c r="I62"/>
  <c r="K62"/>
  <c r="H63"/>
  <c r="I63"/>
  <c r="K63"/>
  <c r="H64"/>
  <c r="I64"/>
  <c r="K64"/>
  <c r="H65"/>
  <c r="I65"/>
  <c r="K65"/>
  <c r="H66"/>
  <c r="I66"/>
  <c r="K66"/>
  <c r="H67"/>
  <c r="I67"/>
  <c r="K67"/>
  <c r="H68"/>
  <c r="I68"/>
  <c r="K68"/>
  <c r="H69"/>
  <c r="I69"/>
  <c r="K69"/>
  <c r="H70"/>
  <c r="I70"/>
  <c r="K70"/>
  <c r="H71"/>
  <c r="I71"/>
  <c r="K71"/>
  <c r="H72"/>
  <c r="I72"/>
  <c r="K72"/>
  <c r="H73"/>
  <c r="I73"/>
  <c r="K73"/>
  <c r="H74"/>
  <c r="I74"/>
  <c r="K74"/>
  <c r="H75"/>
  <c r="I75"/>
  <c r="K75"/>
  <c r="H76"/>
  <c r="I76"/>
  <c r="K76"/>
  <c r="H77"/>
  <c r="I77"/>
  <c r="K77"/>
  <c r="H78"/>
  <c r="I78"/>
  <c r="K78"/>
  <c r="H79"/>
  <c r="I79"/>
  <c r="K79"/>
  <c r="H80"/>
  <c r="I80"/>
  <c r="K80"/>
  <c r="H81"/>
  <c r="I81"/>
  <c r="K81"/>
  <c r="H82"/>
  <c r="I82"/>
  <c r="K82"/>
  <c r="H83"/>
  <c r="I83"/>
  <c r="K83"/>
  <c r="H84"/>
  <c r="I84"/>
  <c r="K84"/>
  <c r="H85"/>
  <c r="I85"/>
  <c r="K85"/>
  <c r="H86"/>
  <c r="I86"/>
  <c r="K86"/>
  <c r="H87"/>
  <c r="I87"/>
  <c r="K87"/>
  <c r="H88"/>
  <c r="I88"/>
  <c r="K88"/>
  <c r="H89"/>
  <c r="I89"/>
  <c r="K89"/>
  <c r="H90"/>
  <c r="I90"/>
  <c r="K90"/>
  <c r="H91"/>
  <c r="I91"/>
  <c r="K91"/>
  <c r="H92"/>
  <c r="I92"/>
  <c r="K92"/>
  <c r="H93"/>
  <c r="I93"/>
  <c r="K93"/>
  <c r="H94"/>
  <c r="I94"/>
  <c r="K94"/>
  <c r="H95"/>
  <c r="I95"/>
  <c r="K95"/>
  <c r="H96"/>
  <c r="I96"/>
  <c r="K96"/>
  <c r="H97"/>
  <c r="I97"/>
  <c r="K97"/>
  <c r="H98"/>
  <c r="I98"/>
  <c r="K98"/>
  <c r="H99"/>
  <c r="I99"/>
  <c r="K99"/>
  <c r="H100"/>
  <c r="I100"/>
  <c r="K100"/>
  <c r="H101"/>
  <c r="I101"/>
  <c r="K101"/>
  <c r="H102"/>
  <c r="I102"/>
  <c r="K102"/>
  <c r="H103"/>
  <c r="I103"/>
  <c r="K103"/>
  <c r="H104"/>
  <c r="I104"/>
  <c r="K104"/>
  <c r="H105"/>
  <c r="I105"/>
  <c r="K105"/>
  <c r="H106"/>
  <c r="I106"/>
  <c r="K106"/>
  <c r="H107"/>
  <c r="I107"/>
  <c r="K107"/>
  <c r="H108"/>
  <c r="I108"/>
  <c r="K108"/>
  <c r="H109"/>
  <c r="I109"/>
  <c r="K109"/>
  <c r="H110"/>
  <c r="I110"/>
  <c r="K110"/>
  <c r="H111"/>
  <c r="I111"/>
  <c r="K111"/>
  <c r="H112"/>
  <c r="I112"/>
  <c r="K112"/>
  <c r="H113"/>
  <c r="I113"/>
  <c r="K113"/>
  <c r="H114"/>
  <c r="I114"/>
  <c r="K114"/>
  <c r="H115"/>
  <c r="I115"/>
  <c r="K115"/>
  <c r="H116"/>
  <c r="I116"/>
  <c r="K116"/>
  <c r="H117"/>
  <c r="I117"/>
  <c r="K117"/>
  <c r="H118"/>
  <c r="I118"/>
  <c r="K118"/>
  <c r="H119"/>
  <c r="I119"/>
  <c r="K119"/>
  <c r="H120"/>
  <c r="I120"/>
  <c r="K120"/>
  <c r="H121"/>
  <c r="I121"/>
  <c r="K121"/>
  <c r="H122"/>
  <c r="I122"/>
  <c r="K122"/>
  <c r="H123"/>
  <c r="I123"/>
  <c r="K123"/>
  <c r="H124"/>
  <c r="I124"/>
  <c r="K124"/>
  <c r="H125"/>
  <c r="I125"/>
  <c r="K125"/>
  <c r="H126"/>
  <c r="I126"/>
  <c r="K126"/>
  <c r="H127"/>
  <c r="I127"/>
  <c r="K127"/>
  <c r="H128"/>
  <c r="I128"/>
  <c r="K128"/>
  <c r="H129"/>
  <c r="I129"/>
  <c r="K129"/>
  <c r="H130"/>
  <c r="I130"/>
  <c r="K130"/>
  <c r="H131"/>
  <c r="I131"/>
  <c r="K131"/>
  <c r="H132"/>
  <c r="I132"/>
  <c r="K132"/>
  <c r="H133"/>
  <c r="I133"/>
  <c r="K133"/>
  <c r="H134"/>
  <c r="I134"/>
  <c r="K134"/>
  <c r="H135"/>
  <c r="I135"/>
  <c r="K135"/>
  <c r="H136"/>
  <c r="I136"/>
  <c r="K136"/>
  <c r="H137"/>
  <c r="I137"/>
  <c r="K137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F102" i="7"/>
  <c r="H138" i="14" s="1"/>
  <c r="H70" i="7"/>
  <c r="H50"/>
  <c r="J87" i="14" s="1"/>
  <c r="H49" i="7"/>
  <c r="J86" i="14" s="1"/>
  <c r="H48" i="7"/>
  <c r="L48" s="1"/>
  <c r="M85" i="14" s="1"/>
  <c r="H36" i="7"/>
  <c r="K36" s="1"/>
  <c r="H37"/>
  <c r="E30" i="1"/>
  <c r="E13"/>
  <c r="J12" i="15"/>
  <c r="J11"/>
  <c r="J10"/>
  <c r="J9"/>
  <c r="J8"/>
  <c r="J7"/>
  <c r="J6"/>
  <c r="J5"/>
  <c r="F12" i="2"/>
  <c r="F13"/>
  <c r="G13" s="1"/>
  <c r="F44"/>
  <c r="F54"/>
  <c r="F53"/>
  <c r="F47"/>
  <c r="G47" s="1"/>
  <c r="L47" s="1"/>
  <c r="F52"/>
  <c r="F50"/>
  <c r="F48"/>
  <c r="F45"/>
  <c r="G45" s="1"/>
  <c r="L45" s="1"/>
  <c r="M34" i="14" s="1"/>
  <c r="F51" i="2"/>
  <c r="F49"/>
  <c r="F46"/>
  <c r="F39"/>
  <c r="G39" s="1"/>
  <c r="L39" s="1"/>
  <c r="M28" i="14" s="1"/>
  <c r="F38" i="2"/>
  <c r="F14"/>
  <c r="F15"/>
  <c r="F28"/>
  <c r="G28" s="1"/>
  <c r="H23" i="14" s="1"/>
  <c r="K49" i="7"/>
  <c r="L86" i="14" s="1"/>
  <c r="K70" i="7"/>
  <c r="L107" i="14" s="1"/>
  <c r="J107"/>
  <c r="J85"/>
  <c r="L70" i="7"/>
  <c r="M107" i="14" s="1"/>
  <c r="L49" i="7"/>
  <c r="M86" i="14" s="1"/>
  <c r="B3" i="16"/>
  <c r="H34" i="1"/>
  <c r="H17"/>
  <c r="I13" i="3"/>
  <c r="O7" i="14"/>
  <c r="O8"/>
  <c r="I7"/>
  <c r="K7"/>
  <c r="I8"/>
  <c r="K8"/>
  <c r="E7"/>
  <c r="E8"/>
  <c r="G12" i="2"/>
  <c r="I12" s="1"/>
  <c r="O6" i="14"/>
  <c r="I6"/>
  <c r="K6"/>
  <c r="E6"/>
  <c r="G11" i="2"/>
  <c r="L11"/>
  <c r="M6" i="14" s="1"/>
  <c r="H6"/>
  <c r="I11" i="2"/>
  <c r="K11" s="1"/>
  <c r="L6" i="14" s="1"/>
  <c r="G102" i="7"/>
  <c r="F10" i="1" s="1"/>
  <c r="J6" i="14"/>
  <c r="E24" i="1"/>
  <c r="E7"/>
  <c r="G9" i="5"/>
  <c r="H9"/>
  <c r="J9"/>
  <c r="G10"/>
  <c r="H10"/>
  <c r="I10" s="1"/>
  <c r="J10"/>
  <c r="H167" i="14"/>
  <c r="I167"/>
  <c r="K167"/>
  <c r="N167"/>
  <c r="O167"/>
  <c r="H168"/>
  <c r="I168"/>
  <c r="K168"/>
  <c r="N168"/>
  <c r="O168"/>
  <c r="E167"/>
  <c r="E168"/>
  <c r="H50"/>
  <c r="I50"/>
  <c r="K50"/>
  <c r="N50"/>
  <c r="O50"/>
  <c r="H51"/>
  <c r="I51"/>
  <c r="K51"/>
  <c r="N51"/>
  <c r="O51"/>
  <c r="E50"/>
  <c r="E51"/>
  <c r="H10" i="3"/>
  <c r="L10" s="1"/>
  <c r="M167" i="14" s="1"/>
  <c r="H11" i="3"/>
  <c r="K11" s="1"/>
  <c r="J167" i="14"/>
  <c r="H10" i="7"/>
  <c r="L10" s="1"/>
  <c r="M50" i="14" s="1"/>
  <c r="H11" i="7"/>
  <c r="L11" s="1"/>
  <c r="M51" i="14" s="1"/>
  <c r="H251"/>
  <c r="I251"/>
  <c r="K251"/>
  <c r="O251"/>
  <c r="H252"/>
  <c r="I252"/>
  <c r="K252"/>
  <c r="O252"/>
  <c r="E251"/>
  <c r="E252"/>
  <c r="H191"/>
  <c r="I191"/>
  <c r="K191"/>
  <c r="O191"/>
  <c r="E191"/>
  <c r="O134"/>
  <c r="O135"/>
  <c r="O74"/>
  <c r="H80" i="8"/>
  <c r="H81"/>
  <c r="I81" s="1"/>
  <c r="H20"/>
  <c r="H97" i="3"/>
  <c r="J251" i="14" s="1"/>
  <c r="H98" i="3"/>
  <c r="L98" s="1"/>
  <c r="M252" i="14" s="1"/>
  <c r="H97" i="7"/>
  <c r="J134" i="14" s="1"/>
  <c r="H98" i="7"/>
  <c r="K98"/>
  <c r="L135" i="14" s="1"/>
  <c r="H37" i="3"/>
  <c r="H39" i="7"/>
  <c r="J76" i="14" s="1"/>
  <c r="D3" i="15"/>
  <c r="O3" i="14"/>
  <c r="O4"/>
  <c r="O5"/>
  <c r="O9"/>
  <c r="O10"/>
  <c r="O11"/>
  <c r="O12"/>
  <c r="O13"/>
  <c r="O14"/>
  <c r="O15"/>
  <c r="O16"/>
  <c r="O17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7"/>
  <c r="O48"/>
  <c r="O49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5"/>
  <c r="O76"/>
  <c r="O77"/>
  <c r="O78"/>
  <c r="O79"/>
  <c r="O80"/>
  <c r="O81"/>
  <c r="O82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"/>
  <c r="I132" i="7"/>
  <c r="I120"/>
  <c r="N47" i="14"/>
  <c r="N48"/>
  <c r="N49"/>
  <c r="N52"/>
  <c r="N53"/>
  <c r="N54"/>
  <c r="N55"/>
  <c r="N56"/>
  <c r="N57"/>
  <c r="N58"/>
  <c r="N59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9"/>
  <c r="N170"/>
  <c r="N171"/>
  <c r="N172"/>
  <c r="N173"/>
  <c r="N174"/>
  <c r="N175"/>
  <c r="N176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K270"/>
  <c r="K271"/>
  <c r="K272"/>
  <c r="K273"/>
  <c r="K274"/>
  <c r="I275"/>
  <c r="K275"/>
  <c r="K276"/>
  <c r="I277"/>
  <c r="K277"/>
  <c r="I278"/>
  <c r="K278"/>
  <c r="I279"/>
  <c r="K279"/>
  <c r="H271"/>
  <c r="H272"/>
  <c r="H273"/>
  <c r="H274"/>
  <c r="H275"/>
  <c r="H276"/>
  <c r="H277"/>
  <c r="H278"/>
  <c r="H279"/>
  <c r="H270"/>
  <c r="E280"/>
  <c r="E279"/>
  <c r="E278"/>
  <c r="E271"/>
  <c r="E272"/>
  <c r="E273"/>
  <c r="E274"/>
  <c r="E275"/>
  <c r="E276"/>
  <c r="E277"/>
  <c r="E270"/>
  <c r="E269"/>
  <c r="I258"/>
  <c r="K258"/>
  <c r="I259"/>
  <c r="K259"/>
  <c r="I260"/>
  <c r="K260"/>
  <c r="I261"/>
  <c r="K261"/>
  <c r="I262"/>
  <c r="K262"/>
  <c r="I263"/>
  <c r="K263"/>
  <c r="I264"/>
  <c r="K264"/>
  <c r="I265"/>
  <c r="K265"/>
  <c r="K266"/>
  <c r="I267"/>
  <c r="K267"/>
  <c r="I268"/>
  <c r="K268"/>
  <c r="H259"/>
  <c r="H260"/>
  <c r="H261"/>
  <c r="H262"/>
  <c r="H263"/>
  <c r="H264"/>
  <c r="H265"/>
  <c r="H266"/>
  <c r="H267"/>
  <c r="H268"/>
  <c r="H258"/>
  <c r="E268"/>
  <c r="E267"/>
  <c r="E266"/>
  <c r="E259"/>
  <c r="E260"/>
  <c r="E261"/>
  <c r="E262"/>
  <c r="E263"/>
  <c r="E264"/>
  <c r="E265"/>
  <c r="E258"/>
  <c r="K256"/>
  <c r="H256"/>
  <c r="E257"/>
  <c r="E256"/>
  <c r="K177"/>
  <c r="K178"/>
  <c r="K179"/>
  <c r="K180"/>
  <c r="K181"/>
  <c r="K182"/>
  <c r="K183"/>
  <c r="K184"/>
  <c r="K185"/>
  <c r="K186"/>
  <c r="K187"/>
  <c r="K188"/>
  <c r="K189"/>
  <c r="K190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3"/>
  <c r="K254"/>
  <c r="I179"/>
  <c r="I181"/>
  <c r="I182"/>
  <c r="I183"/>
  <c r="I184"/>
  <c r="I185"/>
  <c r="I186"/>
  <c r="I187"/>
  <c r="I189"/>
  <c r="I190"/>
  <c r="I193"/>
  <c r="I196"/>
  <c r="I197"/>
  <c r="I198"/>
  <c r="I199"/>
  <c r="I201"/>
  <c r="I202"/>
  <c r="I203"/>
  <c r="I205"/>
  <c r="I207"/>
  <c r="I208"/>
  <c r="I209"/>
  <c r="I210"/>
  <c r="I211"/>
  <c r="I212"/>
  <c r="I213"/>
  <c r="I214"/>
  <c r="I216"/>
  <c r="I217"/>
  <c r="I219"/>
  <c r="I221"/>
  <c r="I222"/>
  <c r="I223"/>
  <c r="I225"/>
  <c r="I226"/>
  <c r="I227"/>
  <c r="I228"/>
  <c r="I229"/>
  <c r="I231"/>
  <c r="I233"/>
  <c r="I235"/>
  <c r="I236"/>
  <c r="I237"/>
  <c r="I239"/>
  <c r="I241"/>
  <c r="I245"/>
  <c r="I254"/>
  <c r="H178"/>
  <c r="H179"/>
  <c r="H180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3"/>
  <c r="H254"/>
  <c r="H177"/>
  <c r="E255"/>
  <c r="E254"/>
  <c r="E253"/>
  <c r="E248"/>
  <c r="E249"/>
  <c r="E250"/>
  <c r="E245"/>
  <c r="E246"/>
  <c r="E247"/>
  <c r="E242"/>
  <c r="E243"/>
  <c r="E244"/>
  <c r="E231"/>
  <c r="E232"/>
  <c r="E233"/>
  <c r="E234"/>
  <c r="E235"/>
  <c r="E236"/>
  <c r="E237"/>
  <c r="E238"/>
  <c r="E239"/>
  <c r="E240"/>
  <c r="E241"/>
  <c r="E222"/>
  <c r="E223"/>
  <c r="E224"/>
  <c r="E225"/>
  <c r="E226"/>
  <c r="E227"/>
  <c r="E228"/>
  <c r="E229"/>
  <c r="E230"/>
  <c r="E211"/>
  <c r="E212"/>
  <c r="E213"/>
  <c r="E214"/>
  <c r="E215"/>
  <c r="E216"/>
  <c r="E217"/>
  <c r="E218"/>
  <c r="E219"/>
  <c r="E220"/>
  <c r="E221"/>
  <c r="E197"/>
  <c r="E198"/>
  <c r="E199"/>
  <c r="E200"/>
  <c r="E201"/>
  <c r="E202"/>
  <c r="E203"/>
  <c r="E204"/>
  <c r="E205"/>
  <c r="E206"/>
  <c r="E207"/>
  <c r="E208"/>
  <c r="E209"/>
  <c r="E210"/>
  <c r="E178"/>
  <c r="E179"/>
  <c r="E180"/>
  <c r="E181"/>
  <c r="E182"/>
  <c r="E183"/>
  <c r="E184"/>
  <c r="E185"/>
  <c r="E186"/>
  <c r="E187"/>
  <c r="E188"/>
  <c r="E189"/>
  <c r="E190"/>
  <c r="E192"/>
  <c r="E193"/>
  <c r="E194"/>
  <c r="E195"/>
  <c r="E196"/>
  <c r="E177"/>
  <c r="I173"/>
  <c r="K173"/>
  <c r="K174"/>
  <c r="I175"/>
  <c r="K175"/>
  <c r="H174"/>
  <c r="H175"/>
  <c r="H173"/>
  <c r="E174"/>
  <c r="E175"/>
  <c r="E176"/>
  <c r="E173"/>
  <c r="I171"/>
  <c r="K171"/>
  <c r="H171"/>
  <c r="E172"/>
  <c r="E171"/>
  <c r="K164"/>
  <c r="I165"/>
  <c r="K165"/>
  <c r="I166"/>
  <c r="K166"/>
  <c r="I169"/>
  <c r="K169"/>
  <c r="H165"/>
  <c r="H166"/>
  <c r="H169"/>
  <c r="H164"/>
  <c r="E165"/>
  <c r="E166"/>
  <c r="E169"/>
  <c r="E170"/>
  <c r="E164"/>
  <c r="K153"/>
  <c r="K154"/>
  <c r="K155"/>
  <c r="K156"/>
  <c r="K157"/>
  <c r="K158"/>
  <c r="K159"/>
  <c r="K160"/>
  <c r="K161"/>
  <c r="K162"/>
  <c r="I158"/>
  <c r="I160"/>
  <c r="I162"/>
  <c r="H154"/>
  <c r="H155"/>
  <c r="H156"/>
  <c r="H157"/>
  <c r="H158"/>
  <c r="H159"/>
  <c r="H160"/>
  <c r="H161"/>
  <c r="H162"/>
  <c r="H153"/>
  <c r="E163"/>
  <c r="E161"/>
  <c r="E162"/>
  <c r="E154"/>
  <c r="E155"/>
  <c r="E156"/>
  <c r="E157"/>
  <c r="E158"/>
  <c r="E159"/>
  <c r="E160"/>
  <c r="E153"/>
  <c r="E152"/>
  <c r="I141"/>
  <c r="K141"/>
  <c r="I142"/>
  <c r="K142"/>
  <c r="I143"/>
  <c r="K143"/>
  <c r="I144"/>
  <c r="K144"/>
  <c r="I145"/>
  <c r="K145"/>
  <c r="I146"/>
  <c r="K146"/>
  <c r="I147"/>
  <c r="K147"/>
  <c r="I148"/>
  <c r="K148"/>
  <c r="K149"/>
  <c r="I150"/>
  <c r="K150"/>
  <c r="I151"/>
  <c r="K151"/>
  <c r="H142"/>
  <c r="H143"/>
  <c r="H144"/>
  <c r="H145"/>
  <c r="H146"/>
  <c r="H147"/>
  <c r="H148"/>
  <c r="H149"/>
  <c r="H150"/>
  <c r="H151"/>
  <c r="H141"/>
  <c r="E151"/>
  <c r="E150"/>
  <c r="E142"/>
  <c r="E143"/>
  <c r="E144"/>
  <c r="E145"/>
  <c r="E146"/>
  <c r="E147"/>
  <c r="E148"/>
  <c r="E149"/>
  <c r="E141"/>
  <c r="I139"/>
  <c r="K139"/>
  <c r="H139"/>
  <c r="E140"/>
  <c r="E139"/>
  <c r="E138"/>
  <c r="K60"/>
  <c r="I60"/>
  <c r="H60"/>
  <c r="E60"/>
  <c r="K56"/>
  <c r="K57"/>
  <c r="K58"/>
  <c r="I56"/>
  <c r="I58"/>
  <c r="H57"/>
  <c r="H58"/>
  <c r="H56"/>
  <c r="K54"/>
  <c r="I54"/>
  <c r="H54"/>
  <c r="K47"/>
  <c r="K48"/>
  <c r="K49"/>
  <c r="K52"/>
  <c r="I48"/>
  <c r="I49"/>
  <c r="I52"/>
  <c r="H48"/>
  <c r="H49"/>
  <c r="H52"/>
  <c r="H47"/>
  <c r="E57"/>
  <c r="E58"/>
  <c r="E59"/>
  <c r="E56"/>
  <c r="E55"/>
  <c r="E54"/>
  <c r="E53"/>
  <c r="J132" i="3"/>
  <c r="I132"/>
  <c r="K280" i="14" s="1"/>
  <c r="F132" i="3"/>
  <c r="H280" i="14" s="1"/>
  <c r="J120" i="3"/>
  <c r="I120"/>
  <c r="K269" i="14" s="1"/>
  <c r="F120" i="3"/>
  <c r="J106"/>
  <c r="I106"/>
  <c r="H28" i="1" s="1"/>
  <c r="F106" i="3"/>
  <c r="J102"/>
  <c r="I102"/>
  <c r="H27" i="1" s="1"/>
  <c r="H255" i="14"/>
  <c r="I21" i="3"/>
  <c r="K176" i="14" s="1"/>
  <c r="F21" i="3"/>
  <c r="H176" i="14"/>
  <c r="J16" i="3"/>
  <c r="I16"/>
  <c r="G16"/>
  <c r="F16"/>
  <c r="H172" i="14" s="1"/>
  <c r="J13" i="3"/>
  <c r="H24" i="1" s="1"/>
  <c r="F13" i="3"/>
  <c r="H170" i="14"/>
  <c r="F132" i="7"/>
  <c r="H163" i="14"/>
  <c r="J106" i="7"/>
  <c r="I106"/>
  <c r="K140" i="14" s="1"/>
  <c r="G106" i="7"/>
  <c r="F106"/>
  <c r="H140" i="14" s="1"/>
  <c r="I21" i="7"/>
  <c r="F21"/>
  <c r="H59" i="14" s="1"/>
  <c r="I102" i="7"/>
  <c r="H10" i="1" s="1"/>
  <c r="F120" i="7"/>
  <c r="F25" i="1"/>
  <c r="I172" i="14"/>
  <c r="H25" i="1"/>
  <c r="I25" s="1"/>
  <c r="H26"/>
  <c r="K170" i="14"/>
  <c r="J16" i="7"/>
  <c r="I16"/>
  <c r="G16"/>
  <c r="F16"/>
  <c r="J13"/>
  <c r="I13"/>
  <c r="F13"/>
  <c r="H53" i="14" s="1"/>
  <c r="E48"/>
  <c r="E49"/>
  <c r="E52"/>
  <c r="E47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24"/>
  <c r="I26"/>
  <c r="I30"/>
  <c r="I34"/>
  <c r="I35"/>
  <c r="I36"/>
  <c r="I38"/>
  <c r="I40"/>
  <c r="I43"/>
  <c r="E46"/>
  <c r="E43"/>
  <c r="E44"/>
  <c r="E41"/>
  <c r="E42"/>
  <c r="E39"/>
  <c r="E40"/>
  <c r="E25"/>
  <c r="E26"/>
  <c r="E27"/>
  <c r="E28"/>
  <c r="E29"/>
  <c r="E30"/>
  <c r="E31"/>
  <c r="E32"/>
  <c r="E33"/>
  <c r="E34"/>
  <c r="E35"/>
  <c r="E36"/>
  <c r="E37"/>
  <c r="E38"/>
  <c r="E24"/>
  <c r="C3" i="9"/>
  <c r="B3" i="8"/>
  <c r="B3" i="5"/>
  <c r="C3" i="3"/>
  <c r="C3" i="7"/>
  <c r="C3" i="2"/>
  <c r="K3" i="14"/>
  <c r="K4"/>
  <c r="K5"/>
  <c r="K9"/>
  <c r="K10"/>
  <c r="K11"/>
  <c r="K12"/>
  <c r="K13"/>
  <c r="K14"/>
  <c r="K15"/>
  <c r="K16"/>
  <c r="K17"/>
  <c r="K2"/>
  <c r="I4"/>
  <c r="I5"/>
  <c r="I12"/>
  <c r="I16"/>
  <c r="E23"/>
  <c r="E17"/>
  <c r="E15"/>
  <c r="E16"/>
  <c r="E13"/>
  <c r="E14"/>
  <c r="E4"/>
  <c r="E5"/>
  <c r="E9"/>
  <c r="E10"/>
  <c r="E11"/>
  <c r="E12"/>
  <c r="E3"/>
  <c r="E2"/>
  <c r="K55"/>
  <c r="K53"/>
  <c r="I25"/>
  <c r="I42"/>
  <c r="I3"/>
  <c r="I253"/>
  <c r="K23"/>
  <c r="H15" i="1"/>
  <c r="K46" i="14"/>
  <c r="H32" i="1"/>
  <c r="I206" i="14"/>
  <c r="I243"/>
  <c r="I164"/>
  <c r="G13" i="3"/>
  <c r="I170" i="14" s="1"/>
  <c r="I47"/>
  <c r="I44"/>
  <c r="I17"/>
  <c r="I15"/>
  <c r="I33"/>
  <c r="I32"/>
  <c r="I14"/>
  <c r="I31"/>
  <c r="I13"/>
  <c r="I29"/>
  <c r="I11"/>
  <c r="I28"/>
  <c r="I10"/>
  <c r="I27"/>
  <c r="I24"/>
  <c r="I218"/>
  <c r="I276"/>
  <c r="I159"/>
  <c r="I2"/>
  <c r="I274"/>
  <c r="I157"/>
  <c r="I272"/>
  <c r="I155"/>
  <c r="I271"/>
  <c r="I154"/>
  <c r="I230"/>
  <c r="I180"/>
  <c r="I234"/>
  <c r="I215"/>
  <c r="I242"/>
  <c r="I246"/>
  <c r="I247"/>
  <c r="I249"/>
  <c r="I250"/>
  <c r="H119" i="3"/>
  <c r="L119" s="1"/>
  <c r="H119" i="7"/>
  <c r="L119" s="1"/>
  <c r="I149" i="14"/>
  <c r="G120" i="7"/>
  <c r="I152" i="14" s="1"/>
  <c r="I266"/>
  <c r="G120" i="3"/>
  <c r="I269" i="14" s="1"/>
  <c r="I220"/>
  <c r="I204"/>
  <c r="H105" i="7"/>
  <c r="K105" s="1"/>
  <c r="H105" i="3"/>
  <c r="I224" i="14"/>
  <c r="I232"/>
  <c r="I238"/>
  <c r="I240"/>
  <c r="I270"/>
  <c r="I153"/>
  <c r="I195"/>
  <c r="I194"/>
  <c r="I244"/>
  <c r="I161"/>
  <c r="I156"/>
  <c r="G132" i="7"/>
  <c r="H132" s="1"/>
  <c r="J163" i="14" s="1"/>
  <c r="I273"/>
  <c r="G132" i="3"/>
  <c r="H132" s="1"/>
  <c r="I192" i="14"/>
  <c r="I188"/>
  <c r="I248"/>
  <c r="I177"/>
  <c r="I178"/>
  <c r="H23" i="3"/>
  <c r="L23" s="1"/>
  <c r="M177" i="14" s="1"/>
  <c r="H101" i="7"/>
  <c r="K101" s="1"/>
  <c r="H101" i="3"/>
  <c r="K101" s="1"/>
  <c r="J7" i="8"/>
  <c r="J8"/>
  <c r="J9"/>
  <c r="J10"/>
  <c r="J11"/>
  <c r="J12"/>
  <c r="J13"/>
  <c r="J6"/>
  <c r="J34" i="5"/>
  <c r="J35"/>
  <c r="J36"/>
  <c r="J37"/>
  <c r="J38"/>
  <c r="J39"/>
  <c r="J40"/>
  <c r="J41"/>
  <c r="J42"/>
  <c r="J33"/>
  <c r="J22"/>
  <c r="J23"/>
  <c r="J24"/>
  <c r="J25"/>
  <c r="J26"/>
  <c r="J27"/>
  <c r="J28"/>
  <c r="J29"/>
  <c r="J30"/>
  <c r="J31"/>
  <c r="J21"/>
  <c r="J19"/>
  <c r="J16"/>
  <c r="J17"/>
  <c r="J15"/>
  <c r="J13"/>
  <c r="J7"/>
  <c r="J8"/>
  <c r="J11"/>
  <c r="J6"/>
  <c r="H7" i="8"/>
  <c r="H8"/>
  <c r="H9"/>
  <c r="H10"/>
  <c r="I10" s="1"/>
  <c r="H11"/>
  <c r="H12"/>
  <c r="H13"/>
  <c r="I13"/>
  <c r="H14"/>
  <c r="I14" s="1"/>
  <c r="H15"/>
  <c r="I15" s="1"/>
  <c r="H16"/>
  <c r="H17"/>
  <c r="H18"/>
  <c r="I18" s="1"/>
  <c r="H19"/>
  <c r="I19" s="1"/>
  <c r="H21"/>
  <c r="I21" s="1"/>
  <c r="H22"/>
  <c r="I22" s="1"/>
  <c r="H23"/>
  <c r="H24"/>
  <c r="H25"/>
  <c r="I25" s="1"/>
  <c r="H26"/>
  <c r="I26" s="1"/>
  <c r="H27"/>
  <c r="I27" s="1"/>
  <c r="H28"/>
  <c r="H29"/>
  <c r="H32"/>
  <c r="H33"/>
  <c r="I33" s="1"/>
  <c r="H34"/>
  <c r="I34" s="1"/>
  <c r="H35"/>
  <c r="H36"/>
  <c r="H37"/>
  <c r="I37" s="1"/>
  <c r="H38"/>
  <c r="I38" s="1"/>
  <c r="H39"/>
  <c r="H40"/>
  <c r="H41"/>
  <c r="H42"/>
  <c r="I42" s="1"/>
  <c r="H43"/>
  <c r="I43" s="1"/>
  <c r="H44"/>
  <c r="H45"/>
  <c r="I45" s="1"/>
  <c r="H46"/>
  <c r="I46" s="1"/>
  <c r="H47"/>
  <c r="H48"/>
  <c r="H49"/>
  <c r="I49" s="1"/>
  <c r="H50"/>
  <c r="I50" s="1"/>
  <c r="H51"/>
  <c r="I51" s="1"/>
  <c r="H52"/>
  <c r="H53"/>
  <c r="H54"/>
  <c r="I54" s="1"/>
  <c r="H55"/>
  <c r="I55" s="1"/>
  <c r="H56"/>
  <c r="H57"/>
  <c r="I57" s="1"/>
  <c r="H58"/>
  <c r="I58" s="1"/>
  <c r="H59"/>
  <c r="H60"/>
  <c r="H63"/>
  <c r="I63" s="1"/>
  <c r="H64"/>
  <c r="H65"/>
  <c r="H66"/>
  <c r="I66" s="1"/>
  <c r="H67"/>
  <c r="I67" s="1"/>
  <c r="H68"/>
  <c r="H69"/>
  <c r="I69" s="1"/>
  <c r="H70"/>
  <c r="H71"/>
  <c r="H72"/>
  <c r="H73"/>
  <c r="I73" s="1"/>
  <c r="H74"/>
  <c r="I74" s="1"/>
  <c r="P74" s="1"/>
  <c r="H75"/>
  <c r="I75" s="1"/>
  <c r="H76"/>
  <c r="H77"/>
  <c r="H78"/>
  <c r="I78" s="1"/>
  <c r="H79"/>
  <c r="I79" s="1"/>
  <c r="H82"/>
  <c r="I82" s="1"/>
  <c r="H83"/>
  <c r="H6"/>
  <c r="G7"/>
  <c r="G8"/>
  <c r="I8" s="1"/>
  <c r="G9"/>
  <c r="G10"/>
  <c r="G11"/>
  <c r="I30"/>
  <c r="I31"/>
  <c r="I39"/>
  <c r="I61"/>
  <c r="G6"/>
  <c r="H34" i="5"/>
  <c r="H35"/>
  <c r="H36"/>
  <c r="H37"/>
  <c r="H38"/>
  <c r="H39"/>
  <c r="H40"/>
  <c r="H41"/>
  <c r="H42"/>
  <c r="H33"/>
  <c r="H22"/>
  <c r="H23"/>
  <c r="H24"/>
  <c r="H25"/>
  <c r="H26"/>
  <c r="H27"/>
  <c r="H28"/>
  <c r="H29"/>
  <c r="H30"/>
  <c r="H31"/>
  <c r="H21"/>
  <c r="H19"/>
  <c r="H16"/>
  <c r="H17"/>
  <c r="H15"/>
  <c r="H13"/>
  <c r="H7"/>
  <c r="H8"/>
  <c r="H11"/>
  <c r="H6"/>
  <c r="G34"/>
  <c r="G35"/>
  <c r="I35" s="1"/>
  <c r="G36"/>
  <c r="G37"/>
  <c r="G38"/>
  <c r="G39"/>
  <c r="G40"/>
  <c r="G41"/>
  <c r="G42"/>
  <c r="G33"/>
  <c r="G22"/>
  <c r="G23"/>
  <c r="I23" s="1"/>
  <c r="G24"/>
  <c r="I24" s="1"/>
  <c r="G25"/>
  <c r="G26"/>
  <c r="I26" s="1"/>
  <c r="G27"/>
  <c r="G28"/>
  <c r="G29"/>
  <c r="G30"/>
  <c r="G31"/>
  <c r="G21"/>
  <c r="G19"/>
  <c r="I19" s="1"/>
  <c r="G16"/>
  <c r="G17"/>
  <c r="G15"/>
  <c r="G13"/>
  <c r="G7"/>
  <c r="G8"/>
  <c r="G11"/>
  <c r="G6"/>
  <c r="G31" i="1"/>
  <c r="J31" s="1"/>
  <c r="G33"/>
  <c r="J33" s="1"/>
  <c r="G34"/>
  <c r="J34" s="1"/>
  <c r="G35"/>
  <c r="J35" s="1"/>
  <c r="E29"/>
  <c r="E28"/>
  <c r="E27"/>
  <c r="E26"/>
  <c r="E25"/>
  <c r="G25"/>
  <c r="G14"/>
  <c r="J14" s="1"/>
  <c r="G16"/>
  <c r="G17"/>
  <c r="J17" s="1"/>
  <c r="G18"/>
  <c r="I18" s="1"/>
  <c r="E12"/>
  <c r="E11"/>
  <c r="E10"/>
  <c r="E9"/>
  <c r="E8"/>
  <c r="H131" i="7"/>
  <c r="H130"/>
  <c r="H129"/>
  <c r="K129" s="1"/>
  <c r="K40" i="5" s="1"/>
  <c r="H128" i="7"/>
  <c r="H127"/>
  <c r="H126"/>
  <c r="H125"/>
  <c r="K125" s="1"/>
  <c r="H124"/>
  <c r="H123"/>
  <c r="J154" i="14" s="1"/>
  <c r="H122" i="7"/>
  <c r="L118"/>
  <c r="M151" i="14" s="1"/>
  <c r="H117" i="7"/>
  <c r="L117" s="1"/>
  <c r="L116"/>
  <c r="L115"/>
  <c r="M148" i="14" s="1"/>
  <c r="L113" i="7"/>
  <c r="L112"/>
  <c r="L111"/>
  <c r="M144" i="14" s="1"/>
  <c r="L109" i="7"/>
  <c r="H100"/>
  <c r="H99"/>
  <c r="H96"/>
  <c r="H95"/>
  <c r="H94"/>
  <c r="H93"/>
  <c r="E76" i="8" s="1"/>
  <c r="F76" s="1"/>
  <c r="H92" i="7"/>
  <c r="H91"/>
  <c r="H90"/>
  <c r="L90" s="1"/>
  <c r="M127" i="14" s="1"/>
  <c r="H89" i="7"/>
  <c r="H88"/>
  <c r="H87"/>
  <c r="K87" s="1"/>
  <c r="L124" i="14" s="1"/>
  <c r="H86" i="7"/>
  <c r="H84"/>
  <c r="J121" i="14" s="1"/>
  <c r="H83" i="7"/>
  <c r="J120" i="14" s="1"/>
  <c r="H82" i="7"/>
  <c r="H81"/>
  <c r="H80"/>
  <c r="J117" i="14" s="1"/>
  <c r="H79" i="7"/>
  <c r="H78"/>
  <c r="H77"/>
  <c r="J114" i="14" s="1"/>
  <c r="H76" i="7"/>
  <c r="H75"/>
  <c r="H74"/>
  <c r="H73"/>
  <c r="H72"/>
  <c r="H71"/>
  <c r="J108" i="14" s="1"/>
  <c r="H69" i="7"/>
  <c r="H68"/>
  <c r="H67"/>
  <c r="E50" i="8" s="1"/>
  <c r="F50" s="1"/>
  <c r="H66" i="7"/>
  <c r="H65"/>
  <c r="H64"/>
  <c r="K64" s="1"/>
  <c r="H63"/>
  <c r="H62"/>
  <c r="H61"/>
  <c r="H60"/>
  <c r="H59"/>
  <c r="J96" i="14" s="1"/>
  <c r="H58" i="7"/>
  <c r="K58" s="1"/>
  <c r="H57"/>
  <c r="H56"/>
  <c r="K56" s="1"/>
  <c r="H55"/>
  <c r="H54"/>
  <c r="H53"/>
  <c r="H52"/>
  <c r="J89" i="14" s="1"/>
  <c r="H51" i="7"/>
  <c r="H47"/>
  <c r="H46"/>
  <c r="H45"/>
  <c r="H44"/>
  <c r="H43"/>
  <c r="H42"/>
  <c r="H41"/>
  <c r="H40"/>
  <c r="J77" i="14" s="1"/>
  <c r="H38" i="7"/>
  <c r="H35"/>
  <c r="H34"/>
  <c r="J71" i="14" s="1"/>
  <c r="H33" i="7"/>
  <c r="J70" i="14" s="1"/>
  <c r="H32" i="7"/>
  <c r="J69" i="14" s="1"/>
  <c r="H31" i="7"/>
  <c r="J68" i="14" s="1"/>
  <c r="H30" i="7"/>
  <c r="J67" i="14" s="1"/>
  <c r="H29" i="7"/>
  <c r="J66" i="14" s="1"/>
  <c r="H28" i="7"/>
  <c r="J65" i="14" s="1"/>
  <c r="H27" i="7"/>
  <c r="J64" i="14" s="1"/>
  <c r="H26" i="7"/>
  <c r="J63" i="14" s="1"/>
  <c r="H24" i="7"/>
  <c r="J61" i="14" s="1"/>
  <c r="H20" i="7"/>
  <c r="H19"/>
  <c r="H18"/>
  <c r="K18" s="1"/>
  <c r="H15"/>
  <c r="H12"/>
  <c r="H9"/>
  <c r="H8"/>
  <c r="J48" i="14" s="1"/>
  <c r="H7" i="7"/>
  <c r="H123" i="3"/>
  <c r="H124"/>
  <c r="H125"/>
  <c r="K125" s="1"/>
  <c r="H126"/>
  <c r="H127"/>
  <c r="H128"/>
  <c r="H129"/>
  <c r="J277" i="14" s="1"/>
  <c r="H130" i="3"/>
  <c r="H131"/>
  <c r="H122"/>
  <c r="H109"/>
  <c r="E22" i="5" s="1"/>
  <c r="F22" s="1"/>
  <c r="H110" i="3"/>
  <c r="L110" s="1"/>
  <c r="M260" i="14" s="1"/>
  <c r="H111" i="3"/>
  <c r="E24" i="5" s="1"/>
  <c r="F24" s="1"/>
  <c r="H112" i="3"/>
  <c r="L112" s="1"/>
  <c r="H113"/>
  <c r="K113" s="1"/>
  <c r="H114"/>
  <c r="L114" s="1"/>
  <c r="M264" i="14" s="1"/>
  <c r="H115" i="3"/>
  <c r="H116"/>
  <c r="L116" s="1"/>
  <c r="M266" i="14" s="1"/>
  <c r="H117" i="3"/>
  <c r="K117" s="1"/>
  <c r="H118"/>
  <c r="H108"/>
  <c r="L108" s="1"/>
  <c r="M258" i="14" s="1"/>
  <c r="H24" i="3"/>
  <c r="L24" s="1"/>
  <c r="M178" i="14" s="1"/>
  <c r="H26" i="3"/>
  <c r="H27"/>
  <c r="E10" i="8" s="1"/>
  <c r="F10" s="1"/>
  <c r="H28" i="3"/>
  <c r="K28" s="1"/>
  <c r="L182" i="14" s="1"/>
  <c r="H29" i="3"/>
  <c r="E12" i="8" s="1"/>
  <c r="F12" s="1"/>
  <c r="H30" i="3"/>
  <c r="H31"/>
  <c r="H32"/>
  <c r="H33"/>
  <c r="E16" i="8" s="1"/>
  <c r="F16" s="1"/>
  <c r="H34" i="3"/>
  <c r="K34" s="1"/>
  <c r="L188" i="14" s="1"/>
  <c r="H35" i="3"/>
  <c r="H36"/>
  <c r="E19" i="8"/>
  <c r="F19" s="1"/>
  <c r="H38" i="3"/>
  <c r="E21" i="8" s="1"/>
  <c r="H39" i="3"/>
  <c r="J193" i="14" s="1"/>
  <c r="H40" i="3"/>
  <c r="K40" s="1"/>
  <c r="H41"/>
  <c r="E24" i="8" s="1"/>
  <c r="H42" i="3"/>
  <c r="H43"/>
  <c r="H44"/>
  <c r="H45"/>
  <c r="E28" i="8" s="1"/>
  <c r="H47" i="3"/>
  <c r="J201" i="14" s="1"/>
  <c r="H48" i="3"/>
  <c r="H49"/>
  <c r="E32" i="8" s="1"/>
  <c r="F32" s="1"/>
  <c r="H50" i="3"/>
  <c r="L50" s="1"/>
  <c r="M204" i="14" s="1"/>
  <c r="H51" i="3"/>
  <c r="J205" i="14" s="1"/>
  <c r="H52" i="3"/>
  <c r="K52" s="1"/>
  <c r="H53"/>
  <c r="H54"/>
  <c r="L54" s="1"/>
  <c r="M208" i="14" s="1"/>
  <c r="H55" i="3"/>
  <c r="H56"/>
  <c r="J210" i="14" s="1"/>
  <c r="H57" i="3"/>
  <c r="K57" s="1"/>
  <c r="H58"/>
  <c r="H59"/>
  <c r="H60"/>
  <c r="K60" s="1"/>
  <c r="H61"/>
  <c r="E44" i="8" s="1"/>
  <c r="F44" s="1"/>
  <c r="H62" i="3"/>
  <c r="L62" s="1"/>
  <c r="M216" i="14" s="1"/>
  <c r="H63" i="3"/>
  <c r="K63" s="1"/>
  <c r="L217" i="14" s="1"/>
  <c r="H64" i="3"/>
  <c r="H65"/>
  <c r="E48" i="8" s="1"/>
  <c r="F48" s="1"/>
  <c r="H66" i="3"/>
  <c r="H67"/>
  <c r="H68"/>
  <c r="E51" i="8" s="1"/>
  <c r="F51" s="1"/>
  <c r="H69" i="3"/>
  <c r="K69" s="1"/>
  <c r="H70"/>
  <c r="E53" i="8" s="1"/>
  <c r="F53" s="1"/>
  <c r="H71" i="3"/>
  <c r="H72"/>
  <c r="L72" s="1"/>
  <c r="M226" i="14" s="1"/>
  <c r="H73" i="3"/>
  <c r="K73" s="1"/>
  <c r="H74"/>
  <c r="J228" i="14" s="1"/>
  <c r="H75" i="3"/>
  <c r="J229" i="14" s="1"/>
  <c r="H76" i="3"/>
  <c r="H77"/>
  <c r="H78"/>
  <c r="E61" i="8" s="1"/>
  <c r="H79" i="3"/>
  <c r="K79" s="1"/>
  <c r="L62" i="8" s="1"/>
  <c r="H80" i="3"/>
  <c r="K80" s="1"/>
  <c r="H81"/>
  <c r="H82"/>
  <c r="H83"/>
  <c r="K83" s="1"/>
  <c r="H86"/>
  <c r="H87"/>
  <c r="H88"/>
  <c r="E71" i="8" s="1"/>
  <c r="H89" i="3"/>
  <c r="H90"/>
  <c r="K90" s="1"/>
  <c r="L73" i="8" s="1"/>
  <c r="H91" i="3"/>
  <c r="H92"/>
  <c r="L92" s="1"/>
  <c r="M246" i="14" s="1"/>
  <c r="H93" i="3"/>
  <c r="K93" s="1"/>
  <c r="L76" i="8" s="1"/>
  <c r="H94" i="3"/>
  <c r="K94" s="1"/>
  <c r="H95"/>
  <c r="E78" i="8" s="1"/>
  <c r="F78" s="1"/>
  <c r="H96" i="3"/>
  <c r="H99"/>
  <c r="H100"/>
  <c r="E83" i="8" s="1"/>
  <c r="F83" s="1"/>
  <c r="H20" i="3"/>
  <c r="H18"/>
  <c r="H15"/>
  <c r="K15" s="1"/>
  <c r="L171" i="14" s="1"/>
  <c r="H8" i="3"/>
  <c r="H9"/>
  <c r="H12"/>
  <c r="G55" i="2"/>
  <c r="L55" s="1"/>
  <c r="G54"/>
  <c r="L54"/>
  <c r="G53"/>
  <c r="G52"/>
  <c r="G51"/>
  <c r="G46"/>
  <c r="L46" s="1"/>
  <c r="G48"/>
  <c r="I48" s="1"/>
  <c r="J37" i="14" s="1"/>
  <c r="G49" i="2"/>
  <c r="G50"/>
  <c r="G44"/>
  <c r="L44" s="1"/>
  <c r="M33" i="14" s="1"/>
  <c r="G38" i="2"/>
  <c r="L38" s="1"/>
  <c r="G40"/>
  <c r="L40" s="1"/>
  <c r="M29" i="14" s="1"/>
  <c r="G41" i="2"/>
  <c r="L41" s="1"/>
  <c r="G42"/>
  <c r="L42"/>
  <c r="M31" i="14" s="1"/>
  <c r="G43" i="2"/>
  <c r="L43" s="1"/>
  <c r="M32" i="14" s="1"/>
  <c r="G37" i="2"/>
  <c r="L37"/>
  <c r="G36"/>
  <c r="L36" s="1"/>
  <c r="G35"/>
  <c r="L35" s="1"/>
  <c r="G8"/>
  <c r="L8" s="1"/>
  <c r="G9"/>
  <c r="L9" s="1"/>
  <c r="M4" i="14" s="1"/>
  <c r="G10" i="2"/>
  <c r="G14"/>
  <c r="G15"/>
  <c r="L15" s="1"/>
  <c r="G16"/>
  <c r="L16"/>
  <c r="M11" i="14" s="1"/>
  <c r="G17" i="2"/>
  <c r="L17" s="1"/>
  <c r="G18"/>
  <c r="L18"/>
  <c r="G19"/>
  <c r="L19" s="1"/>
  <c r="G20"/>
  <c r="L20"/>
  <c r="G21"/>
  <c r="L21" s="1"/>
  <c r="G22"/>
  <c r="L22"/>
  <c r="G7"/>
  <c r="L7" s="1"/>
  <c r="J261" i="14"/>
  <c r="L111" i="3"/>
  <c r="M261" i="14" s="1"/>
  <c r="I9" i="8"/>
  <c r="E18"/>
  <c r="F18" s="1"/>
  <c r="J72" i="14"/>
  <c r="E25" i="8"/>
  <c r="F25" s="1"/>
  <c r="J79" i="14"/>
  <c r="J83"/>
  <c r="E36" i="8"/>
  <c r="F36" s="1"/>
  <c r="J90" i="14"/>
  <c r="J94"/>
  <c r="J98"/>
  <c r="J100"/>
  <c r="J102"/>
  <c r="J106"/>
  <c r="J111"/>
  <c r="J115"/>
  <c r="E65" i="8"/>
  <c r="F65" s="1"/>
  <c r="J119" i="14"/>
  <c r="J123"/>
  <c r="J125"/>
  <c r="J127"/>
  <c r="E75" i="8"/>
  <c r="F75" s="1"/>
  <c r="J129" i="14"/>
  <c r="J131"/>
  <c r="J133"/>
  <c r="J137"/>
  <c r="J75"/>
  <c r="J78"/>
  <c r="J80"/>
  <c r="J82"/>
  <c r="E30" i="8"/>
  <c r="F30" s="1"/>
  <c r="J84" i="14"/>
  <c r="E37" i="8"/>
  <c r="F37" s="1"/>
  <c r="J91" i="14"/>
  <c r="J93"/>
  <c r="J97"/>
  <c r="E45" i="8"/>
  <c r="F45" s="1"/>
  <c r="J99" i="14"/>
  <c r="E49" i="8"/>
  <c r="F49" s="1"/>
  <c r="J103" i="14"/>
  <c r="J105"/>
  <c r="E56" i="8"/>
  <c r="F56" s="1"/>
  <c r="J110" i="14"/>
  <c r="E58" i="8"/>
  <c r="F58" s="1"/>
  <c r="J112" i="14"/>
  <c r="E62" i="8"/>
  <c r="F62" s="1"/>
  <c r="J116" i="14"/>
  <c r="E64" i="8"/>
  <c r="F64" s="1"/>
  <c r="J118" i="14"/>
  <c r="J122"/>
  <c r="J124"/>
  <c r="E74" i="8"/>
  <c r="F74" s="1"/>
  <c r="J128" i="14"/>
  <c r="J130"/>
  <c r="J132"/>
  <c r="I6" i="8"/>
  <c r="I70"/>
  <c r="I7"/>
  <c r="J144" i="14"/>
  <c r="I19" i="2"/>
  <c r="K19" s="1"/>
  <c r="L14" i="14" s="1"/>
  <c r="H14"/>
  <c r="I43" i="2"/>
  <c r="J32" i="14" s="1"/>
  <c r="H32"/>
  <c r="L95" i="3"/>
  <c r="M249" i="14" s="1"/>
  <c r="J249"/>
  <c r="J221"/>
  <c r="K67" i="3"/>
  <c r="L26"/>
  <c r="M180" i="14" s="1"/>
  <c r="J180"/>
  <c r="K26" i="3"/>
  <c r="L9" i="8" s="1"/>
  <c r="J49" i="14"/>
  <c r="K9" i="7"/>
  <c r="L49" i="14" s="1"/>
  <c r="K30" i="7"/>
  <c r="K45"/>
  <c r="L82" i="14" s="1"/>
  <c r="K57" i="7"/>
  <c r="K65"/>
  <c r="K48" i="8" s="1"/>
  <c r="K74" i="7"/>
  <c r="L111" i="14" s="1"/>
  <c r="K84" i="7"/>
  <c r="L121" i="14" s="1"/>
  <c r="I22" i="2"/>
  <c r="J17" i="14"/>
  <c r="H17"/>
  <c r="I18" i="2"/>
  <c r="J13" i="14" s="1"/>
  <c r="H13"/>
  <c r="H9"/>
  <c r="I35" i="2"/>
  <c r="J24" i="14" s="1"/>
  <c r="H24"/>
  <c r="I42" i="2"/>
  <c r="H31" i="14"/>
  <c r="H27"/>
  <c r="L90" i="3"/>
  <c r="M244" i="14" s="1"/>
  <c r="J244"/>
  <c r="J240"/>
  <c r="L82" i="3"/>
  <c r="M236" i="14" s="1"/>
  <c r="J236"/>
  <c r="K82" i="3"/>
  <c r="L236" i="14" s="1"/>
  <c r="L78" i="3"/>
  <c r="M232" i="14" s="1"/>
  <c r="J232"/>
  <c r="K78" i="3"/>
  <c r="L70"/>
  <c r="M224" i="14" s="1"/>
  <c r="J224"/>
  <c r="K70" i="3"/>
  <c r="L224" i="14" s="1"/>
  <c r="L66" i="3"/>
  <c r="M220" i="14" s="1"/>
  <c r="J220"/>
  <c r="K66" i="3"/>
  <c r="J216" i="14"/>
  <c r="K62" i="3"/>
  <c r="L45" i="8" s="1"/>
  <c r="L58" i="3"/>
  <c r="M212" i="14" s="1"/>
  <c r="J212"/>
  <c r="K58" i="3"/>
  <c r="L42"/>
  <c r="M196" i="14" s="1"/>
  <c r="J196"/>
  <c r="K42" i="3"/>
  <c r="L25" i="8" s="1"/>
  <c r="L38" i="3"/>
  <c r="M192" i="14" s="1"/>
  <c r="J192"/>
  <c r="K38" i="3"/>
  <c r="L192" i="14" s="1"/>
  <c r="J268"/>
  <c r="K118" i="3"/>
  <c r="L268" i="14" s="1"/>
  <c r="J264"/>
  <c r="K114" i="3"/>
  <c r="L264" i="14" s="1"/>
  <c r="J260"/>
  <c r="K110" i="3"/>
  <c r="L260" i="14" s="1"/>
  <c r="L131" i="3"/>
  <c r="M279" i="14" s="1"/>
  <c r="J279"/>
  <c r="K131" i="3"/>
  <c r="L279" i="14" s="1"/>
  <c r="L123" i="3"/>
  <c r="M271" i="14" s="1"/>
  <c r="J271"/>
  <c r="K123" i="3"/>
  <c r="L271" i="14" s="1"/>
  <c r="J52"/>
  <c r="K12" i="7"/>
  <c r="L52" i="14" s="1"/>
  <c r="L20" i="7"/>
  <c r="M58" i="14" s="1"/>
  <c r="J58"/>
  <c r="K20" i="7"/>
  <c r="L58" i="14" s="1"/>
  <c r="K31" i="7"/>
  <c r="L68" i="14" s="1"/>
  <c r="K42" i="7"/>
  <c r="L79" i="14" s="1"/>
  <c r="K46" i="7"/>
  <c r="L54"/>
  <c r="M91" i="14" s="1"/>
  <c r="K54" i="7"/>
  <c r="L62"/>
  <c r="M99" i="14" s="1"/>
  <c r="K62" i="7"/>
  <c r="L99" i="14" s="1"/>
  <c r="L66" i="7"/>
  <c r="M103" i="14" s="1"/>
  <c r="K66" i="7"/>
  <c r="L71"/>
  <c r="M108" i="14" s="1"/>
  <c r="M116"/>
  <c r="K79" i="7"/>
  <c r="L116" i="14" s="1"/>
  <c r="L81" i="7"/>
  <c r="M118" i="14" s="1"/>
  <c r="K81" i="7"/>
  <c r="L85"/>
  <c r="M122" i="14" s="1"/>
  <c r="K85" i="7"/>
  <c r="L122" i="14" s="1"/>
  <c r="L89" i="7"/>
  <c r="M126" i="14" s="1"/>
  <c r="K89" i="7"/>
  <c r="L126" i="14" s="1"/>
  <c r="K123" i="7"/>
  <c r="L154" i="14" s="1"/>
  <c r="J162"/>
  <c r="K131" i="7"/>
  <c r="L162" i="14" s="1"/>
  <c r="H46" i="3"/>
  <c r="E29" i="8" s="1"/>
  <c r="I200" i="14"/>
  <c r="I15" i="2"/>
  <c r="J10" i="14" s="1"/>
  <c r="H10"/>
  <c r="H34"/>
  <c r="M165"/>
  <c r="J165"/>
  <c r="K8" i="3"/>
  <c r="L165" i="14" s="1"/>
  <c r="J241"/>
  <c r="K87" i="3"/>
  <c r="L241" i="14" s="1"/>
  <c r="L59" i="3"/>
  <c r="M213" i="14" s="1"/>
  <c r="J213"/>
  <c r="K59" i="3"/>
  <c r="L42" i="8" s="1"/>
  <c r="L30" i="3"/>
  <c r="M184" i="14" s="1"/>
  <c r="J184"/>
  <c r="K30" i="3"/>
  <c r="L184" i="14" s="1"/>
  <c r="J265"/>
  <c r="K115" i="3"/>
  <c r="L265" i="14" s="1"/>
  <c r="J276"/>
  <c r="K128" i="3"/>
  <c r="L276" i="14" s="1"/>
  <c r="J57"/>
  <c r="K19" i="7"/>
  <c r="L57" i="14" s="1"/>
  <c r="K69" i="7"/>
  <c r="L106" i="14" s="1"/>
  <c r="K92" i="7"/>
  <c r="K75" i="8" s="1"/>
  <c r="N75" s="1"/>
  <c r="Q75" s="1"/>
  <c r="J157" i="14"/>
  <c r="K126" i="7"/>
  <c r="K37" i="5" s="1"/>
  <c r="I17" i="2"/>
  <c r="J12" i="14" s="1"/>
  <c r="H12"/>
  <c r="I10" i="2"/>
  <c r="J5" i="14" s="1"/>
  <c r="H5"/>
  <c r="I36" i="2"/>
  <c r="K36" s="1"/>
  <c r="L25" i="14" s="1"/>
  <c r="H25"/>
  <c r="I41" i="2"/>
  <c r="J30" i="14" s="1"/>
  <c r="H30"/>
  <c r="I44" i="2"/>
  <c r="J33" i="14" s="1"/>
  <c r="H33"/>
  <c r="I47" i="2"/>
  <c r="J36" i="14" s="1"/>
  <c r="H36"/>
  <c r="I52" i="2"/>
  <c r="J41" i="14" s="1"/>
  <c r="H41"/>
  <c r="I54" i="2"/>
  <c r="J43" i="14" s="1"/>
  <c r="H43"/>
  <c r="L12" i="3"/>
  <c r="M169" i="14"/>
  <c r="J169"/>
  <c r="K12" i="3"/>
  <c r="L169" i="14" s="1"/>
  <c r="M173"/>
  <c r="J173"/>
  <c r="K18" i="3"/>
  <c r="L173" i="14" s="1"/>
  <c r="L99" i="3"/>
  <c r="M253" i="14" s="1"/>
  <c r="J253"/>
  <c r="K99" i="3"/>
  <c r="L82" i="8" s="1"/>
  <c r="M247" i="14"/>
  <c r="L89" i="3"/>
  <c r="M243" i="14" s="1"/>
  <c r="J243"/>
  <c r="K89" i="3"/>
  <c r="L72" i="8" s="1"/>
  <c r="L81" i="3"/>
  <c r="M235" i="14" s="1"/>
  <c r="J235"/>
  <c r="K81" i="3"/>
  <c r="L235" i="14" s="1"/>
  <c r="L65" i="3"/>
  <c r="M219" i="14" s="1"/>
  <c r="J219"/>
  <c r="K65" i="3"/>
  <c r="L219" i="14" s="1"/>
  <c r="L61" i="3"/>
  <c r="M215" i="14" s="1"/>
  <c r="J215"/>
  <c r="K61" i="3"/>
  <c r="L44" i="8" s="1"/>
  <c r="L53" i="3"/>
  <c r="M207" i="14" s="1"/>
  <c r="J207"/>
  <c r="K53" i="3"/>
  <c r="L207" i="14" s="1"/>
  <c r="L49" i="3"/>
  <c r="M203" i="14" s="1"/>
  <c r="J203"/>
  <c r="K49" i="3"/>
  <c r="L203" i="14" s="1"/>
  <c r="L41" i="3"/>
  <c r="M195" i="14" s="1"/>
  <c r="L36" i="3"/>
  <c r="M190" i="14" s="1"/>
  <c r="J190"/>
  <c r="K36" i="3"/>
  <c r="L28"/>
  <c r="M182" i="14" s="1"/>
  <c r="J178"/>
  <c r="J259"/>
  <c r="K109" i="3"/>
  <c r="L259" i="14" s="1"/>
  <c r="J278"/>
  <c r="K130" i="3"/>
  <c r="L278" i="14" s="1"/>
  <c r="J274"/>
  <c r="K126" i="3"/>
  <c r="L274" i="14" s="1"/>
  <c r="J47"/>
  <c r="K7" i="7"/>
  <c r="L47" i="14" s="1"/>
  <c r="H13" i="7"/>
  <c r="L13" s="1"/>
  <c r="M53" i="14" s="1"/>
  <c r="J54"/>
  <c r="K15" i="7"/>
  <c r="L54" i="14" s="1"/>
  <c r="K32" i="7"/>
  <c r="L69" i="14" s="1"/>
  <c r="K38" i="7"/>
  <c r="L75" i="14" s="1"/>
  <c r="K47" i="7"/>
  <c r="K55"/>
  <c r="L92" i="14" s="1"/>
  <c r="K59" i="7"/>
  <c r="K42" i="8" s="1"/>
  <c r="K63" i="7"/>
  <c r="L100" i="14" s="1"/>
  <c r="K80" i="7"/>
  <c r="K63" i="8" s="1"/>
  <c r="K82" i="7"/>
  <c r="L119" i="14" s="1"/>
  <c r="K94" i="7"/>
  <c r="L131" i="14" s="1"/>
  <c r="J155"/>
  <c r="K124" i="7"/>
  <c r="L155" i="14" s="1"/>
  <c r="J159"/>
  <c r="I57"/>
  <c r="G21" i="7"/>
  <c r="F9" i="1" s="1"/>
  <c r="G9" s="1"/>
  <c r="I7" i="2"/>
  <c r="J2" i="14" s="1"/>
  <c r="H2"/>
  <c r="I8" i="2"/>
  <c r="J3" i="14" s="1"/>
  <c r="H3"/>
  <c r="I49" i="2"/>
  <c r="J38" i="14" s="1"/>
  <c r="H38"/>
  <c r="L91" i="3"/>
  <c r="M245" i="14" s="1"/>
  <c r="J245"/>
  <c r="K91" i="3"/>
  <c r="L74" i="8" s="1"/>
  <c r="K47" i="3"/>
  <c r="L30" i="8" s="1"/>
  <c r="J272" i="14"/>
  <c r="K124" i="3"/>
  <c r="L272" i="14" s="1"/>
  <c r="K26" i="7"/>
  <c r="K61"/>
  <c r="L98" i="14" s="1"/>
  <c r="K88" i="7"/>
  <c r="L125" i="14" s="1"/>
  <c r="J161"/>
  <c r="K130" i="7"/>
  <c r="L161" i="14" s="1"/>
  <c r="I21" i="2"/>
  <c r="J16" i="14" s="1"/>
  <c r="H16"/>
  <c r="I20" i="2"/>
  <c r="K20"/>
  <c r="L15" i="14" s="1"/>
  <c r="H15"/>
  <c r="I16" i="2"/>
  <c r="J11" i="14" s="1"/>
  <c r="H11"/>
  <c r="I9" i="2"/>
  <c r="J4" i="14" s="1"/>
  <c r="H4"/>
  <c r="I37" i="2"/>
  <c r="J26" i="14" s="1"/>
  <c r="H26"/>
  <c r="I46" i="2"/>
  <c r="K46" s="1"/>
  <c r="L35" i="14" s="1"/>
  <c r="H35"/>
  <c r="H44"/>
  <c r="J166"/>
  <c r="K9" i="3"/>
  <c r="L166" i="14" s="1"/>
  <c r="L20" i="3"/>
  <c r="M175" i="14" s="1"/>
  <c r="J175"/>
  <c r="K20" i="3"/>
  <c r="L175" i="14" s="1"/>
  <c r="L96" i="3"/>
  <c r="M250" i="14" s="1"/>
  <c r="J250"/>
  <c r="K96" i="3"/>
  <c r="L79" i="8" s="1"/>
  <c r="J246" i="14"/>
  <c r="K92" i="3"/>
  <c r="L75" i="8" s="1"/>
  <c r="L84" i="3"/>
  <c r="M238" i="14" s="1"/>
  <c r="L76" i="3"/>
  <c r="M230" i="14" s="1"/>
  <c r="J230"/>
  <c r="K76" i="3"/>
  <c r="L230" i="14" s="1"/>
  <c r="K68" i="3"/>
  <c r="L64"/>
  <c r="M218" i="14" s="1"/>
  <c r="J218"/>
  <c r="K64" i="3"/>
  <c r="L40"/>
  <c r="M194" i="14" s="1"/>
  <c r="L31" i="3"/>
  <c r="M185" i="14" s="1"/>
  <c r="J185"/>
  <c r="K31" i="3"/>
  <c r="L185" i="14" s="1"/>
  <c r="M262"/>
  <c r="J262"/>
  <c r="K112" i="3"/>
  <c r="L262" i="14" s="1"/>
  <c r="J270"/>
  <c r="K122" i="3"/>
  <c r="L270" i="14" s="1"/>
  <c r="L125" i="3"/>
  <c r="M273" i="14" s="1"/>
  <c r="J273"/>
  <c r="K8" i="7"/>
  <c r="L48" i="14" s="1"/>
  <c r="J56"/>
  <c r="K29" i="7"/>
  <c r="L66" i="14" s="1"/>
  <c r="K33" i="7"/>
  <c r="K16" i="8" s="1"/>
  <c r="N16" s="1"/>
  <c r="K40" i="7"/>
  <c r="K23" i="8" s="1"/>
  <c r="M89" i="14"/>
  <c r="K52" i="7"/>
  <c r="L89" i="14" s="1"/>
  <c r="L60" i="7"/>
  <c r="M97" i="14" s="1"/>
  <c r="K60" i="7"/>
  <c r="L97" i="14" s="1"/>
  <c r="L68" i="7"/>
  <c r="M105" i="14" s="1"/>
  <c r="K68" i="7"/>
  <c r="K51" i="8" s="1"/>
  <c r="L73" i="7"/>
  <c r="M110" i="14" s="1"/>
  <c r="K73" i="7"/>
  <c r="L91"/>
  <c r="M128" i="14" s="1"/>
  <c r="K91" i="7"/>
  <c r="L95"/>
  <c r="M132" i="14" s="1"/>
  <c r="K95" i="7"/>
  <c r="K78" i="8" s="1"/>
  <c r="K100" i="7"/>
  <c r="L137" i="14" s="1"/>
  <c r="L125" i="7"/>
  <c r="M156" i="14" s="1"/>
  <c r="L55" i="3"/>
  <c r="M209" i="14" s="1"/>
  <c r="J209"/>
  <c r="K55" i="3"/>
  <c r="L38" i="8" s="1"/>
  <c r="L44" i="3"/>
  <c r="M198" i="14" s="1"/>
  <c r="J198"/>
  <c r="K44" i="3"/>
  <c r="K90" i="7"/>
  <c r="L127" i="14" s="1"/>
  <c r="J226"/>
  <c r="K72" i="3"/>
  <c r="L226" i="14" s="1"/>
  <c r="L75" i="7"/>
  <c r="M112" i="14" s="1"/>
  <c r="K75" i="7"/>
  <c r="L112" i="14" s="1"/>
  <c r="L48" i="3"/>
  <c r="M202" i="14" s="1"/>
  <c r="J202"/>
  <c r="K48" i="3"/>
  <c r="L31" i="8" s="1"/>
  <c r="J199" i="14"/>
  <c r="M181"/>
  <c r="J181"/>
  <c r="K35" i="7"/>
  <c r="L72" i="14" s="1"/>
  <c r="K27" i="7"/>
  <c r="K72"/>
  <c r="L109" i="14" s="1"/>
  <c r="L32" i="3"/>
  <c r="M186" i="14" s="1"/>
  <c r="J186"/>
  <c r="K32" i="3"/>
  <c r="L186" i="14" s="1"/>
  <c r="J267"/>
  <c r="K53" i="7"/>
  <c r="L90" i="14" s="1"/>
  <c r="L127" i="3"/>
  <c r="M275" i="14" s="1"/>
  <c r="J275"/>
  <c r="K127" i="3"/>
  <c r="L275" i="14" s="1"/>
  <c r="L127" i="7"/>
  <c r="M158" i="14" s="1"/>
  <c r="J158"/>
  <c r="K127" i="7"/>
  <c r="L158" i="14"/>
  <c r="M35"/>
  <c r="J151"/>
  <c r="K118" i="7"/>
  <c r="L151" i="14" s="1"/>
  <c r="J150"/>
  <c r="K117" i="7"/>
  <c r="L150" i="14" s="1"/>
  <c r="M149"/>
  <c r="J149"/>
  <c r="K116" i="7"/>
  <c r="L149" i="14" s="1"/>
  <c r="J148"/>
  <c r="K115" i="7"/>
  <c r="L148" i="14" s="1"/>
  <c r="J147"/>
  <c r="K114" i="7"/>
  <c r="L147" i="14" s="1"/>
  <c r="J146"/>
  <c r="K113" i="7"/>
  <c r="L146" i="14" s="1"/>
  <c r="J145"/>
  <c r="K112" i="7"/>
  <c r="L145" i="14" s="1"/>
  <c r="M143"/>
  <c r="K110" i="7"/>
  <c r="L143" i="14" s="1"/>
  <c r="J142"/>
  <c r="K109" i="7"/>
  <c r="L142" i="14" s="1"/>
  <c r="J179"/>
  <c r="K25" i="3"/>
  <c r="L179" i="14" s="1"/>
  <c r="K86" i="7"/>
  <c r="L123" i="14" s="1"/>
  <c r="L35" i="3"/>
  <c r="M189" i="14" s="1"/>
  <c r="J189"/>
  <c r="K35" i="3"/>
  <c r="L77"/>
  <c r="M231" i="14" s="1"/>
  <c r="J231"/>
  <c r="K77" i="3"/>
  <c r="L60" i="8" s="1"/>
  <c r="L85" i="3"/>
  <c r="M239" i="14" s="1"/>
  <c r="J239"/>
  <c r="K85" i="3"/>
  <c r="L43"/>
  <c r="M197" i="14" s="1"/>
  <c r="J197"/>
  <c r="K43" i="3"/>
  <c r="L26" i="8" s="1"/>
  <c r="L71" i="3"/>
  <c r="M225" i="14" s="1"/>
  <c r="J225"/>
  <c r="K71" i="3"/>
  <c r="L54" i="8" s="1"/>
  <c r="K39" i="3"/>
  <c r="L193" i="14" s="1"/>
  <c r="L73" i="3"/>
  <c r="M227" i="14" s="1"/>
  <c r="K41" i="7"/>
  <c r="L78" i="14" s="1"/>
  <c r="K76" i="7"/>
  <c r="L113" i="14" s="1"/>
  <c r="L100" i="3"/>
  <c r="M254" i="14" s="1"/>
  <c r="K100" i="3"/>
  <c r="L254" i="14" s="1"/>
  <c r="L75" i="3"/>
  <c r="M229" i="14" s="1"/>
  <c r="K75" i="3"/>
  <c r="L229" i="14" s="1"/>
  <c r="K78" i="7"/>
  <c r="L115" i="14" s="1"/>
  <c r="K54" i="3"/>
  <c r="L208" i="14" s="1"/>
  <c r="L51" i="3"/>
  <c r="M205" i="14" s="1"/>
  <c r="K51" i="3"/>
  <c r="L205" i="14" s="1"/>
  <c r="K74" i="3"/>
  <c r="L228" i="14" s="1"/>
  <c r="K111" i="3"/>
  <c r="L24" i="5" s="1"/>
  <c r="L77" i="7"/>
  <c r="M114" i="14" s="1"/>
  <c r="K111" i="7"/>
  <c r="H7" i="3"/>
  <c r="E6" i="5" s="1"/>
  <c r="F6" s="1"/>
  <c r="H23" i="7"/>
  <c r="L23" s="1"/>
  <c r="M60" i="14" s="1"/>
  <c r="I17" i="1"/>
  <c r="I14"/>
  <c r="E8" i="5"/>
  <c r="F8" s="1"/>
  <c r="I6"/>
  <c r="I8"/>
  <c r="P8" s="1"/>
  <c r="I13"/>
  <c r="I17"/>
  <c r="I31"/>
  <c r="I25"/>
  <c r="M44" i="14"/>
  <c r="L12" i="7"/>
  <c r="M52" i="14" s="1"/>
  <c r="E11" i="5"/>
  <c r="F11" s="1"/>
  <c r="M56" i="14"/>
  <c r="E15" i="5"/>
  <c r="F15" s="1"/>
  <c r="L24" i="7"/>
  <c r="M61" i="14" s="1"/>
  <c r="L26" i="7"/>
  <c r="M63" i="14" s="1"/>
  <c r="E9" i="8"/>
  <c r="F9" s="1"/>
  <c r="L30" i="7"/>
  <c r="M67" i="14" s="1"/>
  <c r="E13" i="8"/>
  <c r="F13" s="1"/>
  <c r="L32" i="7"/>
  <c r="M69" i="14" s="1"/>
  <c r="E15" i="8"/>
  <c r="F15" s="1"/>
  <c r="L38" i="7"/>
  <c r="M75" i="14" s="1"/>
  <c r="L41" i="7"/>
  <c r="M78" i="14" s="1"/>
  <c r="L45" i="7"/>
  <c r="M82" i="14" s="1"/>
  <c r="L47" i="7"/>
  <c r="M84" i="14" s="1"/>
  <c r="L100" i="7"/>
  <c r="M137" i="14" s="1"/>
  <c r="J16" i="1"/>
  <c r="I16"/>
  <c r="E17" i="5"/>
  <c r="F17" s="1"/>
  <c r="E41"/>
  <c r="F41" s="1"/>
  <c r="E37"/>
  <c r="F37" s="1"/>
  <c r="M145" i="14"/>
  <c r="L131" i="7"/>
  <c r="M162" i="14" s="1"/>
  <c r="E42" i="5"/>
  <c r="F42" s="1"/>
  <c r="E15" i="1"/>
  <c r="E19" s="1"/>
  <c r="I34"/>
  <c r="I31"/>
  <c r="E35" i="5"/>
  <c r="F35" s="1"/>
  <c r="E14" i="8"/>
  <c r="F14" s="1"/>
  <c r="I35" i="1"/>
  <c r="I33"/>
  <c r="E38" i="5"/>
  <c r="F38" s="1"/>
  <c r="E36"/>
  <c r="F36" s="1"/>
  <c r="I11"/>
  <c r="P11" s="1"/>
  <c r="I7"/>
  <c r="I15"/>
  <c r="P15" s="1"/>
  <c r="I16"/>
  <c r="I21"/>
  <c r="I28"/>
  <c r="I22"/>
  <c r="P22" s="1"/>
  <c r="I39"/>
  <c r="I37"/>
  <c r="I33"/>
  <c r="I42"/>
  <c r="P42" s="1"/>
  <c r="I40"/>
  <c r="I38"/>
  <c r="I36"/>
  <c r="I34"/>
  <c r="L130" i="3"/>
  <c r="M278" i="14" s="1"/>
  <c r="M276"/>
  <c r="L126" i="3"/>
  <c r="M274" i="14" s="1"/>
  <c r="L124" i="3"/>
  <c r="M272" i="14" s="1"/>
  <c r="L122" i="3"/>
  <c r="M270" i="14" s="1"/>
  <c r="L9" i="3"/>
  <c r="M166" i="14" s="1"/>
  <c r="M47"/>
  <c r="L9" i="7"/>
  <c r="M49" i="14" s="1"/>
  <c r="L15" i="7"/>
  <c r="M54" i="14" s="1"/>
  <c r="M64"/>
  <c r="L29" i="7"/>
  <c r="M66" i="14" s="1"/>
  <c r="L31" i="7"/>
  <c r="M68" i="14" s="1"/>
  <c r="L33" i="7"/>
  <c r="M70" i="14" s="1"/>
  <c r="L35" i="7"/>
  <c r="M72" i="14" s="1"/>
  <c r="L40" i="7"/>
  <c r="M77" i="14" s="1"/>
  <c r="L42" i="7"/>
  <c r="M79" i="14" s="1"/>
  <c r="L44" i="7"/>
  <c r="M81" i="14" s="1"/>
  <c r="L46" i="7"/>
  <c r="M83" i="14" s="1"/>
  <c r="L51" i="7"/>
  <c r="M88" i="14" s="1"/>
  <c r="L53" i="7"/>
  <c r="M90" i="14" s="1"/>
  <c r="L55" i="7"/>
  <c r="M92" i="14" s="1"/>
  <c r="L57" i="7"/>
  <c r="M94" i="14" s="1"/>
  <c r="L59" i="7"/>
  <c r="M96" i="14" s="1"/>
  <c r="L61" i="7"/>
  <c r="M98" i="14" s="1"/>
  <c r="L63" i="7"/>
  <c r="M100" i="14" s="1"/>
  <c r="L65" i="7"/>
  <c r="M102" i="14" s="1"/>
  <c r="M104"/>
  <c r="L69" i="7"/>
  <c r="M106" i="14" s="1"/>
  <c r="L72" i="7"/>
  <c r="M109" i="14" s="1"/>
  <c r="L74" i="7"/>
  <c r="M111" i="14" s="1"/>
  <c r="L76" i="7"/>
  <c r="M113" i="14" s="1"/>
  <c r="L78" i="7"/>
  <c r="M115" i="14" s="1"/>
  <c r="L80" i="7"/>
  <c r="M117" i="14" s="1"/>
  <c r="L82" i="7"/>
  <c r="M119" i="14" s="1"/>
  <c r="L84" i="7"/>
  <c r="M121" i="14" s="1"/>
  <c r="L86" i="7"/>
  <c r="M123" i="14" s="1"/>
  <c r="L88" i="7"/>
  <c r="M125" i="14" s="1"/>
  <c r="L92" i="7"/>
  <c r="M129" i="14" s="1"/>
  <c r="L94" i="7"/>
  <c r="M131" i="14" s="1"/>
  <c r="L96" i="7"/>
  <c r="M133" i="14" s="1"/>
  <c r="L99" i="7"/>
  <c r="M136" i="14" s="1"/>
  <c r="M142"/>
  <c r="M146"/>
  <c r="M150"/>
  <c r="L124" i="7"/>
  <c r="M155" i="14" s="1"/>
  <c r="L126" i="7"/>
  <c r="M157" i="14" s="1"/>
  <c r="M159"/>
  <c r="L130" i="7"/>
  <c r="M161" i="14" s="1"/>
  <c r="K54" i="2"/>
  <c r="L43" i="14" s="1"/>
  <c r="L239"/>
  <c r="L189"/>
  <c r="L198"/>
  <c r="L218"/>
  <c r="L190"/>
  <c r="L196"/>
  <c r="L212"/>
  <c r="L220"/>
  <c r="L180"/>
  <c r="L197"/>
  <c r="L209"/>
  <c r="L222"/>
  <c r="L243"/>
  <c r="L216"/>
  <c r="L221"/>
  <c r="L64"/>
  <c r="L63"/>
  <c r="K59" i="8"/>
  <c r="K55"/>
  <c r="N55" s="1"/>
  <c r="K74"/>
  <c r="L128" i="14"/>
  <c r="K56" i="8"/>
  <c r="L110" i="14"/>
  <c r="L105"/>
  <c r="L70"/>
  <c r="K71" i="8"/>
  <c r="L117" i="14"/>
  <c r="K30" i="8"/>
  <c r="L84" i="14"/>
  <c r="K40" i="8"/>
  <c r="L94" i="14"/>
  <c r="K13" i="8"/>
  <c r="L67" i="14"/>
  <c r="K24" i="8"/>
  <c r="K69"/>
  <c r="K18"/>
  <c r="L77" i="14"/>
  <c r="K44" i="8"/>
  <c r="L96" i="14"/>
  <c r="K15" i="8"/>
  <c r="L129" i="14"/>
  <c r="K68" i="8"/>
  <c r="K64"/>
  <c r="L118" i="14"/>
  <c r="K49" i="8"/>
  <c r="L103" i="14"/>
  <c r="K37" i="8"/>
  <c r="L91" i="14"/>
  <c r="K29" i="8"/>
  <c r="L83" i="14"/>
  <c r="L232"/>
  <c r="L61" i="8"/>
  <c r="L102" i="14"/>
  <c r="L13" i="5"/>
  <c r="K41" i="2"/>
  <c r="L30" i="14" s="1"/>
  <c r="K17" i="2"/>
  <c r="L12" i="14" s="1"/>
  <c r="J15"/>
  <c r="K42" i="2"/>
  <c r="P37" i="5"/>
  <c r="K11"/>
  <c r="P17"/>
  <c r="L8" i="8"/>
  <c r="L49"/>
  <c r="L42" i="5"/>
  <c r="L25"/>
  <c r="L65" i="8"/>
  <c r="M26" i="14"/>
  <c r="M38"/>
  <c r="K22" i="2"/>
  <c r="L17" i="14" s="1"/>
  <c r="K10" i="2"/>
  <c r="L5" i="14" s="1"/>
  <c r="K21" i="2"/>
  <c r="L16" i="14" s="1"/>
  <c r="L34" i="5"/>
  <c r="L31"/>
  <c r="L41" i="8"/>
  <c r="L47"/>
  <c r="L21"/>
  <c r="L27"/>
  <c r="L51"/>
  <c r="L53"/>
  <c r="L7" i="5"/>
  <c r="K29"/>
  <c r="K9" i="8"/>
  <c r="K48" i="2"/>
  <c r="L37" i="14" s="1"/>
  <c r="K37" i="2"/>
  <c r="L26" i="14" s="1"/>
  <c r="M24"/>
  <c r="K44" i="2"/>
  <c r="L33" i="14" s="1"/>
  <c r="M25"/>
  <c r="M10"/>
  <c r="M14"/>
  <c r="M3"/>
  <c r="M13"/>
  <c r="M15"/>
  <c r="M17"/>
  <c r="M5"/>
  <c r="M12"/>
  <c r="M16"/>
  <c r="L50" i="8"/>
  <c r="K42" i="5"/>
  <c r="L37"/>
  <c r="K8"/>
  <c r="K38"/>
  <c r="K35" i="2"/>
  <c r="L24" i="14" s="1"/>
  <c r="M2"/>
  <c r="K13" i="5"/>
  <c r="M13" s="1"/>
  <c r="L18" i="8"/>
  <c r="K6" i="5"/>
  <c r="I59" i="14"/>
  <c r="K7" i="5"/>
  <c r="L19" i="8"/>
  <c r="L68"/>
  <c r="M43" i="14"/>
  <c r="M36"/>
  <c r="M30"/>
  <c r="M164"/>
  <c r="J164"/>
  <c r="K7" i="3"/>
  <c r="L6" i="5" s="1"/>
  <c r="K41"/>
  <c r="J53" i="14"/>
  <c r="K13" i="7"/>
  <c r="L53" i="14" s="1"/>
  <c r="L22" i="5"/>
  <c r="M27" i="14"/>
  <c r="K7" i="2"/>
  <c r="L2" i="14" s="1"/>
  <c r="K49" i="2"/>
  <c r="L38" i="14" s="1"/>
  <c r="L33" i="5"/>
  <c r="L8"/>
  <c r="M8" s="1"/>
  <c r="K35"/>
  <c r="L41"/>
  <c r="K46" i="3"/>
  <c r="L200" i="14" s="1"/>
  <c r="K16" i="5"/>
  <c r="J31" i="14"/>
  <c r="K10" i="8"/>
  <c r="K30" i="5"/>
  <c r="K22"/>
  <c r="J60" i="14"/>
  <c r="K23" i="7"/>
  <c r="K6" i="8" s="1"/>
  <c r="K24" i="5"/>
  <c r="L144" i="14"/>
  <c r="P13" i="8"/>
  <c r="P78"/>
  <c r="L31" i="14"/>
  <c r="N41" i="5"/>
  <c r="P34" i="13" l="1"/>
  <c r="P40"/>
  <c r="P46"/>
  <c r="P13"/>
  <c r="P52"/>
  <c r="K25" i="5"/>
  <c r="N25" s="1"/>
  <c r="P24" i="13"/>
  <c r="P88"/>
  <c r="P104"/>
  <c r="N49" i="8"/>
  <c r="Q49" s="1"/>
  <c r="I76"/>
  <c r="I64"/>
  <c r="P64" s="1"/>
  <c r="L17" i="5"/>
  <c r="K83" i="8"/>
  <c r="N83" s="1"/>
  <c r="Q83" s="1"/>
  <c r="K58"/>
  <c r="M6" i="5"/>
  <c r="N6"/>
  <c r="Q6" s="1"/>
  <c r="L267" i="14"/>
  <c r="L30" i="5"/>
  <c r="M30" s="1"/>
  <c r="L263" i="14"/>
  <c r="L26" i="5"/>
  <c r="L273" i="14"/>
  <c r="L36" i="5"/>
  <c r="L56" i="14"/>
  <c r="K15" i="5"/>
  <c r="L156" i="14"/>
  <c r="K36" i="5"/>
  <c r="N8"/>
  <c r="Q8" s="1"/>
  <c r="L164" i="14"/>
  <c r="H21" i="7"/>
  <c r="K15" i="2"/>
  <c r="L10" i="14" s="1"/>
  <c r="K47" i="2"/>
  <c r="L36" i="14" s="1"/>
  <c r="L36" i="8"/>
  <c r="K18" i="2"/>
  <c r="L13" i="14" s="1"/>
  <c r="K9" i="2"/>
  <c r="L4" i="14" s="1"/>
  <c r="L83" i="8"/>
  <c r="K28"/>
  <c r="N28" s="1"/>
  <c r="Q28" s="1"/>
  <c r="L225" i="14"/>
  <c r="J25" i="1"/>
  <c r="E7" i="8"/>
  <c r="J156" i="14"/>
  <c r="J263"/>
  <c r="K41" i="3"/>
  <c r="K104" i="7"/>
  <c r="K33" i="3"/>
  <c r="L187" i="14" s="1"/>
  <c r="L15" i="3"/>
  <c r="M171" i="14" s="1"/>
  <c r="L14" i="2"/>
  <c r="M9" i="14" s="1"/>
  <c r="H39"/>
  <c r="I50" i="2"/>
  <c r="L51"/>
  <c r="M40" i="14" s="1"/>
  <c r="I51" i="2"/>
  <c r="H40" i="14"/>
  <c r="E69" i="8"/>
  <c r="L86" i="3"/>
  <c r="M240" i="14" s="1"/>
  <c r="J81"/>
  <c r="E27" i="8"/>
  <c r="F27" s="1"/>
  <c r="J88" i="14"/>
  <c r="E34" i="8"/>
  <c r="F34" s="1"/>
  <c r="J92" i="14"/>
  <c r="E38" i="8"/>
  <c r="F38" s="1"/>
  <c r="J109" i="14"/>
  <c r="E55" i="8"/>
  <c r="F55" s="1"/>
  <c r="E59"/>
  <c r="F59" s="1"/>
  <c r="J113" i="14"/>
  <c r="J126"/>
  <c r="E72" i="8"/>
  <c r="F72" s="1"/>
  <c r="J136" i="14"/>
  <c r="E82" i="8"/>
  <c r="I55" i="14"/>
  <c r="F8" i="1"/>
  <c r="G8" s="1"/>
  <c r="H257" i="14"/>
  <c r="H7"/>
  <c r="L8" i="7"/>
  <c r="M48" i="14" s="1"/>
  <c r="G13" i="7"/>
  <c r="L27" i="17"/>
  <c r="L23"/>
  <c r="M189" i="21"/>
  <c r="K24" i="3"/>
  <c r="J195" i="14"/>
  <c r="N37" i="5"/>
  <c r="Q37" s="1"/>
  <c r="H37" i="14"/>
  <c r="L117" i="3"/>
  <c r="M267" i="14" s="1"/>
  <c r="E30" i="5"/>
  <c r="F30" s="1"/>
  <c r="I13" i="2"/>
  <c r="H8" i="14"/>
  <c r="J74"/>
  <c r="L37" i="7"/>
  <c r="M74" i="14" s="1"/>
  <c r="L110" i="17"/>
  <c r="M351" i="12"/>
  <c r="N351"/>
  <c r="I27" i="2"/>
  <c r="H22" i="14"/>
  <c r="H42"/>
  <c r="L53" i="2"/>
  <c r="M42" i="14" s="1"/>
  <c r="I53" i="2"/>
  <c r="J42" i="14" s="1"/>
  <c r="E33" i="8"/>
  <c r="K50" i="3"/>
  <c r="L29"/>
  <c r="M183" i="14" s="1"/>
  <c r="J183"/>
  <c r="H28" i="2"/>
  <c r="I23" i="14" s="1"/>
  <c r="I14" i="2"/>
  <c r="G106" i="3"/>
  <c r="F28" i="1" s="1"/>
  <c r="G28" s="1"/>
  <c r="H104" i="3"/>
  <c r="I256" i="14"/>
  <c r="I39"/>
  <c r="L50" i="2"/>
  <c r="M39" i="14" s="1"/>
  <c r="L19" i="3"/>
  <c r="M174" i="14" s="1"/>
  <c r="H19" i="3"/>
  <c r="N233" i="14"/>
  <c r="N116"/>
  <c r="I37"/>
  <c r="L48" i="2"/>
  <c r="M37" i="14" s="1"/>
  <c r="H57" i="2"/>
  <c r="F32" i="1" s="1"/>
  <c r="I41" i="14"/>
  <c r="L52" i="2"/>
  <c r="M41" i="14" s="1"/>
  <c r="J50"/>
  <c r="E9" i="5"/>
  <c r="F9" s="1"/>
  <c r="H20" i="14"/>
  <c r="I25" i="2"/>
  <c r="K27" i="5"/>
  <c r="L39"/>
  <c r="L59" i="8"/>
  <c r="L38" i="5"/>
  <c r="N38" s="1"/>
  <c r="Q38" s="1"/>
  <c r="K17"/>
  <c r="L34" i="8"/>
  <c r="L11" i="5"/>
  <c r="K52" i="2"/>
  <c r="L41" i="14" s="1"/>
  <c r="L104" i="7"/>
  <c r="M139" i="14" s="1"/>
  <c r="E13" i="5"/>
  <c r="F13" s="1"/>
  <c r="E7"/>
  <c r="F7" s="1"/>
  <c r="J254" i="14"/>
  <c r="J143"/>
  <c r="L45" i="3"/>
  <c r="M199" i="14" s="1"/>
  <c r="K44" i="7"/>
  <c r="I55" i="2"/>
  <c r="K99" i="7"/>
  <c r="K67"/>
  <c r="K51"/>
  <c r="L88" i="14" s="1"/>
  <c r="K24" i="7"/>
  <c r="G21" i="3"/>
  <c r="I45" i="2"/>
  <c r="K93" i="7"/>
  <c r="K29" i="3"/>
  <c r="J204" i="14"/>
  <c r="K86" i="3"/>
  <c r="J171" i="14"/>
  <c r="H29"/>
  <c r="J104"/>
  <c r="I72" i="8"/>
  <c r="I68"/>
  <c r="P34"/>
  <c r="I28"/>
  <c r="I12"/>
  <c r="I9" i="14"/>
  <c r="K10" i="7"/>
  <c r="L13" i="2"/>
  <c r="M8" i="14" s="1"/>
  <c r="L10" i="17"/>
  <c r="L63"/>
  <c r="L55"/>
  <c r="N123" i="14"/>
  <c r="I56" i="2"/>
  <c r="H45" i="14"/>
  <c r="M9" i="21"/>
  <c r="M13"/>
  <c r="M17"/>
  <c r="M22"/>
  <c r="M28"/>
  <c r="M34"/>
  <c r="M41"/>
  <c r="M47"/>
  <c r="M52"/>
  <c r="M62"/>
  <c r="M69"/>
  <c r="E42" i="8"/>
  <c r="I41" i="5"/>
  <c r="I60" i="8"/>
  <c r="I56"/>
  <c r="I52"/>
  <c r="I48"/>
  <c r="P48" s="1"/>
  <c r="I44"/>
  <c r="I40"/>
  <c r="P40" s="1"/>
  <c r="I36"/>
  <c r="P36" s="1"/>
  <c r="I32"/>
  <c r="P32" s="1"/>
  <c r="H7" i="1"/>
  <c r="I20" i="8"/>
  <c r="L91" i="17"/>
  <c r="L94"/>
  <c r="L61"/>
  <c r="L29"/>
  <c r="L25"/>
  <c r="L108"/>
  <c r="P55" i="8"/>
  <c r="I16"/>
  <c r="P16" s="1"/>
  <c r="H16" i="3"/>
  <c r="E20" i="8"/>
  <c r="F20" s="1"/>
  <c r="I9" i="5"/>
  <c r="P9" s="1"/>
  <c r="F57" i="2"/>
  <c r="P6" i="13"/>
  <c r="H6" i="9"/>
  <c r="H10"/>
  <c r="L45" i="17"/>
  <c r="L41"/>
  <c r="L37"/>
  <c r="L95"/>
  <c r="N186" i="14"/>
  <c r="L25" i="2"/>
  <c r="M20" i="14" s="1"/>
  <c r="M78" i="21"/>
  <c r="M86"/>
  <c r="M93"/>
  <c r="M101"/>
  <c r="M105"/>
  <c r="M111"/>
  <c r="M169"/>
  <c r="M170"/>
  <c r="E68" i="8"/>
  <c r="F68" s="1"/>
  <c r="M123" i="21"/>
  <c r="M151"/>
  <c r="H106" i="7"/>
  <c r="J191" i="14"/>
  <c r="J51"/>
  <c r="K10" i="3"/>
  <c r="P4" i="13"/>
  <c r="N64" i="14"/>
  <c r="L69" i="17"/>
  <c r="L65"/>
  <c r="L43"/>
  <c r="M192" i="21"/>
  <c r="M6"/>
  <c r="M76"/>
  <c r="M81"/>
  <c r="M90"/>
  <c r="M95"/>
  <c r="M103"/>
  <c r="M108"/>
  <c r="M118"/>
  <c r="M191"/>
  <c r="M171"/>
  <c r="M57"/>
  <c r="M145"/>
  <c r="O327" i="12"/>
  <c r="P16" i="13"/>
  <c r="P61"/>
  <c r="P72"/>
  <c r="P78"/>
  <c r="P83"/>
  <c r="P22"/>
  <c r="P9"/>
  <c r="P118"/>
  <c r="P112"/>
  <c r="P26"/>
  <c r="P94"/>
  <c r="P108"/>
  <c r="P141"/>
  <c r="P135"/>
  <c r="P92"/>
  <c r="P106"/>
  <c r="P114"/>
  <c r="P139"/>
  <c r="P133"/>
  <c r="P18"/>
  <c r="P76"/>
  <c r="P90"/>
  <c r="P116"/>
  <c r="P110"/>
  <c r="P137"/>
  <c r="P131"/>
  <c r="P11"/>
  <c r="P28"/>
  <c r="P20"/>
  <c r="P36"/>
  <c r="P42"/>
  <c r="P48"/>
  <c r="P54"/>
  <c r="P59"/>
  <c r="P86"/>
  <c r="P102"/>
  <c r="P120"/>
  <c r="P127"/>
  <c r="P38"/>
  <c r="P44"/>
  <c r="P50"/>
  <c r="P57"/>
  <c r="P129"/>
  <c r="P63"/>
  <c r="P67"/>
  <c r="P74"/>
  <c r="P80"/>
  <c r="O896" i="12"/>
  <c r="O884"/>
  <c r="O890"/>
  <c r="O239"/>
  <c r="O878"/>
  <c r="O373"/>
  <c r="O379"/>
  <c r="O401"/>
  <c r="O494"/>
  <c r="O500"/>
  <c r="O506"/>
  <c r="O512"/>
  <c r="O518"/>
  <c r="O70"/>
  <c r="O651"/>
  <c r="O598"/>
  <c r="O162"/>
  <c r="O407"/>
  <c r="O459"/>
  <c r="O176"/>
  <c r="O168"/>
  <c r="O4"/>
  <c r="O164"/>
  <c r="O375"/>
  <c r="O387"/>
  <c r="O480"/>
  <c r="O502"/>
  <c r="O522"/>
  <c r="O665"/>
  <c r="O12"/>
  <c r="O22"/>
  <c r="O191"/>
  <c r="O197"/>
  <c r="O297"/>
  <c r="O345"/>
  <c r="O358"/>
  <c r="O397"/>
  <c r="O439"/>
  <c r="O467"/>
  <c r="O508"/>
  <c r="O520"/>
  <c r="O831"/>
  <c r="O331"/>
  <c r="O30"/>
  <c r="O249"/>
  <c r="O381"/>
  <c r="O403"/>
  <c r="O496"/>
  <c r="O514"/>
  <c r="O823"/>
  <c r="O66"/>
  <c r="O60"/>
  <c r="O54"/>
  <c r="O48"/>
  <c r="O36"/>
  <c r="O90"/>
  <c r="O84"/>
  <c r="O140"/>
  <c r="O134"/>
  <c r="O128"/>
  <c r="O122"/>
  <c r="O158"/>
  <c r="O152"/>
  <c r="O576"/>
  <c r="O360"/>
  <c r="O354"/>
  <c r="O1077"/>
  <c r="O68"/>
  <c r="O62"/>
  <c r="O56"/>
  <c r="O50"/>
  <c r="O44"/>
  <c r="O38"/>
  <c r="O92"/>
  <c r="O86"/>
  <c r="O80"/>
  <c r="O74"/>
  <c r="O116"/>
  <c r="O110"/>
  <c r="O104"/>
  <c r="O98"/>
  <c r="O142"/>
  <c r="O136"/>
  <c r="O130"/>
  <c r="O124"/>
  <c r="O118"/>
  <c r="O154"/>
  <c r="O148"/>
  <c r="O170"/>
  <c r="O237"/>
  <c r="O293"/>
  <c r="O287"/>
  <c r="O281"/>
  <c r="O275"/>
  <c r="O269"/>
  <c r="O263"/>
  <c r="O257"/>
  <c r="O323"/>
  <c r="O317"/>
  <c r="O311"/>
  <c r="O305"/>
  <c r="O299"/>
  <c r="O347"/>
  <c r="O362"/>
  <c r="O572"/>
  <c r="O566"/>
  <c r="O560"/>
  <c r="O554"/>
  <c r="O548"/>
  <c r="O542"/>
  <c r="O536"/>
  <c r="O590"/>
  <c r="O584"/>
  <c r="O578"/>
  <c r="O602"/>
  <c r="O618"/>
  <c r="O624"/>
  <c r="O630"/>
  <c r="O636"/>
  <c r="O642"/>
  <c r="O703"/>
  <c r="O697"/>
  <c r="O691"/>
  <c r="O685"/>
  <c r="O679"/>
  <c r="O673"/>
  <c r="O667"/>
  <c r="O735"/>
  <c r="O741"/>
  <c r="O747"/>
  <c r="O753"/>
  <c r="O759"/>
  <c r="O765"/>
  <c r="O771"/>
  <c r="O777"/>
  <c r="O783"/>
  <c r="O789"/>
  <c r="O795"/>
  <c r="O801"/>
  <c r="O803"/>
  <c r="O811"/>
  <c r="O841"/>
  <c r="O936"/>
  <c r="O894"/>
  <c r="O888"/>
  <c r="O882"/>
  <c r="O876"/>
  <c r="O574"/>
  <c r="O709"/>
  <c r="O18"/>
  <c r="O26"/>
  <c r="O189"/>
  <c r="O195"/>
  <c r="O419"/>
  <c r="O435"/>
  <c r="O713"/>
  <c r="O728"/>
  <c r="O739"/>
  <c r="O745"/>
  <c r="O751"/>
  <c r="O757"/>
  <c r="O763"/>
  <c r="O769"/>
  <c r="O775"/>
  <c r="O781"/>
  <c r="O787"/>
  <c r="O793"/>
  <c r="O799"/>
  <c r="O815"/>
  <c r="O8"/>
  <c r="O32"/>
  <c r="O34"/>
  <c r="O96"/>
  <c r="O166"/>
  <c r="O243"/>
  <c r="O251"/>
  <c r="O371"/>
  <c r="O377"/>
  <c r="O383"/>
  <c r="O389"/>
  <c r="O393"/>
  <c r="O395"/>
  <c r="O399"/>
  <c r="O405"/>
  <c r="O445"/>
  <c r="O457"/>
  <c r="O474"/>
  <c r="O488"/>
  <c r="O498"/>
  <c r="O504"/>
  <c r="O510"/>
  <c r="O516"/>
  <c r="O530"/>
  <c r="O596"/>
  <c r="O819"/>
  <c r="O829"/>
  <c r="O900"/>
  <c r="O1032"/>
  <c r="O14"/>
  <c r="O24"/>
  <c r="O42"/>
  <c r="O78"/>
  <c r="O72"/>
  <c r="O114"/>
  <c r="O108"/>
  <c r="O102"/>
  <c r="O146"/>
  <c r="O174"/>
  <c r="O193"/>
  <c r="O203"/>
  <c r="O245"/>
  <c r="O291"/>
  <c r="O285"/>
  <c r="O279"/>
  <c r="O273"/>
  <c r="O267"/>
  <c r="O261"/>
  <c r="O255"/>
  <c r="O321"/>
  <c r="O315"/>
  <c r="O309"/>
  <c r="O303"/>
  <c r="O415"/>
  <c r="O431"/>
  <c r="O570"/>
  <c r="O564"/>
  <c r="O558"/>
  <c r="O552"/>
  <c r="O546"/>
  <c r="O540"/>
  <c r="O534"/>
  <c r="O594"/>
  <c r="O588"/>
  <c r="O582"/>
  <c r="O606"/>
  <c r="O620"/>
  <c r="O626"/>
  <c r="O632"/>
  <c r="O638"/>
  <c r="O644"/>
  <c r="O701"/>
  <c r="O695"/>
  <c r="O689"/>
  <c r="O683"/>
  <c r="O677"/>
  <c r="O671"/>
  <c r="O724"/>
  <c r="O737"/>
  <c r="O743"/>
  <c r="O749"/>
  <c r="O755"/>
  <c r="O761"/>
  <c r="O767"/>
  <c r="O773"/>
  <c r="O779"/>
  <c r="O785"/>
  <c r="O791"/>
  <c r="O797"/>
  <c r="O813"/>
  <c r="O874"/>
  <c r="O940"/>
  <c r="O934"/>
  <c r="O28"/>
  <c r="O241"/>
  <c r="O295"/>
  <c r="O339"/>
  <c r="O385"/>
  <c r="O391"/>
  <c r="O449"/>
  <c r="O478"/>
  <c r="O898"/>
  <c r="O892"/>
  <c r="O886"/>
  <c r="O880"/>
  <c r="O10"/>
  <c r="O64"/>
  <c r="O58"/>
  <c r="O52"/>
  <c r="O46"/>
  <c r="O40"/>
  <c r="O94"/>
  <c r="O88"/>
  <c r="O82"/>
  <c r="O76"/>
  <c r="O112"/>
  <c r="O106"/>
  <c r="O100"/>
  <c r="O144"/>
  <c r="O138"/>
  <c r="O132"/>
  <c r="O126"/>
  <c r="O120"/>
  <c r="O156"/>
  <c r="O150"/>
  <c r="O172"/>
  <c r="O289"/>
  <c r="O283"/>
  <c r="O277"/>
  <c r="O271"/>
  <c r="O265"/>
  <c r="O259"/>
  <c r="O253"/>
  <c r="O325"/>
  <c r="O319"/>
  <c r="O313"/>
  <c r="O307"/>
  <c r="O301"/>
  <c r="O349"/>
  <c r="O364"/>
  <c r="O568"/>
  <c r="O562"/>
  <c r="O556"/>
  <c r="O550"/>
  <c r="O544"/>
  <c r="O538"/>
  <c r="O532"/>
  <c r="O592"/>
  <c r="O586"/>
  <c r="O580"/>
  <c r="O622"/>
  <c r="O628"/>
  <c r="O634"/>
  <c r="O640"/>
  <c r="O705"/>
  <c r="O699"/>
  <c r="O693"/>
  <c r="O687"/>
  <c r="O681"/>
  <c r="O675"/>
  <c r="O669"/>
  <c r="O938"/>
  <c r="L123" i="7"/>
  <c r="M154" i="14" s="1"/>
  <c r="E34" i="5"/>
  <c r="K12" i="8"/>
  <c r="K77"/>
  <c r="N44"/>
  <c r="Q44" s="1"/>
  <c r="K34" i="5"/>
  <c r="M34" s="1"/>
  <c r="I29"/>
  <c r="N7"/>
  <c r="K129" i="3"/>
  <c r="L277" i="14" s="1"/>
  <c r="I257"/>
  <c r="F11" i="1"/>
  <c r="G11" s="1"/>
  <c r="I140" i="14"/>
  <c r="L129" i="3"/>
  <c r="M277" i="14" s="1"/>
  <c r="L40" i="5"/>
  <c r="M40" s="1"/>
  <c r="L129" i="7"/>
  <c r="M160" i="14" s="1"/>
  <c r="E40" i="5"/>
  <c r="J160" i="14"/>
  <c r="J208"/>
  <c r="P37" i="8"/>
  <c r="L28" i="5"/>
  <c r="I30"/>
  <c r="P30" s="1"/>
  <c r="K31"/>
  <c r="K28"/>
  <c r="J258" i="14"/>
  <c r="L157"/>
  <c r="L87" i="7"/>
  <c r="M124" i="14" s="1"/>
  <c r="E70" i="8"/>
  <c r="F70" s="1"/>
  <c r="H30" i="1"/>
  <c r="E33" i="5"/>
  <c r="F33" s="1"/>
  <c r="E39"/>
  <c r="F39" s="1"/>
  <c r="L27"/>
  <c r="M27" s="1"/>
  <c r="P24"/>
  <c r="L109" i="3"/>
  <c r="M259" i="14" s="1"/>
  <c r="L231"/>
  <c r="L246"/>
  <c r="L58" i="8"/>
  <c r="L215" i="14"/>
  <c r="L64" i="8"/>
  <c r="N64" s="1"/>
  <c r="Q64" s="1"/>
  <c r="L227" i="14"/>
  <c r="L56" i="8"/>
  <c r="F28"/>
  <c r="P28"/>
  <c r="M74"/>
  <c r="N74"/>
  <c r="Q74" s="1"/>
  <c r="L248" i="14"/>
  <c r="L77" i="8"/>
  <c r="L234" i="14"/>
  <c r="L63" i="8"/>
  <c r="L211" i="14"/>
  <c r="L40" i="8"/>
  <c r="L206" i="14"/>
  <c r="L35" i="8"/>
  <c r="L194" i="14"/>
  <c r="L23" i="8"/>
  <c r="L238" i="14"/>
  <c r="L67" i="8"/>
  <c r="Q16"/>
  <c r="P30"/>
  <c r="P76"/>
  <c r="L16"/>
  <c r="M16" s="1"/>
  <c r="L37"/>
  <c r="M37" s="1"/>
  <c r="L253" i="14"/>
  <c r="J227"/>
  <c r="K27" i="3"/>
  <c r="K45"/>
  <c r="J194" i="14"/>
  <c r="J238"/>
  <c r="L34" i="3"/>
  <c r="M188" i="14" s="1"/>
  <c r="L63" i="3"/>
  <c r="M217" i="14" s="1"/>
  <c r="J182"/>
  <c r="L94" i="3"/>
  <c r="M248" i="14" s="1"/>
  <c r="J177"/>
  <c r="E67" i="8"/>
  <c r="F67" s="1"/>
  <c r="P50"/>
  <c r="L70"/>
  <c r="L22"/>
  <c r="L250" i="14"/>
  <c r="L57" i="3"/>
  <c r="M211" i="14" s="1"/>
  <c r="J188"/>
  <c r="J217"/>
  <c r="J247"/>
  <c r="J233"/>
  <c r="J248"/>
  <c r="K23" i="3"/>
  <c r="E77" i="8"/>
  <c r="F77" s="1"/>
  <c r="E52"/>
  <c r="F52" s="1"/>
  <c r="E46"/>
  <c r="F46" s="1"/>
  <c r="E26"/>
  <c r="F26" s="1"/>
  <c r="E79"/>
  <c r="P79" s="1"/>
  <c r="P49"/>
  <c r="P44"/>
  <c r="P15"/>
  <c r="L14"/>
  <c r="L245" i="14"/>
  <c r="L56" i="3"/>
  <c r="M210" i="14" s="1"/>
  <c r="L39" i="3"/>
  <c r="M193" i="14" s="1"/>
  <c r="J211"/>
  <c r="L68" i="3"/>
  <c r="M222" i="14" s="1"/>
  <c r="L80" i="3"/>
  <c r="M234" i="14" s="1"/>
  <c r="L88" i="3"/>
  <c r="M242" i="14" s="1"/>
  <c r="L33" i="3"/>
  <c r="M187" i="14" s="1"/>
  <c r="E40" i="8"/>
  <c r="F40" s="1"/>
  <c r="E81"/>
  <c r="P81" s="1"/>
  <c r="P70"/>
  <c r="K97" i="3"/>
  <c r="L80" i="8" s="1"/>
  <c r="P75"/>
  <c r="P62"/>
  <c r="P9"/>
  <c r="L46" i="3"/>
  <c r="M200" i="14" s="1"/>
  <c r="L201"/>
  <c r="K56" i="3"/>
  <c r="L69"/>
  <c r="M223" i="14" s="1"/>
  <c r="J206"/>
  <c r="J222"/>
  <c r="J234"/>
  <c r="J242"/>
  <c r="L47" i="3"/>
  <c r="M201" i="14" s="1"/>
  <c r="L87" i="3"/>
  <c r="M241" i="14" s="1"/>
  <c r="J187"/>
  <c r="E63" i="8"/>
  <c r="F63" s="1"/>
  <c r="L97" i="3"/>
  <c r="M251" i="14" s="1"/>
  <c r="J200"/>
  <c r="E6" i="8"/>
  <c r="L74" i="3"/>
  <c r="M228" i="14" s="1"/>
  <c r="K88" i="3"/>
  <c r="E23" i="8"/>
  <c r="M37" i="5"/>
  <c r="P39"/>
  <c r="L160" i="14"/>
  <c r="J153"/>
  <c r="K128" i="7"/>
  <c r="K122"/>
  <c r="P38" i="5"/>
  <c r="L122" i="7"/>
  <c r="M153" i="14" s="1"/>
  <c r="P36" i="5"/>
  <c r="I27"/>
  <c r="K23"/>
  <c r="M24"/>
  <c r="N113" i="14"/>
  <c r="N137"/>
  <c r="L60"/>
  <c r="M49" i="8"/>
  <c r="L95" i="14"/>
  <c r="K41" i="8"/>
  <c r="N41" s="1"/>
  <c r="L101" i="14"/>
  <c r="K47" i="8"/>
  <c r="P68"/>
  <c r="K70"/>
  <c r="K77" i="7"/>
  <c r="K28"/>
  <c r="K11" i="8" s="1"/>
  <c r="K71" i="7"/>
  <c r="E47" i="8"/>
  <c r="F47" s="1"/>
  <c r="E31"/>
  <c r="F31" s="1"/>
  <c r="P45"/>
  <c r="P27"/>
  <c r="L97" i="7"/>
  <c r="M134" i="14" s="1"/>
  <c r="P51" i="8"/>
  <c r="K34"/>
  <c r="K65"/>
  <c r="M65" s="1"/>
  <c r="K57"/>
  <c r="N57" s="1"/>
  <c r="L43" i="7"/>
  <c r="M80" i="14" s="1"/>
  <c r="L28" i="7"/>
  <c r="M65" i="14" s="1"/>
  <c r="K25" i="7"/>
  <c r="L62" i="14" s="1"/>
  <c r="K96" i="7"/>
  <c r="E35" i="8"/>
  <c r="F35" s="1"/>
  <c r="E54"/>
  <c r="J101" i="14"/>
  <c r="E41" i="8"/>
  <c r="F41" s="1"/>
  <c r="E73"/>
  <c r="P56"/>
  <c r="P12"/>
  <c r="K39" i="7"/>
  <c r="L76" i="14" s="1"/>
  <c r="J135"/>
  <c r="K48" i="7"/>
  <c r="L85" i="14" s="1"/>
  <c r="E8" i="8"/>
  <c r="F8" s="1"/>
  <c r="K35"/>
  <c r="K73"/>
  <c r="N73" s="1"/>
  <c r="E11"/>
  <c r="F11" s="1"/>
  <c r="L58" i="7"/>
  <c r="M95" i="14" s="1"/>
  <c r="L83" i="7"/>
  <c r="M120" i="14" s="1"/>
  <c r="L64" i="7"/>
  <c r="M101" i="14" s="1"/>
  <c r="E60" i="8"/>
  <c r="F60" s="1"/>
  <c r="J95" i="14"/>
  <c r="J62"/>
  <c r="P31" i="8"/>
  <c r="P18"/>
  <c r="K97" i="7"/>
  <c r="K80" i="8" s="1"/>
  <c r="N80" s="1"/>
  <c r="Q80" s="1"/>
  <c r="E80"/>
  <c r="F80" s="1"/>
  <c r="M41"/>
  <c r="L34" i="7"/>
  <c r="M71" i="14" s="1"/>
  <c r="K83" i="7"/>
  <c r="L120" i="14" s="1"/>
  <c r="K43" i="7"/>
  <c r="P10" i="8"/>
  <c r="E66"/>
  <c r="P8"/>
  <c r="P72"/>
  <c r="P58"/>
  <c r="P19"/>
  <c r="E22"/>
  <c r="F22" s="1"/>
  <c r="P38"/>
  <c r="P25"/>
  <c r="P14"/>
  <c r="L36" i="7"/>
  <c r="M73" i="14" s="1"/>
  <c r="L50" i="7"/>
  <c r="M87" i="14" s="1"/>
  <c r="J35"/>
  <c r="I28" i="1"/>
  <c r="L105" i="7"/>
  <c r="K119"/>
  <c r="K108" i="3"/>
  <c r="J141" i="14"/>
  <c r="K108" i="7"/>
  <c r="I163" i="14"/>
  <c r="F13" i="1"/>
  <c r="G13" s="1"/>
  <c r="J266" i="14"/>
  <c r="K116" i="3"/>
  <c r="L29" i="8"/>
  <c r="M29" s="1"/>
  <c r="Q41" i="5"/>
  <c r="P41"/>
  <c r="L132" i="7"/>
  <c r="M163" i="14" s="1"/>
  <c r="L101" i="7"/>
  <c r="N51" i="8"/>
  <c r="Q51" s="1"/>
  <c r="M44"/>
  <c r="K32"/>
  <c r="M83"/>
  <c r="I11"/>
  <c r="L32"/>
  <c r="L11"/>
  <c r="N11" s="1"/>
  <c r="L17"/>
  <c r="L233" i="14"/>
  <c r="I71" i="8"/>
  <c r="P71" s="1"/>
  <c r="I35"/>
  <c r="P35" s="1"/>
  <c r="L13"/>
  <c r="M13" s="1"/>
  <c r="L46"/>
  <c r="L244" i="14"/>
  <c r="L247"/>
  <c r="L48" i="8"/>
  <c r="M48" s="1"/>
  <c r="M30"/>
  <c r="L57"/>
  <c r="M57" s="1"/>
  <c r="L15"/>
  <c r="L202" i="14"/>
  <c r="L55" i="8"/>
  <c r="M55" s="1"/>
  <c r="N48"/>
  <c r="Q48" s="1"/>
  <c r="K14"/>
  <c r="N14" s="1"/>
  <c r="Q14" s="1"/>
  <c r="K53"/>
  <c r="M53" s="1"/>
  <c r="K52"/>
  <c r="N52" s="1"/>
  <c r="Q52" s="1"/>
  <c r="K66"/>
  <c r="M51"/>
  <c r="K62"/>
  <c r="K72"/>
  <c r="N72" s="1"/>
  <c r="Q72" s="1"/>
  <c r="L132" i="14"/>
  <c r="N30" i="8"/>
  <c r="Q30" s="1"/>
  <c r="K38"/>
  <c r="N38" s="1"/>
  <c r="Q38" s="1"/>
  <c r="L37" i="3"/>
  <c r="M191" i="14" s="1"/>
  <c r="K37" i="3"/>
  <c r="L20" i="8" s="1"/>
  <c r="L43"/>
  <c r="L214" i="14"/>
  <c r="E43" i="8"/>
  <c r="L60" i="3"/>
  <c r="M214" i="14" s="1"/>
  <c r="J214"/>
  <c r="K43" i="8"/>
  <c r="K37" i="7"/>
  <c r="K257" i="14"/>
  <c r="L23" i="5"/>
  <c r="L261" i="14"/>
  <c r="K26" i="5"/>
  <c r="F29" i="1"/>
  <c r="G29" s="1"/>
  <c r="K119" i="3"/>
  <c r="F12" i="1"/>
  <c r="J28"/>
  <c r="M127" i="21"/>
  <c r="M135"/>
  <c r="M142"/>
  <c r="M138"/>
  <c r="M149"/>
  <c r="M154"/>
  <c r="M156"/>
  <c r="M158"/>
  <c r="M125"/>
  <c r="M113"/>
  <c r="M9" i="8"/>
  <c r="I77"/>
  <c r="P77" s="1"/>
  <c r="I65"/>
  <c r="P65" s="1"/>
  <c r="I59"/>
  <c r="P59" s="1"/>
  <c r="I53"/>
  <c r="P53" s="1"/>
  <c r="I47"/>
  <c r="I41"/>
  <c r="I29"/>
  <c r="P29" s="1"/>
  <c r="I23"/>
  <c r="I17"/>
  <c r="N59"/>
  <c r="Q59" s="1"/>
  <c r="I80"/>
  <c r="P80" s="1"/>
  <c r="M68"/>
  <c r="N65"/>
  <c r="Q65" s="1"/>
  <c r="M18"/>
  <c r="P66"/>
  <c r="K22"/>
  <c r="K67"/>
  <c r="M59"/>
  <c r="N18"/>
  <c r="Q18" s="1"/>
  <c r="M75"/>
  <c r="K25"/>
  <c r="N25" s="1"/>
  <c r="Q25" s="1"/>
  <c r="K21"/>
  <c r="N21" s="1"/>
  <c r="Q21" s="1"/>
  <c r="K46"/>
  <c r="I83"/>
  <c r="P83" s="1"/>
  <c r="N68"/>
  <c r="Q68" s="1"/>
  <c r="N9"/>
  <c r="Q9" s="1"/>
  <c r="K45"/>
  <c r="N45" s="1"/>
  <c r="Q45" s="1"/>
  <c r="K61"/>
  <c r="K81"/>
  <c r="K36"/>
  <c r="M72" i="21"/>
  <c r="M70"/>
  <c r="M48"/>
  <c r="M24"/>
  <c r="M98"/>
  <c r="M85"/>
  <c r="M107"/>
  <c r="M84"/>
  <c r="M68"/>
  <c r="M79"/>
  <c r="M44"/>
  <c r="M55"/>
  <c r="M54"/>
  <c r="M71"/>
  <c r="M92"/>
  <c r="M100"/>
  <c r="M35"/>
  <c r="M61"/>
  <c r="M53"/>
  <c r="M30"/>
  <c r="M66"/>
  <c r="M40"/>
  <c r="L101" i="3"/>
  <c r="J14" i="14"/>
  <c r="I46"/>
  <c r="K16" i="2"/>
  <c r="L11" i="14" s="1"/>
  <c r="M42" i="8"/>
  <c r="N42"/>
  <c r="Q42" s="1"/>
  <c r="L213" i="14"/>
  <c r="L35" i="5"/>
  <c r="M35" s="1"/>
  <c r="P35"/>
  <c r="J280" i="14"/>
  <c r="L132" i="3"/>
  <c r="M280" i="14" s="1"/>
  <c r="I280"/>
  <c r="F30" i="1"/>
  <c r="G30" s="1"/>
  <c r="K132" i="3"/>
  <c r="L280" i="14" s="1"/>
  <c r="J45"/>
  <c r="K56" i="2"/>
  <c r="L45" i="14" s="1"/>
  <c r="K43" i="2"/>
  <c r="L32" i="14" s="1"/>
  <c r="K255"/>
  <c r="K138"/>
  <c r="M41" i="5"/>
  <c r="K132" i="7"/>
  <c r="L163" i="14" s="1"/>
  <c r="K163"/>
  <c r="H13" i="1"/>
  <c r="L93" i="14"/>
  <c r="K39" i="8"/>
  <c r="L56" i="7"/>
  <c r="M93" i="14" s="1"/>
  <c r="P20" i="8"/>
  <c r="K34" i="7"/>
  <c r="E17" i="8"/>
  <c r="L15" i="5"/>
  <c r="N15" s="1"/>
  <c r="Q15" s="1"/>
  <c r="J25" i="14"/>
  <c r="G15" i="1"/>
  <c r="K8" i="2"/>
  <c r="L3" i="14" s="1"/>
  <c r="I28" i="2"/>
  <c r="L28"/>
  <c r="M23" i="14" s="1"/>
  <c r="K53" i="2"/>
  <c r="L42" i="14" s="1"/>
  <c r="L223"/>
  <c r="L52" i="8"/>
  <c r="M52" s="1"/>
  <c r="J223" i="14"/>
  <c r="P52" i="8"/>
  <c r="H102" i="7"/>
  <c r="L102" s="1"/>
  <c r="M138" i="14" s="1"/>
  <c r="H8" i="9"/>
  <c r="L237" i="14"/>
  <c r="L66" i="8"/>
  <c r="L83" i="3"/>
  <c r="M237" i="14" s="1"/>
  <c r="J237"/>
  <c r="G10" i="1"/>
  <c r="J10" s="1"/>
  <c r="I138" i="14"/>
  <c r="F66" i="8"/>
  <c r="G134" i="7"/>
  <c r="F23" i="8"/>
  <c r="N24" i="5"/>
  <c r="Q24" s="1"/>
  <c r="N22"/>
  <c r="Q22" s="1"/>
  <c r="H29" i="1"/>
  <c r="M25" i="5"/>
  <c r="N36"/>
  <c r="Q36" s="1"/>
  <c r="M36"/>
  <c r="M17"/>
  <c r="N17"/>
  <c r="Q17" s="1"/>
  <c r="M64" i="8"/>
  <c r="F29"/>
  <c r="F24"/>
  <c r="P24"/>
  <c r="F21"/>
  <c r="P21"/>
  <c r="M22" i="5"/>
  <c r="L21" i="7"/>
  <c r="M59" i="14" s="1"/>
  <c r="N13" i="5"/>
  <c r="Q13" s="1"/>
  <c r="M7"/>
  <c r="N35" i="8"/>
  <c r="P6" i="5"/>
  <c r="N42"/>
  <c r="Q42" s="1"/>
  <c r="M42"/>
  <c r="N11"/>
  <c r="Q11" s="1"/>
  <c r="M11"/>
  <c r="F71" i="8"/>
  <c r="F69"/>
  <c r="P69"/>
  <c r="F61"/>
  <c r="P61"/>
  <c r="F42"/>
  <c r="P42"/>
  <c r="P13" i="5"/>
  <c r="I40" i="2"/>
  <c r="I38"/>
  <c r="K95" i="3"/>
  <c r="H28" i="14"/>
  <c r="I39" i="2"/>
  <c r="E39" i="8"/>
  <c r="E57"/>
  <c r="G57" i="2"/>
  <c r="E28" i="5"/>
  <c r="L115" i="3"/>
  <c r="M265" i="14" s="1"/>
  <c r="E26" i="5"/>
  <c r="L113" i="3"/>
  <c r="M263" i="14" s="1"/>
  <c r="K105" i="3"/>
  <c r="L105"/>
  <c r="H152" i="14"/>
  <c r="H120" i="7"/>
  <c r="H11" i="1"/>
  <c r="L106" i="7"/>
  <c r="M140" i="14" s="1"/>
  <c r="H269"/>
  <c r="H120" i="3"/>
  <c r="K19" i="8"/>
  <c r="L73" i="14"/>
  <c r="E19" i="5"/>
  <c r="J256" i="14"/>
  <c r="E31" i="5"/>
  <c r="F31" s="1"/>
  <c r="L118" i="3"/>
  <c r="M268" i="14" s="1"/>
  <c r="F24" i="1"/>
  <c r="H13" i="3"/>
  <c r="H55" i="14"/>
  <c r="H16" i="7"/>
  <c r="H8" i="1"/>
  <c r="L16" i="7"/>
  <c r="M55" i="14" s="1"/>
  <c r="J140"/>
  <c r="K106" i="7"/>
  <c r="L140" i="14" s="1"/>
  <c r="H9" i="1"/>
  <c r="J9" s="1"/>
  <c r="K59" i="14"/>
  <c r="L16" i="3"/>
  <c r="M172" i="14" s="1"/>
  <c r="K172"/>
  <c r="H12" i="1"/>
  <c r="K152" i="14"/>
  <c r="L168"/>
  <c r="L10" i="5"/>
  <c r="J7" i="14"/>
  <c r="K12" i="2"/>
  <c r="L7" i="14" s="1"/>
  <c r="L39" i="7"/>
  <c r="M76" i="14" s="1"/>
  <c r="K98" i="3"/>
  <c r="L98" i="7"/>
  <c r="M135" i="14" s="1"/>
  <c r="J252"/>
  <c r="K11" i="7"/>
  <c r="E10" i="5"/>
  <c r="J168" i="14"/>
  <c r="L11" i="3"/>
  <c r="M168" i="14" s="1"/>
  <c r="L12" i="2"/>
  <c r="M7" i="14" s="1"/>
  <c r="K50" i="7"/>
  <c r="J73" i="14"/>
  <c r="N130"/>
  <c r="N97"/>
  <c r="L23" i="2"/>
  <c r="M18" i="14" s="1"/>
  <c r="I23" i="2"/>
  <c r="I24"/>
  <c r="L24"/>
  <c r="M19" i="14" s="1"/>
  <c r="E29" i="5"/>
  <c r="E27"/>
  <c r="E25"/>
  <c r="E23"/>
  <c r="K27" i="2"/>
  <c r="L22" i="14" s="1"/>
  <c r="J22"/>
  <c r="E21" i="5"/>
  <c r="F21" s="1"/>
  <c r="G102" i="3"/>
  <c r="M82" i="21"/>
  <c r="M109"/>
  <c r="M21"/>
  <c r="M39"/>
  <c r="M64"/>
  <c r="M58"/>
  <c r="N30" i="5" l="1"/>
  <c r="M28"/>
  <c r="M11" i="8"/>
  <c r="P22"/>
  <c r="M38" i="5"/>
  <c r="N40"/>
  <c r="L167" i="14"/>
  <c r="L9" i="5"/>
  <c r="K76" i="8"/>
  <c r="L130" i="14"/>
  <c r="K27" i="8"/>
  <c r="L81" i="14"/>
  <c r="L178"/>
  <c r="L7" i="8"/>
  <c r="I53" i="14"/>
  <c r="F7" i="1"/>
  <c r="G7" s="1"/>
  <c r="H106" i="3"/>
  <c r="J40" i="14"/>
  <c r="K51" i="2"/>
  <c r="L40" i="14" s="1"/>
  <c r="L195"/>
  <c r="L24" i="8"/>
  <c r="Q55"/>
  <c r="L240" i="14"/>
  <c r="L69" i="8"/>
  <c r="J34" i="14"/>
  <c r="K45" i="2"/>
  <c r="L34" i="14" s="1"/>
  <c r="K50" i="8"/>
  <c r="L104" i="14"/>
  <c r="J9"/>
  <c r="K14" i="2"/>
  <c r="L9" i="14" s="1"/>
  <c r="L204"/>
  <c r="L33" i="8"/>
  <c r="M15" i="5"/>
  <c r="M73" i="8"/>
  <c r="P46"/>
  <c r="M77"/>
  <c r="F26" i="1"/>
  <c r="G26" s="1"/>
  <c r="I176" i="14"/>
  <c r="H21" i="3"/>
  <c r="K82" i="8"/>
  <c r="L136" i="14"/>
  <c r="J174"/>
  <c r="E16" i="5"/>
  <c r="K19" i="3"/>
  <c r="F33" i="8"/>
  <c r="P33"/>
  <c r="K13" i="2"/>
  <c r="L8" i="14" s="1"/>
  <c r="J8"/>
  <c r="J39"/>
  <c r="K50" i="2"/>
  <c r="L39" i="14" s="1"/>
  <c r="K21" i="7"/>
  <c r="L59" i="14" s="1"/>
  <c r="J59"/>
  <c r="K16" i="3"/>
  <c r="L172" i="14" s="1"/>
  <c r="J172"/>
  <c r="L50"/>
  <c r="K9" i="5"/>
  <c r="L183" i="14"/>
  <c r="L12" i="8"/>
  <c r="K7"/>
  <c r="L61" i="14"/>
  <c r="J44"/>
  <c r="K55" i="2"/>
  <c r="L44" i="14" s="1"/>
  <c r="K25" i="2"/>
  <c r="L20" i="14" s="1"/>
  <c r="J20"/>
  <c r="L104" i="3"/>
  <c r="M256" i="14" s="1"/>
  <c r="K104" i="3"/>
  <c r="F82" i="8"/>
  <c r="P82"/>
  <c r="L139" i="14"/>
  <c r="K19" i="5"/>
  <c r="F7" i="8"/>
  <c r="P7"/>
  <c r="Q30" i="5"/>
  <c r="F34"/>
  <c r="P34"/>
  <c r="L251" i="14"/>
  <c r="N70" i="8"/>
  <c r="Q70" s="1"/>
  <c r="M21"/>
  <c r="N34" i="5"/>
  <c r="Q34" s="1"/>
  <c r="M23"/>
  <c r="P60" i="8"/>
  <c r="F40" i="5"/>
  <c r="P40"/>
  <c r="Q40"/>
  <c r="N28"/>
  <c r="Q28" s="1"/>
  <c r="M31"/>
  <c r="N31"/>
  <c r="Q31" s="1"/>
  <c r="P33"/>
  <c r="N35"/>
  <c r="Q35" s="1"/>
  <c r="N27"/>
  <c r="Q27" s="1"/>
  <c r="N58" i="8"/>
  <c r="Q58" s="1"/>
  <c r="M58"/>
  <c r="M35"/>
  <c r="N77"/>
  <c r="Q77" s="1"/>
  <c r="M70"/>
  <c r="L210" i="14"/>
  <c r="L39" i="8"/>
  <c r="L181" i="14"/>
  <c r="L10" i="8"/>
  <c r="N56"/>
  <c r="Q56" s="1"/>
  <c r="M56"/>
  <c r="F81"/>
  <c r="P23"/>
  <c r="P63"/>
  <c r="F6"/>
  <c r="P6"/>
  <c r="L199" i="14"/>
  <c r="L28" i="8"/>
  <c r="M28" s="1"/>
  <c r="N39"/>
  <c r="Q39" s="1"/>
  <c r="M43"/>
  <c r="F79"/>
  <c r="M23"/>
  <c r="N23"/>
  <c r="Q23" s="1"/>
  <c r="M63"/>
  <c r="N63"/>
  <c r="Q63" s="1"/>
  <c r="P26"/>
  <c r="Q35"/>
  <c r="N37"/>
  <c r="Q37" s="1"/>
  <c r="P67"/>
  <c r="L71"/>
  <c r="L242" i="14"/>
  <c r="L177"/>
  <c r="L6" i="8"/>
  <c r="M40"/>
  <c r="N40"/>
  <c r="Q40" s="1"/>
  <c r="L153" i="14"/>
  <c r="K33" i="5"/>
  <c r="K39"/>
  <c r="L159" i="14"/>
  <c r="N23" i="5"/>
  <c r="Q23" s="1"/>
  <c r="Q25"/>
  <c r="M14" i="8"/>
  <c r="L134" i="14"/>
  <c r="L65"/>
  <c r="M72" i="8"/>
  <c r="L133" i="14"/>
  <c r="K79" i="8"/>
  <c r="N34"/>
  <c r="Q34" s="1"/>
  <c r="M34"/>
  <c r="L108" i="14"/>
  <c r="K54" i="8"/>
  <c r="P47"/>
  <c r="Q11"/>
  <c r="P41"/>
  <c r="M80"/>
  <c r="K31"/>
  <c r="N31" s="1"/>
  <c r="Q31" s="1"/>
  <c r="K8"/>
  <c r="N43"/>
  <c r="Q43" s="1"/>
  <c r="M46"/>
  <c r="Q73"/>
  <c r="Q41"/>
  <c r="F54"/>
  <c r="P54"/>
  <c r="M47"/>
  <c r="N47"/>
  <c r="Q47" s="1"/>
  <c r="L80" i="14"/>
  <c r="K26" i="8"/>
  <c r="F73"/>
  <c r="P73"/>
  <c r="L114" i="14"/>
  <c r="K60" i="8"/>
  <c r="P11"/>
  <c r="L258" i="14"/>
  <c r="L21" i="5"/>
  <c r="L141" i="14"/>
  <c r="K21" i="5"/>
  <c r="P21"/>
  <c r="F19" i="1"/>
  <c r="G19" s="1"/>
  <c r="L266" i="14"/>
  <c r="L29" i="5"/>
  <c r="N29" i="8"/>
  <c r="Q29" s="1"/>
  <c r="N46"/>
  <c r="Q46" s="1"/>
  <c r="M25"/>
  <c r="M38"/>
  <c r="M32"/>
  <c r="N32"/>
  <c r="Q32" s="1"/>
  <c r="L191" i="14"/>
  <c r="N13" i="8"/>
  <c r="Q13" s="1"/>
  <c r="N15"/>
  <c r="Q15" s="1"/>
  <c r="M15"/>
  <c r="M39"/>
  <c r="M45"/>
  <c r="M62"/>
  <c r="N62"/>
  <c r="Q62" s="1"/>
  <c r="N53"/>
  <c r="Q53" s="1"/>
  <c r="F43"/>
  <c r="P43"/>
  <c r="L74" i="14"/>
  <c r="K20" i="8"/>
  <c r="N26" i="5"/>
  <c r="Q26" s="1"/>
  <c r="M26"/>
  <c r="G12" i="1"/>
  <c r="I12" s="1"/>
  <c r="M36" i="8"/>
  <c r="N36"/>
  <c r="Q36" s="1"/>
  <c r="N22"/>
  <c r="Q22" s="1"/>
  <c r="M22"/>
  <c r="M61"/>
  <c r="N61"/>
  <c r="Q61" s="1"/>
  <c r="M67"/>
  <c r="N67"/>
  <c r="Q67" s="1"/>
  <c r="I30" i="1"/>
  <c r="J30"/>
  <c r="J13"/>
  <c r="I13"/>
  <c r="L71" i="14"/>
  <c r="K17" i="8"/>
  <c r="F17"/>
  <c r="P17"/>
  <c r="K102" i="7"/>
  <c r="L138" i="14" s="1"/>
  <c r="I15" i="1"/>
  <c r="J15"/>
  <c r="J23" i="14"/>
  <c r="K28" i="2"/>
  <c r="L23" i="14" s="1"/>
  <c r="I10" i="1"/>
  <c r="J138" i="14"/>
  <c r="N66" i="8"/>
  <c r="Q66" s="1"/>
  <c r="M66"/>
  <c r="H36" i="1"/>
  <c r="I29"/>
  <c r="J29"/>
  <c r="G134" i="3"/>
  <c r="F27" i="1"/>
  <c r="G27" s="1"/>
  <c r="H102" i="3"/>
  <c r="I255" i="14"/>
  <c r="F23" i="5"/>
  <c r="P23"/>
  <c r="K10"/>
  <c r="L51" i="14"/>
  <c r="L252"/>
  <c r="L81" i="8"/>
  <c r="K16" i="7"/>
  <c r="L55" i="14" s="1"/>
  <c r="J55"/>
  <c r="K13" i="3"/>
  <c r="L170" i="14" s="1"/>
  <c r="L13" i="3"/>
  <c r="M170" i="14" s="1"/>
  <c r="J170"/>
  <c r="J269"/>
  <c r="L120" i="3"/>
  <c r="M269" i="14" s="1"/>
  <c r="K120" i="3"/>
  <c r="L269" i="14" s="1"/>
  <c r="H19" i="1"/>
  <c r="F28" i="5"/>
  <c r="P28"/>
  <c r="F27"/>
  <c r="P27"/>
  <c r="K23" i="2"/>
  <c r="L18" i="14" s="1"/>
  <c r="J18"/>
  <c r="K120" i="7"/>
  <c r="L152" i="14" s="1"/>
  <c r="J152"/>
  <c r="L120" i="7"/>
  <c r="M152" i="14" s="1"/>
  <c r="F26" i="5"/>
  <c r="P26"/>
  <c r="F57" i="8"/>
  <c r="P57"/>
  <c r="Q57"/>
  <c r="J28" i="14"/>
  <c r="K39" i="2"/>
  <c r="L28" i="14" s="1"/>
  <c r="L249"/>
  <c r="L78" i="8"/>
  <c r="K40" i="2"/>
  <c r="L29" i="14" s="1"/>
  <c r="J29"/>
  <c r="F25" i="5"/>
  <c r="P25"/>
  <c r="F29"/>
  <c r="P29"/>
  <c r="J19" i="14"/>
  <c r="K24" i="2"/>
  <c r="L19" i="14" s="1"/>
  <c r="K33" i="8"/>
  <c r="L87" i="14"/>
  <c r="F10" i="5"/>
  <c r="P10"/>
  <c r="J8" i="1"/>
  <c r="I8"/>
  <c r="G24"/>
  <c r="F19" i="5"/>
  <c r="P19"/>
  <c r="M19" i="8"/>
  <c r="N19"/>
  <c r="Q19" s="1"/>
  <c r="J11" i="1"/>
  <c r="I11"/>
  <c r="L57" i="2"/>
  <c r="M46" i="14" s="1"/>
  <c r="H46"/>
  <c r="E32" i="1"/>
  <c r="I57" i="2"/>
  <c r="F39" i="8"/>
  <c r="P39"/>
  <c r="K38" i="2"/>
  <c r="L27" i="14" s="1"/>
  <c r="J27"/>
  <c r="P31" i="5"/>
  <c r="I9" i="1"/>
  <c r="N7" i="8" l="1"/>
  <c r="Q7" s="1"/>
  <c r="M7"/>
  <c r="F16" i="5"/>
  <c r="P16"/>
  <c r="J176" i="14"/>
  <c r="K21" i="3"/>
  <c r="L176" i="14" s="1"/>
  <c r="L21" i="3"/>
  <c r="M176" i="14" s="1"/>
  <c r="N50" i="8"/>
  <c r="Q50" s="1"/>
  <c r="M50"/>
  <c r="M27"/>
  <c r="N27"/>
  <c r="Q27" s="1"/>
  <c r="M19" i="5"/>
  <c r="L256" i="14"/>
  <c r="L19" i="5"/>
  <c r="N19" s="1"/>
  <c r="Q19" s="1"/>
  <c r="N12" i="8"/>
  <c r="Q12" s="1"/>
  <c r="M12"/>
  <c r="J26" i="1"/>
  <c r="I26"/>
  <c r="N24" i="8"/>
  <c r="Q24" s="1"/>
  <c r="M24"/>
  <c r="L106" i="3"/>
  <c r="M257" i="14" s="1"/>
  <c r="J257"/>
  <c r="K106" i="3"/>
  <c r="L257" i="14" s="1"/>
  <c r="N76" i="8"/>
  <c r="Q76" s="1"/>
  <c r="M76"/>
  <c r="N9" i="5"/>
  <c r="Q9" s="1"/>
  <c r="M9"/>
  <c r="L174" i="14"/>
  <c r="L16" i="5"/>
  <c r="N82" i="8"/>
  <c r="Q82" s="1"/>
  <c r="M82"/>
  <c r="N69"/>
  <c r="Q69" s="1"/>
  <c r="M69"/>
  <c r="J7" i="1"/>
  <c r="I7"/>
  <c r="M71" i="8"/>
  <c r="N71"/>
  <c r="Q71" s="1"/>
  <c r="N6"/>
  <c r="Q6" s="1"/>
  <c r="M6"/>
  <c r="N10"/>
  <c r="Q10" s="1"/>
  <c r="M10"/>
  <c r="M39" i="5"/>
  <c r="N39"/>
  <c r="Q39" s="1"/>
  <c r="N33"/>
  <c r="Q33" s="1"/>
  <c r="M33"/>
  <c r="N26" i="8"/>
  <c r="Q26" s="1"/>
  <c r="M26"/>
  <c r="N8"/>
  <c r="Q8" s="1"/>
  <c r="M8"/>
  <c r="N54"/>
  <c r="Q54" s="1"/>
  <c r="M54"/>
  <c r="N60"/>
  <c r="Q60" s="1"/>
  <c r="M60"/>
  <c r="N79"/>
  <c r="Q79" s="1"/>
  <c r="M79"/>
  <c r="M31"/>
  <c r="N21" i="5"/>
  <c r="Q21" s="1"/>
  <c r="M21"/>
  <c r="M29"/>
  <c r="N29"/>
  <c r="Q29" s="1"/>
  <c r="N20" i="8"/>
  <c r="Q20" s="1"/>
  <c r="M20"/>
  <c r="J12" i="1"/>
  <c r="M17" i="8"/>
  <c r="N17"/>
  <c r="Q17" s="1"/>
  <c r="F36" i="1"/>
  <c r="G32"/>
  <c r="E36"/>
  <c r="M33" i="8"/>
  <c r="N33"/>
  <c r="Q33" s="1"/>
  <c r="N81"/>
  <c r="Q81" s="1"/>
  <c r="M81"/>
  <c r="J27" i="1"/>
  <c r="I27"/>
  <c r="J46" i="14"/>
  <c r="K57" i="2"/>
  <c r="L46" i="14" s="1"/>
  <c r="I24" i="1"/>
  <c r="J24"/>
  <c r="N78" i="8"/>
  <c r="Q78" s="1"/>
  <c r="M78"/>
  <c r="I19" i="1"/>
  <c r="J19"/>
  <c r="N10" i="5"/>
  <c r="Q10" s="1"/>
  <c r="M10"/>
  <c r="J255" i="14"/>
  <c r="L102" i="3"/>
  <c r="M255" i="14" s="1"/>
  <c r="K102" i="3"/>
  <c r="L255" i="14" s="1"/>
  <c r="M16" i="5" l="1"/>
  <c r="N16"/>
  <c r="Q16" s="1"/>
  <c r="G36" i="1"/>
  <c r="J36" s="1"/>
  <c r="J32"/>
  <c r="I32"/>
  <c r="I36" l="1"/>
</calcChain>
</file>

<file path=xl/comments1.xml><?xml version="1.0" encoding="utf-8"?>
<comments xmlns="http://schemas.openxmlformats.org/spreadsheetml/2006/main">
  <authors>
    <author>nperez</author>
    <author>Nico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Asigna cuota de imprevistos, cede -1042,6 ton hacia IX región y -639 ton hacia XIV región.
Res 2962-21 Asigna cuota imprevistos, cede -420,4 ton hacia Emb VIII.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Dexe. 00047-21 Modf Dexe. 100-20.
Folio Dexe. 00153-21 Modf Dexe. 100-20.</t>
        </r>
      </text>
    </comment>
    <comment ref="E3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Dexe. 00047-21 Modf Dexe. 100-20.
Folio Dexe. 00153-21 Modf Dexe. 100-20.</t>
        </r>
      </text>
    </comment>
    <comment ref="F3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806-21 Modf Res 2928-20 Asigna Cuota de Imprevistos, cede -733 ton hacia region Araucania. 
Res 880-21 Asigna Cuota de Imprevistos, cede -403 ton hacia Emb VIII.
Res 1653-21 Modf Res 880-21 cede -503 ton.
Res 2749-21 Deja sin efecto Res 880-21 Cede -437,487 ton.
Res 2103-21 Modf Res 2928-20 Asigna Cuota de Imprevistos, cede -181 ton hacia region Araucania.
Res 3393-21 Modf Res 70-21 Asigna Cuota de Imprevistos, cede -141,284 ton hacia Org AFRAPES 4399 V.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  <author>Nico</author>
    <author>nperez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Folio Dexe. 00100-20.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</t>
        </r>
      </text>
    </comment>
    <comment ref="H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653-21 Cede -2403 ton hacia Emb VIII.
Res 655-21 Cede -1932 ton hacia Emb VIII.
Res 680-21 Cede -940 ton hacia Emb VIII.
Res 681-21 Cede -352 ton hacia Emb VIII.
Res 811-21 Cede -837 ton hacia Emb VIII.
Res 804-21 Cede -2476 ton hacia Emb VIII.
Res 1292-21 Cede -86 ton hacia Emb VIII.
Res 1324-21 Cede -30 ton hacia Emb VIII.</t>
        </r>
      </text>
    </comment>
    <comment ref="H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Cede -550 ton hacia Emb IX.
Res 651-21 Cede -685 ton hacia Emb VIII.
Res 652-21 Cede -538 ton hacia Emb VIII.
Res 976-21 Cede -600 ton hacia Emb VIII.
Res 996-21 Cede -120 ton hacia Emb VIII.
Res 997-21 Cede -305 ton hacia Emb VIII.
Res 998-21 Cede -170 ton hacia Emb VIII.
Res 1080-1 Cede -636 ton hacia Emb VIII.
Res 1081-21 Cede -243 ton hacia Emb VIII.
Res 1082-21 Cede -305 ton hacia Emb VIII.
Res 1164-21 Cede -310 ton hacia Emb VIII.
Res 1165-21 Cede -750 ton hacia Emb VIII.
Res 1203-21 Cede -750 ton hacia Emb XIV.
Res 1078-21 Cede -498 ton hacia Emb VIII.
Res 1242-21 Cede -425 ton hacia Emb XIV.
Res 1287-21 Cede -125 ton hacia Emb XIV.
Res 1288-21 Cede -250 ton hacia Emb XIV.
Res 1314-21 Cede -550 ton hacia Emb VIII.
Res 1315-21 Cede -290 ton hacia Emb VIII.
Res 1321-21 Cede -125 ton hacia Emb XIV.
Res 1079-21 Cede -420 ton hacia Emb VIII.
Res 1434-21 Cede -100 ton hacia Emb VIII.
Res 1523-21 Cede -50 ton hacia Emb IX.
Res 2767-21 Cede -35 ton hacia Emb XIV.
Res 2768-21 Cede -154 ton hacia Emb XIV.
Res 2821-21 Cede -170 ton hacia: 35 ton Emb IX y 135 ton Emb VIII.
Res 2859-21 Cede -50 ton hacia Emb VIII.
Res 2865-21 Cede -176 ton hacia Emb XIV.
Res 2882-21 Cede -100 ton hacia Emb VIII.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337-21
338-21
339-21
340-21
1475-21 Otorga LTP A</t>
        </r>
      </text>
    </comment>
    <comment ref="H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809-21 Cede -6089 ton hacia Emb VIII.
Res 918-21 Cede -933 ton hacia Emb VIII.
Res 999-21 Cede -186 ton hacia Emb XIV.
Res 1835-21 Cede -50 ton hacia Emb VIII.
Res 2571-21 Cede -5 ton hacia Emb VIII.
Res 2660-21 Cede -15 ton hacia Emb XIV.
Res 2677-21 Cede -115 ton hacia Emb VIII.
Res 2801-21 Cede -92 ton hacia Emb VIII.</t>
        </r>
      </text>
    </comment>
    <comment ref="D1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1475-21 Deja sin efecto Res 2013-13.</t>
        </r>
      </text>
    </comment>
    <comment ref="D1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341-21
342-21
347-21
350-21
351-21</t>
        </r>
      </text>
    </comment>
    <comment ref="H1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881-21 Cede -1562,127 ton hacia Emb XIV.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1320-21 Cede -905,580 ton hacia Emb XIV.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857-21 Cede -452,792 ton hacia Emb VIII.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698-21 Cede -597,402 ton hacia Emb VIII.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673-21 Cede -30,337 ton hacia Emb VIII.
Res 674-21 Cede -30,337 ton hacia Emb VIII.
Res 678-21 Cede -43,921 ton hacia Emb VIII.
Res 679-21 Cede -99,161 ton hacia Emb VIII.
Res 682-21 Cede -244,877 ton hacia Emb VIII.
Res 716-21 Cede -33,959 ton hacia Emb VIII.
Res 763-21 Cede -219,603 ton hacia Emb VIII.
Res 802-21 Cede -72,899 ton hacia Emb VIII.
Res 1392-21 Cede -11,37 ton hacia Emb VIII.
Res 1574-21 Cede -53,603 ton hacia Emb VIII.
Res 2834-21 Cede -6,630 ton hacia Emb VIII.
Res 2835-21 Cede -19,880 ton hacia Emb VIII.
Res 2848-21 Cede -19,88 ton hacia Emb VIII.
Res 2849-21 Cede -19,88 ton hacia Emb VIII.
Res 2851-21 Cede -6,63 ton hacia Emb VIII.
Res 2881-21 Cede -26,50 ton hacia Emb VIII.
Res 2883-21 Cede -108,220 ton hacia Emb VIII.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647-21 Cede -1201 ton hacia Emb VIII.
Res 649-21 Cede -102 ton hacia Emb VIII.
Res 2743-21 Cede -4 ton hacia Emb VIII.
Res 2914-21 Cede -1 ton hacia Emb VIII.</t>
        </r>
      </text>
    </comment>
    <comment ref="H1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1083-21 Cede -306 ton hacia Emb VIII.
Res 1084-21 Cede -333 ton hacia Emb VIII.
Res 1091-21 Cede -115 ton hacia Emb VIII.
Res 1095-21 Cede -460 ton hacia Emb VIII.
Res 1098-21 Cede -116 ton hacia Emb VIII.
Res 1158-21 Cede -115 ton hacia Emb VIII.
Res 1159-21 Cede -230 ton hacia Emb VIII.
Res 1160-21 Cede -115 ton hacia Emb VIII.
Res 1161-21 Cede -460 ton hacia Emb VIII.
Res 1162-21 Cede -176 ton hacia Emb VIII.
Res 1163-21 Cede -111 ton hacia Emb VIII.
Res 1244-21 Cede -238 ton hacia Emb VIII.
Res 1289-21 Cede -47 ton hacia Emb VIII.
Res 39-21 Comodato cede -0,45279 ton hacia LTP Thor Fisheries.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1327-21 Cede -660 ton hacia Emb VIII.
Res 2701-21 Cede -1 ton hacia Emb VIII.
Res 2915-21 Cede -0,2 ton hacia Emb VIII.
Res 3021-21 Modf Res 2915-21 Cede -0,45279 ton.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629-21 Cede -1713 ton hacia Emb VIII.
Res 1240-21 Cede -5672 ton hacia Emb VIII.
Res 1458-21 Cede -1054 ton hacia Emb VIII.
Res 1535-21 Cede -153 ton hacia Emb VIII.
Res 1576-21 Cede -81 ton hacia Emb VIII.</t>
        </r>
      </text>
    </comment>
    <comment ref="H2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164-21 Cede -306 ton hacia Emb VIII.
Res 2645-21 Cede -0,89 ton hacia Emb VIII.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344-21
348-21</t>
        </r>
      </text>
    </comment>
    <comment ref="H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919-21 Cede -181,117 ton hacia Emb VIII.</t>
        </r>
      </text>
    </comment>
    <comment ref="D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346-21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1389-21 Cede -113,198 ton hacia Emb VIII.</t>
        </r>
      </text>
    </comment>
    <comment ref="D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343-21
345-21</t>
        </r>
      </text>
    </comment>
    <comment ref="H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1390-21 Cede -181,116 ton hacia Emb VIII.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349-21</t>
        </r>
      </text>
    </comment>
    <comment ref="H2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842-21 Cede -226,395 ton hacia Emb VIII.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1486-21 Otorga LTP A.</t>
        </r>
      </text>
    </comment>
    <comment ref="H2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39-21 Comodato incremento de 0,45279 ton desde LTP Landes S.A.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Folio Dexe. 00100-20.
Folio Dexe. 00047-21 Modf Dexe. 100-20.
Folio Dexe. 00153-21 Modf Dexe. 100-20.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</t>
        </r>
      </text>
    </comment>
    <comment ref="H3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653-21 Cede -1027 ton hacia Emb VIII.
Res 655-21 Cede -818 ton hacia Emb VIII.
Res 680-21 Cede -399 ton hacia Emb VIII.
Res 681-21 Cede -148 ton hacia Emb VIII.
Res 811-21 Cede -343 ton hacia Emb VIII.
Res 804-21 Cede -1060 ton hacia Emb VIII.
Res 1292-21 Cede -757,794 ton hacia Emb VIII.
Res 1324-21 Cede -232,541 ton hacia Emb VIII.
Res 2628-21 Cede -358,057 ton hacia Emb VIII.
Res 2632-21 Cede -300 ton hacia Emb VIII.
Res 2655-21 Cede -18 ton hacia Emb VIII.
Res 2656-21 Cede -552 ton hacia Emb VIII.
Res 2657-21 Cede -392,528 ton hacia Emb VIII.
Res 2659-21 Cede -344,297 ton hacia Emb VIII.
Res 2661-21 Cede -50 ton hacia Emb VIII.</t>
        </r>
      </text>
    </comment>
    <comment ref="H3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Cede -550 ton hacia Emb IX.
Res 651-21 Cede -685 ton hacia Emb VIII.
Res 652-21 Cede -538 ton hacia Emb VIII.
Res 976-21 Cede -400 ton hacia Emb VIII.
Res 996-21 Cede -180 ton hacia Emb VIII.
Res 997-21 Cede -305 ton hacia Emb VIII.
Res 998-21 Cede -170 ton hacia Emb VIII.
Res 1080-1 Cede -612 ton hacia Emb VIII.
Res 1081-21 Cede -243 ton hacia Emb VIII.
Res 1082-21 Cede -305 ton hacia Emb VIII.
Res 1164-21 Cede -320 ton hacia Emb VIII.
Res 1165-21 Cede -750 ton hacia Emb VIII.
Res 1203-21 Cede -750 ton hacia Emb XIV.
Res 1078-21 Cede -498 ton hacia Emb VIII.
Res 1242-21 Cede -425 ton hacia Emb XIV.
Res 1287-21 Cede -125 ton hacia Emb XIV.
Res 1288-21 Cede -250 ton hacia Emb XIV.
Res 1314-21 Cede -450 ton hacia Emb VIII.
Res 1315-21 Cede -200 ton hacia Emb VIII.
Res 1321-21 Cede -125 ton hacia Emb XIV.
Res 1079-21 Cede -320 ton hacia Emb VIII.
Res 1434-21 Cede -300 ton hacia Emb VIII.
Res 1523-21 Cede -600 ton hacia Emb IX.
Res 2767-21 Cede -175 ton hacia Emb XIV.
Res 2768-21 Cede -2261 ton hacia Emb XIV.
Res 2821-21 Cede -1100 ton hacia: 260 ton Emb IX y 840 ton Emb VIII.
Res 2859-21 Cede -3200 ton hacia Emb VIII.
Res 2865-21 Cede -2684 ton hacia Emb XIV.
Res 2882-21 Cede -640 ton hacia Emb VIII.</t>
        </r>
      </text>
    </comment>
    <comment ref="D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232-21
233-21
234-21
235-21
236-21
237-21
238-21
239-21
240-21
241-21</t>
        </r>
      </text>
    </comment>
    <comment ref="H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809-21 Cede -7748 ton hacia Emb VIII.
Res 918-21 Cede -1187 ton hacia Emb VIII.
Res 999-21 Cede -314 ton hacia Emb XIV.
Res 1326-21 Cede -700 ton hacia Emb XIV.
Res 1457-21 Cede -630 ton hacia Emb VIII.
Res 1835-21 Cede -300 ton hacia Emb VIII.
Res 2571-21 Cede -265 ton hacia Emb VIII.
Res 2660-21 Cede -495 ton hacia Emb XIV.
Res 2677-21 Cede -3435 ton hacia Emb VIII.
Res 2801-21 Cede -1308 ton hacia Emb VIII.</t>
        </r>
      </text>
    </comment>
    <comment ref="H3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699-21 Cede -1607,969 ton hacia Emb VIII.
Res 700-21 Cede -106,291 ton hacia Emb VIII.
Res 701-21 Cede -422,317 ton hacia Emb VIII.
Res 702-21 Cede -231,671 ton hacia Emb VIII.
Res 703-21 Cede -42,516 ton hacia Emb VIII.
Res 762-21 Cede -512,747 ton hacia Emb VIII.
Res 1319-21 Cede -29,238 ton hacia Emb VIII.
Res 1387-21 Cede -37,901 ton hacia Emb VIII.
Res 1388-21 Cede -60,641 ton hacia Emb VIII.
Res 2836-21 Cede -810,930 ton hacia Emb VIII.
Res 2852-21 Cede -340,96 ton hacia Emb VIII.
Res 2853-21 Cede -972,20 ton hacia Emb VIII.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675-21 Cede -70,282 ton hacia Emb VIII.
Res 676-21 Cede -82,43 ton hacia Emb VIII.
Res 677-21 Cede -70,282 ton hacia Emb VIII.
Res 803-21 Cede -167,896 ton hacia Emb VIII.
Res 1317-21 Cede -86,089 ton hacia Emb VIII.
Res 2850-21 Cede -271,770 ton hacia Emb VIII.
Res 2856-21 Cede -184,330 ton hacia Emb VIII.
Res 2857-21 Cede -96,780 ton hacia Emb VIII.
Res 2858-21 Cede -94,430 ton hacia Emb VIII.</t>
        </r>
      </text>
    </comment>
    <comment ref="H4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647-21 Cede -805 ton hacia Emb VIII.
Res 649-21 Cede -68 ton hacia Emb VIII.
Res 1432-21 Cede -218 ton hacia Emb VIII.
Res 2743-21 Cede -359 ton hacia Emb VIII.
Res 2914-21 Cede -99 ton hacia Emb VIII.</t>
        </r>
      </text>
    </comment>
    <comment ref="H4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1083-21 Cede -384 ton hacia Emb VIII.
Res 1084-21 Cede -417 ton hacia Emb VIII.
Res 1091-21 Cede -145 ton hacia Emb VIII.
Res 1095-21 Cede -580 ton hacia Emb VIII.
Res 1098-21 Cede -84 ton hacia Emb VIII.
Res 1158-21 Cede -145 ton hacia Emb VIII.
Res 1159-21 Cede -290 ton hacia Emb VIII.
Res 1160-21 Cede -145 ton hacia Emb VIII.
Res 1161-21 Cede -580 ton hacia Emb VIII.
Res 1162-21 Cede -224 ton hacia Emb VIII.
Res 1163-21 Cede -139 ton hacia Emb VIII.
Res 1244-21 Cede -480 ton hacia Emb VIII.
Res 1289-21 Cede -843 ton hacia Emb VIII.
Res 41-21 Comodato cede -0,54144 ton hacia LTP Thor Fisheries Chile.
Res 2766-21 Cede -1350 ton hacia Emb VIII.
Res 2820-21 Cede -520 ton hacia Emb VIII.</t>
        </r>
      </text>
    </comment>
    <comment ref="D4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1485-21 Modf Res 2078-13 -0,00001 Coef Part.</t>
        </r>
      </text>
    </comment>
    <comment ref="H4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1327-21 Cede -1950 ton hacia Emb VIII.
Res 2701-21 Cede -575 ton hacia Emb VIII.
Res 2915-21 Cede 250 ton hacia Emb VIII.</t>
        </r>
      </text>
    </comment>
    <comment ref="H4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629-21 Cede -1453 ton hacia Emb VIII.
Res 1240-21 Cede -4806 ton hacia Emb VIII.
Res 1458-21 Cede -2346 ton hacia Emb VIII.
Res 1535-21 Cede -347 ton hacia Emb VIII.
Res 1576-21 Cede -219 ton hacia Emb VIII.
Res 2778-21 Cede -310 ton hacia Emb VIII.
Res 2808-21 Cede -3560 ton hacia Emb VIII.</t>
        </r>
      </text>
    </comment>
    <comment ref="H4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654-21 Cede -357,918 ton hacia Emb VIII.
Res 1536-21 Cede -88,770 ton hacia Emb VIII.
Res 2886-21 Cede -188,03 ton hacia Emb VIII.</t>
        </r>
      </text>
    </comment>
    <comment ref="H4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975-21 Cede -585,684 ton hacia Emb XIV.
Res 3181-21 Cede -452,952 ton hacia Emb XIV.</t>
        </r>
      </text>
    </comment>
    <comment ref="H4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882-21 Cede -585,684 ton hacia Emb XIV.
Res 2700-21 Cede -452,952 ton hacia Emb XIV.</t>
        </r>
      </text>
    </comment>
    <comment ref="H4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1202-21 Cede -195,228 ton hacia Emb XIV.
Res 2855-21 Cede -150,984 ton hacia Emb XIV.</t>
        </r>
      </text>
    </comment>
    <comment ref="H4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1243-21 Cede -121,824 ton hacia Emb XIV.
Res 2833-21 Cede -51,282 ton hacia Emb XIV.</t>
        </r>
      </text>
    </comment>
    <comment ref="H5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656-21 Cede -390,456 ton hacia Emb XIV.
Res 2627-21 Cede -301,968 ton hacia Emb XIV.</t>
        </r>
      </text>
    </comment>
    <comment ref="H5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1198-21 Cede -97,614 ton hacia Emb XIV.
Res 1575-21 Cede -24,210 ton hacia Emb XIV.
Res 2832-21 Cede -51,282 ton hacia Emb XIV.</t>
        </r>
      </text>
    </comment>
    <comment ref="H5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696-21 Cede -195,228 ton hacia Emb VIII.
Res 697-21 Cede -97,614 ton hacia Emb VIII.
Res 1325-21 Cede -72,630 ton hacia Emb VIII.
Res 2854-21 Cede -59,620 ton hacia Emb VIII.
Res 2860-21 Cede -43,79 ton hacia Emb VIII.
Res 2861-21 Cede -50,436 ton hacia Emb VIII.</t>
        </r>
      </text>
    </comment>
    <comment ref="H5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812-21 Cede -1199,568 ton hacia Emb VIII.
Res 1294-21 Modf Res 812-21 aumenta en 297,514 ton cedidas.
Res 2879-21 Cede -630,198 ton hacia Emb VIII.</t>
        </r>
      </text>
    </comment>
    <comment ref="H5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164-21 Cede -187 ton hacia Emb VIII.
Res 2645-21 Cede -144,6 ton hacia Emb VIII.</t>
        </r>
      </text>
    </comment>
    <comment ref="D5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1484-21 Otorga LTP A.</t>
        </r>
      </text>
    </comment>
    <comment ref="H5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41-21 Comodato incremento de 0,54144 ton desde LTP Landes S.A.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  <author>Nico</author>
    <author>nperez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70-21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Cede -8899 ton hacia Emb y Org 19, 13 y 26 VIII.
Res 916-21 Cede -852 ton hacia Emb VIII.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859-21 Cede -170,4116 ton hacia Emb VIII.</t>
        </r>
      </text>
    </comment>
    <comment ref="M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00398-21.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PEREZ SALGADO, NICOLAS RODRIGO
</t>
        </r>
        <r>
          <rPr>
            <sz val="9"/>
            <color indexed="81"/>
            <rFont val="Tahoma"/>
            <family val="2"/>
          </rPr>
          <t>Res N°2928-20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26-21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Cede -624,045 ton repartido en 233,643 ton hacia Org 25, 313,5 ton hacia Org 68 y 76,902 ton hacia Org 59 VIII.</t>
        </r>
      </text>
    </comment>
    <comment ref="G1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Cede -338,354 ton hacia Org 13 VIII.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383-2021.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Cede -117,6 ton hacia Org 15 VIII.
Res 23-21 Cede -12,5 ton hacia Org 19 VIII.
Res 132-21 Cede -30,1 ton hacia Org 15 VIII.
Res 146-21 Cede -6,7 ton hacia Org 15 VIII.</t>
        </r>
      </text>
    </comment>
    <comment ref="M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00048-21.
Apertura Res 00227-21.</t>
        </r>
      </text>
    </comment>
    <comment ref="M2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00057-21.
Apertura Res 00227-21.</t>
        </r>
      </text>
    </comment>
    <comment ref="G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24-21 Cede -350 ton hacia Emb VIII.
Res 25-21 Cede -50 ton hacia Org 15 VIII.
Res 27-21 Cede -596 ton hacia Emb VIII.
Res 137-21 Cede -2,5 ton hacia Emb VIII.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22-21 Cede -235,8 ton hacia Emb VIII.
Res 52-21 Cede -52 ton hacia Org 29 VIII.
Res 3185-21 Cede -300 ton hacia Emb XIV.</t>
        </r>
      </text>
    </comment>
    <comment ref="G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04-21 Cede -525 ton hacia Org 19 VIII.
Res 11-21 Cede -35 ton hacia Emb VIII.
Res 12-21 Cede -35 ton hacia Emb VIII.
Res 13-21 Cede -35 ton hacia Emb VIII.
Res 14-21 Cede -35 ton hacia Emb VIII.
Res 15-21 Cede -475 ton hacia Org 13 VIII.
Res 16-21 Cede -170 ton hacia Org 72 VIII.
Res 17-21 Cede -190 ton hacia Org 73 VIII.
Res 19-21 Cede -132 ton hacia Emb VIII.
Res 20-21 Cede -175 ton hacia Org 37 VIII.
Res 21-21 Cede -175,6 ton hacia Org 19 VIII.</t>
        </r>
      </text>
    </comment>
    <comment ref="M2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00083-21.
Cierre Res 00222-21.</t>
        </r>
      </text>
    </comment>
    <comment ref="M3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00157-21.
Apertura Res 00227-21.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43-21 Cede -40 ton hacia Org 15 VIII.
Res 63-21 Cede -60 ton hacia Org 12 VIII.
Res 123-21 Cede -60 ton hacia Org 15 VIII.</t>
        </r>
      </text>
    </comment>
    <comment ref="M3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00123-21.</t>
        </r>
      </text>
    </comment>
    <comment ref="G3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Incremento de 100 ton desde Org 69 VIII.
Res 28-21 Cede -100 ton hacia Org 15 VIII.
Res 51-21 Incremento de 45 ton desde Org 15 VIII.
Res 60-21 Incremento de 100 ton desde Org 69 VIII.
Res 63-21 Incremento de 60 ton desde Org 10 VIII.
Res 1431-21 Incremento de 50 ton desde Org 5 X.
Res 70-21 Incremento de 40,5 ton desde Org 75 VIII.
Res 116-21 Incremento de 6 ton desde Org 53 VIII.
Res 126-21 Incremento de 50 ton desde Org 69 VIII.
Res 139-21 Incremento de 60 ton desde Org 63 VIII.
Res 142-21 Incremento de 30 ton desde Org 63 VIII.
Res 144-21 Incremento de 150 ton desde Org 34 VIII.</t>
        </r>
      </text>
    </comment>
    <comment ref="M3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00153-21.
Apertura Res 00227-21.</t>
        </r>
      </text>
    </comment>
    <comment ref="G3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Incremento de 338,354 ton desde Org SIPARCON 07050193 VII.
Res 15-21 Incremento de 475 ton desde Org 5 VIII.
Res 858-21 Incremento de 900 ton desde Org AG Puerto de San Antonio 2510 V.
Res 921-21 Incremento de 240 ton desde Org 2 X.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30-21 Incremento de 321 ton desde Org 38 VIII.
Res 40-21 Cede -100 ton hacia Org 15 VIII.
Res 53-21 Incremento de 39 ton desde Org 38 VIII.
Res 57-21 Cede -94,7 ton hacia Org 55 VIII.
Res 124-21 Incremento de 24,5 ton desde Org 56 VIII.</t>
        </r>
      </text>
    </comment>
    <comment ref="G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Incremento de 117,6 ton desde Org 1 VIII.
Res 25-21 Incremento de 50 ton desde Org 3 VIII.
Res 26-21 Incremento de 10,6 ton desde Org 71 VIII.
Res 28-21 Incremento de 100 ton desde Org 12 VIII.
Res 32-21 Incremento de 1156 ton desde Org 45 VIII.
Res 40-21 Incremento de 100 ton desde Org 14 VIII.
Res 41-21 Cede -100 ton hacia Emb VIII.
Res 43-21 Incremento de 40 ton desde Org 10 VIII.
Res 51-21 Cede -45 ton hacia Org 12 VIII.
Res 106-21 Incremento de 415 ton desde Org 64 VIII.
Res 123-21 Incremento de 60 ton desde Org 10 VIII.
Res 2744-21 Incremento de 1 ton desde Org 5 X.
Res 132-21 Incremento de 30,1 ton desde Org 1 VIII.
Res 143-21 Incremento de 9,8 ton desde Org 26 VIII.
Res 146-21 Incremento de 6,7 ton desde Org 1 VIII.
Res 147-21 Incremento de 276 ton desde Org 38 VIII.</t>
        </r>
      </text>
    </comment>
    <comment ref="M3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00053-21.
Apertura Res 00089-21.
Cierre Res 00161-21.
Apertura Res 00227-21.</t>
        </r>
      </text>
    </comment>
    <comment ref="M3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00099-21.
Apertura Res 00227-21.</t>
        </r>
      </text>
    </comment>
    <comment ref="G3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2954-21 Cede -600 ton hacia Emb XIV.
Res 3168-21 Cede -215 ton hacia Emb XIV.
</t>
        </r>
      </text>
    </comment>
    <comment ref="G4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140-21 Cede -29 ton hacia Emb VIII.</t>
        </r>
      </text>
    </comment>
    <comment ref="M4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00051-21.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Incremento de 10 ton desde Org 64 VIII.
Res 04-21 Incremento de 525 ton desde Org 5 VIII.
Res 05-21 Incremento de 154 ton desde Org 54 VIII.
Res 21-21 Incremento de 175,6 ton desde Org 5 VIII.
Res 23-21 Incremento de 12,5 ton desde Org 1 VIII.
Res 839-21 Incremento de 160 ton desde Org 1 X.
Res 858-21 Incremento de 5009 ton desde Org AG Puerto de San Antonio 2510 V.
Res 33-21 Incremento de 1157 ton desde Org 45 VIII.
Res 50-21 Incremento de 36,6 ton desde Org 54 VIII.
Res 56-21 Incremento de 120 ton desde Org 53 VIII.
Res 1573-21 Incremento de 1 ton desde Org 2 X.
Res 111-21 Incremento de 16,8 ton desde Org 54 VIII.
Res 149-21 Modf Res 109-21 Incremento de 205 ton desde Org 64 VIII.
Res 3109 Incremento de 120 ton desde Org 9 X
Res 3151 Cede -300 ton hacia Emb XIV
Res 3167 Cede -250 ton hacia Emb XIV
Res 3202-21 Cede-300 ton hacia Org 4  XIV
</t>
        </r>
      </text>
    </comment>
    <comment ref="G4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3036-21 Incremento de 3 ton desde Org 9 X.</t>
        </r>
      </text>
    </comment>
    <comment ref="G4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233,643 ton desde Org Pelagicos Del Maule 07.05.0150
Res 97-21 Incremento de 350 ton desde Org 67 VIII.
Res 105-21 Incremento de 5 ton desde Org 67 VIII.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Incremento de 490 ton desde Org AG Puerto de San Antonio 2510 V.
Res 143-21 Cede -9,8 ton hacia Org 15 VIII.</t>
        </r>
      </text>
    </comment>
    <comment ref="M4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00052-21.</t>
        </r>
      </text>
    </comment>
    <comment ref="G5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62-21 Cede -7,7 ton hacia Emb VIII.</t>
        </r>
      </text>
    </comment>
    <comment ref="M5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00221-21.</t>
        </r>
      </text>
    </comment>
    <comment ref="G5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09-21 Cede -60 ton hacia Emb VIII.
Res 52-21 Incremento de 52 ton desde Org 4 VIII.</t>
        </r>
      </text>
    </comment>
    <comment ref="G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Cede -59 ton hacia Emb VIII.</t>
        </r>
      </text>
    </comment>
    <comment ref="M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00082-21.
Cierre Res 00220-21.</t>
        </r>
      </text>
    </comment>
    <comment ref="G5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110-21 Incremento de 1 ton desde Org 67 VIII.
Res 3108 cede -1 ton hacia emb XIV Región </t>
        </r>
      </text>
    </comment>
    <comment ref="M5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00219-21.</t>
        </r>
      </text>
    </comment>
    <comment ref="G5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144-21 Cede -150 ton hacia Org 12 VIII.</t>
        </r>
      </text>
    </comment>
    <comment ref="G5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130-21 Cede -390 ton hacia Emb VIII.</t>
        </r>
      </text>
    </comment>
    <comment ref="G5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Cede -100 ton hacia Org 51 VIII.
Res 58-21 Cede 50 ton hacia Emb VIII.</t>
        </r>
      </text>
    </comment>
    <comment ref="M5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00218-21.</t>
        </r>
      </text>
    </comment>
    <comment ref="G5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20-21 Incremento de 175 ton desde Org 5 VIII.
Res 838-21 Incremento de 400 ton desde Org 3 X.
Res 860-21 Incremento de 150 ton desde Org 2 X.</t>
        </r>
      </text>
    </comment>
    <comment ref="G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Cede -61 ton hacia Org 55 VIII.
Res 30-21 Cede -321 ton hacia Org 14 VIII.
Res 53-21 Cede -39 ton hacia Org 14 VIII.
Res 61-21 Cede -29 ton hacia Emb VIII.
Res 133-21 Cede -82 ton hacia Org 55 VIII.
Res 147-21 Cede -276 ton hacia Org 15 VIII.</t>
        </r>
      </text>
    </comment>
    <comment ref="M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00077-21.
Cierre Res 00227-21.</t>
        </r>
      </text>
    </comment>
    <comment ref="G6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683-21 Cede -600 ton hacia Emb XIV.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46-21 Cede -108,7 ton hacia Emb VIII.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42-21 Incremento de 75 ton desde Org 51 VIII.</t>
        </r>
      </text>
    </comment>
    <comment ref="M6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00124-21.
Apertura Res 00227-21.</t>
        </r>
      </text>
    </comment>
    <comment ref="G6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32-21 Cede -1156 ton hacia Org 15 VIII.
Res 33-21 Cede -1157 ton hacia Org 19 VIII.</t>
        </r>
      </text>
    </comment>
    <comment ref="M6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00084-21.</t>
        </r>
      </text>
    </comment>
    <comment ref="G6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141-21 Incremento de 1 ton desde Org 61 VIII.</t>
        </r>
      </text>
    </comment>
    <comment ref="G7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55-21 Incremento de 174 ton desde Org 77 VIII.</t>
        </r>
      </text>
    </comment>
    <comment ref="M7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00078-21.
Apertura Res 00115-21.</t>
        </r>
      </text>
    </comment>
    <comment ref="G7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10-21 Cede -66 ton hacia Emb VIII.
Res 18-21 Cede -25 ton hacia Emb VIII.
Res 31-21 Incremento de 39 ton desde Org 72 VIII.
Res 90-21 Cede -60 ton hacia Emb VIII.
Res 100-21 Cede -25 ton hacia Emb VIII.
Res 114-21 Cede -10 ton hacia Emb VIII.
Res 148-21 Cede -20 ton hacia Emb VIII.</t>
        </r>
      </text>
    </comment>
    <comment ref="G7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Cede -235 ton hacia Org 61 VIII.</t>
        </r>
      </text>
    </comment>
    <comment ref="G7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Incremento de 100 ton desde Org 36 VIII.
Res 42-21 Cede -75 ton hacia Org 44 VIII.
Res 65-21 Cede -100 ton hacia Emb VIII.
Res 72-21 Cede -10 ton hacia Emb VIII.
Res 115-21 Cede -240 ton hacia Emb VIII.
Res 2633-21 Cede -100 ton hacia Emb IX.</t>
        </r>
      </text>
    </comment>
    <comment ref="G7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35-21 Cede -235 ton hacia Emb VIII.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Incremento de 200 ton desde Org 5 X.
Res 56-21 Cede -120 ton hacia Org 19 VIII.
Res 116-21 Cede -6 ton hacia Org 12 VIII.</t>
        </r>
      </text>
    </comment>
    <comment ref="G7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5-21 Cede -154 ton hacia Org 19 VIII.
Res 50-21 Cede -36,6 ton hacia Org 19 VIII.
Res 111-21 Cede -16,8 ton hacia Org 19 VIII.
Res 112-21 Cede -32,1 ton hacia Org 55 VIII.</t>
        </r>
      </text>
    </comment>
    <comment ref="M7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00056-21.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Incremento de 61 ton desde Org 38 VIII.
Res 29-21 Cede -10 ton hacia Emb VIII.
Res 964-21 Incremento de 346,483 ton desde Org 8 X.
Res 57-21 Incremento de 94,7 ton desde Org 14 VIII.
Res 1521-21 Incremento de 75 ton desde Org 1 XIV.
Res 1692-21 Incremento de 9,980 ton desde Org 8 X.
Res 112-21 Incremento de 32,1 ton desde Org 54 VIII.
Res 2769-21 Incremento de 2 ton desde Org 8 X.
Res 133-21 Incremento de 82 ton desde Org 38 VIII.
Res 3355-21 Incremento de 144 ton desde Org 8 X.</t>
        </r>
      </text>
    </comment>
    <comment ref="G7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124-21 Cede -24,5 ton hacia Org 14 VIII.</t>
        </r>
      </text>
    </comment>
    <comment ref="M7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00047-21.</t>
        </r>
      </text>
    </comment>
    <comment ref="G7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38-21 Cede -1,7 ton hacia Emb VIII.</t>
        </r>
      </text>
    </comment>
    <comment ref="M7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00223-21.</t>
        </r>
      </text>
    </comment>
    <comment ref="G8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76,902 ton desde Org Pelagicos Del Maule 07.05.0150.
Res 2864-21 Cede -134 ton hacia Emb XIV.</t>
        </r>
      </text>
    </comment>
    <comment ref="M8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00076-21.
Apertura Res 00227-21.</t>
        </r>
      </text>
    </comment>
    <comment ref="G8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Incremento de 235 ton desde Org 50 VIII.
Res 1099-21 Incremento de 200 ton desde Org 8 X.
Res 125-21 Cede -6 ton hacia Emb VIII.
Res 141-21 Cede -1 ton hacia Org 47 VIII.</t>
        </r>
      </text>
    </comment>
    <comment ref="M8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00098-21.
Apertura Res 00227-21.</t>
        </r>
      </text>
    </comment>
    <comment ref="G8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139-21 Cede -60 ton hacia Org 12 VIII.
Res 142-21 Cede -30 ton hacia Org 12 VIII.</t>
        </r>
      </text>
    </comment>
    <comment ref="G8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Cede -10 ton hacia Org 19 VIII.
Res 106-21 Cede -415 ton hacia Org 15 VIII.
Res 109-21 Cede -205 ton hacia Emb VIII.
Res 149-21 Modf Res 109-21 Cede hacia Org 19 VIII.
Res 149-21 modifica res N°109  hacia Org 6 VIII</t>
        </r>
      </text>
    </comment>
    <comment ref="M8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00134-21.
Cierre Res 00212-21.</t>
        </r>
      </text>
    </comment>
    <comment ref="G8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69-21 Cede -27 ton hacia Emb VIII.
Res 151-21 Cede -39 ton hacia Emb VIII.</t>
        </r>
      </text>
    </comment>
    <comment ref="M8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00049-21.
Apertura Res 00227-21.</t>
        </r>
      </text>
    </comment>
    <comment ref="M8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00121-21.
Apertura Res 00227-21.</t>
        </r>
      </text>
    </comment>
    <comment ref="G8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97-21 Cede -350 ton hacia Org 25 VIII.
Res 105-21 Cede -5 ton hacia Org 25 VIII.
Res 110-21 Cede -1 ton hacia Org 31 VIII.</t>
        </r>
      </text>
    </comment>
    <comment ref="G9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313,5 ton desde Org Pelagicos Del Maule 07.05.0150</t>
        </r>
      </text>
    </comment>
    <comment ref="G9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Cede -100 ton hacia Org 12 VIII.
Res 60-21 Cede -100 ton hacia Org 12 VIII.
Res 126-21 Cede -50 ton hacia Org 12 VIII.</t>
        </r>
      </text>
    </comment>
    <comment ref="G9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26-21 Cede -10,6 ton hacia Org 15 VIII.</t>
        </r>
      </text>
    </comment>
    <comment ref="M9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
Cierre Res 00224-21.</t>
        </r>
      </text>
    </comment>
    <comment ref="G9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16-21 Incremento de 170 ton desde Org 5 VIII.
Res 31-21 Cede -39 ton hacia Org 49 VIII.
Res 1099-21 Incremento de 100 ton desde Org 8 X.
Res 68-21 Cede -5 ton hacia Emb VIII.
Res 107-21 Cede -93,4 ton hacia Emb VIII.</t>
        </r>
      </text>
    </comment>
    <comment ref="G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17-21 Incremento de 190 ton desde Org 5 VIII.</t>
        </r>
      </text>
    </comment>
    <comment ref="M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00100-21.
Apertura Res 00109-21.</t>
        </r>
      </text>
    </comment>
    <comment ref="G9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70-21 Cede -40,5 ton hacia Org 12 VIII.</t>
        </r>
      </text>
    </comment>
    <comment ref="G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1522-21 Incremento de 50 ton desde Org 1 XIV.</t>
        </r>
      </text>
    </comment>
    <comment ref="M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00050-21.
Apertura Res 00132-21.</t>
        </r>
      </text>
    </comment>
    <comment ref="G9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Incremento de 66,04 ton desde Org 10 XIV.
Res 55-21 Cede -174 ton hacia Org 48 VIII.
Res 71-21 Cede -163 ton hacia Emb VIII.
Res 136-21 Cede -100 tom hacia Emb VIII.
Res 3048-21 Incremento de 240 ton desde Org 9 XIV.
Res 3150-21 Incremento de 1,60 ton desde Org 10 XIV.</t>
        </r>
      </text>
    </comment>
    <comment ref="M9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00102-21.
Apertura Res 00107-21
Cierre Res 00152-21.
Apertura Res 00227-21.</t>
        </r>
      </text>
    </comment>
    <comment ref="M10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00042-21.</t>
        </r>
      </text>
    </comment>
    <comment ref="G10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Incremento de 59 ton desde Org 30 VIII.
Res 488-21 Incremento de 400 ton desde Org 4 X.
Res 495-21 Incremento de 187 ton desde Org 7 X.
Res 09-21 Incremento de 60 ton desde Org 29 VIII.
Res 10-21 Incremento de 66 ton desde Org 49 VIII.
Res 11-21 Incremento de 35 ton desde Org 5 VIII.
Res 12-21 Incremento de 35 ton desde Org 5 VIII.
Res 13-21 Incremento de 35 ton desde Org 5 VIII.
Res 14-21 Incremento de 35 ton desde Org 5 VIII.
Res 164-21 Incremento de 306 ton desde LTP Pedro Irigoyen.
Res 18-21 Incremento de 25 ton desde Org 49 VIII.
Res 19-21 Incremento de 132 ton desde Org 5 VIII.
Res 22-21 Incremento de 235,8 ton desde Org 4 VIII.
Res 629-21 Incremento de 1713 ton desde LTP Orizon S.A.
Res 647-21 Incremento de 1201 ton desde LTP Foodcorp Chile.
Res 649-21 Incremento de 102 ton desde LTP Foodcorp Chile.
Res 651-21 Incremento de 685 ton desde LTP Blumar S.A.
Res 652-21 Incremento de 538 ton desde LTP Blumar S.A.
Res 653-21 Incremento de 2403 ton desde LTP Alimentos Marinos S.A.
Res 655-21 Incremento de 1932 ton desde LTP Alimentos Marinos S.A.
Res 24-21 Incremento de 350 ton desde Org 3 VIII.
Res 673-21 Incremento de 30,337 ton desde LTP Pesquera Litoral.
Res 674-21 Incremento de 30,337 ton desde LTP Pesquera Litoral.
Res 678-21 Incremento de 43,921 ton desde LTP Pesquera Litoral.
Res 679-21 Incremento de 99,161 ton desde LTP Pesquera Litoral.
Res 680-21 Incremento de 940 ton desde LTP Alimentos Marinos S.A.
Res 681-21 Incremento de 352 ton desde LTP Alimentos Marinos S.A.
Res 682-21 Incremento de 244,877 ton desde LTP Pesquera Litoral.
Res 684-21 Incremento de 7 ton desde Org 9 X.
Res 698-21 Incremento de 597,402 ton desde LTP Novamar.
Res 716-21 Incremento de 33,959 ton desde LTP Pesquera Litoral.
Res 763-21 Incremento de 219,603 ton desde LTP Pesquera Litoral.
Res 27-21 Incremento de 596 ton desde Org 3 VIII.
Res 29-21 Incremento de 10 ton desde Org 55 VIII.
Res 802-21 Incremento de 72,899 ton desde LTP Pesquera Litoral.
Res 809-21 Incremento de 6089 ton desde LTP Camanchaca Pesca Sur.
Res 811-21 Incremento de 837 ton desde LTP Alimentos Marinos S.A.
Res 808-21 Incremento de 25 ton desde Org 7 X.
Res 804-21 Incremento de 2476 ton desde LTP Alimentos Marinos S.A.
Res 842-21 Incremento de 226,395 ton desde LTP Alfonso Lepe Robles.
Res 857-21 Incremento de 452,792 ton desde LTP Gabriela Monsalve.
Res 859-21 Incremento de 170,4116 ton desde Org AGRAPES 4399 V.
Res 858-21 Incremento de 2500 ton desde Org AG Puerto de San Antonio 2510 V.
Res 35-21 Incremento de 235 ton desde Org 52 VIII.
Res 38-21 Incremento de 1,7 ton desde Org 57 VIII.
Res 918-21 Incremento de 933 ton desde LTP Camanchaca Pesca Sur.
Res 916-21 Incremento de 852 ton desde Org AG Puerto de San Antonio 2510 V.
Res 919-21 Incremento de 181,117 ton desde LTP Sandra Gajardo Palma.
Res 41-21 Incremento de 100 ton desde Org 15 VIII.
Res 976-21 Incremento de 600 ton desde LTP Blumar S.A.
Res 996-21 Incremento de 120 ton desde LTP Blumar S.A.
Res 997-21 Incremento de 305 ton desde LTP Blumar S.A.
Res 998-21 Incremento de 170 ton desde LTP Blumar S.A.
Res 1081-21 Incremento de 243 ton desde LTP Blumar S.A.
Res 1082-21 Incremento de 305 ton desde LTP Blumar S.A.
Res 1083-21 Incremento de 306 ton desde LTP Landes S.A.
Res 1084-21 Incremento de 333 ton desde LTP Landes S.A.
Res 1091-21 Incremento de 115 ton desde LTP Landes S.A.
Res 1095-21 Incremento de 460 ton desde LTP Landes S.A.
Res 1098-21 Incremento de 116 ton desde LTP Landes S.A.
Res 46-21 Incremento de 108,7 ton desde Org 41 VIII.
Res 1158-21 Incremento de 115 ton desde LTP Sociedad Pesquera Landes S.A.
Res 1159-21 Incremento de 230 ton desde LTP Sociedad Pesquera Landes S.A.
Res 1160-21 Incremento de 115 ton desde LTP Sociedad Pesquera Landes S.A.
Res 1161-21 Incremento de 460 ton desde LTP Sociedad Pesquera Landes S.A.
Res 1162-21 Incremento de 176 ton desde LTP Sociedad Pesquera Landes S.A.
Res 1163-21 Incremento de 111 ton desde LTP Sociedad Pesquera Landes S.A.
Res 1164-21 Incremento de 310 ton desde LTP Blumar S.A.
Res 1165-21 Incremento de 750 ton desde LTP Blumar S.A.
Res 1078-21 Incremento de 498 ton desde LTP Blumar S.A.
Res 1240-21 Incremento de 5672 ton desde LTP Orizon S.A.
Res 1244-21 Incremento de 238 ton desde LTP Landes S.A.
Res 58-21 Incremento de 50 ton desde Org 36 VIII.
Res 1289-21 Incremento de 47 ton desde LTP Sociedad Pesquera Landes S.A.
Res 1292-21 Incremento de 86 ton desde LTP Alimentos Marinos S.A.
Res 1314-21 Incremento de 550 ton desde LTP Blumar S.A.
Res 1315-21 Incremento de 290 ton desde LTP Blumar S.A.
Res 1324-21 Incremento de 30 ton desde LTP Alimentos Marinos S.A.
Res 1327-21 Incremento de 660 ton desde LTP Lota Protein S.A.
Res 61-21 Incremento de 29 ton desde Org 38 VIII.
Res 62-21 Incremento de 7,7 ton desde Org 28 VIII.
Res 1079-21 Incremento de 420 ton desde LTP Blumar S.A.
Res 1389-21 Incremento de 113,198 ton desde LTP Pesquera al Sur de la Isla.
Res 1390-21 Incremento de 181,116 ton desde LTP Raul Monsalve Cisternas.
Res 1392-21 Incremento de 11,37 ton desde LTP Pesquera Litoral.
Res 1434-21 Incremento de 100 ton desde LTP Blumar S.A.
Res 65-21 Incremento de 100 ton desde Org 51 VIII.
Res 1458-21 Incremento de 1054 ton desde LTP Orizon S.A.
Res 1535-21 Incremento de 153 ton desde LTP Orizon S.A.
Res 1574-21 Incremento de 53,603 ton desde LTP Pesquera Litoral SpA.
Res 1576-21 Incremento de 81 ton desde LTP Orizon S.A.
Res 68-21 Incremenmto de 5 ton desde Org 72 VIII.
Res 69-21 Incremento de 27 ton desde Org 65 VIII.
Res 71-21 Incremento de 163 ton desde Org 77 VIII.
Res 72-21 Incremento de 10 ton desde Org 51 VIII.
Res 1716-21 Incremento de 90 ton desde Org 4 X.
Res 1835-21 Incremento de 50 ton desde LTP Camanchaca Pesca Sur.
Res 1903-21 Incremento de 293 ton desde Org 6 X.
Res 2010-21 Incremento de 3 ton desde Org 9 X.
Res 90-21 Incremento de 90 ton desde Org 49 VIII.
Res 100-21 Incemento de 25 ton desde Org 49 VIII.
Res 107-21 Incremento de 93,4 ton desde Org 72 VIII.
Res 109-21 Incremento de 205 ton desde Org 64 VIII.
Res 149-21 Modf Res 109-21. 
Res 2571-21 Incremento de 5 ton desde LTP Camanchaca Pesca Sur.
Res 114-21 Incremento de 10 ton desde Org 49 VIII.
Res 115-21 Incremento de 240 ton desde Org 51 VIII.
Res 2645-21 Incremento de 0,89 ton desde LTP Pedro Irigoyen.
Res 2677-21 Incremento de 115 ton desde LTP Camanchaca Pesca Sur S.A.
Res 125-21 Incremento de 6 ton desde Org 61 VIII.
Res 2701-21 Incremento de 1 ton desde LTP Lota Protein S.A.
Res 130-21 Incremento de 390 ton desde Org 35 VIII.
Res 2743-21 Incremento de 4 ton desde LTP FoodCorp Chile S.A.
Res 2801-21 Incremento de 92 ton desde LTP Camanchaca Pesca Sur S.A.
Res 2821-21 Incremento de 135 ton desde LTP Blumar S.A.
Res 136-21 Incremento de 100 ton desde Org 77 VIII.
Res 2834-21 Incremento de 6,630 ton desde LTP Pesquera Litoral.
Res 2835-21 Incremento de 19,880 ton desde LTP Pesquera Litoral.
Res 2848-21 Incremento de 19,88 ton desde LTP Pesquera Litoral.
Res 2849-21 Incremento de 19,88 ton desde LTP Pesquera Litoral.
Res 2851-21 Incremento de 6,63 ton desde LTP Pesquera Litoral.
Res 2859-21 Incremento de 50 ton desde LTP Blumar S.A.
Res 137-21 Incremento de 2,5 ton desde Org 3 VIII.
Res 140-21 Incremento de 29 ton desde Org 18 VIII.
Res 2881-21 Incremento de 26,50 ton desde LTP Pesquera Litoral SpA.
Res 2882-21 Incremento de 100 ton desde LTP Blumar S.A.
Res 2883-21 Incremento de 108,220 ton desde LTP Blumar S.A.
Res 2914-21 Incremento de 1 ton desde LTP Foodcorp Chile S.A.
Res 2915-21 Incremento de 0,2 ton desde LTP Lota Protein S.A.
Res 3021-21 Modf Res 2915-21 Incremento de 0,45279 ton.
Res 148-21 Incremento de 20 ton desde Org 49 VIII.
Res 151-21 Incremento de 39 ton desde Org 65 VIII.
Res 1080-21 Incremento de 636 ton desde LTP Blumar S.A.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N°2928-20</t>
        </r>
      </text>
    </comment>
    <comment ref="G10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1042,6 ton desde Cuota Imprevistos.</t>
        </r>
      </text>
    </comment>
    <comment ref="M10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00008-21.
Apertura Res 00010-21
Cierre Res 00011-21
Apertura Res 00023-21
Cierre Res 00025-21
Apertura Res 00136-21
Cierre Res N°164-21</t>
        </r>
      </text>
    </comment>
    <comment ref="G10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Incremento de 550 ton desde LTP Blumar S.A.
Res 1523-21 Incremento de 50 ton desde LTP Blumar S.A.
Res 1532-21 Incremento de 100 ton desde Org 1 XIV.
Res 1533-21 Incremento de 100 ton desde Org 1 XIV.
Res 2633-21 Incremento de 100 ton desde Org 51 VIII.
Res 2821-21 Incremento de 35 ton desde LTP Blumar S.A.
Res 01-21 Incremento de 36 ton desde Org 1 XIV.
Res 2837-21 Incremento de 2 ton desde Org 8 X.
Res 3360-21 Incremento de 37 ton desde Org 3 X.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23-21
</t>
        </r>
      </text>
    </comment>
    <comment ref="G10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1521-21 Cede -75 ton hacia Org 55 VIII.
Res 1522-21 Cede -50 ton hacia Org 76 VIII.
Res 1532-21 Cede -100 ton hacia Emb IX.
Res 1533-21 Cede -100 ton hacia Emb IX.
Res 1534-21 Cede -50 ton hacia Emb XIV.
Res 2871-21 Incremento de 49,058 ton desde Cuota Imprevistos.
Res 01-21 Cede -203 ton hacia Emb IX y XIV.
Res 02-21 Cede -260 ton hacia Emb XIV.</t>
        </r>
      </text>
    </comment>
    <comment ref="G10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939-21 Cede -30 ton hacia Emb XIV.
Res 2871-21 Incremento de 87,466 ton desde Cuota Imprevistos.</t>
        </r>
      </text>
    </comment>
    <comment ref="M10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64-21.</t>
        </r>
      </text>
    </comment>
    <comment ref="G11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69,294 ton desde Cuota Imprevistos.</t>
        </r>
      </text>
    </comment>
    <comment ref="M11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N°63-21.</t>
        </r>
      </text>
    </comment>
    <comment ref="G11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51,986 ton desde Cuota Imprevistos.
Res 3202-21 Incremento de 300 ton desde Org 19 VIII</t>
        </r>
      </text>
    </comment>
    <comment ref="M11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N°66-21.
Apertura res N°79-21.
Cierre Res 80-21.</t>
        </r>
      </text>
    </comment>
    <comment ref="G11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217,179 ton desde Cuota Imprevistos.</t>
        </r>
      </text>
    </comment>
    <comment ref="M11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</t>
        </r>
      </text>
    </comment>
    <comment ref="G11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38,004 ton desde Cuota Imprevistos.</t>
        </r>
      </text>
    </comment>
    <comment ref="M11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00058-21.</t>
        </r>
      </text>
    </comment>
    <comment ref="G11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39 ton desde Cuota Imprevistos.</t>
        </r>
      </text>
    </comment>
    <comment ref="M11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N°74-21.</t>
        </r>
      </text>
    </comment>
    <comment ref="G11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45,389 ton desde Cuota Imprevistos.</t>
        </r>
      </text>
    </comment>
    <comment ref="M11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N°77-21.</t>
        </r>
      </text>
    </comment>
    <comment ref="G11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18,491 ton desde Cuota Imprevistos.
Res 3048-21 Cede -240 ton hacia Org 77 VIII.</t>
        </r>
      </text>
    </comment>
    <comment ref="M11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00061-21.</t>
        </r>
      </text>
    </comment>
    <comment ref="G11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Cede -66,04 ton hacia Org 77 VIII.
Res 1085-21 Cede -57,63 ton hacia Emb XIV.
Res 1096-21 Cede -57,63 ton hacia Emb XIV.
Res 1097-21 Cede -57,63 ton hacia Emb XIV.
Res 1778-21 Cede -69,64 ton hacia Emb XIV.
Res 2871-21 Incremento de 16,512 ton desde Cuota Imprevistos.
Res 3150-21 Cede -1,60 ton hacia Org 77 VIII.</t>
        </r>
      </text>
    </comment>
    <comment ref="G11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2871-21 Incremento de 6,623 ton desde Cuota Imprevistos.</t>
        </r>
      </text>
    </comment>
    <comment ref="M11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N°65-21.</t>
        </r>
      </text>
    </comment>
    <comment ref="G1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683-21 Incremento de 600 ton desde Org 40 VIII.
Res 861-21 Incremento de 90 ton desde Org 7 (X).
Res 881-21 Incremento de 1562,127 ton desde LTP Cristian Silva Lorca.
Res 939-21 Incremento de 30 ton desde Org 2 XIV.
Res 999-21 Incremento de 186 ton desde LTP Camanchaca Pesca Sur.
Res 1085-21 Incremento de 57,63 ton desde Org 10 XIV.
Res 1096-21 Incremento de 57,63 ton desde Org 10 XIV.
Res 1097-21 Incremento de 57,63 ton desde Org 10 XIV.
Res 1203-21 Incremento de 750 ton desde LTP Blumar S.A.
Res 1242-21 Incremento de 425 ton desde LTP Blumar S.A.
Res 1287-21 Incremento de 125 ton desde LTP Blumar S.A.
Res 1288-21 Incremento de 250 ton desde LTP Blumar S.A.
Res 1320-21 Incremento de 905,580 ton desde LTP Cristian Silva Tudela.
Res 1321-21 Incremento de 125 ton desde LTP Blumar S.A.
Res 1534-21 Incremento de 50 ton desde Org 1 XIV.
Res 1778-21 Incremento de 69,64 desde Org 10 XIV.
Res 2660-21 Incremento de 15 ton desde LTP Camanchaca Pesca Sur.
Res 2767-21 Incremento de 35 ton desde LTP Blumar S.A.
Res 2768-21 Incremento de 154 ton desde LTP Blumar S.A.
Res 2864-21 Incremento de 134 ton desde Org 59 VIII.
Res 2865-21 Incremento de 176 ton desde LTP Blumar S.A.
Res 2954-21 Incremento de 600 ton desde Org 17 VIII.
Res 01-21 Incremento de 167 ton desde Org 1 XIV.
Res 3108-21 Incremento de 1 ton desde Org 31 VIII.
Res 3151-21 Incremento de 300 ton desde Org 19 VIII.
Res 3167-21 Incremento de 250 ton desde Org 19 VIII.
Res 3168-21 Incremento de 215 ton desde Org 17 VIII. 
Res 3185-21 Incremento de 300 ton desde Org 4 VIII.
Res 02-21 Incremento de 260 ton desde Org 1 XIV.</t>
        </r>
      </text>
    </comment>
    <comment ref="C122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48-21
</t>
        </r>
      </text>
    </comment>
    <comment ref="G12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839-21 Cede -160 ton hacia Org 19 VIII.
Res 31-21 Cede -180 ton hacia Org 2 X.
Res 37-21 Cede -55,777 ton hacia Org 2 X.</t>
        </r>
      </text>
    </comment>
    <comment ref="M12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00660-21.
</t>
        </r>
      </text>
    </comment>
    <comment ref="G1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860-21 Cede -150 ton hacia Org 37 VIII.
Res 921-21 Cede -240 ton hacia Org 13 VIII.
Res 1573-21 Cede -1 ton hacia Org 19 VIII.
Res 31-21 Incremento de 180 ton desde Org 1 X.
Res 37-21 Incremento de 55,777 ton desde Org 1 X.</t>
        </r>
      </text>
    </comment>
    <comment ref="M1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00245-21.
Apertura Res 00424-21.
Cierre Res 00518-21.
Apertura Res 00555-21</t>
        </r>
      </text>
    </comment>
    <comment ref="G1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838-21 Cede -400 ton hacia Org 37 VIII.
Res 3360-21 Cede -37 ton hacia Emb IX.</t>
        </r>
      </text>
    </comment>
    <comment ref="G1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488-21 Cede -400 ton hacia Emb VIII.
Res 1716-21 Cede -90 ton hacia Emb VIII.</t>
        </r>
      </text>
    </comment>
    <comment ref="G12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Cede -200 ton hacia Org 53 VIII.
Res 1431-21 Cede -50 ton hacia Org 12 VIII.
Res 2744-21 Cede -1 ton hacia Org 15 VIII.</t>
        </r>
      </text>
    </comment>
    <comment ref="G1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1903-21 Cede -293 ton hacia Emb VIII.</t>
        </r>
      </text>
    </comment>
    <comment ref="G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495-21 Cede -187 ton hacia Emb VIII.
Res 808-21 Cede -25 ton hacia Emb VIII.
Res 861-21 Cede -90 ton hacia Emb XIV.</t>
        </r>
      </text>
    </comment>
    <comment ref="M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00087-21.
Apertura Res 00361-21.
Cierre Res 00517.</t>
        </r>
      </text>
    </comment>
    <comment ref="G12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964-21 Cede -346,483 ton hacia Org 55 VIII.
Res 1099-21 Cede -300 ton repartidos en 200 ton hacia Org 61 y 100 ton hacia Org 72 VIII.
Res 1692-21 Cede -9,980 ton hacia Org 55 VIII.
Res 2769-21 Cede -2 ton hacia Org 55 VIII.
Res 2837-21 Cede -2 ton hacia Emb IX.
Res 3355-21 Cede -144 ton hacia Org 55 VIII.</t>
        </r>
      </text>
    </comment>
    <comment ref="G13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684-21 Cede -7 ton hacia Emb VIII.
Res 2010-21 Cede -3 ton hacia Emb VIII.
Res 3036-21 Cede -3 ton hacia Org 24 VIII.
Res 3109-21 cede -120 ton haci Org 19 VIII
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Nico</author>
    <author>nperez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70-21
Res 1075-21 Modf Res 70-21
Res 2466-21 Modf Res 70-21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Cede -1551 ton hacia Emb y Org 19, 13 y 26 VIII.
Res 916-21 Cede -148 ton hacia Emb VIII.
Res 1318-21 Cede -423 ton hacia Org 15 VIII.
Res 2646-21 Cede -895 ton hacia: 745 ton a Org 19 y 150 ton a Org 13 VIII.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859-21 Cede -350,636 ton hacia Emb VIII.
Res 1386-21 Cede -87 ton hacia Org 15 VIII.
Res 2629-21 Cede -184 ton hacia Org 15 VIII.
Res 3393-21 Incremento de 141,284 ton desde Cuota Imprevistos.</t>
        </r>
      </text>
    </comment>
    <comment ref="M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00398-21.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N°2928-20
Res N°1061-21 Modf Res 2928-20
Res N°2437-21 Modf Res 2928-20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26-21.
Res 1076-21 Modf Res 26-21.
Res 2468-21 Modf Res 26-21.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Cede -460,870 ton repartido en 166,357 ton hacia Org 25, 236,5 ton hacia Org 68 y 58,013 ton hacia Org 59 VIII.
Res 1385-21 Cede -114,632 ton hacia Org 68 VIII.
Res 2776-21 Cede -241,547 ton repartido en 40 ton hacia Org 59 y 201,547 ton hacia Org 68 VIII.
Res 2891-21 rectifica res 2776-21.</t>
        </r>
      </text>
    </comment>
    <comment ref="G1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Cede -249,881 ton hacia Org 13 VIII.
Res 1459-21 Cede -62,135 ton hacia Org 34 VIII.
Res 2651-21 Cede -130,974 ton hacia Org 34 VIII.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383-2021.
Res 1072-21 Modf Res 383-21.
Res 2456-21 Modf Res 383-21.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Cede -110,5 ton hacia Org 15 VIII.
Res 23-21 Cede -12 ton hacia Org 19 VIII.
Res 132-21 Cede -30 ton hacia Org 15 VIII.
Res 146-21 Cede -6 ton hacia Org 15 VIII.</t>
        </r>
      </text>
    </comment>
    <comment ref="M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00048-21.
Apertura Res 00227-21.</t>
        </r>
      </text>
    </comment>
    <comment ref="M2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00057-21.
Apertura Res 00227-21.</t>
        </r>
      </text>
    </comment>
    <comment ref="G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24-21 Cede -450 ton hacia Emb VIII.
Res 25-21 Cede -50 ton hacia Org 15 VIII.
Res 27-21 Cede -384 ton hacia Emb VIII.
Res 137-21 Cede -747,5 ton hacia Emb VIII.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22-21 Cede -226,6 ton hacia Emb VIII.
Res 152-21 Incremento de 302 ton desde Org 47 VIII
Res 3185-21 Cede -150 ton hacia Emb XIV.</t>
        </r>
      </text>
    </comment>
    <comment ref="G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04-21 Cede -525 ton hacia Org 19 VIII.
Res 11-21 Cede -35 ton hacia Emb VIII.
Res 12-21 Cede -35 ton hacia Emb VIII.
Res 13-21 Cede -35 ton hacia Emb VIII.
Res 14-21 Cede -35 ton hacia Emb VIII.
Res 15-21 Cede -457 ton hacia Org 13 VIII.
Res 16-21 Cede -170 ton hacia Org 72 VIII.
Res 17-21 Cede -190 ton hacia Org 73 VIII.
Res 19-21 Cede -274 ton hacia Emb VIII.
Res 20-21 Cede -75 ton hacia Org 37 VIII.
Res 21-21 Cede -74,4 ton hacia Org 19 VIII.
Res 47-21 Cede -208 ton hacia Org 50 VIII.
Res 48-21 Cede -140 ton hacia Emb VIII.
Res 49-21 Cede -125 ton hacia Org 19 VIII.
Res 104-21 Cede -353 ton hacia Org 13 VIII.
Res 117-21 Cede -106 ton hacia Org 37 VIII.
Res 118-21 Cede -106 ton hacia Org 19 VIII.
Res 119-21 Cede -150 ton hacia Emb VIII.
Res 120-21 Cede -106 ton hacia Emb VIII.
Res 127-21 Cede -50 ton hacia Emb VIII.
Res 128-21 Cede -100 ton hacia Org 73 VIII.
Res 129-21 Cede -29 ton hacia Emb VIII.</t>
        </r>
      </text>
    </comment>
    <comment ref="M2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00083-21.
Cierre Res 00222-21.</t>
        </r>
      </text>
    </comment>
    <comment ref="M3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00157-21.
Apertura Res 00227-21.</t>
        </r>
      </text>
    </comment>
    <comment ref="G3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123-21 Cede -52 ton hacia Org 15 VIII.</t>
        </r>
      </text>
    </comment>
    <comment ref="M3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00123-21.</t>
        </r>
      </text>
    </comment>
    <comment ref="G3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Incremento de 200 ton desde Org 69 VIII.
Res 28-21 Cede -400 ton hacia Org 15 VIII.
Res 51-21 Incremento de 175 ton desde Org 15 VIII.
Res 1431-21 Incremento de 200 ton desde Org 5 X.
Res 70-21 Incremento de 48,5 ton desde Org 75 VIII.
Res 116-21 Incremento de 100 ton desde Org 53 VIII.
Res 121-21 Incremento de 61 ton desde Org 12 VIII.
Res 122-21 Incremento de 122 ton desde Org 12 VIII.
Res 126-21 Incremento de 200 ton desde Org 69 VIII.
Res 139-21 Incremento de 129 ton desde Org 63 VIII.
Res 142-21 Incremento de 69 ton desde Org 63 VIII.</t>
        </r>
      </text>
    </comment>
    <comment ref="M3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00153-21.
Apertura Res 00227-21.</t>
        </r>
      </text>
    </comment>
    <comment ref="G3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Incremento de 249,881 ton desde Org SIPARCON 07050193 VII.
Res 15-21 Incremento de 457 ton desde Org 5 VIII.
Res 858-21 Incremento de 100 ton desde Org AG Puerto de San Antonio 2510 V.
Res 921-21 Incremento de 460 ton desde Org 2 X.
Res 104-21 Incremento de 353 ton desde Org 5 VIII.
Res 2646-21 Incremento de 150 ton desde Org AG Puerto de San Antonio 2510 V.
Res 2824-21 Incremento de 200 ton desde Org 2 X.
Res 2862-21 Rectifica Res 2824-21 Incremento de 111,555 ton.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54-21 Incremento de 14,8 ton desde Org 30 VIII.
Res 135-21 Incremento de 84 ton desde Org 50 VIII.</t>
        </r>
      </text>
    </comment>
    <comment ref="G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Incremento de 110,5 ton desde Org 1 VIII.
Res 25-21 Incremento de 50 ton desde Org 3 VIII.
Res 26-21 Incremento de 10,2 ton desde Org 71 VIII.
Res 28-21 Incremento de 400 ton desde Org 12 VIII.
Res 32-21 Incremento de 1112 ton desde Org 45 VIII.
Res 51-21 Cede -175 ton hacia Org 12 VIII.
Res 59-21 Incremento de 551,9 ton desde Org 45 VIII.
Res 1318-21 Incremento de 423 ton desde Org Puerto de San Antonio 2510 V.
Res 1386-21 Incremento de 87 ton desde Org AG AGRAPES 4399 V.
Res 102-21 Incremento de 1167 ton desde Org 45 VIII.
Res 2629-21 Incremento de 184 ton desde Org AG AGRAPES 4399 V.
Res 123-21 Incremento de 52 ton desde Org 10 VIII.
Res 2744-21 Incremento de 300 ton desde Org 5 X.
Res 132-21 Incremento de 30 ton desde Org 1 VIII.
Res 146-21 Incremento de 6 ton desde Org 1 VIII.
Res 147-21 Incremento de 2 ton desde Org 38 VIII.</t>
        </r>
      </text>
    </comment>
    <comment ref="M3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00053-21.
Apertura Res 00089-21.
Cierre Res 00161-21.
Apertura Res 00227-21.</t>
        </r>
      </text>
    </comment>
    <comment ref="M3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00099-21.
Apertura Res 00227-21.</t>
        </r>
      </text>
    </comment>
    <comment ref="G3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2954-21 Cede -400 ton hacia Emb XIV.
Res 3168-21 Cede -195 ton hacia Emb XIV.</t>
        </r>
      </text>
    </comment>
    <comment ref="M4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00051-21.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Incremento de 190 ton desde Org 64 VIII.
Res 04-21 Incremento de 525 ton desde Org 5 VIII.
Res 05-21 Incremento de 147,9 ton desde Org 54 VIII.
Res 21-21 Incremento de 74,4 ton desde Org 5 VIII.
Res 23-21 Incremento de 12 ton desde Org 1 VIII.
Res 839-21 Incremento de 440 ton desde Org 1 X.
Res 858-21 Incremento de 451 ton desde Org AG Puerto de San Antonio 2510 V.
Res 33-21 Incremento de 1111 ton desde Org 45 VIII.
Res 49-21 Incremento de 125 ton desde Org 5 VIII.
Res 1573-21 Incremento de 495 ton desde Org 2 X.
Res 111-21 Incremento de 62,4 ton desde Org 54 VIII.
Res 118-21 Incremento de 106 ton desde Org 5 VIII.
Res 2646-21 Incremento de 745 ton desde Org AG Puerto de San Antonio 2510 V.
Res 2750-21 Incremento de 470 ton desde Org 4 X.
Res 2751-21 Incremento de 368 ton desde Org 1 X.
Res 2823-21 Incremento de 600 ton desde Org 2 X.
Res 150-21 Modf Res 131-21 Incremento de 300 ton desde Org 29 VIII.</t>
        </r>
      </text>
    </comment>
    <comment ref="G4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108-21 Incremento de 135 ton desde Org 47 VIII.</t>
        </r>
      </text>
    </comment>
    <comment ref="G4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66-21 Incremento de 56 ton desde Org 52 VIII.
Res 134-21 Incremento de 119 ton desde Org 52 VIII.</t>
        </r>
      </text>
    </comment>
    <comment ref="G4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3036-21 Incremento de 155 ton desde Org 9 X.</t>
        </r>
      </text>
    </comment>
    <comment ref="G4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166,357 ton desde Org Pelagicos Del Maule 07.05.0150
Res 97-21 Incremento de 10 ton desde Org 67 VIII.
Res 105-21 Incremento de 175 ton desde Org 67 VIII.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Incremento de 100 ton desde Org AG Puerto de San Antonio 2510 V.</t>
        </r>
      </text>
    </comment>
    <comment ref="M4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00052-21.</t>
        </r>
      </text>
    </comment>
    <comment ref="G5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62-21 Cede -9,2 ton hacia Emb VIII.</t>
        </r>
      </text>
    </comment>
    <comment ref="M5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00221-21.</t>
        </r>
      </text>
    </comment>
    <comment ref="G5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09-21 Cede -60 ton hacia Emb VIII.
Res 131-21 Cede -460 ton hacia 160 ton a Emb VIII y 300ton hacia Org 19 VIII.</t>
        </r>
      </text>
    </comment>
    <comment ref="G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Cede -56 ton hacia Emb VIII.
Res 54-21 Cede -14,8 ton hacia Org 14 VIII.
Res 113-21 Cede -29,8 ton hacia Emb VIII.</t>
        </r>
      </text>
    </comment>
    <comment ref="M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00082-21.
Cierre Res 00220-21.</t>
        </r>
      </text>
    </comment>
    <comment ref="G5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110-21 Incremento de 149 ton desde Org 67 VIII.
Res 3108-21 Cede -212 ton hacia Emb XIV región</t>
        </r>
      </text>
    </comment>
    <comment ref="G5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3190-21 Cede -400 ton hacia Emb XIV.</t>
        </r>
      </text>
    </comment>
    <comment ref="M5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00219-21.</t>
        </r>
      </text>
    </comment>
    <comment ref="G5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1459-21 Incremento de 62,135 ton desde Org STI SIPARCON, RSU 07.05.0193 VII.
Res 2651-21 Incremento de 130,974 ton desde Org STI SIPARCON, RSU 07.05.0193 VII.
Res 2911-21 Incremento de 200 ton desde Org 3 X.</t>
        </r>
      </text>
    </comment>
    <comment ref="G5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130-21 Cede -10 ton hacia Emb VIII.</t>
        </r>
      </text>
    </comment>
    <comment ref="G5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Cede -100 ton hacia Org 51 VIII.
Res 58-21 Cede -50 ton hacia Emb VIII.
Res 103-21 Cede -282,2 ton hacia Org 44 VIII.</t>
        </r>
      </text>
    </comment>
    <comment ref="M5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00218-21.</t>
        </r>
      </text>
    </comment>
    <comment ref="G5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20-21 Incremento de 75 ton desde Org 5 VIII.
Res 838-21 Incremento de 1285 ton desde Org 3 X.
Res 860-21 Incremento de 865 ton desde Org 2 X.
Res 117-21 Incremento de 106 ton desde Org 5 VIII.
Res 2912-21 Incremento de 665 ton desde Org 3 X.</t>
        </r>
      </text>
    </comment>
    <comment ref="G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Cede -60 ton hacia Org 55 VIII.
Res 121-21 Cede -61 ton hacia Org 12 VIII.
Res 122-21 Cede -122 ton hacia Org 12 VIII.
Res 147-21 Cede -2 ton hacia Org 15 VIII.</t>
        </r>
      </text>
    </comment>
    <comment ref="M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00077-21.
Cierre Res 00227-21.</t>
        </r>
      </text>
    </comment>
    <comment ref="G6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683-21 Cede -600 ton hacia Emb XIV.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46-21 Cede -79,3 ton hacia Emb VIII.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42-21 Incremento de 75 ton desde Org 51 VIII.
Res 103-21 Incremento de 282,2 ton desde Org 36 VIII.
Res 2572-21 Incremento de 264 ton desde Org 7 VIII.</t>
        </r>
      </text>
    </comment>
    <comment ref="M6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00124-21.
Apertura Res 00227-21.</t>
        </r>
      </text>
    </comment>
    <comment ref="G6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32-21 Cede -1112 ton hacia Org 15 VIII.
Res 33-21 Cede -1111 ton hacia Org 19 VIII.
Res 59-21 Cede -551,9 ton hacia Org 15 VIII.
Res 102-21 Cede -1167 ton hacia Org 15 VIII.</t>
        </r>
      </text>
    </comment>
    <comment ref="M6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00084-21.</t>
        </r>
      </text>
    </comment>
    <comment ref="G6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108-21 Cede -135 ton hacia Org 21 VIII.
Res 141-21 Incremento de 70 ton desde Org 61 VIII.
Res 152-21 cede -302 ton hacia Org 4 VIII
</t>
        </r>
      </text>
    </comment>
    <comment ref="M7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00078-21.
Apertura Res 00115-21.</t>
        </r>
      </text>
    </comment>
    <comment ref="G7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10-21 Cede -60 ton hacia Emb VIII.
Res 18-21 Cede -25 ton hacia Emb VIII.
Res 114-21 Cede -10 ton hacia Emb VIII.
Res 148-21 Cede -5 ton hacia Emb VIII.</t>
        </r>
      </text>
    </comment>
    <comment ref="G7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Cede -226 ton hacia Org 61 VIII.
Res 47-21 Incremento de 208 ton desde Org 5 VIII.
Res 135-21 Cede -84 ton hacia Org 14 VIII.
Res 145-21 Cede -114 ton hacia Emb VIII.</t>
        </r>
      </text>
    </comment>
    <comment ref="G7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Incremento de 100 ton desde Org 36 VIII.
Res 42-21 Cede -75 ton hacia Org 44 VIII.
Res 65-21 Cede -100 ton hacia Emb VIII.
Res 72-21 Cede -10 ton hacia Emb VIII.
Res 115-21 Cede -300 ton hacia Emb VIII.
Res 2633-21 Cede -304 ton hacia Emb IX.</t>
        </r>
      </text>
    </comment>
    <comment ref="G7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35-21 Cede -226 ton hacia Emb VIII.
Res 66-21 Cede -56 ton hacia Org 23 VIII.
Res 134-21 Cede -119 ton hacia Org 23 VIII.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Incremento de 400 ton desde Org 5 X.
Res 116-21 Cede -100 ton hacia Org 12 VIII.</t>
        </r>
      </text>
    </comment>
    <comment ref="G7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5-21 Cede -147,9 ton hacia Org 19 VIII.
Res 111-21 Cede -62,4 ton hacia Org 19 VIII.
Res 112-21 Cede -30 ton hacia Org 55 VIII.</t>
        </r>
      </text>
    </comment>
    <comment ref="M7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00056-21.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Incremento de 60 ton desde Org 38 VIII.
Res 29-21 Cede -90 ton hacia Emb VIII.
Res 964-21 Incremento de 632,686 ton desde Org 8 X.
Res 1194-21 Incremento de 130 ton desde Org 8 X.
Res 1521-21 Incremento de 75 ton desde Org 1 XIV.
Res 1692-21 Incremento de 318,306 ton desde Org 8 X.
Res 112-21 Incremento de 30 ton desde Org 54 VIII.
Res 2769-21 Incremento de 680,809 ton desde Org 8 X.
Res 138-21 Incremento de 100 ton desde Org 62 VIII.
Res 3355-21 Incremento de 235 ton desde Org 8 X.</t>
        </r>
      </text>
    </comment>
    <comment ref="M7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00047-21.</t>
        </r>
      </text>
    </comment>
    <comment ref="G7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38-21 Cede -1,6 ton hacia Emb VIII.</t>
        </r>
      </text>
    </comment>
    <comment ref="M7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00223-21.</t>
        </r>
      </text>
    </comment>
    <comment ref="G8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58,013 ton desde Org Pelagicos Del Maule 07.05.0150
Res 2776-21 Incremento de 40 ton desde Org Pelagicos Del Maule 07.05.0150</t>
        </r>
      </text>
    </comment>
    <comment ref="M8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00076-21.
Apertura Res 00227-21.</t>
        </r>
      </text>
    </comment>
    <comment ref="G8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Incremento de 226 ton desde Org 50 VIII.
Res 1099-21 Incremento de 294 ton desde Org 8 X.
Res 125-21 Cede -17 ton hacia Emb VIII.
Res 141-21 Cede -70 ton hacia Org 47 VIII.</t>
        </r>
      </text>
    </comment>
    <comment ref="G8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138-21 Cede -100 ton hacia Org 55 VIII.</t>
        </r>
      </text>
    </comment>
    <comment ref="M8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00098-21.
Apertura Res 00227-21.</t>
        </r>
      </text>
    </comment>
    <comment ref="G8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139-21 Cede -129 ton hacia Org 12 VIII.
Res 142-21 Cede -69 ton hacia Org 12 VIII</t>
        </r>
      </text>
    </comment>
    <comment ref="G8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Cede -190 ton hacia Org 19 VIII.</t>
        </r>
      </text>
    </comment>
    <comment ref="M8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00134-21.
Cierre Res 00212-21.</t>
        </r>
      </text>
    </comment>
    <comment ref="G8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151-21 Cede -1 ton hacia Emb VIII.</t>
        </r>
      </text>
    </comment>
    <comment ref="M8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00049-21.
Apertura Res 00227-21.</t>
        </r>
      </text>
    </comment>
    <comment ref="M8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00121-21.
Apertura Res 00227-21.</t>
        </r>
      </text>
    </comment>
    <comment ref="G8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97-21 Cede -10 ton hacia Org 25 VIII.
Res 105-21 Cede -175 ton hacia Org 25 VIII.
Res 110-21 Cede -149 ton hacia Org 31 VIII.
Res 3184-21 Cede -300 ton hacia Emb XIV</t>
        </r>
      </text>
    </comment>
    <comment ref="G9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236,5 ton desde Org Pelagicos Del Maule 07.05.0150
Res 1385-21 Incremento de 114,632 ton desde Org Pelágicos Del Maule 07.05.0150
Res 2776-21 Incremento de 201,457 ton desde Org Pelagicos Del Maule 07.05.0150
Res 2891-21 Rectifica res 2776-21 Incremento de 201,547 ton.
Res 2777-21 Incremento de 250 ton desde Org 6 X.</t>
        </r>
      </text>
    </comment>
    <comment ref="G9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Cede -200 ton hacia Org 12 VIII.
Res 126-21 Cede -200 ton hacia Org 12 VIII.</t>
        </r>
      </text>
    </comment>
    <comment ref="G9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26-21 Cede -10,2 ton hacia Org 15 VIII.</t>
        </r>
      </text>
    </comment>
    <comment ref="M9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
Cierre Res 00224-21.</t>
        </r>
      </text>
    </comment>
    <comment ref="G9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16-21 Incremento de 170 ton desde Org 5 VIII.
Res 1099-21 Incremento de 120 ton desde Org 8 X.</t>
        </r>
      </text>
    </comment>
    <comment ref="G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17-21 Incremento de 190 ton desde Org 5 VIII.
Res 128-21 Incremento de 100 ton desde Org 5 VIII.</t>
        </r>
      </text>
    </comment>
    <comment ref="M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00100-21.
Apertura Res 00109-21.</t>
        </r>
      </text>
    </comment>
    <comment ref="G9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70-21 Cede -48,5 ton hacia Org 12 VIII.</t>
        </r>
      </text>
    </comment>
    <comment ref="G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1522-21 Incremento de 50 ton desde Org 1 XIV.</t>
        </r>
      </text>
    </comment>
    <comment ref="M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00050-21.
Apertura Res 00132-21.</t>
        </r>
      </text>
    </comment>
    <comment ref="G9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Incremento de 96,84 ton desde Org 10 XIV.
Res 71-21 Cede -2 ton hacia Emb VIII.
Res 136-21 Cede -100 tom hacia Emb VIII.
Res 3048-21 Incremento de 40 ton desde Org 9 XIV.
Res 3150-21 Incremento de 76,80 ton desde Org 10 XIV.</t>
        </r>
      </text>
    </comment>
    <comment ref="M9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00102-21.
Apertura Res 00107-21
Cierre Res 00152-21.
Apertura Res 00227-21.</t>
        </r>
      </text>
    </comment>
    <comment ref="M10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00042-21.</t>
        </r>
      </text>
    </comment>
    <comment ref="G10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Incremento de 56 ton desde Org 30 VIII.
Res 488-21 Incremento de 500 ton desde Org 4 X.
Res 495-21 Incremento de 217 ton desde Org 7 X.
Res 09-21 Incremento de 60 ton desde Org 29 VIII.
Res 10-21 Incremento de 60 ton desde Org 49 VIII.
Res 11-21 Incremento de 35 ton desde Org 5 VIII.
Res 12-21 Incremento de 35 ton desde Org 5 VIII.
Res 13-21 Incremento de 35 ton desde Org 5 VIII.
Res 14-21 Incremento de 35 ton desde Org 5 VIII.
Res 164-21 Incremento de 187 ton desde LTP Pedro Irigoyen.
Res 18-21 Incremento de 25 ton desde Org 49 VIII.
Res 19-21 Incremento de 274 ton desde Org 5 VIII.
Res 22-21 Incremento de 226,6 ton desde Org 4 VIII.
Res 629-21 Incremento de 1453 ton desde LTP Orizon S.A.
Res 647-21 Incremento de 805 ton desde LTP Foodcorp Chile.
Res 649-21 Incremento de 68 ton desde LTP Foodcorp Chile.
Res 651-21 Incremento de 685 ton desde LTP Blumar S.A.
Res 652-21 Incremento de 538 ton desde LTP Blumar S.A.
Res 653-21 Incremento de 1027 ton desde LTP Alimentos Marinos S.A.
Res 654-21 Incremento de 357,918 ton desde LTP Inversiones Tridente.
Res 655-21 Incremento de 818 ton desde LTP Alimentos Marinos S.A.
Res 24-21 Incremento de 450 ton desde Org 3 VIII.
Res 675-21 Incremento de 70,282 ton desde LTP Pesquera Litoral.
Res 676-21 Incremento de 82,43 ton desde LTP Pesquera Litoral.
Res 677-21 Incremento de 70,282 ton desde LTP Pesquera Litoral.
Res 680-21 Incremento de 399 ton desde LTP Alimentos Marinos S.A.
Res 681-21 Incremento de 148 ton desde LTP Alimentos Marinos S.A.
Res 684-21 Incremento de 250 ton desde Org 9 X.
Res 696-21 Incremento de 195,228 ton desde LTP Procesos Tecnologicos Del Bio Bio.
Res 697-21 Incremento de 97,614 ton desde LTP Procesos Tecnologicos Del Bio Bio.
Res 699-21 Incremento de 1607,969 ton desde LTP Novamar.
Res 700-21 Incremento de 106,291 ton desde LTP Novamar.
Res 701-21 Incremento de 422,317 ton desde LTP Novamar.
Res 702-21 Incremento de 231,671 ton desde LTP Novamar.
Res 703-21 Incremento de 42,516 ton desde LTP Novamar.
Res 762-21 Incremento de 512,747 ton desde LTP Novamar.
Res 27-21 Incremento de 384 ton desde Org 3 VIII.
Res 29-21 Incremento de 90 ton desde Org 55 VIII.
Res 809-21 Incremento de 7748 ton desde LTP Camanchaca Pesca Sur.
Res 811-21 Incremento de 343 ton desde LTP Alimentos Marinos S.A.
Res 812-21 Incremento de 1199,568 ton desde LTP Pesquera Lepe Lta.
Res 1294-21 Modf Res 812-21 aumenta en 297,514 ton cedidas.
Res 808-21 Incremento de 20 ton desde Org 7 X.
Res 804-21 Incremento de 1060 ton desde LTP Alimentos Marinos S.A.
Res 859-21 Incremento de 350,636 ton desde Org AGRAPES 4399 V.
Res 858-21 Incremento de 900 ton desde Org AG Puerto de San Antonio 2510 V.
Res 35-21 Incremento de 226 ton desde Org 52 VIII.
Res 38-21 Incremento de 1,6 ton desde Org 57 VIII.
Res 918-21 Incremento de 1187 ton desde LTP Camanchaca Pesca Sur.
Res 916-21 Incremento de 148 ton desde Org AG Puerto de San Antonio 2510 V.
Res 976-21 Incremento de 400 ton desde LTP Blumar S.A.
Res 996-21 Incremento de 180 ton desde LTP Blumar S.A.
Res 997-21 Incremento de 305 ton desde LTP Blumar S.A.
Res 998-21 Incremento de 170 ton desde LTP BLumar S.A.
Res 1081-21 Incremento de 243 ton desde LTP BLumar S.A.
Res 1082-21 Incremento de 305 ton desde LTP BLumar S.A.
Res 1083-21 Incremento de 384 ton desde LTP Landes S.A.
Res 1084-21 Incremento de 417 ton desde LTP Landes S.A.
Res 1091-21 Incremento de 145 ton desde LTP Landes S.A.
Res 1095-21 Incremento de 580 ton desde LTP Landes S.A.
Res 1098-21 Incremento de 84 ton desde LTP Landes S.A.
Res 46-21 Incremento de 79,3 ton desde Org 41 VIII.
Res 48-21 Incremento de 140 ton desde Org 5 VIII.
Res 1158-21 Incremento de 145 ton desde LTP Sociedad Pesquera Landes S.A.
Res 1159-21 Incremento de 290 ton desde LTP Sociedad Pesquera Landes S.A.
Res 1160-21 Incremento de 145 ton desde LTP Sociedad Pesquera Landes S.A.
Res 1161-21 Incremento de 580 ton desde LTP Sociedad Pesquera Landes S.A.
Res 1162-21 Incremento de 224 ton desde LTP Sociedad Pesquera Landes S.A.
Res 1163-21 Incremento de 139 ton desde LTP Sociedad Pesquera Landes S.A.
Res 1164-21 Incremento de 320 ton desde LTP Blumar S.A.
Res 1165-21 Incremento de 750 ton desde LTP Blumar S.A.
Res 1078-21 Incremento de 498 ton desde LTP Blumar S.A.
Res 1240-21 Incremento de 4806 ton desde LTP Orizon S.A.
Res 1244-21 Incremento de 480 ton desde LTP Landes S.A.
Res 58-21 Incremento de 50 ton desde Org 36 VIII.
Res 1289-21 Incremento de 843 ton desde LTP Sociedad Pesquera Landes S.A.
Res 1292-21 Incremento de 757,794 ton desde LTP Alimentos Marinos S.A.
Res 1325-21 Incremento de 72,630 ton desde LTP Procesos Tecnologicos Del Bio Bio.
Res 1314-21 Incremento de 450 ton desde LTP Blumar S.A.
Res 1315-21 Incremento de 200 ton desde LTP Blumar S.A.
Res 1317-21 Incremento de 86,089 ton desde LTP Pesquera Litoral SpA.
Res 1319-21 Incremento de 29,238 ton desde LTP Novamar SpA.
Res 1324-21 Incremento de 232,541 ton desde LTP Alimentos Marinos S.A.
Res 1327-21 Incremento de 1950 ton desde LTP Lota Protein S.A.
Res 62-21 Incremento de 9,2 ton desde Org 28 VIII.
Res 1079-21 Incremento de 320 ton desde LTP Blumar S.A.
Res 1387-21 Incremento de 37,901 ton desde LTP Novamar SpA.
Res 1388-21 Incremento de 60,641 ton desde LTP Novamar SpA.
Res 1432-21 Incremento de 218 ton desde LTP Foodcorp Chile.
Res 1434-21 Incremento de 300 ton desde LTP Blumar S.A.
Res 65-21 Incremento de 100 ton desde Org 51 VIII.
Res 1457-21 Incremento de 630 ton desde LTP Camanchaca Pesca Sur S.A.
Res 1458-21 Incremento de 2346 ton desde LTP Orizon S.A.
Res 1535-21 Incremento de 347 ton desde LTP Orizon S.A.
Res 1536-21 Incremento de 88,77 ton desde LTP Inversiones Tridente SpA.
Res 1576-21 Incremento de 219 ton desde LTP Orizon S.A.
Res 71-21 Incremento de 2 ton desde Org 77 VIII.
Res 72-21 Incremento de 10 ton desde Org 51 VIII.
Res 1716-21 Incremento de 90 ton desde Org 4 X.
Res 1835-21 Incremento de 300 ton desde LTP Camanchaca Pesca Sur.
Res 1903-21 Incremento de 330 ton desde Org 6 X.
Res 2010-21 Incremento de 100 ton desde Org 9 X.
Res 2571-21 Incremento de 265 ton desde LTP Camanchaca Pesca Sur.
Res 114-21 Incremento de 10 ton desde Org 49 VIII.
Res 113-21 Incremento de 29,8 ton desde Org 30 VIII.
Res 115-21 Incremento de 300 ton desde Org 51 VIII.
Res 119-21 Incremento de 150 ton desde Org 5 VIII.
Res 120-21 Incremento de 106 ton desde Org 5 VIII.
Res 2628-21 Incremento de 358,057 ton desde LTP Alimentos Marinos S.A.
Res 2632-21 Incremento de 300 ton desde LTP Alimentos Marinos S.A.
Res 2645-21 Incremento de 144,6 ton desde LTP Pedro Irigoyen.
Res 2655-21 Incremento de 18 ton desde LTP Alimentos Marinos S.A.
Res 2656-21 Incremento de 552 ton desde LTP Alimentos Marinos S.A.
Res 2657-21 Incremento de 392,528 ton desde LTP Alimentos Marinos S.A.
Res 2659-21 Incremento de 344,297 ton desde LTP Alimentos Marinos S.A.
Res 2661-21 Incremento de 50 ton desde LTP Alimentos Marinos S.A.
Res 2677-21 Incremento de 3435 ton desde LTP Camanchaca Pesca Sur S.A.
Res 125-21 Incremento de 17 ton desde Org 61 VIII.
Res 127-21 Incremento de 50 ton desde Org 5 VIII.
Res 129-21 Incremento de 29 ton desde Org 5 VIII.
Res 2701-21 Incremento de 575 ton desde LTP Lota Protein S.A.
Res 130-21 Incremento de 10 ton desde Org 35 VIII.
Res 131-21 Incremento de 460 ton desde Org 29 VIII.
Res 150-21 Modf Res 131-21 Incremento de 160 ton.
Res 2743-21 Incremento de 359 ton desde LTP FoodCorp Chile S.A.
Res 2766-21 Incremento de 1350 ton desde LTP Sociedad Pesquera Landes S.A.
Res 2778-21 Incremento de 310 ton desde LTP Orizon S.A.
Res 2801-21 Incremento de 1308 ton desde LTP Camanchaca Pesca Sur S.A.
Res 2808-21 Incremento de 3560 ton desde LTP Orizon S.A.
Res 2820-21 Incremento de 520 ton desde LTP Sociedad Pesquera Landes S.A.
Res 2821-21 Incremento de 840 ton desde LTP Blumar S.A.
Res 136-21 Incremento de 100 ton desde Org 77 VIII.
Res 2836-21 Incremento de 810,930 ton desde LTP Novamar SpA.
Res 2850-21 Incremento de 271,770 ton desde LTP Pesquera Litoral SpA.
Res 2852-21 Incremento de 340,96 ton desde LTP Novamar SpA.
Res 2853-21 Incremento de 972,20 ton desde LTP Novamar SpA.
Res 2854-21 Incremento de 59,620 ton desde LTP Procesos Tecnológicos del Bio Bio.
Res 2856-21 Incremento de 184,330 ton desde LTP Pesquera Litoral SpA.
Res 2857-21 Incremento de 96,780 ton desde LTP Pesquera Litoral SpA.
Res 2858-21 Incremento de 94,430 ton desde LTP Pesquera Litoral SpA.
Res 2859-21 Incremento de 320 ton desde LTP Blumar S.A.
Res 2860-21 Incremento de 43,79 ton desde LTP Procesos Tecnológicos del Bio Bio.
Res 2861-21 Incremento de 50,436 ton desde LTP Procesos Tecnológicos del Bio Bio.
Res 137-21 Incremento de 747,5 ton desde Org 3 VIII.
Res 2879-21 Incremento de 630,198 ton desde LTP Pesquera Lepe Limitada.
Res 2882-21 Incremento de 640 ton desde LTP Blumar S.A.
Res 2886-21 Incremento de 188,03 ton desde LTP Inversiones Tridente SpA.
Res 2913-21 Incremento de 55 ton desde Org 3 X.
Res 2914-21 Incremento de 99 ton desde LTP Foodcorp Chile S.A.
Res 2915-21 Incremento de 250 ton desde LTP Lota Protein S.A.
Res 145-21 Incremento de 114 ton desde Org 50 VIII.
Res 148-21 Incremento de 5 ton desde Org 49 VIII.
Res 151-21 Incremento de 1 ton desde Org 65 VIII.
Res 1080-21 Incremento de 612 ton desde LTP Blumar S.A.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N°2928-20
Res N°1061-21 Modf Res 2928-20
Res N°2437-21 Modf Res 2928-20</t>
        </r>
      </text>
    </comment>
    <comment ref="G10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806-21 Modf Res 2928-20 Activa Cuota de Imprevistos incremento de 733 ton.
Res 2103-21 Modf Res 2928-20 Activa Cuota de Imprevistos Incremento de 181 ton.</t>
        </r>
      </text>
    </comment>
    <comment ref="M10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00008-21.
Apertura Res 00010-21
Cierre Res 00011-21
Apertura Res 00023-21
Cierre Res 00025-21
Apertura Res 00136-21
Cierre Res N°164-21</t>
        </r>
      </text>
    </comment>
    <comment ref="G10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Incremento de 550 ton desde LTP Blumar S.A.
Res 1523-21 Incremento de 600 ton desde LTP Blumar S.A.
Res 1532-21 Incremento de 100 ton desde Org 1 XIV.
Res 1533-21 Incremento de 100 ton desde Org 1 XIV.
Res 2633-21 Incremento de 304 ton desde Org 51 VIII.
Res 2752-21 Incremento de 900 ton desde Org 3 X.
Res 2821-21 Incremento de 260 ton desde LTP Blumar S.A.
Res 01-21 Incremento de 400 ton desde Org 1 XIV.
Res 2837-21 Incremento de 250,482 ton desde Org 8 X.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23-21
Res 1073-21 Modf Res 23-21.
Res 2464-21 Modf Res 23-21.</t>
        </r>
      </text>
    </comment>
    <comment ref="G10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1521-21 Cede -75 ton hacia Org 55 VIII.
Res 1522-21 Cede -50 ton hacia Org 76 VIII.
Res 1532-21 Cede -100 ton hacia Emb IX.
Res 1533-21 Cede -100 ton hacia Emb IX.
Res 1534-21 Cede -150 ton hacia Emb XIV.
Res 01-21 Cede -628 ton hacia Emb IX y XIV.
Res 02-21 Cede -409 ton hacia Emb XIV.</t>
        </r>
      </text>
    </comment>
    <comment ref="G10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939-21 Cede -270 ton hacia Emb XIV.</t>
        </r>
      </text>
    </comment>
    <comment ref="M10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64-21.</t>
        </r>
      </text>
    </comment>
    <comment ref="M11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N°63-21.</t>
        </r>
      </text>
    </comment>
    <comment ref="M11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N°66-21.
Apertura res N°79-21.
Cierre Res 80-21.</t>
        </r>
      </text>
    </comment>
    <comment ref="M11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</t>
        </r>
      </text>
    </comment>
    <comment ref="M11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00058-21.</t>
        </r>
      </text>
    </comment>
    <comment ref="M11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N°74-21.</t>
        </r>
      </text>
    </comment>
    <comment ref="M11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N°77-21.</t>
        </r>
      </text>
    </comment>
    <comment ref="G11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3048-21 Cede -40 ton hacia Org 77 VIII.</t>
        </r>
      </text>
    </comment>
    <comment ref="M11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00061-21.</t>
        </r>
      </text>
    </comment>
    <comment ref="G11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Cede -96,84 ton hacia Org 77 VIII.
Res 1085-21 Cede -84,51 ton hacia Emb XIV.
Res 1096-21 Cede -84,51 ton hacia Emb XIV.
Res 1097-21 Cede -84,51 ton hacia Emb XIV.
Res 1778-21 Cede -169,43 ton hacia Emb XIV.
Res 2699-21 Cede -207,70 ton hacia Emb XIV.
Res 3150-21 Cede -76,80 ton hacia Org 77 VIII.</t>
        </r>
      </text>
    </comment>
    <comment ref="M11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N°65-21.</t>
        </r>
      </text>
    </comment>
    <comment ref="G1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656-21 Incremento de 390,456 ton desde LTP Gonzalo Galdamez.
Res 683-21 Incremento de 600 ton desde Org 40 VIII.
Res 861-21 Incremento de 80 ton desde Org 7 (X).
Res 882-21 Incremento de 585,684 ton desde LTP Cristian Silva Lorca.
Res 939-21 Incremento de 270 ton desde Org 2 XIV.
Res 975-21 Incremento de 585,684 ton desde LTP Soc. Pesquera Mehuin Rey.
Res 999-21 Incremento de 314 ton desde LTP Camanchaca Pesca Sur.
Res 1085-21 Incremento de 84,51 ton desde Org 10 XIV.
Res 1096-21 Incremento de 84,51 ton desde Org 10 XIV.
Res 1097-21 Incremento de 84,51 ton desde Org 10 XIV.
Res 1198-21 Incremento de 97,614 ton desde LTP Susan Monsalve Salas.
Res 1202-21 Incremento de 195,228 ton desde LTP Julio Segundo Saez.
Res 1203-21 Incremento de 750 ton desde LTP Blumar S.A.
Res 1242-21 Incremento de 425 ton desde LTP Blumar S.A.
Res 1243-21 Incremento de 121,824 ton desde LTP Fabian Monsalve Salas.
Res 1287-21 Incremento de 125 ton desde LTP Blumar S.A.
Res 1288-21 Incremento de 250 ton desde LTP Blumar S.A.
Res 1321-21 Incremento de 125 ton desde LTP Blumar S.A.
res 1326-21 Incremento de 700 ton desde LTP Camanchaca Pesca Sur.
Res 1534-21 Incremento de 50 ton desde Org 1 XIV.
Res 1778-21 Incremento de 169,43 desde Org 10 XIV.
Res 2627-21 Incremento de 301,968 ton desde LTP Gonzalo Galdamez.
Res 2660-21 Incremento de 495 ton desde LTP Camanchaca Pesca Sur.
Res 2699-21 Incremento de 207,70 ton desde Org 10 XIV.
Res 2700-21 Incremento de 452,952 ton desde LTP Cristian Silva Lorca.
Res 2767-21 Incremento de 175 ton desde LTP Blumar S.A.
Res 2768-21 Incremento de 2261 ton desde LTP Blumar S.A.
Res 2832-21 Incremento de 51,282 ton desde LTP Susan Monsalve Salas.
Res 2833-21 Incremento de 51,282 ton desde LTP Fabian Monsalve Salas.
Res 2855-21 Incremento de 150,984 ton desde LTP Julio Segundo Saez.
Res 2865-21 Incremento de 2684 ton desde LTP Blumar S.A.
Res 2954-21 Incremento de 400 ton desde Org 17 VIII.
Res 01-21 Incremento de 228 ton desde Org 1 XIV.
Res 3108-21 Incremento de 212 ton desde Org 31 VIII.
Res 3168-21 Incremento de 195 ton desde Org 17 VIII. 
Res 3185-21 Incremento de 150 ton desde Org 4 VIII.
Res 3184-21 Incremento de 300 ton desde Org 67 VIII.
Res 3186-21 Incremento de 452,952 ton desde LTP Soc. Pesquera Mehuin Rey.
Res 02-21 Incremento de 490 ton desde Org 1 XIV.
Res 3190-21 Incremento de 400 ton desde Org 32 VIII.</t>
        </r>
      </text>
    </comment>
    <comment ref="C122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48-21
Res 1074-21 Modf Res 48-21.
Res 2467-21 Modf Res 48-21.</t>
        </r>
      </text>
    </comment>
    <comment ref="G12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839-21 Cede -440 ton hacia Org 19 VIII.
Res 2751-21 Cede -368 ton hacia Org 19 VIII.
Res 37-21 Cede -8,125 ton hacia Org 2 X.</t>
        </r>
      </text>
    </comment>
    <comment ref="M12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00660-21.
</t>
        </r>
      </text>
    </comment>
    <comment ref="G1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860-21 Cede -865 ton hacia Org 37 VIII.
Res 921-21 Cede -460 ton hacia Org 13 VIII.
Res 1573-21 Cede -495 ton hacia Org 19 VIII.
Res 2823-21 Cede -600 ton hacia Org 19 VIII.
Res 2824-21 Cede -200 ton hacia Org 13 VIII.
Res 2862-21 Rectifica Res 2824-21 Cede -111,555 ton.
Res 37-21 Incremento de 8,125 ton desde Org 1 X.</t>
        </r>
      </text>
    </comment>
    <comment ref="M1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00245-21.
Apertura Res 00424-21.
Cierre Res 00518-21.
Apertura Res 00555-21</t>
        </r>
      </text>
    </comment>
    <comment ref="G1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838-21 Cede -1285 ton hacia Org 37 VIII.
Res 2752-21 Cede -900 ton hacia Emb IX.
Res 2911-21 Cede -200 ton hacia Org 34 VIII.
Res 2912-21 Cede -665 ton hacia Org 37 VIII.
Res 2913-21 Cede -55 ton hacia Emb VIII.</t>
        </r>
      </text>
    </comment>
    <comment ref="G1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488-21 Cede -500 ton hacia Emb VIII.
Res 1716-21 Cede -90 ton hacia Emb VIII.
Res 2750-21 Cede -470 ton hacia Org 19 VIII.</t>
        </r>
      </text>
    </comment>
    <comment ref="G12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Cede -400 ton hacia Org 53 VIII.
Res 1431-21 Cede -200 ton hacia Org 12 VIII.
Res 2744-21 Cede -300 ton hacia Org 15 VIII.</t>
        </r>
      </text>
    </comment>
    <comment ref="G1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1903-21 Cede -330 ton hacia Emb VIII.
Res 2777-21 Cede -250 ton hacia Org VIII.</t>
        </r>
      </text>
    </comment>
    <comment ref="G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495-21 Cede -217 ton hacia Emb VIII.
Res 808-21 Cede -20 ton hacia Emb VIII.
Res 861-21 Cede -80 ton hacia Emb XIV.
Res 2572-21 Cede -264 ton hacia Org 44 VIII.</t>
        </r>
      </text>
    </comment>
    <comment ref="M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00087-21.
Apertura Res 00361-21.
Cierre Res 00517.</t>
        </r>
      </text>
    </comment>
    <comment ref="G12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964-21 Cede -632,686 ton hacia Org 55 VIII.
Res 1099-21 Cede -414 ton repartidos en 294 ton hacia Org 61 y 120 ton hacia Org 72 VIII.
Res 1194-21 Cede -130 ton hacia Org 55 VIII.
Res 1692-21 Cede -318,306 ton hacia Org 55 VIII.
Res 2769-21 Cede -680,809 ton hacia Org 55 VIII.
Res 2837-21 Cede -250,482 ton hacia Emb IX.
Res 3355-21 Cede -235 ton hacia Org 55 VIII.</t>
        </r>
      </text>
    </comment>
    <comment ref="G13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684-21 Cede -250 ton hacia Emb VIII.
Res 2010-21 Cede -100 ton hacia Emb VIII.
Res 3036-21 Cede -155 ton hacia Org 24 VIII.</t>
        </r>
      </text>
    </comment>
  </commentList>
</comments>
</file>

<file path=xl/comments5.xml><?xml version="1.0" encoding="utf-8"?>
<comments xmlns="http://schemas.openxmlformats.org/spreadsheetml/2006/main">
  <authors>
    <author>PEREZ SALGADO, NICOLAS RODRIGO</author>
    <author>Nico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281-20
282-20
283-20
284-20
294-20
295-20
296-20
297-20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00072-21.
Apertura Res 00228-21.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264-20
265-20
266-20
267-20
268-20
269-20
270-20
271-20
294-20
295-20
296-20
297-20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272-20
273-20
274-20
285-20
286-20
287-20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261-20
262-20
263-20
285-20
286-20
287-20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275-20
276-20
277-20
278-20
279-20
280-20
288-20
289-20
290-20
291-20
292-20
293-20
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00071-21.
Apertura Res 00228-21.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288-20
289-20
290-20
291-20
292-20
293-20
</t>
        </r>
      </text>
    </comment>
    <comment ref="E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Resoluciones:
264-21
265-21</t>
        </r>
      </text>
    </comment>
    <comment ref="I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00070-21.
Apertura Res 00228-21.</t>
        </r>
      </text>
    </comment>
  </commentList>
</comments>
</file>

<file path=xl/comments6.xml><?xml version="1.0" encoding="utf-8"?>
<comments xmlns="http://schemas.openxmlformats.org/spreadsheetml/2006/main">
  <authors>
    <author>Nico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1653-21 Modf Res 880-21
Res 2749-21 Deja sin efecto Res 880-21</t>
        </r>
      </text>
    </comment>
  </commentList>
</comments>
</file>

<file path=xl/comments7.xml><?xml version="1.0" encoding="utf-8"?>
<comments xmlns="http://schemas.openxmlformats.org/spreadsheetml/2006/main">
  <authors>
    <author>Nico</author>
    <author>nperez</author>
  </authors>
  <commentList>
    <comment ref="D4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K4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K49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K70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854-21 Modf Res 682-21 Incorpora embarcacion.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854-21 Modf Res 682-21 Incorpora embarcacion.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856-21 Modf Res 697-21 Incorpora embarcacion.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856-21 Modf Res 697-21 Incorpora embarcacion.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855-21 Modf Res 701-21 Incorpora embarcacion.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855-21 Modf Res 701-21 Incorpora embarcacion.</t>
        </r>
      </text>
    </comment>
    <comment ref="D35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K35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D35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D353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D387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K387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D38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K38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D598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K598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599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60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K60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601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84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149-21 Modf Res 109-21.</t>
        </r>
      </text>
    </comment>
    <comment ref="K84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149-21 Modf Res 109-21.</t>
        </r>
      </text>
    </comment>
    <comment ref="D946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150-21 Modf Res 131-21.</t>
        </r>
      </text>
    </comment>
    <comment ref="K946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150-21 Modf Res 131-21.</t>
        </r>
      </text>
    </comment>
    <comment ref="D1114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3021-21 Modf Res 2915-21</t>
        </r>
      </text>
    </comment>
    <comment ref="K1114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3021-21 Modf Res 2915-21</t>
        </r>
      </text>
    </comment>
    <comment ref="D1115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3021-21 Modf Res 2915-21</t>
        </r>
      </text>
    </comment>
    <comment ref="D1116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3021-21 Modf Res 2915-21</t>
        </r>
      </text>
    </comment>
    <comment ref="D1117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3021-21 Modf Res 2915-21</t>
        </r>
      </text>
    </comment>
  </commentList>
</comments>
</file>

<file path=xl/comments8.xml><?xml version="1.0" encoding="utf-8"?>
<comments xmlns="http://schemas.openxmlformats.org/spreadsheetml/2006/main">
  <authors>
    <author>Nico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1070-21 Rectifica Res 861-21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1070-21 Rectifica Res 861-21</t>
        </r>
      </text>
    </comment>
  </commentList>
</comments>
</file>

<file path=xl/sharedStrings.xml><?xml version="1.0" encoding="utf-8"?>
<sst xmlns="http://schemas.openxmlformats.org/spreadsheetml/2006/main" count="11758" uniqueCount="776">
  <si>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</si>
  <si>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</si>
  <si>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</si>
  <si>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</si>
  <si>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</si>
  <si>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</si>
  <si>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</si>
  <si>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</si>
  <si>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</si>
  <si>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</si>
  <si>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CAMANCHACA S.A.CIA PESQ.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</si>
  <si>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</si>
  <si>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</si>
  <si>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</si>
  <si>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</si>
  <si>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</si>
  <si>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</si>
  <si>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</si>
  <si>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</si>
  <si>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</si>
  <si>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</si>
  <si>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</si>
  <si>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</si>
  <si>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</si>
  <si>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</si>
  <si>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</si>
  <si>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</si>
  <si>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</si>
  <si>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</si>
  <si>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</si>
  <si>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</si>
  <si>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SUSAN MONSALVE SALAS</t>
  </si>
  <si>
    <t>PROCESOS TECNOLOGICOS DEL BIOBIO S.A.</t>
  </si>
  <si>
    <t>PESQ. LEPE LTDA.</t>
  </si>
  <si>
    <t>COMERCIAL Y CONSERVERA SAN LAZARO LTDA.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</si>
  <si>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</si>
  <si>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</si>
  <si>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</si>
  <si>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</si>
  <si>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</si>
  <si>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</si>
  <si>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</si>
  <si>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</si>
  <si>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</si>
  <si>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</si>
  <si>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</si>
  <si>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</si>
  <si>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</si>
  <si>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</si>
  <si>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</si>
  <si>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</si>
  <si>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</si>
  <si>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</si>
  <si>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</si>
  <si>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</si>
  <si>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</si>
  <si>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</si>
  <si>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</si>
  <si>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</si>
  <si>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</si>
  <si>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</si>
  <si>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</si>
  <si>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</si>
  <si>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</si>
  <si>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>Asociación Gremial de Productores Pelágicos Artesanales de las Caletas de Talcahuano y San Vicente de la VIII Región GEMAR A.G., Registro de Asociaciones Gremiales 464-8</t>
  </si>
  <si>
    <t>Cooperativa de Pescadores Sol de Israel Limitada "COOPES LTDA". Rol 5483</t>
  </si>
  <si>
    <t>Cooperativa de Pescadores y Armadores Artesanales de Lota "GEVIMAR". Registro de Cooperativa Rol 4465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</si>
  <si>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</si>
  <si>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</si>
  <si>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</si>
  <si>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</si>
  <si>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</si>
  <si>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</si>
  <si>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</si>
  <si>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</si>
  <si>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</si>
  <si>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</si>
  <si>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</si>
  <si>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</si>
  <si>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</si>
  <si>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</si>
  <si>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</si>
  <si>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</si>
  <si>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</si>
  <si>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</si>
  <si>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</si>
  <si>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</si>
  <si>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</si>
  <si>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</si>
  <si>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</si>
  <si>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</si>
  <si>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</si>
  <si>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>Sindicato de Trabajadores Independientes Pescadores de la Caleta Cocholgüe, Registro Sindical Único 08.06.0023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</si>
  <si>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</si>
  <si>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</si>
  <si>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</si>
  <si>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</si>
  <si>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</si>
  <si>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</si>
  <si>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</si>
  <si>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</si>
  <si>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>Sindicato de Trabajadores Independientes, Tripulantes y Armadores de Botes, Pescadores Artesanales, Algueros, Mariscadores y Actividades conexas de la caleta Tumbes de la comuna de Talcahuano. Registro Sindical Único 08.050.0495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</si>
  <si>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</si>
  <si>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</si>
  <si>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</si>
  <si>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</si>
  <si>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</si>
  <si>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</si>
  <si>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AGAMAR.  RAG 156-10</t>
  </si>
  <si>
    <t>PESCA AUSTRAL.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</si>
  <si>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</si>
  <si>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</si>
  <si>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</si>
  <si>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</si>
  <si>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</si>
  <si>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</si>
  <si>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AG APEVAL. RAG 29-14</t>
  </si>
  <si>
    <t xml:space="preserve"> AG ACERVAL. RAG 207-10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</si>
  <si>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</si>
  <si>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</si>
  <si>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</si>
  <si>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</si>
  <si>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</si>
  <si>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</si>
  <si>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</si>
  <si>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</si>
  <si>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</si>
  <si>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</si>
  <si>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</si>
  <si>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</si>
  <si>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</si>
  <si>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ASOCIACION GREMIAL AGRAPES DE SAN ANTONIO "AG AGRAPESCA" RAG 4399</t>
  </si>
  <si>
    <t>STI MUELLE SUD AMERICANA. RSU 05.01.0462</t>
  </si>
  <si>
    <t>Cuota Residual V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</si>
  <si>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</si>
  <si>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</si>
  <si>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</si>
  <si>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</si>
  <si>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</si>
  <si>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</si>
  <si>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</si>
  <si>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</si>
  <si>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</si>
  <si>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</si>
  <si>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</si>
  <si>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</si>
  <si>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</si>
  <si>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</si>
  <si>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</si>
  <si>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</si>
  <si>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</si>
  <si>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</si>
  <si>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</si>
  <si>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</si>
  <si>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</si>
  <si>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</si>
  <si>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</si>
  <si>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Captura Anchoveta</t>
  </si>
  <si>
    <t>Captura Sardina comun</t>
  </si>
  <si>
    <t>Cargos por exceso</t>
  </si>
  <si>
    <t>Saldo Sardina común</t>
  </si>
  <si>
    <t>Saldo Mixto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</si>
  <si>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</si>
  <si>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</si>
  <si>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</si>
  <si>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</si>
  <si>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</si>
  <si>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</si>
  <si>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</si>
  <si>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</si>
  <si>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</si>
  <si>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</si>
  <si>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Cooperativa Pesquera Artesanal de Coronel Limitada. ROL 5472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</si>
  <si>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</si>
  <si>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</si>
  <si>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</si>
  <si>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</si>
  <si>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</si>
  <si>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</si>
  <si>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</si>
  <si>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</si>
  <si>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</si>
  <si>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</si>
  <si>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</si>
  <si>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</si>
  <si>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</si>
  <si>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 xml:space="preserve">Adjudicatario </t>
  </si>
  <si>
    <t>Incomar</t>
  </si>
  <si>
    <t>Lota Seafood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</si>
  <si>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</si>
  <si>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</si>
  <si>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</si>
  <si>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</si>
  <si>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</si>
  <si>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</si>
  <si>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</si>
  <si>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 xml:space="preserve">Cesiones Individuales 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</si>
  <si>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</si>
  <si>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</si>
  <si>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</si>
  <si>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</si>
  <si>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</si>
  <si>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</si>
  <si>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</si>
  <si>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</si>
  <si>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</si>
  <si>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</si>
  <si>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</si>
  <si>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 xml:space="preserve">ID de la Org. Cedente </t>
  </si>
  <si>
    <t>Proveniente</t>
  </si>
  <si>
    <t xml:space="preserve">ID de la Org. Cedente/Nombre del Cedente </t>
  </si>
  <si>
    <t>Region nave cesionaria</t>
  </si>
  <si>
    <t>XIV</t>
  </si>
  <si>
    <t>IX</t>
  </si>
  <si>
    <t>Exceso Ton IC</t>
  </si>
  <si>
    <t>INVERSIONES PESQUERA PEDRO IRIGOYEN LIMITADA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</si>
  <si>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</si>
  <si>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</si>
  <si>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</si>
  <si>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</si>
  <si>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</si>
  <si>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</si>
  <si>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</si>
  <si>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</si>
  <si>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</si>
  <si>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</si>
  <si>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</si>
  <si>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</si>
  <si>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</si>
  <si>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</si>
  <si>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</si>
  <si>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</si>
  <si>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</si>
  <si>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Enero</t>
  </si>
  <si>
    <t>Diciembre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</si>
  <si>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</si>
  <si>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</si>
  <si>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</si>
  <si>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</si>
  <si>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</si>
  <si>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</si>
  <si>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</si>
  <si>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</si>
  <si>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</si>
  <si>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</si>
  <si>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</si>
  <si>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</si>
  <si>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</si>
  <si>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</si>
  <si>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</si>
  <si>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</si>
  <si>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</si>
  <si>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</si>
  <si>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</si>
  <si>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</si>
  <si>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</si>
  <si>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</si>
  <si>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Cesiones Individuales y Colectivas</t>
  </si>
  <si>
    <t>Resolución</t>
  </si>
  <si>
    <t>Embarcación</t>
  </si>
  <si>
    <t>Cuota</t>
  </si>
  <si>
    <t>Asociación Gremial de Pescadores Artesanales BLUE A.G. – BLUE A.G. Registro de Asociaciones Gremiales RAG N° 661-8</t>
  </si>
  <si>
    <t>Sindicato Independiente de Pescadores Artesanales, Tripulantes Artesanales de Cerco y Ramos Conexos. RSU 8070220</t>
  </si>
  <si>
    <t>Sociedad Cooperativa Benesino Limitada ROL 5871</t>
  </si>
  <si>
    <t>Información Preliminar</t>
  </si>
  <si>
    <t>Sindicato  de Trabajadores  Independientes de Pescadores Montemar, de la Comuna de San Antonio, provincia de San Antonio, V region. Registro Único Sindical  N° 05040117</t>
  </si>
  <si>
    <t>Sindicato de Trabajadores Independientes Pescadores Artesanales de Caleta Higuerilla, Concon. Registro Unico Sindical N° 5060048</t>
  </si>
  <si>
    <t>GABRIELA MONSALVE CISTERNAS</t>
  </si>
  <si>
    <t>CRISTIAN SILVA TUDELA</t>
  </si>
  <si>
    <t>GONZALO GALDAMEZ SANTIBAÑEZ</t>
  </si>
  <si>
    <t>AGARMAR.  RAG 156-10</t>
  </si>
  <si>
    <t>Del Sur</t>
  </si>
  <si>
    <t>Imputacion Conjunta</t>
  </si>
  <si>
    <t>Cuota efectiva conjunta</t>
  </si>
  <si>
    <t>Saldo conjunto</t>
  </si>
  <si>
    <t>Saldo anchoveta</t>
  </si>
  <si>
    <t>Saldo sardina</t>
  </si>
  <si>
    <t>RESUMEN CONTROL DE CUOTA ANCHOVETA Y SARDINA COMÚN V-X 2021</t>
  </si>
  <si>
    <t>Northwestern</t>
  </si>
  <si>
    <t>Sardina comun</t>
  </si>
  <si>
    <t>Capello</t>
  </si>
  <si>
    <t>Anselmo I</t>
  </si>
  <si>
    <t>Asociación Gremial de Armadores, Pescadores Artesanales y Actividades Afines, SIMBA A.G. Registro de Asociaciones Gremiales RAG N° 679-8</t>
  </si>
  <si>
    <t>Asociación Gremial de Armadores, Pescadores Artesanales y Actividades Afines, CHALLWAFE A.G. Registro de Asociaciones Gremiales RAG N° 674-8</t>
  </si>
  <si>
    <t>Asociación Gremial de Armadores, Pescadores Artesanales y Actividades Afines, de las Caletas de Coronel y Lota de la Región del Biobío PESCA SUR A.G. Registro de Asociaciones Gremiales RAG N° 680-8</t>
  </si>
  <si>
    <t>Sindicato de Trabajadores Independientes de Pescadores Artesanales y Armadores, Buzos mariscadores, Recolectores de orilla, Acuicultores y Ramos Afines de la Pesca Artesanal "GRAN GOLFO DE ARAUCO" Registro Sindical Único R.S.U N° 08.04.0189</t>
  </si>
  <si>
    <t>30 (VIII)</t>
  </si>
  <si>
    <t>Art-Art</t>
  </si>
  <si>
    <t>Colectiva</t>
  </si>
  <si>
    <t>DZP VIII</t>
  </si>
  <si>
    <t>Vivicita I</t>
  </si>
  <si>
    <t>Jean Carlos</t>
  </si>
  <si>
    <t>4 (X)</t>
  </si>
  <si>
    <t>Individual</t>
  </si>
  <si>
    <t>SSP</t>
  </si>
  <si>
    <t>Don Mateo</t>
  </si>
  <si>
    <t>Blumar S.A.</t>
  </si>
  <si>
    <t>Ind-Art</t>
  </si>
  <si>
    <t>Rio Queule I</t>
  </si>
  <si>
    <t>Rio Tolten I</t>
  </si>
  <si>
    <t>7 (X)</t>
  </si>
  <si>
    <t>29 (VIII)</t>
  </si>
  <si>
    <t>Joaquin Isaac</t>
  </si>
  <si>
    <t>49 (VIII)</t>
  </si>
  <si>
    <t>Ventisquero</t>
  </si>
  <si>
    <t>5 (VIII)</t>
  </si>
  <si>
    <t>Josefa Antonia</t>
  </si>
  <si>
    <t>Lonquimay</t>
  </si>
  <si>
    <t>Carpintero</t>
  </si>
  <si>
    <t>Doncella II</t>
  </si>
  <si>
    <t>Getsemani II</t>
  </si>
  <si>
    <t>Inversiones Pesqueras Pedro Irigoyen</t>
  </si>
  <si>
    <t>Lorenzo</t>
  </si>
  <si>
    <t>Mar de Liguria</t>
  </si>
  <si>
    <t>4 (VIII)</t>
  </si>
  <si>
    <t>Novia Del Mar</t>
  </si>
  <si>
    <t>Orizon S.A.</t>
  </si>
  <si>
    <t>Don Mañe</t>
  </si>
  <si>
    <t>Dario Abrahan I</t>
  </si>
  <si>
    <t>Juanita</t>
  </si>
  <si>
    <t>Don Coquera</t>
  </si>
  <si>
    <t>Don Manuel R</t>
  </si>
  <si>
    <t>Don Mati I</t>
  </si>
  <si>
    <t>Sergio Javier</t>
  </si>
  <si>
    <t>Lauca</t>
  </si>
  <si>
    <t>Don Kevin</t>
  </si>
  <si>
    <t>Doña Isabel</t>
  </si>
  <si>
    <t>Alexander II</t>
  </si>
  <si>
    <t>Mariela III</t>
  </si>
  <si>
    <t>Ernesto II</t>
  </si>
  <si>
    <t>Paulina M II</t>
  </si>
  <si>
    <t>Camila David</t>
  </si>
  <si>
    <t>Halcon I</t>
  </si>
  <si>
    <t>Abraham</t>
  </si>
  <si>
    <t>Foodcorp Chile</t>
  </si>
  <si>
    <t>Eben Ezer III</t>
  </si>
  <si>
    <t>Agustin Ignacio</t>
  </si>
  <si>
    <t>Doña Flor</t>
  </si>
  <si>
    <t>Don Tato</t>
  </si>
  <si>
    <t>Jairo Eli</t>
  </si>
  <si>
    <t>Josefa I</t>
  </si>
  <si>
    <t>Don Dionisio II</t>
  </si>
  <si>
    <t>Odiseo II</t>
  </si>
  <si>
    <t>Quimera</t>
  </si>
  <si>
    <t>Don Luis Alberto</t>
  </si>
  <si>
    <t>Matias R</t>
  </si>
  <si>
    <t>Matias</t>
  </si>
  <si>
    <t>Matilda</t>
  </si>
  <si>
    <t>Chumingo</t>
  </si>
  <si>
    <t>Cristina</t>
  </si>
  <si>
    <t>Teresita II</t>
  </si>
  <si>
    <t>Marwejuan</t>
  </si>
  <si>
    <t>Doña Isabel I</t>
  </si>
  <si>
    <t>Marcela E</t>
  </si>
  <si>
    <t>Martin Renato</t>
  </si>
  <si>
    <t>Julieta Ignacia</t>
  </si>
  <si>
    <t>Don Rodrigo B</t>
  </si>
  <si>
    <t>Don Norma</t>
  </si>
  <si>
    <t>Rey De Reyes</t>
  </si>
  <si>
    <t>Titan Del Mar</t>
  </si>
  <si>
    <t>Don Alonso</t>
  </si>
  <si>
    <t>Tiare</t>
  </si>
  <si>
    <t>Maria Jesus III</t>
  </si>
  <si>
    <t>La Doncella I</t>
  </si>
  <si>
    <t>Monserrat I</t>
  </si>
  <si>
    <t>Don Jose L I</t>
  </si>
  <si>
    <t>Dario Abraham</t>
  </si>
  <si>
    <t>Lerito</t>
  </si>
  <si>
    <t>Bendicion II</t>
  </si>
  <si>
    <t>Don Pedrito</t>
  </si>
  <si>
    <t>Felipe R</t>
  </si>
  <si>
    <t>Don Daniel I</t>
  </si>
  <si>
    <t>Alimentos Marinos S.A.</t>
  </si>
  <si>
    <t>Angela Valentina</t>
  </si>
  <si>
    <t>Diego Esteban</t>
  </si>
  <si>
    <t>Adriana V</t>
  </si>
  <si>
    <t>Isaac</t>
  </si>
  <si>
    <t>Don Robert</t>
  </si>
  <si>
    <t>Matias Nicolas</t>
  </si>
  <si>
    <t>Inversiones Tridente SpA</t>
  </si>
  <si>
    <t>Gianfranco</t>
  </si>
  <si>
    <t>Gianluca</t>
  </si>
  <si>
    <t>Maria Bristela</t>
  </si>
  <si>
    <t>Don Tito R</t>
  </si>
  <si>
    <t>Andrea C</t>
  </si>
  <si>
    <t>Eloisa II</t>
  </si>
  <si>
    <t>Don Angel</t>
  </si>
  <si>
    <t>Tsunami S</t>
  </si>
  <si>
    <t>Raul Cesar</t>
  </si>
  <si>
    <t>Gonzalo Galdamez</t>
  </si>
  <si>
    <t>Margot Maria IV</t>
  </si>
  <si>
    <t>3 (VIII)</t>
  </si>
  <si>
    <t>Pesquera Litoral SpA.</t>
  </si>
  <si>
    <t>Gloria I</t>
  </si>
  <si>
    <t>Doña Gladys II</t>
  </si>
  <si>
    <t>Abraham Antonio</t>
  </si>
  <si>
    <t>Don Beto IV</t>
  </si>
  <si>
    <t>Armando S</t>
  </si>
  <si>
    <t>Florencia</t>
  </si>
  <si>
    <t>Kormoran 2DO</t>
  </si>
  <si>
    <t>Mar Segundo</t>
  </si>
  <si>
    <t>Camila Antonella 1</t>
  </si>
  <si>
    <t>Sra. Marioly</t>
  </si>
  <si>
    <t>Jerusalen 2</t>
  </si>
  <si>
    <t>40 (VIII)</t>
  </si>
  <si>
    <t>9 (X)</t>
  </si>
  <si>
    <t>Domenica</t>
  </si>
  <si>
    <t>Rueli I</t>
  </si>
  <si>
    <t>Procesos Tecnologicos Del Bio Bio</t>
  </si>
  <si>
    <t>Florina I</t>
  </si>
  <si>
    <t>Don Lucho III</t>
  </si>
  <si>
    <t>Don Luis Alberto II</t>
  </si>
  <si>
    <t>Novamar SpA.</t>
  </si>
  <si>
    <t>El Niego I</t>
  </si>
  <si>
    <t>Susana II</t>
  </si>
  <si>
    <t>Gaviota I</t>
  </si>
  <si>
    <t>Cristian Guillermo</t>
  </si>
  <si>
    <t>Rueli</t>
  </si>
  <si>
    <t>Don Goyo</t>
  </si>
  <si>
    <t>55 (VIII)</t>
  </si>
  <si>
    <t>Alonso I</t>
  </si>
  <si>
    <t>Don Juan C</t>
  </si>
  <si>
    <t>San Andres</t>
  </si>
  <si>
    <t>Camanchaca Pesca Sur</t>
  </si>
  <si>
    <t>Ana Belen I</t>
  </si>
  <si>
    <t>Arleth Antonia</t>
  </si>
  <si>
    <t>Cayumanqui</t>
  </si>
  <si>
    <t>Constanza M I</t>
  </si>
  <si>
    <t>Don Fernando I</t>
  </si>
  <si>
    <t>Don Leonel</t>
  </si>
  <si>
    <t>Don Miguel II</t>
  </si>
  <si>
    <t>Don Patricio I</t>
  </si>
  <si>
    <t>Don Pedro I</t>
  </si>
  <si>
    <t>Doña Candelaria</t>
  </si>
  <si>
    <t>Galilea I</t>
  </si>
  <si>
    <t>Jose Sebastian</t>
  </si>
  <si>
    <t>Juan Anselmo</t>
  </si>
  <si>
    <t>Juanita I</t>
  </si>
  <si>
    <t>Marbella II</t>
  </si>
  <si>
    <t>Maricia</t>
  </si>
  <si>
    <t>Mesana</t>
  </si>
  <si>
    <t>Nazareth II</t>
  </si>
  <si>
    <t>Nely Nicole II</t>
  </si>
  <si>
    <t>Nubia Herlibet</t>
  </si>
  <si>
    <t>Patricia Vanessa</t>
  </si>
  <si>
    <t>Poseidon II</t>
  </si>
  <si>
    <t>Punta Maule II</t>
  </si>
  <si>
    <t>Rio Loa I</t>
  </si>
  <si>
    <t>Saray Esmeralda-M</t>
  </si>
  <si>
    <t>Shimane</t>
  </si>
  <si>
    <t>Sixto Abraham</t>
  </si>
  <si>
    <t>Sofia M</t>
  </si>
  <si>
    <t>Tio Chito</t>
  </si>
  <si>
    <t>Tome II</t>
  </si>
  <si>
    <t>Yolanda S</t>
  </si>
  <si>
    <t>Don Sixto</t>
  </si>
  <si>
    <t>Eden I</t>
  </si>
  <si>
    <t>Rebequita 1°</t>
  </si>
  <si>
    <t>Sixto Abraham I</t>
  </si>
  <si>
    <t>Carlos Patricio</t>
  </si>
  <si>
    <t>Yenny Valeska II</t>
  </si>
  <si>
    <t>Habacuc</t>
  </si>
  <si>
    <t>Emelinda</t>
  </si>
  <si>
    <t>Don Valentin</t>
  </si>
  <si>
    <t>Lastenia I</t>
  </si>
  <si>
    <t>Pesquera Lepe Limitada</t>
  </si>
  <si>
    <t>Don Kako</t>
  </si>
  <si>
    <t>Don Benja</t>
  </si>
  <si>
    <t>Pedro L</t>
  </si>
  <si>
    <t>Cecilia III</t>
  </si>
  <si>
    <t>Rey David I</t>
  </si>
  <si>
    <t>Sandrita I</t>
  </si>
  <si>
    <t>Mar de Bering</t>
  </si>
  <si>
    <t>Gabriela Monsalve Cisternas</t>
  </si>
  <si>
    <t>Doña Margarita C</t>
  </si>
  <si>
    <t>Raul M</t>
  </si>
  <si>
    <t>Marvento</t>
  </si>
  <si>
    <t>ASOCIACION GREMIAL AGRAPES DE SAN ANTONIO "AG AGRAPES" RAG 4399</t>
  </si>
  <si>
    <t>A.G. AGRAPES 4399 (V)</t>
  </si>
  <si>
    <t>Don Guillermo I</t>
  </si>
  <si>
    <t>A.G. Puerto De San Antonio 2510 (V)</t>
  </si>
  <si>
    <t>Don Demetrio III</t>
  </si>
  <si>
    <t>Rio Jordan IV</t>
  </si>
  <si>
    <t>Rio Jordan X</t>
  </si>
  <si>
    <t>Rio Jordan XI</t>
  </si>
  <si>
    <t>Galeon II</t>
  </si>
  <si>
    <t>Yeya I</t>
  </si>
  <si>
    <t>Papi Alfredo</t>
  </si>
  <si>
    <t>52 (VIII)</t>
  </si>
  <si>
    <t>Azariel</t>
  </si>
  <si>
    <t>Osframa</t>
  </si>
  <si>
    <t>57 (VIII)</t>
  </si>
  <si>
    <t>Sergio III</t>
  </si>
  <si>
    <t>Cristian Silva Lorca</t>
  </si>
  <si>
    <t>Claudio I</t>
  </si>
  <si>
    <t>SANDRA GAJARDO PALMA</t>
  </si>
  <si>
    <t>-</t>
  </si>
  <si>
    <t>Sandra Gajardo Palma</t>
  </si>
  <si>
    <t>Don Juan I</t>
  </si>
  <si>
    <t>2 (XIV)</t>
  </si>
  <si>
    <t>15 (VIII)</t>
  </si>
  <si>
    <t>Veronica Alejandra</t>
  </si>
  <si>
    <t>Sociedad Pesquera Mehuin Rey</t>
  </si>
  <si>
    <t>Aguila Real</t>
  </si>
  <si>
    <t>Adriana</t>
  </si>
  <si>
    <t>Nelly</t>
  </si>
  <si>
    <t>Enzo Nicolas I</t>
  </si>
  <si>
    <t>Don Eleno</t>
  </si>
  <si>
    <t>Don Pascual II</t>
  </si>
  <si>
    <t>Don Augusto</t>
  </si>
  <si>
    <t>Don Luis D</t>
  </si>
  <si>
    <t>Ximena I</t>
  </si>
  <si>
    <t>Toconao</t>
  </si>
  <si>
    <t>Neuquen</t>
  </si>
  <si>
    <t>Master</t>
  </si>
  <si>
    <t>Doña Carmela</t>
  </si>
  <si>
    <t>CONTROL DE CUOTAS ANCHOVETA ARTESANAL V-X 2021</t>
  </si>
  <si>
    <t>CONTROL DE CUOTAS SARDINA COMUN ARTESANAL V-X 2021</t>
  </si>
  <si>
    <t>IMPUTACION CONJUNTA CUOTA ANCHOVETA Y SARDINA COMÚN AÑO 2021</t>
  </si>
  <si>
    <t>IMPUTACIÓN CONJUNTA CUOTA ANCHOVETA Y SARDINA COMÚN VIII REGIÓN AÑO 2021</t>
  </si>
  <si>
    <t>CONTROL DE CUOTAS CONSUMO HUMANO AÑO 2021</t>
  </si>
  <si>
    <t>CONTROL DE CUOTAS CUOTA IMPREVISTOS AÑO 2021</t>
  </si>
  <si>
    <t>CONTROL DE CUOTAS PESCA DE INVESTIGACIÓN AÑO 2021</t>
  </si>
  <si>
    <t xml:space="preserve"> Asociación Gremial de Pescadores y Armadores Artesanales Pelágicos Región Bío Bío A.G. ALTAMAR, Registro de Asociaciones Gremiales  555-8</t>
  </si>
  <si>
    <t xml:space="preserve"> Sindicato de Trabajadores Independientes Pescadores de la Caleta Coliumo, Registro Sindical Único 08.06.0027</t>
  </si>
  <si>
    <t>Sindicato de Trabajadores Independientes Pescadores y Armadores y Ramos Afines de la Pesca Artesanal, "LOTA PESCA", Registro Sindical Único 08.07.0495</t>
  </si>
  <si>
    <t xml:space="preserve"> Sindicato de Trabajadores Independientes Pescadores, Armadores  y ramas afines de la Pesca Artesanal "JUANOVOAARCE-LOTA" Registro Sindical Unico 08.07.0485</t>
  </si>
  <si>
    <t>Rodrigo I</t>
  </si>
  <si>
    <t>Doña Violeta</t>
  </si>
  <si>
    <t>Agustina F</t>
  </si>
  <si>
    <t>Jorge Andres</t>
  </si>
  <si>
    <t>Brenda Esmeralda</t>
  </si>
  <si>
    <t>Landes S.A. Sociedad Pesquera</t>
  </si>
  <si>
    <t>Socoroma II</t>
  </si>
  <si>
    <t>Socoroma III</t>
  </si>
  <si>
    <t>10 (XIV)</t>
  </si>
  <si>
    <t xml:space="preserve">Pedro Jose </t>
  </si>
  <si>
    <t>Lidia C</t>
  </si>
  <si>
    <t>Maria Jesus I</t>
  </si>
  <si>
    <t>14/04/2021 - 13/05/2021</t>
  </si>
  <si>
    <t>Biobío</t>
  </si>
  <si>
    <t>Alonso</t>
  </si>
  <si>
    <t>Antares V</t>
  </si>
  <si>
    <t>Candelaria</t>
  </si>
  <si>
    <t>Delia Rosa</t>
  </si>
  <si>
    <t>Don Agustin</t>
  </si>
  <si>
    <t>Don Anselmo II</t>
  </si>
  <si>
    <t>Don Hugo</t>
  </si>
  <si>
    <t>Don Julian</t>
  </si>
  <si>
    <t>Don Lolo</t>
  </si>
  <si>
    <t>Don Samuel II</t>
  </si>
  <si>
    <t>Doña Jova 2DA</t>
  </si>
  <si>
    <t>Doña Sofia I</t>
  </si>
  <si>
    <t>El Linco I</t>
  </si>
  <si>
    <t>EL Niego I</t>
  </si>
  <si>
    <t>Isaac M</t>
  </si>
  <si>
    <t>Kimy II</t>
  </si>
  <si>
    <t>Ovnis</t>
  </si>
  <si>
    <t>Patrick Joaquin</t>
  </si>
  <si>
    <t>Relampago</t>
  </si>
  <si>
    <t>Ricardo Jesus</t>
  </si>
  <si>
    <t>Sotileza</t>
  </si>
  <si>
    <t>Tamarugal</t>
  </si>
  <si>
    <t>Yenny</t>
  </si>
  <si>
    <t>Paulina M</t>
  </si>
  <si>
    <t>Ignacio S</t>
  </si>
  <si>
    <t>Don Claudio</t>
  </si>
  <si>
    <t>Catalina M</t>
  </si>
  <si>
    <t>Paola II</t>
  </si>
  <si>
    <t>Mateo Abdon</t>
  </si>
  <si>
    <t>Turimar II</t>
  </si>
  <si>
    <t>Turimar III</t>
  </si>
  <si>
    <t>Blanca Estela</t>
  </si>
  <si>
    <t>Araucanía</t>
  </si>
  <si>
    <t>Don Sebastian</t>
  </si>
  <si>
    <t>Palmi II</t>
  </si>
  <si>
    <t>Los Ríos</t>
  </si>
  <si>
    <t>Feidipides</t>
  </si>
  <si>
    <t>Isaac II</t>
  </si>
  <si>
    <t>Don Cholito</t>
  </si>
  <si>
    <t>Don Ulmes</t>
  </si>
  <si>
    <t>Samaritano</t>
  </si>
  <si>
    <t>Ebenezer II</t>
  </si>
  <si>
    <t>Don Joaquin</t>
  </si>
  <si>
    <t>Rolando</t>
  </si>
  <si>
    <t>Nicolas</t>
  </si>
  <si>
    <t>Benjamin</t>
  </si>
  <si>
    <t>Samaritano I</t>
  </si>
  <si>
    <t>Punta Brava</t>
  </si>
  <si>
    <t>Alberto M</t>
  </si>
  <si>
    <t>Feros II</t>
  </si>
  <si>
    <t>Rio Valdivia</t>
  </si>
  <si>
    <t>Don Arnaldo</t>
  </si>
  <si>
    <t>Don Chelo II</t>
  </si>
  <si>
    <t>Don Jaime</t>
  </si>
  <si>
    <t>Don Miguel</t>
  </si>
  <si>
    <t>Doña Coca</t>
  </si>
  <si>
    <t>Estrella de David</t>
  </si>
  <si>
    <t>Esturion</t>
  </si>
  <si>
    <t>Huracan I</t>
  </si>
  <si>
    <t>Jorge Hernan M</t>
  </si>
  <si>
    <t>Josue Segundo</t>
  </si>
  <si>
    <t>Kippernes</t>
  </si>
  <si>
    <t>La Consuelito</t>
  </si>
  <si>
    <t>La Victoria</t>
  </si>
  <si>
    <t>Lago Ranco</t>
  </si>
  <si>
    <t>Maria Trinidad</t>
  </si>
  <si>
    <t>Master I</t>
  </si>
  <si>
    <t>Misionera III</t>
  </si>
  <si>
    <t>Rimalfredan II</t>
  </si>
  <si>
    <t>Rodrigo</t>
  </si>
  <si>
    <t>Niña Ximena</t>
  </si>
  <si>
    <t>Claudio</t>
  </si>
  <si>
    <t>Johana II</t>
  </si>
  <si>
    <t>Maruricio Ignacio</t>
  </si>
  <si>
    <t>Doña Chita</t>
  </si>
  <si>
    <t>Mauricio Ignacio</t>
  </si>
  <si>
    <t>41 (VIII)</t>
  </si>
  <si>
    <t>Pituco</t>
  </si>
  <si>
    <t>Don Santiago</t>
  </si>
  <si>
    <t>Puerto Ballarta</t>
  </si>
  <si>
    <t>Nebraska</t>
  </si>
  <si>
    <t>Marco Polo</t>
  </si>
  <si>
    <t>Don Joaquin II</t>
  </si>
  <si>
    <t>Sadan</t>
  </si>
  <si>
    <t>Carla Agustin</t>
  </si>
  <si>
    <t>Canaan</t>
  </si>
  <si>
    <t>Don Enri</t>
  </si>
  <si>
    <t>Amparito I</t>
  </si>
  <si>
    <t>Susan Monsalve Salas</t>
  </si>
  <si>
    <t>Julio Segundo Sáez Muñoz</t>
  </si>
  <si>
    <t>Orka</t>
  </si>
  <si>
    <t>Don Emilio</t>
  </si>
  <si>
    <t>Maria Isabel</t>
  </si>
  <si>
    <t>Don Nene</t>
  </si>
  <si>
    <t>Bio Bio</t>
  </si>
  <si>
    <t>Angelina</t>
  </si>
  <si>
    <t>Don Armando</t>
  </si>
  <si>
    <t>Tata Conco</t>
  </si>
  <si>
    <t>Chango</t>
  </si>
  <si>
    <t>Herminia I</t>
  </si>
  <si>
    <t>Carmen Loreto</t>
  </si>
  <si>
    <t>Don Bruno</t>
  </si>
  <si>
    <t>Don Ricardo II</t>
  </si>
  <si>
    <t>Carlos Emilio</t>
  </si>
  <si>
    <t>Juan Marcelo</t>
  </si>
  <si>
    <t>Achernar</t>
  </si>
  <si>
    <t>Punta Verde I</t>
  </si>
  <si>
    <t>Fabian Monsalve Salas</t>
  </si>
  <si>
    <t>El Bela</t>
  </si>
  <si>
    <t>Cuota Remanente Anchoveta 2020 (T)</t>
  </si>
  <si>
    <t>Cuota Remanente Sardina común 2020 (T)</t>
  </si>
  <si>
    <t>Captura Anchoveta(T)</t>
  </si>
  <si>
    <t>Captura Sardina común (T)</t>
  </si>
  <si>
    <t>Saldo Sardina común (T)</t>
  </si>
  <si>
    <t>CONTROL DE CUOTA REMANENTE ANCHOVETA Y SARDINA COMUN ARTESANAL V-X 2021</t>
  </si>
  <si>
    <t>36 (VIII)</t>
  </si>
  <si>
    <t>Marbella</t>
  </si>
  <si>
    <t>Benjamin M</t>
  </si>
  <si>
    <t>Mar De Liguria</t>
  </si>
  <si>
    <t>Palmi III</t>
  </si>
  <si>
    <t>Adriana IX</t>
  </si>
  <si>
    <t>Adriana X</t>
  </si>
  <si>
    <t>Cristian Silva Tudela</t>
  </si>
  <si>
    <t>Noemi Simoney</t>
  </si>
  <si>
    <t>Lota Protein S.A.</t>
  </si>
  <si>
    <t>Mar De Alaska</t>
  </si>
  <si>
    <t>Juan Antonio M</t>
  </si>
  <si>
    <t>Jacob-Israel</t>
  </si>
  <si>
    <t>Don Jorge Luis M</t>
  </si>
  <si>
    <t>38 (VIII)</t>
  </si>
  <si>
    <t>Santa Teresita III</t>
  </si>
  <si>
    <t>28 (VIII)</t>
  </si>
  <si>
    <t>14/04/2021 - 20/05/2021</t>
  </si>
  <si>
    <t>SOCIEDAD PESQUERA AL SUR DE LA ISLA LIMITADA</t>
  </si>
  <si>
    <t>Pesquera Al Sur De La Isla</t>
  </si>
  <si>
    <t>RAUL MONSALVE CISTERNAS</t>
  </si>
  <si>
    <t>Raul Monsalve Cisternas</t>
  </si>
  <si>
    <t>51 (VIII)</t>
  </si>
  <si>
    <t>IC 60%</t>
  </si>
  <si>
    <t>Nagasaki</t>
  </si>
  <si>
    <t>Don Ernesto I</t>
  </si>
  <si>
    <t>IC 70%</t>
  </si>
  <si>
    <t>1 (XIV)</t>
  </si>
  <si>
    <t>72 (VIII)</t>
  </si>
  <si>
    <t>65 (VIII)</t>
  </si>
  <si>
    <t>77 (VIII)</t>
  </si>
  <si>
    <t>Don Ismael</t>
  </si>
  <si>
    <t>Saldo Anchoveta (T)</t>
  </si>
  <si>
    <t>THOR FISHERIES CHILE SpA</t>
  </si>
  <si>
    <t>CONTROL DE CUOTA REMANENTE EMBARCACIONES ANCHOVETA Y SARDINA COMÚN ARTESANAL V-X 2021</t>
  </si>
  <si>
    <t>6 (X)</t>
  </si>
  <si>
    <t>Don Emilio IV</t>
  </si>
  <si>
    <t>64 (VIII)</t>
  </si>
  <si>
    <t>Francisco Javier</t>
  </si>
  <si>
    <t>IC 75%</t>
  </si>
  <si>
    <t>Captura Conjunta</t>
  </si>
  <si>
    <t>Cargos por excesos conjuntos</t>
  </si>
  <si>
    <t>Saldo Conjunto</t>
  </si>
  <si>
    <t>Imputación Conjunta</t>
  </si>
  <si>
    <t>Cargos por exceso conjuntos</t>
  </si>
  <si>
    <t>Rio Maipo II</t>
  </si>
  <si>
    <t>Don sixto</t>
  </si>
  <si>
    <t>Camila Antonella 2</t>
  </si>
  <si>
    <t>61 (VIII)</t>
  </si>
  <si>
    <t>Esperanza en Dios</t>
  </si>
  <si>
    <t>35 (VIII)</t>
  </si>
  <si>
    <t>3 (X)</t>
  </si>
  <si>
    <t>Antonella I</t>
  </si>
  <si>
    <t>Lascar II</t>
  </si>
  <si>
    <t>Yoshira</t>
  </si>
  <si>
    <t>Canopus III</t>
  </si>
  <si>
    <t>Emilio IV</t>
  </si>
  <si>
    <t>Estefania II</t>
  </si>
  <si>
    <t>Victor Guillermo</t>
  </si>
  <si>
    <t>Cristian Antonio</t>
  </si>
  <si>
    <t>59 (VIII)</t>
  </si>
  <si>
    <t>3 VIII</t>
  </si>
  <si>
    <t>18 VIII</t>
  </si>
  <si>
    <t>Captura Sardina</t>
  </si>
  <si>
    <t>ALFONSO LEPE ROBLES</t>
  </si>
  <si>
    <t>17 (VIII)</t>
  </si>
  <si>
    <t>Alfonso Lepe Robles</t>
  </si>
  <si>
    <t>Ana Belen</t>
  </si>
  <si>
    <t>Sra. Carolina</t>
  </si>
  <si>
    <t>50 (VIII)</t>
  </si>
  <si>
    <t>DZP IX-XIV</t>
  </si>
  <si>
    <t>67 (VIII)</t>
  </si>
  <si>
    <t>31 (VIII)</t>
  </si>
  <si>
    <t>19 (VIII)</t>
  </si>
  <si>
    <t>32 (VIII)</t>
  </si>
  <si>
    <t>8 (X)</t>
  </si>
  <si>
    <t>Asignado Anchoveta</t>
  </si>
  <si>
    <t>asignado Sardina</t>
  </si>
  <si>
    <t>Captura Anchoveta IX</t>
  </si>
  <si>
    <t>Asignado Anchoveta IX</t>
  </si>
  <si>
    <t>Asignado Sardina IX</t>
  </si>
  <si>
    <t>Captura Sardina IX</t>
  </si>
  <si>
    <t>Asignado Anchoveta XIV</t>
  </si>
  <si>
    <t>Asignado Sardina XIV</t>
  </si>
  <si>
    <t>Captura Anchoveta XIV</t>
  </si>
  <si>
    <t>Captura Sardina XIV</t>
  </si>
  <si>
    <t>Adriana VIII</t>
  </si>
  <si>
    <t>Res 918</t>
  </si>
  <si>
    <t>Org 55</t>
  </si>
  <si>
    <t>Res 1432</t>
  </si>
  <si>
    <t>Org 53</t>
  </si>
  <si>
    <t>Imputado a</t>
  </si>
  <si>
    <t>Org 18</t>
  </si>
  <si>
    <t>Res 1292</t>
  </si>
  <si>
    <t>Res 1327</t>
  </si>
  <si>
    <t>Res 2801</t>
  </si>
  <si>
    <t>Res 1535</t>
  </si>
  <si>
    <t>Org 78</t>
  </si>
  <si>
    <t>Org 21</t>
  </si>
  <si>
    <t>Res 26773</t>
  </si>
  <si>
    <t>Res 2677 y 1457</t>
  </si>
  <si>
    <t>Org 14</t>
  </si>
  <si>
    <t>Org 1</t>
  </si>
  <si>
    <t>Org 8</t>
  </si>
  <si>
    <t>Res 2766</t>
  </si>
  <si>
    <t>Org 43</t>
  </si>
  <si>
    <t>Org 52</t>
  </si>
  <si>
    <t>Org 64</t>
  </si>
  <si>
    <t>Org 77</t>
  </si>
  <si>
    <t>Res 2858</t>
  </si>
  <si>
    <t>Res 1835</t>
  </si>
  <si>
    <t>Res 1903</t>
  </si>
  <si>
    <t>Res 2752</t>
  </si>
  <si>
    <t>Res 1575</t>
  </si>
  <si>
    <t>Org 5</t>
  </si>
  <si>
    <t>Org 4</t>
  </si>
  <si>
    <t>Res 3360</t>
  </si>
  <si>
    <t>Res 2883 y 2853</t>
  </si>
  <si>
    <t>Res 696 y 2853</t>
  </si>
  <si>
    <t>Res 683</t>
  </si>
</sst>
</file>

<file path=xl/styles.xml><?xml version="1.0" encoding="utf-8"?>
<styleSheet xmlns="http://schemas.openxmlformats.org/spreadsheetml/2006/main">
  <numFmts count="7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_-* #,##0.00\ _p_t_a_-;\-* #,##0.00\ _p_t_a_-;_-* \-??\ _p_t_a_-;_-@_-"/>
    <numFmt numFmtId="168" formatCode="0.0000"/>
    <numFmt numFmtId="169" formatCode="0.00000"/>
    <numFmt numFmtId="170" formatCode="0.0"/>
  </numFmts>
  <fonts count="4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1728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</cellStyleXfs>
  <cellXfs count="308">
    <xf numFmtId="0" fontId="0" fillId="0" borderId="0" xfId="0"/>
    <xf numFmtId="0" fontId="0" fillId="0" borderId="1" xfId="0" applyBorder="1"/>
    <xf numFmtId="166" fontId="0" fillId="0" borderId="1" xfId="0" applyNumberFormat="1" applyBorder="1"/>
    <xf numFmtId="9" fontId="0" fillId="0" borderId="1" xfId="1" applyFont="1" applyBorder="1"/>
    <xf numFmtId="0" fontId="3" fillId="0" borderId="0" xfId="0" applyFont="1" applyAlignment="1">
      <alignment horizontal="center"/>
    </xf>
    <xf numFmtId="166" fontId="0" fillId="0" borderId="1" xfId="0" applyNumberFormat="1" applyFill="1" applyBorder="1"/>
    <xf numFmtId="9" fontId="0" fillId="0" borderId="1" xfId="1" applyFont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9" fontId="0" fillId="3" borderId="1" xfId="1" applyFont="1" applyFill="1" applyBorder="1"/>
    <xf numFmtId="9" fontId="0" fillId="3" borderId="1" xfId="1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0" fillId="30" borderId="1" xfId="0" applyFill="1" applyBorder="1"/>
    <xf numFmtId="0" fontId="0" fillId="30" borderId="1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center" wrapText="1"/>
    </xf>
    <xf numFmtId="0" fontId="0" fillId="29" borderId="1" xfId="0" applyFill="1" applyBorder="1"/>
    <xf numFmtId="0" fontId="32" fillId="28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7" borderId="1" xfId="0" applyFont="1" applyFill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8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/>
    <xf numFmtId="14" fontId="0" fillId="0" borderId="1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7" borderId="3" xfId="0" applyFont="1" applyFill="1" applyBorder="1" applyAlignment="1">
      <alignment horizontal="center" wrapText="1"/>
    </xf>
    <xf numFmtId="9" fontId="0" fillId="0" borderId="1" xfId="1" applyFont="1" applyFill="1" applyBorder="1"/>
    <xf numFmtId="9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0" fillId="30" borderId="0" xfId="0" applyFill="1" applyBorder="1"/>
    <xf numFmtId="9" fontId="0" fillId="0" borderId="0" xfId="1" applyFont="1" applyFill="1" applyBorder="1"/>
    <xf numFmtId="14" fontId="0" fillId="0" borderId="1" xfId="0" applyNumberFormat="1" applyFill="1" applyBorder="1"/>
    <xf numFmtId="9" fontId="0" fillId="0" borderId="3" xfId="1" applyFont="1" applyFill="1" applyBorder="1"/>
    <xf numFmtId="9" fontId="0" fillId="0" borderId="0" xfId="1" applyFont="1"/>
    <xf numFmtId="0" fontId="27" fillId="0" borderId="0" xfId="0" applyFont="1"/>
    <xf numFmtId="9" fontId="3" fillId="0" borderId="0" xfId="1" applyFont="1"/>
    <xf numFmtId="0" fontId="0" fillId="0" borderId="0" xfId="0" applyFont="1"/>
    <xf numFmtId="9" fontId="0" fillId="0" borderId="0" xfId="1" applyFont="1" applyAlignment="1">
      <alignment horizontal="center"/>
    </xf>
    <xf numFmtId="14" fontId="3" fillId="0" borderId="0" xfId="0" applyNumberFormat="1" applyFont="1"/>
    <xf numFmtId="14" fontId="0" fillId="0" borderId="0" xfId="1" applyNumberFormat="1" applyFont="1"/>
    <xf numFmtId="14" fontId="3" fillId="0" borderId="0" xfId="1" applyNumberFormat="1" applyFont="1"/>
    <xf numFmtId="0" fontId="0" fillId="0" borderId="0" xfId="0" applyFill="1"/>
    <xf numFmtId="0" fontId="3" fillId="29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9" fontId="0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0" fillId="3" borderId="1" xfId="0" applyFill="1" applyBorder="1" applyAlignment="1">
      <alignment horizontal="center"/>
    </xf>
    <xf numFmtId="168" fontId="0" fillId="0" borderId="1" xfId="0" applyNumberFormat="1" applyBorder="1"/>
    <xf numFmtId="0" fontId="3" fillId="33" borderId="2" xfId="0" applyFont="1" applyFill="1" applyBorder="1" applyAlignment="1">
      <alignment horizontal="center" vertical="center"/>
    </xf>
    <xf numFmtId="0" fontId="6" fillId="33" borderId="0" xfId="0" applyFont="1" applyFill="1"/>
    <xf numFmtId="0" fontId="6" fillId="32" borderId="0" xfId="0" applyFont="1" applyFill="1"/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1" borderId="1" xfId="0" applyFill="1" applyBorder="1"/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14" fontId="0" fillId="0" borderId="0" xfId="1" applyNumberFormat="1" applyFont="1" applyFill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/>
    <xf numFmtId="0" fontId="3" fillId="3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/>
    <xf numFmtId="0" fontId="3" fillId="3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7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NumberFormat="1" applyBorder="1"/>
    <xf numFmtId="14" fontId="3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Fill="1" applyBorder="1"/>
    <xf numFmtId="14" fontId="37" fillId="0" borderId="1" xfId="0" applyNumberFormat="1" applyFont="1" applyFill="1" applyBorder="1"/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3" fillId="29" borderId="1" xfId="1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4" fontId="3" fillId="39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7" fillId="39" borderId="1" xfId="0" applyNumberFormat="1" applyFont="1" applyFill="1" applyBorder="1"/>
    <xf numFmtId="0" fontId="0" fillId="3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37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7" applyFill="1" applyBorder="1"/>
    <xf numFmtId="166" fontId="3" fillId="0" borderId="1" xfId="0" applyNumberFormat="1" applyFont="1" applyFill="1" applyBorder="1"/>
    <xf numFmtId="166" fontId="0" fillId="0" borderId="1" xfId="0" applyNumberFormat="1" applyBorder="1" applyAlignment="1">
      <alignment horizontal="center"/>
    </xf>
    <xf numFmtId="166" fontId="3" fillId="0" borderId="0" xfId="0" applyNumberFormat="1" applyFont="1"/>
    <xf numFmtId="166" fontId="0" fillId="0" borderId="0" xfId="0" applyNumberFormat="1" applyBorder="1"/>
    <xf numFmtId="166" fontId="0" fillId="0" borderId="3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/>
    <xf numFmtId="17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7" fillId="39" borderId="1" xfId="0" applyNumberFormat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/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40" borderId="0" xfId="0" applyNumberFormat="1" applyFill="1" applyBorder="1" applyAlignment="1">
      <alignment horizontal="center" vertical="center"/>
    </xf>
    <xf numFmtId="166" fontId="0" fillId="39" borderId="0" xfId="0" applyNumberForma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40" borderId="1" xfId="0" applyNumberFormat="1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4" fillId="28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3" fillId="28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5" fillId="33" borderId="2" xfId="0" applyFont="1" applyFill="1" applyBorder="1" applyAlignment="1">
      <alignment horizontal="center" vertical="center" textRotation="90"/>
    </xf>
    <xf numFmtId="0" fontId="5" fillId="33" borderId="3" xfId="0" applyFont="1" applyFill="1" applyBorder="1" applyAlignment="1">
      <alignment horizontal="center" vertical="center" textRotation="90"/>
    </xf>
    <xf numFmtId="0" fontId="5" fillId="33" borderId="4" xfId="0" applyFont="1" applyFill="1" applyBorder="1" applyAlignment="1">
      <alignment horizontal="center" vertical="center" textRotation="90"/>
    </xf>
    <xf numFmtId="0" fontId="4" fillId="26" borderId="0" xfId="0" applyFont="1" applyFill="1" applyAlignment="1">
      <alignment horizontal="center"/>
    </xf>
    <xf numFmtId="1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3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 textRotation="90"/>
    </xf>
    <xf numFmtId="0" fontId="32" fillId="28" borderId="0" xfId="0" applyFont="1" applyFill="1" applyBorder="1" applyAlignment="1">
      <alignment horizontal="center" vertical="center" textRotation="90"/>
    </xf>
    <xf numFmtId="0" fontId="8" fillId="28" borderId="14" xfId="0" applyFont="1" applyFill="1" applyBorder="1" applyAlignment="1">
      <alignment horizontal="center" vertical="center" textRotation="90"/>
    </xf>
    <xf numFmtId="0" fontId="8" fillId="28" borderId="0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/>
    </xf>
    <xf numFmtId="14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wrapText="1"/>
    </xf>
    <xf numFmtId="0" fontId="7" fillId="28" borderId="0" xfId="0" applyFont="1" applyFill="1" applyBorder="1" applyAlignment="1">
      <alignment horizontal="center" wrapText="1"/>
    </xf>
    <xf numFmtId="0" fontId="7" fillId="28" borderId="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textRotation="90"/>
    </xf>
    <xf numFmtId="0" fontId="28" fillId="26" borderId="0" xfId="0" applyFont="1" applyFill="1" applyBorder="1" applyAlignment="1">
      <alignment horizontal="center" vertical="center" textRotation="90"/>
    </xf>
    <xf numFmtId="0" fontId="3" fillId="26" borderId="14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textRotation="90"/>
    </xf>
    <xf numFmtId="0" fontId="3" fillId="26" borderId="0" xfId="0" applyFont="1" applyFill="1" applyBorder="1" applyAlignment="1">
      <alignment horizontal="center" vertical="center" textRotation="90"/>
    </xf>
    <xf numFmtId="0" fontId="1" fillId="26" borderId="0" xfId="0" applyFont="1" applyFill="1" applyAlignment="1">
      <alignment horizontal="center"/>
    </xf>
    <xf numFmtId="0" fontId="3" fillId="26" borderId="15" xfId="0" applyFont="1" applyFill="1" applyBorder="1" applyAlignment="1">
      <alignment horizontal="center" wrapText="1"/>
    </xf>
    <xf numFmtId="0" fontId="3" fillId="26" borderId="16" xfId="0" applyFont="1" applyFill="1" applyBorder="1" applyAlignment="1">
      <alignment horizontal="center" wrapText="1"/>
    </xf>
    <xf numFmtId="0" fontId="3" fillId="32" borderId="1" xfId="0" applyFont="1" applyFill="1" applyBorder="1" applyAlignment="1">
      <alignment horizontal="center" vertical="center"/>
    </xf>
    <xf numFmtId="14" fontId="3" fillId="32" borderId="1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0" fontId="30" fillId="27" borderId="1" xfId="0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horizontal="center"/>
    </xf>
    <xf numFmtId="14" fontId="37" fillId="39" borderId="1" xfId="0" applyNumberFormat="1" applyFont="1" applyFill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center"/>
    </xf>
    <xf numFmtId="14" fontId="37" fillId="0" borderId="2" xfId="0" applyNumberFormat="1" applyFont="1" applyFill="1" applyBorder="1" applyAlignment="1">
      <alignment horizontal="center" vertical="center"/>
    </xf>
    <xf numFmtId="14" fontId="37" fillId="0" borderId="4" xfId="0" applyNumberFormat="1" applyFont="1" applyFill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/>
    </xf>
    <xf numFmtId="14" fontId="0" fillId="3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14" fontId="0" fillId="38" borderId="1" xfId="0" applyNumberForma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1728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 2" xfId="202"/>
    <cellStyle name="Porcentual" xfId="1" builtinId="5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2" defaultPivotStyle="PivotStyleLight16"/>
  <colors>
    <mruColors>
      <color rgb="FF9933FF"/>
      <color rgb="FFFFFF99"/>
      <color rgb="FFCC66FF"/>
      <color rgb="FFCC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92868</xdr:rowOff>
    </xdr:from>
    <xdr:to>
      <xdr:col>3</xdr:col>
      <xdr:colOff>2047876</xdr:colOff>
      <xdr:row>3</xdr:row>
      <xdr:rowOff>130968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3" y="92868"/>
          <a:ext cx="313134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36"/>
  <sheetViews>
    <sheetView topLeftCell="A16" workbookViewId="0">
      <selection activeCell="K22" sqref="K22"/>
    </sheetView>
  </sheetViews>
  <sheetFormatPr baseColWidth="10" defaultRowHeight="15"/>
  <cols>
    <col min="4" max="4" width="41.28515625" bestFit="1" customWidth="1"/>
    <col min="5" max="5" width="11.5703125" bestFit="1" customWidth="1"/>
    <col min="6" max="6" width="13.85546875" customWidth="1"/>
    <col min="8" max="8" width="11.85546875" bestFit="1" customWidth="1"/>
  </cols>
  <sheetData>
    <row r="2" spans="2:10" s="11" customFormat="1" ht="18.75">
      <c r="B2" s="221" t="s">
        <v>277</v>
      </c>
      <c r="C2" s="221"/>
      <c r="D2" s="221"/>
      <c r="E2" s="221"/>
      <c r="F2" s="221"/>
      <c r="G2" s="221"/>
      <c r="H2" s="221"/>
      <c r="I2" s="221"/>
      <c r="J2" s="221"/>
    </row>
    <row r="3" spans="2:10" s="11" customFormat="1">
      <c r="B3" s="222">
        <v>44201</v>
      </c>
      <c r="C3" s="223"/>
      <c r="D3" s="223"/>
      <c r="E3" s="223"/>
      <c r="F3" s="223"/>
      <c r="G3" s="223"/>
      <c r="H3" s="223"/>
      <c r="I3" s="223"/>
      <c r="J3" s="223"/>
    </row>
    <row r="4" spans="2:10" s="11" customFormat="1">
      <c r="B4" s="227" t="s">
        <v>264</v>
      </c>
      <c r="C4" s="227"/>
      <c r="D4" s="227"/>
      <c r="E4" s="227"/>
      <c r="F4" s="227"/>
      <c r="G4" s="227"/>
      <c r="H4" s="227"/>
      <c r="I4" s="227"/>
      <c r="J4" s="227"/>
    </row>
    <row r="6" spans="2:10" ht="29.25" customHeight="1">
      <c r="B6" s="21" t="s">
        <v>153</v>
      </c>
      <c r="C6" s="21" t="s">
        <v>154</v>
      </c>
      <c r="D6" s="21" t="s">
        <v>152</v>
      </c>
      <c r="E6" s="22" t="s">
        <v>1</v>
      </c>
      <c r="F6" s="22" t="s">
        <v>139</v>
      </c>
      <c r="G6" s="22" t="s">
        <v>140</v>
      </c>
      <c r="H6" s="22" t="s">
        <v>141</v>
      </c>
      <c r="I6" s="22" t="s">
        <v>142</v>
      </c>
      <c r="J6" s="22" t="s">
        <v>143</v>
      </c>
    </row>
    <row r="7" spans="2:10" ht="15" customHeight="1">
      <c r="B7" s="224" t="s">
        <v>151</v>
      </c>
      <c r="C7" s="226" t="s">
        <v>144</v>
      </c>
      <c r="D7" s="20" t="s">
        <v>39</v>
      </c>
      <c r="E7" s="26">
        <f>SUM(Anchoveta!F7:F12)</f>
        <v>9979</v>
      </c>
      <c r="F7" s="1">
        <f>Anchoveta!G13</f>
        <v>-9921.4115999999995</v>
      </c>
      <c r="G7" s="1">
        <f>E7+F7</f>
        <v>57.588400000000547</v>
      </c>
      <c r="H7" s="1">
        <f>Anchoveta!I13+Anchoveta!J13</f>
        <v>0.33</v>
      </c>
      <c r="I7" s="1">
        <f>G7-H7</f>
        <v>57.258400000000549</v>
      </c>
      <c r="J7" s="6">
        <f>H7/G7</f>
        <v>5.7303206895832643E-3</v>
      </c>
    </row>
    <row r="8" spans="2:10">
      <c r="B8" s="224"/>
      <c r="C8" s="226"/>
      <c r="D8" s="20" t="s">
        <v>134</v>
      </c>
      <c r="E8" s="26">
        <f>Anchoveta!F15</f>
        <v>64</v>
      </c>
      <c r="F8" s="1">
        <f>Anchoveta!G16</f>
        <v>0</v>
      </c>
      <c r="G8" s="1">
        <f t="shared" ref="G8:G19" si="0">E8+F8</f>
        <v>64</v>
      </c>
      <c r="H8" s="1">
        <f>Anchoveta!I16+Anchoveta!J16</f>
        <v>0</v>
      </c>
      <c r="I8" s="1">
        <f t="shared" ref="I8:I19" si="1">G8-H8</f>
        <v>64</v>
      </c>
      <c r="J8" s="6">
        <f t="shared" ref="J8:J19" si="2">H8/G8</f>
        <v>0</v>
      </c>
    </row>
    <row r="9" spans="2:10">
      <c r="B9" s="224"/>
      <c r="C9" s="226"/>
      <c r="D9" s="20" t="s">
        <v>135</v>
      </c>
      <c r="E9" s="26">
        <f>Anchoveta!F18+Anchoveta!F19+Anchoveta!F20</f>
        <v>1067</v>
      </c>
      <c r="F9" s="1">
        <f>Anchoveta!G21</f>
        <v>-962.39899999999989</v>
      </c>
      <c r="G9" s="1">
        <f t="shared" si="0"/>
        <v>104.60100000000011</v>
      </c>
      <c r="H9" s="1">
        <f>Anchoveta!I21+Anchoveta!J21</f>
        <v>0</v>
      </c>
      <c r="I9" s="1">
        <f t="shared" si="1"/>
        <v>104.60100000000011</v>
      </c>
      <c r="J9" s="6">
        <f t="shared" si="2"/>
        <v>0</v>
      </c>
    </row>
    <row r="10" spans="2:10">
      <c r="B10" s="224"/>
      <c r="C10" s="226"/>
      <c r="D10" s="20" t="s">
        <v>136</v>
      </c>
      <c r="E10" s="26">
        <f>SUM(Anchoveta!F23:F100)</f>
        <v>127876.99999999994</v>
      </c>
      <c r="F10" s="1">
        <f>Anchoveta!G102+'Cuota Imprevistos'!G7</f>
        <v>51785.363389999991</v>
      </c>
      <c r="G10" s="1">
        <f t="shared" si="0"/>
        <v>179662.36338999993</v>
      </c>
      <c r="H10" s="1">
        <f>Anchoveta!I102+Anchoveta!J102+'Cuota Imprevistos'!H7+'Cuota Imprevistos'!H8</f>
        <v>147579.43</v>
      </c>
      <c r="I10" s="1">
        <f t="shared" si="1"/>
        <v>32082.933389999933</v>
      </c>
      <c r="J10" s="6">
        <f t="shared" si="2"/>
        <v>0.82142652036500108</v>
      </c>
    </row>
    <row r="11" spans="2:10">
      <c r="B11" s="224"/>
      <c r="C11" s="226"/>
      <c r="D11" s="20" t="s">
        <v>137</v>
      </c>
      <c r="E11" s="26">
        <f>Anchoveta!F104</f>
        <v>1992</v>
      </c>
      <c r="F11" s="1">
        <f>Anchoveta!G106</f>
        <v>2052.6</v>
      </c>
      <c r="G11" s="1">
        <f t="shared" si="0"/>
        <v>4044.6</v>
      </c>
      <c r="H11" s="1">
        <f>Anchoveta!I106+Anchoveta!J106</f>
        <v>1102.482</v>
      </c>
      <c r="I11" s="1">
        <f t="shared" si="1"/>
        <v>2942.1179999999999</v>
      </c>
      <c r="J11" s="6">
        <f t="shared" si="2"/>
        <v>0.27258121940364932</v>
      </c>
    </row>
    <row r="12" spans="2:10">
      <c r="B12" s="224"/>
      <c r="C12" s="226"/>
      <c r="D12" s="20" t="s">
        <v>44</v>
      </c>
      <c r="E12" s="26">
        <f>Anchoveta!F108+Anchoveta!F109+Anchoveta!F110+Anchoveta!F111+Anchoveta!F112+Anchoveta!F113+Anchoveta!F114+Anchoveta!F115+Anchoveta!F116+Anchoveta!F117+Anchoveta!F118</f>
        <v>12007.000000000002</v>
      </c>
      <c r="F12" s="1">
        <f>Anchoveta!G120</f>
        <v>7469.0690000000004</v>
      </c>
      <c r="G12" s="1">
        <f t="shared" si="0"/>
        <v>19476.069000000003</v>
      </c>
      <c r="H12" s="1">
        <f>Anchoveta!I120+Anchoveta!J120</f>
        <v>5486.2609999999995</v>
      </c>
      <c r="I12" s="1">
        <f t="shared" si="1"/>
        <v>13989.808000000005</v>
      </c>
      <c r="J12" s="6">
        <f t="shared" si="2"/>
        <v>0.28169241955345292</v>
      </c>
    </row>
    <row r="13" spans="2:10">
      <c r="B13" s="224"/>
      <c r="C13" s="226"/>
      <c r="D13" s="20" t="s">
        <v>138</v>
      </c>
      <c r="E13" s="26">
        <f>Anchoveta!F122+Anchoveta!F123+Anchoveta!F124+Anchoveta!F125+Anchoveta!F126+Anchoveta!F127+Anchoveta!F128+Anchoveta!F129+Anchoveta!F130+Anchoveta!F131</f>
        <v>7397.9960000000001</v>
      </c>
      <c r="F13" s="1">
        <f>Anchoveta!G132</f>
        <v>-3261.4629999999997</v>
      </c>
      <c r="G13" s="1">
        <f t="shared" si="0"/>
        <v>4136.5330000000004</v>
      </c>
      <c r="H13" s="1">
        <f>Anchoveta!I132+Anchoveta!J132</f>
        <v>3646.3470000000002</v>
      </c>
      <c r="I13" s="1">
        <f t="shared" si="1"/>
        <v>490.18600000000015</v>
      </c>
      <c r="J13" s="6">
        <f t="shared" si="2"/>
        <v>0.8814983465622056</v>
      </c>
    </row>
    <row r="14" spans="2:10">
      <c r="B14" s="224"/>
      <c r="C14" s="226"/>
      <c r="D14" s="20" t="s">
        <v>145</v>
      </c>
      <c r="E14" s="26">
        <v>150</v>
      </c>
      <c r="F14" s="1"/>
      <c r="G14" s="1">
        <f t="shared" si="0"/>
        <v>150</v>
      </c>
      <c r="H14" s="1"/>
      <c r="I14" s="1">
        <f t="shared" si="1"/>
        <v>150</v>
      </c>
      <c r="J14" s="6">
        <f t="shared" si="2"/>
        <v>0</v>
      </c>
    </row>
    <row r="15" spans="2:10">
      <c r="B15" s="224"/>
      <c r="C15" s="225" t="s">
        <v>146</v>
      </c>
      <c r="D15" s="225"/>
      <c r="E15" s="26">
        <f>'Anchov y SardC LTP'!G28</f>
        <v>45278.999999999993</v>
      </c>
      <c r="F15" s="1">
        <f>SUM('Anchov y SardC LTP'!H7:H27)</f>
        <v>-45059.756789999999</v>
      </c>
      <c r="G15" s="1">
        <f t="shared" si="0"/>
        <v>219.24320999999327</v>
      </c>
      <c r="H15" s="1">
        <f>'Anchov y SardC LTP'!J28</f>
        <v>0</v>
      </c>
      <c r="I15" s="1">
        <f t="shared" si="1"/>
        <v>219.24320999999327</v>
      </c>
      <c r="J15" s="6">
        <f t="shared" si="2"/>
        <v>0</v>
      </c>
    </row>
    <row r="16" spans="2:10">
      <c r="B16" s="224"/>
      <c r="C16" s="225" t="s">
        <v>147</v>
      </c>
      <c r="D16" s="225"/>
      <c r="E16" s="26">
        <v>150</v>
      </c>
      <c r="F16" s="1"/>
      <c r="G16" s="1">
        <f t="shared" si="0"/>
        <v>150</v>
      </c>
      <c r="H16" s="1"/>
      <c r="I16" s="1">
        <f t="shared" si="1"/>
        <v>150</v>
      </c>
      <c r="J16" s="6">
        <f t="shared" si="2"/>
        <v>0</v>
      </c>
    </row>
    <row r="17" spans="2:10">
      <c r="B17" s="224"/>
      <c r="C17" s="225" t="s">
        <v>149</v>
      </c>
      <c r="D17" s="225"/>
      <c r="E17" s="26">
        <v>2102</v>
      </c>
      <c r="F17" s="1"/>
      <c r="G17" s="1">
        <f t="shared" si="0"/>
        <v>2102</v>
      </c>
      <c r="H17" s="1">
        <f>'Consumo humano'!F6+'Consumo humano'!F8+'Consumo humano'!F10</f>
        <v>938.0920000000001</v>
      </c>
      <c r="I17" s="1">
        <f t="shared" si="1"/>
        <v>1163.9079999999999</v>
      </c>
      <c r="J17" s="6">
        <f t="shared" si="2"/>
        <v>0.4462854424357755</v>
      </c>
    </row>
    <row r="18" spans="2:10">
      <c r="B18" s="224"/>
      <c r="C18" s="225" t="s">
        <v>148</v>
      </c>
      <c r="D18" s="225"/>
      <c r="E18" s="26">
        <v>2102</v>
      </c>
      <c r="F18" s="1">
        <f>-1042.6-639-420.4</f>
        <v>-2102</v>
      </c>
      <c r="G18" s="1">
        <f t="shared" si="0"/>
        <v>0</v>
      </c>
      <c r="H18" s="1"/>
      <c r="I18" s="1">
        <f t="shared" si="1"/>
        <v>0</v>
      </c>
      <c r="J18" s="6">
        <f>(F18/E18)*-1</f>
        <v>1</v>
      </c>
    </row>
    <row r="19" spans="2:10">
      <c r="B19" s="224"/>
      <c r="C19" s="225" t="s">
        <v>150</v>
      </c>
      <c r="D19" s="225"/>
      <c r="E19" s="26">
        <f>SUM(E7:E18)</f>
        <v>210166.99599999996</v>
      </c>
      <c r="F19" s="37">
        <f>SUM(F7:F18)</f>
        <v>1.999999993131496E-3</v>
      </c>
      <c r="G19" s="1">
        <f t="shared" si="0"/>
        <v>210166.99799999996</v>
      </c>
      <c r="H19" s="1">
        <f>SUM(H7:H18)</f>
        <v>158752.94199999998</v>
      </c>
      <c r="I19" s="1">
        <f t="shared" si="1"/>
        <v>51414.055999999982</v>
      </c>
      <c r="J19" s="6">
        <f t="shared" si="2"/>
        <v>0.7553657020880129</v>
      </c>
    </row>
    <row r="23" spans="2:10" ht="30.75" customHeight="1">
      <c r="B23" s="12" t="s">
        <v>153</v>
      </c>
      <c r="C23" s="12" t="s">
        <v>154</v>
      </c>
      <c r="D23" s="12" t="s">
        <v>152</v>
      </c>
      <c r="E23" s="23" t="s">
        <v>1</v>
      </c>
      <c r="F23" s="23" t="s">
        <v>139</v>
      </c>
      <c r="G23" s="23" t="s">
        <v>140</v>
      </c>
      <c r="H23" s="23" t="s">
        <v>141</v>
      </c>
      <c r="I23" s="23" t="s">
        <v>142</v>
      </c>
      <c r="J23" s="23" t="s">
        <v>143</v>
      </c>
    </row>
    <row r="24" spans="2:10">
      <c r="B24" s="219" t="s">
        <v>155</v>
      </c>
      <c r="C24" s="220" t="s">
        <v>156</v>
      </c>
      <c r="D24" s="7" t="s">
        <v>39</v>
      </c>
      <c r="E24" s="27">
        <f>SUM('Sardina comun'!F7:F12)</f>
        <v>3865.0000000000005</v>
      </c>
      <c r="F24" s="1">
        <f>'Sardina comun'!G13</f>
        <v>-3497.3519999999999</v>
      </c>
      <c r="G24" s="27">
        <f>E24+F24</f>
        <v>367.64800000000059</v>
      </c>
      <c r="H24" s="1">
        <f>'Sardina comun'!I13+'Sardina comun'!J13</f>
        <v>221.27</v>
      </c>
      <c r="I24" s="27">
        <f>G24-H24</f>
        <v>146.37800000000058</v>
      </c>
      <c r="J24" s="6">
        <f>H24/G24</f>
        <v>0.60185285925667931</v>
      </c>
    </row>
    <row r="25" spans="2:10">
      <c r="B25" s="219"/>
      <c r="C25" s="220"/>
      <c r="D25" s="7" t="s">
        <v>134</v>
      </c>
      <c r="E25" s="27">
        <f>'Sardina comun'!F15</f>
        <v>91</v>
      </c>
      <c r="F25" s="1">
        <f>'Sardina comun'!G16</f>
        <v>0</v>
      </c>
      <c r="G25" s="27">
        <f t="shared" ref="G25:G36" si="3">E25+F25</f>
        <v>91</v>
      </c>
      <c r="H25" s="1">
        <f>'Sardina comun'!I16+'Sardina comun'!J16</f>
        <v>0</v>
      </c>
      <c r="I25" s="27">
        <f t="shared" ref="I25:I36" si="4">G25-H25</f>
        <v>91</v>
      </c>
      <c r="J25" s="6">
        <f t="shared" ref="J25:J36" si="5">H25/G25</f>
        <v>0</v>
      </c>
    </row>
    <row r="26" spans="2:10">
      <c r="B26" s="219"/>
      <c r="C26" s="220"/>
      <c r="D26" s="7" t="s">
        <v>135</v>
      </c>
      <c r="E26" s="27">
        <f>'Sardina comun'!F18+'Sardina comun'!F19+'Sardina comun'!F20</f>
        <v>1397</v>
      </c>
      <c r="F26" s="1">
        <f>'Sardina comun'!G21</f>
        <v>-1260.039</v>
      </c>
      <c r="G26" s="27">
        <f t="shared" si="3"/>
        <v>136.96100000000001</v>
      </c>
      <c r="H26" s="1">
        <f>'Sardina comun'!I21+'Sardina comun'!J21</f>
        <v>0</v>
      </c>
      <c r="I26" s="27">
        <f t="shared" si="4"/>
        <v>136.96100000000001</v>
      </c>
      <c r="J26" s="6">
        <f t="shared" si="5"/>
        <v>0</v>
      </c>
    </row>
    <row r="27" spans="2:10">
      <c r="B27" s="219"/>
      <c r="C27" s="220"/>
      <c r="D27" s="7" t="s">
        <v>136</v>
      </c>
      <c r="E27" s="27">
        <f>SUM('Sardina comun'!F23:F100)</f>
        <v>217924.97499999992</v>
      </c>
      <c r="F27" s="1">
        <f>'Sardina comun'!G102+'Cuota Imprevistos'!G6</f>
        <v>77967.960999999967</v>
      </c>
      <c r="G27" s="27">
        <f t="shared" si="3"/>
        <v>295892.93599999987</v>
      </c>
      <c r="H27" s="1">
        <f>'Sardina comun'!I102+'Sardina comun'!J102+'Cuota Imprevistos'!H6</f>
        <v>229715.20199999996</v>
      </c>
      <c r="I27" s="27">
        <f t="shared" si="4"/>
        <v>66177.733999999909</v>
      </c>
      <c r="J27" s="6">
        <f t="shared" si="5"/>
        <v>0.7763456779515685</v>
      </c>
    </row>
    <row r="28" spans="2:10">
      <c r="B28" s="219"/>
      <c r="C28" s="220"/>
      <c r="D28" s="7" t="s">
        <v>137</v>
      </c>
      <c r="E28" s="27">
        <f>'Sardina comun'!F104</f>
        <v>3225</v>
      </c>
      <c r="F28" s="1">
        <f>'Sardina comun'!G106</f>
        <v>4378.482</v>
      </c>
      <c r="G28" s="27">
        <f t="shared" si="3"/>
        <v>7603.482</v>
      </c>
      <c r="H28" s="1">
        <f>'Sardina comun'!I106+'Sardina comun'!J106</f>
        <v>10515.347000000002</v>
      </c>
      <c r="I28" s="27">
        <f t="shared" si="4"/>
        <v>-2911.8650000000016</v>
      </c>
      <c r="J28" s="6">
        <f t="shared" si="5"/>
        <v>1.3829646732904743</v>
      </c>
    </row>
    <row r="29" spans="2:10">
      <c r="B29" s="219"/>
      <c r="C29" s="220"/>
      <c r="D29" s="7" t="s">
        <v>44</v>
      </c>
      <c r="E29" s="27">
        <f>'Sardina comun'!F108+'Sardina comun'!F109+'Sardina comun'!F110+'Sardina comun'!F111+'Sardina comun'!F112+'Sardina comun'!F113+'Sardina comun'!F114+'Sardina comun'!F115+'Sardina comun'!F116+'Sardina comun'!F117+'Sardina comun'!F118</f>
        <v>31222.998999999993</v>
      </c>
      <c r="F29" s="1">
        <f>'Sardina comun'!G120</f>
        <v>13164.48</v>
      </c>
      <c r="G29" s="27">
        <f t="shared" si="3"/>
        <v>44387.478999999992</v>
      </c>
      <c r="H29" s="1">
        <f>'Sardina comun'!I120+'Sardina comun'!J120</f>
        <v>57954.458999999988</v>
      </c>
      <c r="I29" s="27">
        <f t="shared" si="4"/>
        <v>-13566.979999999996</v>
      </c>
      <c r="J29" s="6">
        <f t="shared" si="5"/>
        <v>1.3056488069529697</v>
      </c>
    </row>
    <row r="30" spans="2:10">
      <c r="B30" s="219"/>
      <c r="C30" s="220"/>
      <c r="D30" s="7" t="s">
        <v>138</v>
      </c>
      <c r="E30" s="27">
        <f>'Sardina comun'!F122+'Sardina comun'!F123+'Sardina comun'!F124+'Sardina comun'!F125+'Sardina comun'!F126+'Sardina comun'!F127+'Sardina comun'!F128+'Sardina comun'!F129+'Sardina comun'!F130+'Sardina comun'!F131</f>
        <v>14776</v>
      </c>
      <c r="F30" s="1">
        <f>'Sardina comun'!G132</f>
        <v>-12731.838</v>
      </c>
      <c r="G30" s="27">
        <f t="shared" si="3"/>
        <v>2044.1620000000003</v>
      </c>
      <c r="H30" s="1">
        <f>'Sardina comun'!I132+'Sardina comun'!J132</f>
        <v>1043.1099999999999</v>
      </c>
      <c r="I30" s="27">
        <f t="shared" si="4"/>
        <v>1001.0520000000004</v>
      </c>
      <c r="J30" s="6">
        <f t="shared" si="5"/>
        <v>0.51028734513213714</v>
      </c>
    </row>
    <row r="31" spans="2:10">
      <c r="B31" s="219"/>
      <c r="C31" s="220"/>
      <c r="D31" s="7" t="s">
        <v>145</v>
      </c>
      <c r="E31" s="1">
        <v>270</v>
      </c>
      <c r="F31" s="1"/>
      <c r="G31" s="27">
        <f t="shared" si="3"/>
        <v>270</v>
      </c>
      <c r="H31" s="1"/>
      <c r="I31" s="27">
        <f t="shared" si="4"/>
        <v>270</v>
      </c>
      <c r="J31" s="6">
        <f t="shared" si="5"/>
        <v>0</v>
      </c>
    </row>
    <row r="32" spans="2:10">
      <c r="B32" s="219"/>
      <c r="C32" s="218" t="s">
        <v>146</v>
      </c>
      <c r="D32" s="218"/>
      <c r="E32" s="27">
        <f>'Anchov y SardC LTP'!G57</f>
        <v>76936.015387200008</v>
      </c>
      <c r="F32" s="1">
        <f>'Anchov y SardC LTP'!H57</f>
        <v>-76528.922999999995</v>
      </c>
      <c r="G32" s="27">
        <f t="shared" si="3"/>
        <v>407.09238720001304</v>
      </c>
      <c r="H32" s="1">
        <f>'Anchov y SardC LTP'!J57</f>
        <v>0</v>
      </c>
      <c r="I32" s="27">
        <f t="shared" si="4"/>
        <v>407.09238720001304</v>
      </c>
      <c r="J32" s="6">
        <f t="shared" si="5"/>
        <v>0</v>
      </c>
    </row>
    <row r="33" spans="2:10">
      <c r="B33" s="219"/>
      <c r="C33" s="218" t="s">
        <v>147</v>
      </c>
      <c r="D33" s="218"/>
      <c r="E33" s="1">
        <v>180</v>
      </c>
      <c r="F33" s="1"/>
      <c r="G33" s="27">
        <f t="shared" si="3"/>
        <v>180</v>
      </c>
      <c r="H33" s="1"/>
      <c r="I33" s="27">
        <f t="shared" si="4"/>
        <v>180</v>
      </c>
      <c r="J33" s="6">
        <f t="shared" si="5"/>
        <v>0</v>
      </c>
    </row>
    <row r="34" spans="2:10">
      <c r="B34" s="219"/>
      <c r="C34" s="218" t="s">
        <v>149</v>
      </c>
      <c r="D34" s="218"/>
      <c r="E34" s="1">
        <v>3570</v>
      </c>
      <c r="F34" s="1"/>
      <c r="G34" s="27">
        <f t="shared" si="3"/>
        <v>3570</v>
      </c>
      <c r="H34" s="1">
        <f>'Consumo humano'!F9+'Consumo humano'!F11</f>
        <v>2435.4359999999997</v>
      </c>
      <c r="I34" s="27">
        <f t="shared" si="4"/>
        <v>1134.5640000000003</v>
      </c>
      <c r="J34" s="6">
        <f t="shared" si="5"/>
        <v>0.68219495798319318</v>
      </c>
    </row>
    <row r="35" spans="2:10">
      <c r="B35" s="219"/>
      <c r="C35" s="218" t="s">
        <v>148</v>
      </c>
      <c r="D35" s="218"/>
      <c r="E35" s="1">
        <v>3570</v>
      </c>
      <c r="F35" s="1">
        <f>-733-437.487-181-141.284</f>
        <v>-1492.7710000000002</v>
      </c>
      <c r="G35" s="27">
        <f t="shared" si="3"/>
        <v>2077.2289999999998</v>
      </c>
      <c r="H35" s="1"/>
      <c r="I35" s="27">
        <f t="shared" si="4"/>
        <v>2077.2289999999998</v>
      </c>
      <c r="J35" s="6">
        <f t="shared" si="5"/>
        <v>0</v>
      </c>
    </row>
    <row r="36" spans="2:10">
      <c r="B36" s="219"/>
      <c r="C36" s="218" t="s">
        <v>150</v>
      </c>
      <c r="D36" s="218"/>
      <c r="E36" s="27">
        <f>SUM(E24:E35)</f>
        <v>357027.98938719992</v>
      </c>
      <c r="F36" s="37">
        <f>SUM(F24:F35)</f>
        <v>-3.5925040720030665E-11</v>
      </c>
      <c r="G36" s="27">
        <f t="shared" si="3"/>
        <v>357027.98938719986</v>
      </c>
      <c r="H36" s="1">
        <f>SUM(H24:H35)</f>
        <v>301884.82399999991</v>
      </c>
      <c r="I36" s="27">
        <f t="shared" si="4"/>
        <v>55143.165387199959</v>
      </c>
      <c r="J36" s="6">
        <f t="shared" si="5"/>
        <v>0.84554946103288076</v>
      </c>
    </row>
  </sheetData>
  <mergeCells count="17">
    <mergeCell ref="B2:J2"/>
    <mergeCell ref="B3:J3"/>
    <mergeCell ref="B7:B19"/>
    <mergeCell ref="C19:D19"/>
    <mergeCell ref="C32:D32"/>
    <mergeCell ref="C18:D18"/>
    <mergeCell ref="C17:D17"/>
    <mergeCell ref="C16:D16"/>
    <mergeCell ref="C15:D15"/>
    <mergeCell ref="C7:C14"/>
    <mergeCell ref="B4:J4"/>
    <mergeCell ref="C36:D36"/>
    <mergeCell ref="B24:B36"/>
    <mergeCell ref="C24:C31"/>
    <mergeCell ref="C33:D33"/>
    <mergeCell ref="C34:D34"/>
    <mergeCell ref="C35:D35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65"/>
  <sheetViews>
    <sheetView tabSelected="1" topLeftCell="B1" zoomScale="110" zoomScaleNormal="110" workbookViewId="0">
      <pane ySplit="3" topLeftCell="A4" activePane="bottomLeft" state="frozen"/>
      <selection pane="bottomLeft" activeCell="H864" sqref="H864"/>
    </sheetView>
  </sheetViews>
  <sheetFormatPr baseColWidth="10" defaultRowHeight="15"/>
  <cols>
    <col min="1" max="1" width="30.7109375" style="90" customWidth="1"/>
    <col min="2" max="2" width="16.140625" style="90" customWidth="1"/>
    <col min="3" max="3" width="12.42578125" style="90" customWidth="1"/>
    <col min="4" max="4" width="10.7109375" style="90" customWidth="1"/>
    <col min="5" max="5" width="13" style="90" customWidth="1"/>
    <col min="6" max="6" width="11" style="90" customWidth="1"/>
    <col min="7" max="7" width="19.42578125" style="90" customWidth="1"/>
    <col min="8" max="8" width="11.42578125" style="90" customWidth="1"/>
    <col min="9" max="9" width="11.42578125" style="146" customWidth="1"/>
    <col min="10" max="10" width="15.140625" style="90" customWidth="1"/>
    <col min="11" max="11" width="14.28515625" style="113" customWidth="1"/>
    <col min="12" max="12" width="11.42578125" style="144"/>
    <col min="13" max="13" width="11.42578125" style="116"/>
    <col min="14" max="14" width="12.7109375" style="141" customWidth="1"/>
    <col min="15" max="15" width="14.85546875" style="90" customWidth="1"/>
    <col min="16" max="16" width="12.42578125" style="90" customWidth="1"/>
    <col min="17" max="16384" width="11.42578125" style="90"/>
  </cols>
  <sheetData>
    <row r="1" spans="1:21" s="84" customFormat="1">
      <c r="I1" s="107"/>
      <c r="K1" s="111"/>
      <c r="L1" s="143"/>
      <c r="M1" s="114"/>
      <c r="N1" s="138"/>
    </row>
    <row r="2" spans="1:21" s="84" customFormat="1">
      <c r="B2" s="291" t="s">
        <v>206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R2" s="84" t="s">
        <v>157</v>
      </c>
      <c r="S2" s="84" t="s">
        <v>719</v>
      </c>
      <c r="T2" s="84" t="s">
        <v>732</v>
      </c>
      <c r="U2" s="84" t="s">
        <v>733</v>
      </c>
    </row>
    <row r="3" spans="1:21" s="84" customFormat="1" ht="27" customHeight="1">
      <c r="A3" s="89" t="s">
        <v>210</v>
      </c>
      <c r="B3" s="58" t="s">
        <v>197</v>
      </c>
      <c r="C3" s="58" t="s">
        <v>198</v>
      </c>
      <c r="D3" s="58" t="s">
        <v>199</v>
      </c>
      <c r="E3" s="58" t="s">
        <v>209</v>
      </c>
      <c r="F3" s="58" t="s">
        <v>200</v>
      </c>
      <c r="G3" s="58" t="s">
        <v>201</v>
      </c>
      <c r="H3" s="58" t="s">
        <v>202</v>
      </c>
      <c r="I3" s="58" t="s">
        <v>203</v>
      </c>
      <c r="J3" s="58" t="s">
        <v>204</v>
      </c>
      <c r="K3" s="112" t="s">
        <v>205</v>
      </c>
      <c r="L3" s="58" t="s">
        <v>141</v>
      </c>
      <c r="M3" s="115" t="s">
        <v>142</v>
      </c>
      <c r="N3" s="139" t="s">
        <v>143</v>
      </c>
      <c r="O3" s="213" t="s">
        <v>698</v>
      </c>
      <c r="P3" s="213" t="s">
        <v>747</v>
      </c>
      <c r="R3" s="84">
        <v>44779.421999999999</v>
      </c>
      <c r="S3" s="84">
        <v>47178.175000000003</v>
      </c>
      <c r="T3" s="84">
        <v>48580.190999999999</v>
      </c>
      <c r="U3" s="84">
        <v>70015.509000000005</v>
      </c>
    </row>
    <row r="4" spans="1:21" ht="15" customHeight="1">
      <c r="A4" s="129" t="s">
        <v>286</v>
      </c>
      <c r="B4" s="129" t="s">
        <v>288</v>
      </c>
      <c r="C4" s="91">
        <v>44243</v>
      </c>
      <c r="D4" s="96">
        <v>1</v>
      </c>
      <c r="E4" s="129" t="s">
        <v>289</v>
      </c>
      <c r="F4" s="129" t="s">
        <v>287</v>
      </c>
      <c r="G4" s="129" t="s">
        <v>290</v>
      </c>
      <c r="H4" s="96">
        <v>969106</v>
      </c>
      <c r="I4" s="109">
        <v>14</v>
      </c>
      <c r="J4" s="129" t="s">
        <v>192</v>
      </c>
      <c r="K4" s="282">
        <v>59</v>
      </c>
      <c r="L4" s="103"/>
      <c r="M4" s="285">
        <f>K4-(L4+L5)</f>
        <v>45.206000000000003</v>
      </c>
      <c r="N4" s="288">
        <f>(L4+L5)/K4</f>
        <v>0.23379661016949152</v>
      </c>
      <c r="O4" s="116">
        <f>M4+M6</f>
        <v>90.87</v>
      </c>
    </row>
    <row r="5" spans="1:21" ht="15" customHeight="1">
      <c r="A5" s="129" t="s">
        <v>286</v>
      </c>
      <c r="B5" s="129" t="s">
        <v>288</v>
      </c>
      <c r="C5" s="91">
        <v>44243</v>
      </c>
      <c r="D5" s="109">
        <v>1</v>
      </c>
      <c r="E5" s="129" t="s">
        <v>289</v>
      </c>
      <c r="F5" s="129" t="s">
        <v>287</v>
      </c>
      <c r="G5" s="129" t="s">
        <v>291</v>
      </c>
      <c r="H5" s="99">
        <v>968160</v>
      </c>
      <c r="I5" s="109">
        <v>14</v>
      </c>
      <c r="J5" s="129" t="s">
        <v>192</v>
      </c>
      <c r="K5" s="284"/>
      <c r="L5" s="103">
        <v>13.794</v>
      </c>
      <c r="M5" s="287"/>
      <c r="N5" s="290"/>
    </row>
    <row r="6" spans="1:21" ht="15" customHeight="1">
      <c r="A6" s="129" t="s">
        <v>286</v>
      </c>
      <c r="B6" s="129" t="s">
        <v>288</v>
      </c>
      <c r="C6" s="91">
        <v>44243</v>
      </c>
      <c r="D6" s="109">
        <v>1</v>
      </c>
      <c r="E6" s="129" t="s">
        <v>289</v>
      </c>
      <c r="F6" s="129" t="s">
        <v>287</v>
      </c>
      <c r="G6" s="129" t="s">
        <v>290</v>
      </c>
      <c r="H6" s="109">
        <v>969106</v>
      </c>
      <c r="I6" s="109">
        <v>14</v>
      </c>
      <c r="J6" s="129" t="s">
        <v>193</v>
      </c>
      <c r="K6" s="282">
        <v>56</v>
      </c>
      <c r="L6" s="103"/>
      <c r="M6" s="285">
        <f>K6-(L6+L7)</f>
        <v>45.664000000000001</v>
      </c>
      <c r="N6" s="288">
        <f>(L6+L7)/K6</f>
        <v>0.18457142857142858</v>
      </c>
    </row>
    <row r="7" spans="1:21" ht="15" customHeight="1">
      <c r="A7" s="129" t="s">
        <v>286</v>
      </c>
      <c r="B7" s="129" t="s">
        <v>288</v>
      </c>
      <c r="C7" s="91">
        <v>44243</v>
      </c>
      <c r="D7" s="109">
        <v>1</v>
      </c>
      <c r="E7" s="129" t="s">
        <v>289</v>
      </c>
      <c r="F7" s="129" t="s">
        <v>287</v>
      </c>
      <c r="G7" s="129" t="s">
        <v>291</v>
      </c>
      <c r="H7" s="129">
        <v>968160</v>
      </c>
      <c r="I7" s="109">
        <v>14</v>
      </c>
      <c r="J7" s="129" t="s">
        <v>193</v>
      </c>
      <c r="K7" s="284"/>
      <c r="L7" s="103">
        <v>10.336</v>
      </c>
      <c r="M7" s="287"/>
      <c r="N7" s="290"/>
    </row>
    <row r="8" spans="1:21" ht="15" customHeight="1">
      <c r="A8" s="99" t="s">
        <v>292</v>
      </c>
      <c r="B8" s="99" t="s">
        <v>293</v>
      </c>
      <c r="C8" s="91">
        <v>44246</v>
      </c>
      <c r="D8" s="96">
        <v>488</v>
      </c>
      <c r="E8" s="99" t="s">
        <v>294</v>
      </c>
      <c r="F8" s="99" t="s">
        <v>287</v>
      </c>
      <c r="G8" s="96" t="s">
        <v>295</v>
      </c>
      <c r="H8" s="99">
        <v>962795</v>
      </c>
      <c r="I8" s="109">
        <v>11</v>
      </c>
      <c r="J8" s="129" t="s">
        <v>192</v>
      </c>
      <c r="K8" s="110">
        <v>400</v>
      </c>
      <c r="L8" s="103">
        <v>297.85500000000002</v>
      </c>
      <c r="M8" s="98">
        <f t="shared" ref="M8:M13" si="0">K8-L8</f>
        <v>102.14499999999998</v>
      </c>
      <c r="N8" s="94">
        <f t="shared" ref="N8:N13" si="1">L8/K8</f>
        <v>0.74463750000000006</v>
      </c>
      <c r="O8" s="209">
        <f>M8+M9</f>
        <v>-9.9999999997635314E-4</v>
      </c>
      <c r="P8" s="90" t="s">
        <v>743</v>
      </c>
    </row>
    <row r="9" spans="1:21" ht="15" customHeight="1">
      <c r="A9" s="129" t="s">
        <v>292</v>
      </c>
      <c r="B9" s="129" t="s">
        <v>293</v>
      </c>
      <c r="C9" s="91">
        <v>44246</v>
      </c>
      <c r="D9" s="109">
        <v>488</v>
      </c>
      <c r="E9" s="129" t="s">
        <v>294</v>
      </c>
      <c r="F9" s="129" t="s">
        <v>287</v>
      </c>
      <c r="G9" s="109" t="s">
        <v>295</v>
      </c>
      <c r="H9" s="129">
        <v>962795</v>
      </c>
      <c r="I9" s="109">
        <v>11</v>
      </c>
      <c r="J9" s="129" t="s">
        <v>193</v>
      </c>
      <c r="K9" s="110">
        <v>500</v>
      </c>
      <c r="L9" s="103">
        <v>602.14599999999996</v>
      </c>
      <c r="M9" s="128">
        <f t="shared" si="0"/>
        <v>-102.14599999999996</v>
      </c>
      <c r="N9" s="94">
        <f t="shared" si="1"/>
        <v>1.2042919999999999</v>
      </c>
    </row>
    <row r="10" spans="1:21" ht="15" customHeight="1">
      <c r="A10" s="129" t="s">
        <v>300</v>
      </c>
      <c r="B10" s="129" t="s">
        <v>293</v>
      </c>
      <c r="C10" s="91">
        <v>44246</v>
      </c>
      <c r="D10" s="96">
        <v>495</v>
      </c>
      <c r="E10" s="129" t="s">
        <v>294</v>
      </c>
      <c r="F10" s="129" t="s">
        <v>287</v>
      </c>
      <c r="G10" s="129" t="s">
        <v>421</v>
      </c>
      <c r="H10" s="99">
        <v>960670</v>
      </c>
      <c r="I10" s="109">
        <v>19</v>
      </c>
      <c r="J10" s="129" t="s">
        <v>192</v>
      </c>
      <c r="K10" s="110">
        <v>187</v>
      </c>
      <c r="L10" s="103">
        <v>187</v>
      </c>
      <c r="M10" s="128">
        <f t="shared" si="0"/>
        <v>0</v>
      </c>
      <c r="N10" s="94">
        <f t="shared" si="1"/>
        <v>1</v>
      </c>
      <c r="O10" s="116">
        <f>M10+M11</f>
        <v>0</v>
      </c>
    </row>
    <row r="11" spans="1:21" ht="15" customHeight="1">
      <c r="A11" s="129" t="s">
        <v>300</v>
      </c>
      <c r="B11" s="129" t="s">
        <v>293</v>
      </c>
      <c r="C11" s="91">
        <v>44246</v>
      </c>
      <c r="D11" s="96">
        <v>495</v>
      </c>
      <c r="E11" s="129" t="s">
        <v>294</v>
      </c>
      <c r="F11" s="129" t="s">
        <v>287</v>
      </c>
      <c r="G11" s="129" t="s">
        <v>421</v>
      </c>
      <c r="H11" s="129">
        <v>960670</v>
      </c>
      <c r="I11" s="109">
        <v>19</v>
      </c>
      <c r="J11" s="129" t="s">
        <v>193</v>
      </c>
      <c r="K11" s="110">
        <v>217</v>
      </c>
      <c r="L11" s="103">
        <v>217</v>
      </c>
      <c r="M11" s="128">
        <f t="shared" si="0"/>
        <v>0</v>
      </c>
      <c r="N11" s="94">
        <f t="shared" si="1"/>
        <v>1</v>
      </c>
    </row>
    <row r="12" spans="1:21" ht="15" customHeight="1">
      <c r="A12" s="129" t="s">
        <v>301</v>
      </c>
      <c r="B12" s="129" t="s">
        <v>293</v>
      </c>
      <c r="C12" s="91">
        <v>44258</v>
      </c>
      <c r="D12" s="96">
        <v>9</v>
      </c>
      <c r="E12" s="129" t="s">
        <v>289</v>
      </c>
      <c r="F12" s="129" t="s">
        <v>287</v>
      </c>
      <c r="G12" s="129" t="s">
        <v>302</v>
      </c>
      <c r="H12" s="99">
        <v>966875</v>
      </c>
      <c r="I12" s="109">
        <v>44</v>
      </c>
      <c r="J12" s="129" t="s">
        <v>192</v>
      </c>
      <c r="K12" s="127">
        <v>60</v>
      </c>
      <c r="L12" s="103">
        <v>8.6069999999999993</v>
      </c>
      <c r="M12" s="128">
        <f t="shared" si="0"/>
        <v>51.393000000000001</v>
      </c>
      <c r="N12" s="94">
        <f t="shared" si="1"/>
        <v>0.14344999999999999</v>
      </c>
      <c r="O12" s="116">
        <f>M12+M13</f>
        <v>0</v>
      </c>
    </row>
    <row r="13" spans="1:21" ht="15" customHeight="1">
      <c r="A13" s="129" t="s">
        <v>301</v>
      </c>
      <c r="B13" s="129" t="s">
        <v>293</v>
      </c>
      <c r="C13" s="91">
        <v>44258</v>
      </c>
      <c r="D13" s="109">
        <v>9</v>
      </c>
      <c r="E13" s="129" t="s">
        <v>289</v>
      </c>
      <c r="F13" s="129" t="s">
        <v>287</v>
      </c>
      <c r="G13" s="129" t="s">
        <v>302</v>
      </c>
      <c r="H13" s="129">
        <v>966875</v>
      </c>
      <c r="I13" s="109">
        <v>44</v>
      </c>
      <c r="J13" s="129" t="s">
        <v>193</v>
      </c>
      <c r="K13" s="127">
        <v>60</v>
      </c>
      <c r="L13" s="103">
        <v>111.393</v>
      </c>
      <c r="M13" s="128">
        <f t="shared" si="0"/>
        <v>-51.393000000000001</v>
      </c>
      <c r="N13" s="94">
        <f t="shared" si="1"/>
        <v>1.8565499999999999</v>
      </c>
    </row>
    <row r="14" spans="1:21" ht="15" customHeight="1">
      <c r="A14" s="129" t="s">
        <v>303</v>
      </c>
      <c r="B14" s="129" t="s">
        <v>288</v>
      </c>
      <c r="C14" s="91">
        <v>44258</v>
      </c>
      <c r="D14" s="96">
        <v>10</v>
      </c>
      <c r="E14" s="129" t="s">
        <v>289</v>
      </c>
      <c r="F14" s="129" t="s">
        <v>287</v>
      </c>
      <c r="G14" s="129" t="s">
        <v>302</v>
      </c>
      <c r="H14" s="129">
        <v>966875</v>
      </c>
      <c r="I14" s="109">
        <v>44</v>
      </c>
      <c r="J14" s="129" t="s">
        <v>192</v>
      </c>
      <c r="K14" s="282">
        <v>66</v>
      </c>
      <c r="L14" s="103">
        <v>4.8920000000000003</v>
      </c>
      <c r="M14" s="285">
        <f>K14-(L14+L15)</f>
        <v>61.107999999999997</v>
      </c>
      <c r="N14" s="288">
        <f>(L14+L15)/K14</f>
        <v>7.4121212121212129E-2</v>
      </c>
      <c r="O14" s="116">
        <f>M14+M16</f>
        <v>0</v>
      </c>
    </row>
    <row r="15" spans="1:21" ht="15" customHeight="1">
      <c r="A15" s="129" t="s">
        <v>303</v>
      </c>
      <c r="B15" s="129" t="s">
        <v>288</v>
      </c>
      <c r="C15" s="91">
        <v>44258</v>
      </c>
      <c r="D15" s="109">
        <v>10</v>
      </c>
      <c r="E15" s="129" t="s">
        <v>289</v>
      </c>
      <c r="F15" s="129" t="s">
        <v>287</v>
      </c>
      <c r="G15" s="129" t="s">
        <v>304</v>
      </c>
      <c r="H15" s="99">
        <v>958905</v>
      </c>
      <c r="I15" s="109">
        <v>44</v>
      </c>
      <c r="J15" s="129" t="s">
        <v>192</v>
      </c>
      <c r="K15" s="284"/>
      <c r="L15" s="103"/>
      <c r="M15" s="287"/>
      <c r="N15" s="290"/>
    </row>
    <row r="16" spans="1:21" ht="15" customHeight="1">
      <c r="A16" s="129" t="s">
        <v>303</v>
      </c>
      <c r="B16" s="129" t="s">
        <v>288</v>
      </c>
      <c r="C16" s="91">
        <v>44258</v>
      </c>
      <c r="D16" s="109">
        <v>10</v>
      </c>
      <c r="E16" s="129" t="s">
        <v>289</v>
      </c>
      <c r="F16" s="129" t="s">
        <v>287</v>
      </c>
      <c r="G16" s="129" t="s">
        <v>302</v>
      </c>
      <c r="H16" s="129">
        <v>966875</v>
      </c>
      <c r="I16" s="109">
        <v>44</v>
      </c>
      <c r="J16" s="129" t="s">
        <v>193</v>
      </c>
      <c r="K16" s="282">
        <v>60</v>
      </c>
      <c r="L16" s="103">
        <v>121.108</v>
      </c>
      <c r="M16" s="285">
        <f>K16-(L16+L17)</f>
        <v>-61.108000000000004</v>
      </c>
      <c r="N16" s="288">
        <f>(L16+L17)/K16</f>
        <v>2.0184666666666669</v>
      </c>
    </row>
    <row r="17" spans="1:15" ht="15" customHeight="1">
      <c r="A17" s="129" t="s">
        <v>303</v>
      </c>
      <c r="B17" s="129" t="s">
        <v>288</v>
      </c>
      <c r="C17" s="91">
        <v>44258</v>
      </c>
      <c r="D17" s="109">
        <v>10</v>
      </c>
      <c r="E17" s="129" t="s">
        <v>289</v>
      </c>
      <c r="F17" s="129" t="s">
        <v>287</v>
      </c>
      <c r="G17" s="129" t="s">
        <v>304</v>
      </c>
      <c r="H17" s="129">
        <v>958905</v>
      </c>
      <c r="I17" s="109">
        <v>44</v>
      </c>
      <c r="J17" s="129" t="s">
        <v>193</v>
      </c>
      <c r="K17" s="284"/>
      <c r="L17" s="103"/>
      <c r="M17" s="287"/>
      <c r="N17" s="290"/>
    </row>
    <row r="18" spans="1:15" ht="15" customHeight="1">
      <c r="A18" s="129" t="s">
        <v>305</v>
      </c>
      <c r="B18" s="129" t="s">
        <v>288</v>
      </c>
      <c r="C18" s="91">
        <v>44258</v>
      </c>
      <c r="D18" s="96">
        <v>11</v>
      </c>
      <c r="E18" s="129" t="s">
        <v>289</v>
      </c>
      <c r="F18" s="129" t="s">
        <v>287</v>
      </c>
      <c r="G18" s="129" t="s">
        <v>306</v>
      </c>
      <c r="H18" s="99">
        <v>962640</v>
      </c>
      <c r="I18" s="109">
        <v>16</v>
      </c>
      <c r="J18" s="129" t="s">
        <v>192</v>
      </c>
      <c r="K18" s="282">
        <v>35</v>
      </c>
      <c r="L18" s="103">
        <v>25.593</v>
      </c>
      <c r="M18" s="285">
        <f>K18-(L18+L19)</f>
        <v>9.407</v>
      </c>
      <c r="N18" s="288">
        <f>(L18+L19)/K18</f>
        <v>0.73122857142857145</v>
      </c>
      <c r="O18" s="116">
        <f>M18+M20</f>
        <v>0.23500000000000298</v>
      </c>
    </row>
    <row r="19" spans="1:15" ht="15" customHeight="1">
      <c r="A19" s="129" t="s">
        <v>305</v>
      </c>
      <c r="B19" s="129" t="s">
        <v>288</v>
      </c>
      <c r="C19" s="91">
        <v>44258</v>
      </c>
      <c r="D19" s="109">
        <v>11</v>
      </c>
      <c r="E19" s="129" t="s">
        <v>289</v>
      </c>
      <c r="F19" s="129" t="s">
        <v>287</v>
      </c>
      <c r="G19" s="129" t="s">
        <v>307</v>
      </c>
      <c r="H19" s="99">
        <v>954793</v>
      </c>
      <c r="I19" s="109">
        <v>16</v>
      </c>
      <c r="J19" s="129" t="s">
        <v>192</v>
      </c>
      <c r="K19" s="284"/>
      <c r="L19" s="103"/>
      <c r="M19" s="287"/>
      <c r="N19" s="290"/>
    </row>
    <row r="20" spans="1:15" ht="15" customHeight="1">
      <c r="A20" s="129" t="s">
        <v>305</v>
      </c>
      <c r="B20" s="129" t="s">
        <v>288</v>
      </c>
      <c r="C20" s="91">
        <v>44258</v>
      </c>
      <c r="D20" s="109">
        <v>11</v>
      </c>
      <c r="E20" s="129" t="s">
        <v>289</v>
      </c>
      <c r="F20" s="129" t="s">
        <v>287</v>
      </c>
      <c r="G20" s="129" t="s">
        <v>306</v>
      </c>
      <c r="H20" s="129">
        <v>962640</v>
      </c>
      <c r="I20" s="109">
        <v>16</v>
      </c>
      <c r="J20" s="129" t="s">
        <v>193</v>
      </c>
      <c r="K20" s="282">
        <v>35</v>
      </c>
      <c r="L20" s="103">
        <v>44.171999999999997</v>
      </c>
      <c r="M20" s="285">
        <f>K20-(L20+L21)</f>
        <v>-9.171999999999997</v>
      </c>
      <c r="N20" s="288">
        <f>(L20+L21)/K20</f>
        <v>1.2620571428571428</v>
      </c>
    </row>
    <row r="21" spans="1:15" ht="15" customHeight="1">
      <c r="A21" s="129" t="s">
        <v>305</v>
      </c>
      <c r="B21" s="129" t="s">
        <v>288</v>
      </c>
      <c r="C21" s="91">
        <v>44258</v>
      </c>
      <c r="D21" s="109">
        <v>11</v>
      </c>
      <c r="E21" s="129" t="s">
        <v>289</v>
      </c>
      <c r="F21" s="129" t="s">
        <v>287</v>
      </c>
      <c r="G21" s="129" t="s">
        <v>307</v>
      </c>
      <c r="H21" s="129">
        <v>954793</v>
      </c>
      <c r="I21" s="109">
        <v>16</v>
      </c>
      <c r="J21" s="129" t="s">
        <v>193</v>
      </c>
      <c r="K21" s="284"/>
      <c r="L21" s="103"/>
      <c r="M21" s="287"/>
      <c r="N21" s="290"/>
    </row>
    <row r="22" spans="1:15" ht="15" customHeight="1">
      <c r="A22" s="129" t="s">
        <v>305</v>
      </c>
      <c r="B22" s="129" t="s">
        <v>293</v>
      </c>
      <c r="C22" s="91">
        <v>44258</v>
      </c>
      <c r="D22" s="96">
        <v>12</v>
      </c>
      <c r="E22" s="129" t="s">
        <v>289</v>
      </c>
      <c r="F22" s="129" t="s">
        <v>287</v>
      </c>
      <c r="G22" s="129" t="s">
        <v>308</v>
      </c>
      <c r="H22" s="99">
        <v>961564</v>
      </c>
      <c r="I22" s="109">
        <v>52</v>
      </c>
      <c r="J22" s="129" t="s">
        <v>192</v>
      </c>
      <c r="K22" s="127">
        <v>35</v>
      </c>
      <c r="L22" s="103"/>
      <c r="M22" s="128">
        <f t="shared" ref="M22:M53" si="2">K22-L22</f>
        <v>35</v>
      </c>
      <c r="N22" s="94">
        <f t="shared" ref="N22:N53" si="3">L22/K22</f>
        <v>0</v>
      </c>
      <c r="O22" s="116">
        <f>M22+M23</f>
        <v>70</v>
      </c>
    </row>
    <row r="23" spans="1:15" ht="15" customHeight="1">
      <c r="A23" s="129" t="s">
        <v>305</v>
      </c>
      <c r="B23" s="129" t="s">
        <v>293</v>
      </c>
      <c r="C23" s="91">
        <v>44258</v>
      </c>
      <c r="D23" s="109">
        <v>12</v>
      </c>
      <c r="E23" s="129" t="s">
        <v>289</v>
      </c>
      <c r="F23" s="129" t="s">
        <v>287</v>
      </c>
      <c r="G23" s="129" t="s">
        <v>308</v>
      </c>
      <c r="H23" s="129">
        <v>961564</v>
      </c>
      <c r="I23" s="109">
        <v>52</v>
      </c>
      <c r="J23" s="129" t="s">
        <v>193</v>
      </c>
      <c r="K23" s="127">
        <v>35</v>
      </c>
      <c r="L23" s="103"/>
      <c r="M23" s="128">
        <f t="shared" si="2"/>
        <v>35</v>
      </c>
      <c r="N23" s="94">
        <f t="shared" si="3"/>
        <v>0</v>
      </c>
    </row>
    <row r="24" spans="1:15" ht="15" customHeight="1">
      <c r="A24" s="129" t="s">
        <v>305</v>
      </c>
      <c r="B24" s="129" t="s">
        <v>293</v>
      </c>
      <c r="C24" s="91">
        <v>44258</v>
      </c>
      <c r="D24" s="109">
        <v>13</v>
      </c>
      <c r="E24" s="129" t="s">
        <v>289</v>
      </c>
      <c r="F24" s="129" t="s">
        <v>287</v>
      </c>
      <c r="G24" s="129" t="s">
        <v>309</v>
      </c>
      <c r="H24" s="99">
        <v>951919</v>
      </c>
      <c r="I24" s="109">
        <v>50</v>
      </c>
      <c r="J24" s="129" t="s">
        <v>192</v>
      </c>
      <c r="K24" s="127">
        <v>35</v>
      </c>
      <c r="L24" s="103">
        <v>24.585999999999999</v>
      </c>
      <c r="M24" s="128">
        <f t="shared" si="2"/>
        <v>10.414000000000001</v>
      </c>
      <c r="N24" s="94">
        <f t="shared" si="3"/>
        <v>0.70245714285714278</v>
      </c>
      <c r="O24" s="116">
        <f>M24+M25</f>
        <v>0</v>
      </c>
    </row>
    <row r="25" spans="1:15" ht="15" customHeight="1">
      <c r="A25" s="129" t="s">
        <v>305</v>
      </c>
      <c r="B25" s="129" t="s">
        <v>293</v>
      </c>
      <c r="C25" s="91">
        <v>44258</v>
      </c>
      <c r="D25" s="109">
        <v>13</v>
      </c>
      <c r="E25" s="129" t="s">
        <v>289</v>
      </c>
      <c r="F25" s="129" t="s">
        <v>287</v>
      </c>
      <c r="G25" s="129" t="s">
        <v>309</v>
      </c>
      <c r="H25" s="129">
        <v>951919</v>
      </c>
      <c r="I25" s="109">
        <v>50</v>
      </c>
      <c r="J25" s="129" t="s">
        <v>193</v>
      </c>
      <c r="K25" s="127">
        <v>35</v>
      </c>
      <c r="L25" s="103">
        <v>45.414000000000001</v>
      </c>
      <c r="M25" s="128">
        <f t="shared" si="2"/>
        <v>-10.414000000000001</v>
      </c>
      <c r="N25" s="94">
        <f t="shared" si="3"/>
        <v>1.2975428571428571</v>
      </c>
    </row>
    <row r="26" spans="1:15" ht="15" customHeight="1">
      <c r="A26" s="129" t="s">
        <v>305</v>
      </c>
      <c r="B26" s="129" t="s">
        <v>293</v>
      </c>
      <c r="C26" s="91">
        <v>44258</v>
      </c>
      <c r="D26" s="109">
        <v>14</v>
      </c>
      <c r="E26" s="129" t="s">
        <v>289</v>
      </c>
      <c r="F26" s="129" t="s">
        <v>287</v>
      </c>
      <c r="G26" s="129" t="s">
        <v>310</v>
      </c>
      <c r="H26" s="99">
        <v>954972</v>
      </c>
      <c r="I26" s="109">
        <v>65</v>
      </c>
      <c r="J26" s="129" t="s">
        <v>192</v>
      </c>
      <c r="K26" s="127">
        <v>35</v>
      </c>
      <c r="L26" s="103">
        <v>10.138</v>
      </c>
      <c r="M26" s="128">
        <f t="shared" si="2"/>
        <v>24.862000000000002</v>
      </c>
      <c r="N26" s="94">
        <f t="shared" si="3"/>
        <v>0.28965714285714284</v>
      </c>
      <c r="O26" s="116">
        <f t="shared" ref="O26" si="4">M26+M27</f>
        <v>12.515000000000001</v>
      </c>
    </row>
    <row r="27" spans="1:15" ht="15" customHeight="1">
      <c r="A27" s="129" t="s">
        <v>305</v>
      </c>
      <c r="B27" s="129" t="s">
        <v>293</v>
      </c>
      <c r="C27" s="91">
        <v>44258</v>
      </c>
      <c r="D27" s="109">
        <v>14</v>
      </c>
      <c r="E27" s="129" t="s">
        <v>289</v>
      </c>
      <c r="F27" s="129" t="s">
        <v>287</v>
      </c>
      <c r="G27" s="129" t="s">
        <v>310</v>
      </c>
      <c r="H27" s="129">
        <v>954972</v>
      </c>
      <c r="I27" s="109">
        <v>65</v>
      </c>
      <c r="J27" s="129" t="s">
        <v>193</v>
      </c>
      <c r="K27" s="127">
        <v>35</v>
      </c>
      <c r="L27" s="103">
        <v>47.347000000000001</v>
      </c>
      <c r="M27" s="128">
        <f t="shared" si="2"/>
        <v>-12.347000000000001</v>
      </c>
      <c r="N27" s="94">
        <f t="shared" si="3"/>
        <v>1.3527714285714285</v>
      </c>
    </row>
    <row r="28" spans="1:15" ht="15" customHeight="1">
      <c r="A28" s="129" t="s">
        <v>311</v>
      </c>
      <c r="B28" s="129" t="s">
        <v>293</v>
      </c>
      <c r="C28" s="91">
        <v>44229</v>
      </c>
      <c r="D28" s="96">
        <v>164</v>
      </c>
      <c r="E28" s="129" t="s">
        <v>294</v>
      </c>
      <c r="F28" s="129" t="s">
        <v>297</v>
      </c>
      <c r="G28" s="129" t="s">
        <v>281</v>
      </c>
      <c r="H28" s="99">
        <v>954552</v>
      </c>
      <c r="I28" s="109">
        <v>39</v>
      </c>
      <c r="J28" s="129" t="s">
        <v>192</v>
      </c>
      <c r="K28" s="127">
        <v>306</v>
      </c>
      <c r="L28" s="103">
        <v>108.66200000000001</v>
      </c>
      <c r="M28" s="128">
        <f t="shared" si="2"/>
        <v>197.33799999999999</v>
      </c>
      <c r="N28" s="94">
        <f t="shared" si="3"/>
        <v>0.35510457516339872</v>
      </c>
      <c r="O28" s="116">
        <f t="shared" ref="O28" si="5">M28+M29</f>
        <v>0.20199999999996976</v>
      </c>
    </row>
    <row r="29" spans="1:15" ht="15" customHeight="1">
      <c r="A29" s="129" t="s">
        <v>311</v>
      </c>
      <c r="B29" s="129" t="s">
        <v>293</v>
      </c>
      <c r="C29" s="91">
        <v>44229</v>
      </c>
      <c r="D29" s="109">
        <v>164</v>
      </c>
      <c r="E29" s="129" t="s">
        <v>294</v>
      </c>
      <c r="F29" s="129" t="s">
        <v>297</v>
      </c>
      <c r="G29" s="129" t="s">
        <v>281</v>
      </c>
      <c r="H29" s="129">
        <v>954552</v>
      </c>
      <c r="I29" s="109">
        <v>39</v>
      </c>
      <c r="J29" s="129" t="s">
        <v>193</v>
      </c>
      <c r="K29" s="127">
        <v>187</v>
      </c>
      <c r="L29" s="103">
        <v>384.13600000000002</v>
      </c>
      <c r="M29" s="128">
        <f t="shared" si="2"/>
        <v>-197.13600000000002</v>
      </c>
      <c r="N29" s="94">
        <f t="shared" si="3"/>
        <v>2.0542032085561499</v>
      </c>
    </row>
    <row r="30" spans="1:15" ht="15" customHeight="1">
      <c r="A30" s="129" t="s">
        <v>303</v>
      </c>
      <c r="B30" s="129" t="s">
        <v>293</v>
      </c>
      <c r="C30" s="91">
        <v>44259</v>
      </c>
      <c r="D30" s="96">
        <v>18</v>
      </c>
      <c r="E30" s="129" t="s">
        <v>289</v>
      </c>
      <c r="F30" s="129" t="s">
        <v>287</v>
      </c>
      <c r="G30" s="129" t="s">
        <v>312</v>
      </c>
      <c r="H30" s="99">
        <v>968579</v>
      </c>
      <c r="I30" s="109">
        <v>78</v>
      </c>
      <c r="J30" s="129" t="s">
        <v>192</v>
      </c>
      <c r="K30" s="127">
        <v>25</v>
      </c>
      <c r="L30" s="103">
        <v>12.199</v>
      </c>
      <c r="M30" s="128">
        <f t="shared" si="2"/>
        <v>12.801</v>
      </c>
      <c r="N30" s="94">
        <f t="shared" si="3"/>
        <v>0.48796</v>
      </c>
      <c r="O30" s="116">
        <f t="shared" ref="O30" si="6">M30+M31</f>
        <v>27.82</v>
      </c>
    </row>
    <row r="31" spans="1:15" ht="15" customHeight="1">
      <c r="A31" s="129" t="s">
        <v>303</v>
      </c>
      <c r="B31" s="129" t="s">
        <v>293</v>
      </c>
      <c r="C31" s="91">
        <v>44259</v>
      </c>
      <c r="D31" s="109">
        <v>18</v>
      </c>
      <c r="E31" s="129" t="s">
        <v>289</v>
      </c>
      <c r="F31" s="129" t="s">
        <v>287</v>
      </c>
      <c r="G31" s="129" t="s">
        <v>312</v>
      </c>
      <c r="H31" s="129">
        <v>968579</v>
      </c>
      <c r="I31" s="109">
        <v>78</v>
      </c>
      <c r="J31" s="129" t="s">
        <v>193</v>
      </c>
      <c r="K31" s="127">
        <v>25</v>
      </c>
      <c r="L31" s="103">
        <v>9.9809999999999999</v>
      </c>
      <c r="M31" s="128">
        <f t="shared" si="2"/>
        <v>15.019</v>
      </c>
      <c r="N31" s="94">
        <f t="shared" si="3"/>
        <v>0.39923999999999998</v>
      </c>
    </row>
    <row r="32" spans="1:15" ht="15" customHeight="1">
      <c r="A32" s="129" t="s">
        <v>305</v>
      </c>
      <c r="B32" s="129" t="s">
        <v>293</v>
      </c>
      <c r="C32" s="91">
        <v>44259</v>
      </c>
      <c r="D32" s="96">
        <v>19</v>
      </c>
      <c r="E32" s="129" t="s">
        <v>289</v>
      </c>
      <c r="F32" s="129" t="s">
        <v>287</v>
      </c>
      <c r="G32" s="129" t="s">
        <v>313</v>
      </c>
      <c r="H32" s="99">
        <v>697391</v>
      </c>
      <c r="I32" s="109">
        <v>53</v>
      </c>
      <c r="J32" s="129" t="s">
        <v>192</v>
      </c>
      <c r="K32" s="127">
        <v>132</v>
      </c>
      <c r="L32" s="103">
        <v>134.584</v>
      </c>
      <c r="M32" s="128">
        <f t="shared" si="2"/>
        <v>-2.5840000000000032</v>
      </c>
      <c r="N32" s="94">
        <f t="shared" si="3"/>
        <v>1.0195757575757576</v>
      </c>
      <c r="O32" s="116">
        <f t="shared" ref="O32:O92" si="7">M32+M33</f>
        <v>0.23300000000000409</v>
      </c>
    </row>
    <row r="33" spans="1:15" ht="15" customHeight="1">
      <c r="A33" s="129" t="s">
        <v>305</v>
      </c>
      <c r="B33" s="129" t="s">
        <v>293</v>
      </c>
      <c r="C33" s="91">
        <v>44259</v>
      </c>
      <c r="D33" s="109">
        <v>19</v>
      </c>
      <c r="E33" s="129" t="s">
        <v>289</v>
      </c>
      <c r="F33" s="129" t="s">
        <v>287</v>
      </c>
      <c r="G33" s="129" t="s">
        <v>313</v>
      </c>
      <c r="H33" s="129">
        <v>697391</v>
      </c>
      <c r="I33" s="109">
        <v>53</v>
      </c>
      <c r="J33" s="129" t="s">
        <v>193</v>
      </c>
      <c r="K33" s="127">
        <v>274</v>
      </c>
      <c r="L33" s="103">
        <v>271.18299999999999</v>
      </c>
      <c r="M33" s="128">
        <f t="shared" si="2"/>
        <v>2.8170000000000073</v>
      </c>
      <c r="N33" s="94">
        <f t="shared" si="3"/>
        <v>0.98971897810218978</v>
      </c>
    </row>
    <row r="34" spans="1:15" ht="15" customHeight="1">
      <c r="A34" s="129" t="s">
        <v>314</v>
      </c>
      <c r="B34" s="129" t="s">
        <v>293</v>
      </c>
      <c r="C34" s="91">
        <v>44259</v>
      </c>
      <c r="D34" s="96">
        <v>22</v>
      </c>
      <c r="E34" s="129" t="s">
        <v>289</v>
      </c>
      <c r="F34" s="129" t="s">
        <v>287</v>
      </c>
      <c r="G34" s="129" t="s">
        <v>315</v>
      </c>
      <c r="H34" s="99">
        <v>962160</v>
      </c>
      <c r="I34" s="109">
        <v>29</v>
      </c>
      <c r="J34" s="129" t="s">
        <v>192</v>
      </c>
      <c r="K34" s="127">
        <v>235.8</v>
      </c>
      <c r="L34" s="103">
        <v>27.661999999999999</v>
      </c>
      <c r="M34" s="128">
        <f t="shared" si="2"/>
        <v>208.13800000000001</v>
      </c>
      <c r="N34" s="94">
        <f t="shared" si="3"/>
        <v>0.11731128074639524</v>
      </c>
      <c r="O34" s="116">
        <f t="shared" ref="O34" si="8">M34+M35</f>
        <v>91.110000000000014</v>
      </c>
    </row>
    <row r="35" spans="1:15" ht="15" customHeight="1">
      <c r="A35" s="129" t="s">
        <v>314</v>
      </c>
      <c r="B35" s="129" t="s">
        <v>293</v>
      </c>
      <c r="C35" s="91">
        <v>44259</v>
      </c>
      <c r="D35" s="109">
        <v>22</v>
      </c>
      <c r="E35" s="129" t="s">
        <v>289</v>
      </c>
      <c r="F35" s="129" t="s">
        <v>287</v>
      </c>
      <c r="G35" s="129" t="s">
        <v>315</v>
      </c>
      <c r="H35" s="129">
        <v>962160</v>
      </c>
      <c r="I35" s="109">
        <v>29</v>
      </c>
      <c r="J35" s="129" t="s">
        <v>193</v>
      </c>
      <c r="K35" s="127">
        <v>226.6</v>
      </c>
      <c r="L35" s="103">
        <v>343.62799999999999</v>
      </c>
      <c r="M35" s="128">
        <f t="shared" si="2"/>
        <v>-117.02799999999999</v>
      </c>
      <c r="N35" s="94">
        <f t="shared" si="3"/>
        <v>1.5164518976169461</v>
      </c>
    </row>
    <row r="36" spans="1:15" ht="15" customHeight="1">
      <c r="A36" s="99" t="s">
        <v>316</v>
      </c>
      <c r="B36" s="99" t="s">
        <v>293</v>
      </c>
      <c r="C36" s="91">
        <v>44260</v>
      </c>
      <c r="D36" s="96">
        <v>629</v>
      </c>
      <c r="E36" s="99" t="s">
        <v>294</v>
      </c>
      <c r="F36" s="99" t="s">
        <v>297</v>
      </c>
      <c r="G36" s="96" t="s">
        <v>317</v>
      </c>
      <c r="H36" s="99">
        <v>958253</v>
      </c>
      <c r="I36" s="109">
        <v>9</v>
      </c>
      <c r="J36" s="129" t="s">
        <v>192</v>
      </c>
      <c r="K36" s="127">
        <v>108</v>
      </c>
      <c r="L36" s="103">
        <v>37.720999999999997</v>
      </c>
      <c r="M36" s="128">
        <f t="shared" si="2"/>
        <v>70.278999999999996</v>
      </c>
      <c r="N36" s="94">
        <f t="shared" si="3"/>
        <v>0.34926851851851848</v>
      </c>
      <c r="O36" s="116">
        <f t="shared" si="7"/>
        <v>0</v>
      </c>
    </row>
    <row r="37" spans="1:15" ht="15" customHeight="1">
      <c r="A37" s="129" t="s">
        <v>316</v>
      </c>
      <c r="B37" s="129" t="s">
        <v>293</v>
      </c>
      <c r="C37" s="91">
        <v>44260</v>
      </c>
      <c r="D37" s="109">
        <v>629</v>
      </c>
      <c r="E37" s="129" t="s">
        <v>294</v>
      </c>
      <c r="F37" s="129" t="s">
        <v>297</v>
      </c>
      <c r="G37" s="109" t="s">
        <v>317</v>
      </c>
      <c r="H37" s="129">
        <v>958253</v>
      </c>
      <c r="I37" s="109">
        <v>9</v>
      </c>
      <c r="J37" s="129" t="s">
        <v>193</v>
      </c>
      <c r="K37" s="127">
        <v>92</v>
      </c>
      <c r="L37" s="103">
        <v>162.279</v>
      </c>
      <c r="M37" s="128">
        <f t="shared" si="2"/>
        <v>-70.278999999999996</v>
      </c>
      <c r="N37" s="94">
        <f t="shared" si="3"/>
        <v>1.7639021739130434</v>
      </c>
    </row>
    <row r="38" spans="1:15" ht="15" customHeight="1">
      <c r="A38" s="129" t="s">
        <v>316</v>
      </c>
      <c r="B38" s="129" t="s">
        <v>293</v>
      </c>
      <c r="C38" s="91">
        <v>44260</v>
      </c>
      <c r="D38" s="109">
        <v>629</v>
      </c>
      <c r="E38" s="129" t="s">
        <v>294</v>
      </c>
      <c r="F38" s="129" t="s">
        <v>297</v>
      </c>
      <c r="G38" s="96" t="s">
        <v>318</v>
      </c>
      <c r="H38" s="99">
        <v>697388</v>
      </c>
      <c r="I38" s="109">
        <v>58</v>
      </c>
      <c r="J38" s="129" t="s">
        <v>192</v>
      </c>
      <c r="K38" s="127">
        <v>108</v>
      </c>
      <c r="L38" s="103">
        <v>42.765999999999998</v>
      </c>
      <c r="M38" s="128">
        <f t="shared" si="2"/>
        <v>65.234000000000009</v>
      </c>
      <c r="N38" s="94">
        <f t="shared" si="3"/>
        <v>0.39598148148148149</v>
      </c>
      <c r="O38" s="116">
        <f t="shared" ref="O38:O98" si="9">M38+M39</f>
        <v>0.93700000000001182</v>
      </c>
    </row>
    <row r="39" spans="1:15" ht="15" customHeight="1">
      <c r="A39" s="129" t="s">
        <v>316</v>
      </c>
      <c r="B39" s="129" t="s">
        <v>293</v>
      </c>
      <c r="C39" s="91">
        <v>44260</v>
      </c>
      <c r="D39" s="109">
        <v>629</v>
      </c>
      <c r="E39" s="129" t="s">
        <v>294</v>
      </c>
      <c r="F39" s="129" t="s">
        <v>297</v>
      </c>
      <c r="G39" s="109" t="s">
        <v>318</v>
      </c>
      <c r="H39" s="129">
        <v>697388</v>
      </c>
      <c r="I39" s="109">
        <v>58</v>
      </c>
      <c r="J39" s="129" t="s">
        <v>193</v>
      </c>
      <c r="K39" s="127">
        <v>92</v>
      </c>
      <c r="L39" s="103">
        <v>156.297</v>
      </c>
      <c r="M39" s="128">
        <f t="shared" si="2"/>
        <v>-64.296999999999997</v>
      </c>
      <c r="N39" s="94">
        <f t="shared" si="3"/>
        <v>1.6988804347826088</v>
      </c>
    </row>
    <row r="40" spans="1:15" ht="15" customHeight="1">
      <c r="A40" s="129" t="s">
        <v>316</v>
      </c>
      <c r="B40" s="129" t="s">
        <v>293</v>
      </c>
      <c r="C40" s="91">
        <v>44260</v>
      </c>
      <c r="D40" s="109">
        <v>629</v>
      </c>
      <c r="E40" s="129" t="s">
        <v>294</v>
      </c>
      <c r="F40" s="129" t="s">
        <v>297</v>
      </c>
      <c r="G40" s="96" t="s">
        <v>319</v>
      </c>
      <c r="H40" s="99">
        <v>951093</v>
      </c>
      <c r="I40" s="109">
        <v>9</v>
      </c>
      <c r="J40" s="129" t="s">
        <v>192</v>
      </c>
      <c r="K40" s="127">
        <v>54</v>
      </c>
      <c r="L40" s="103">
        <v>2.8639999999999999</v>
      </c>
      <c r="M40" s="128">
        <f t="shared" si="2"/>
        <v>51.136000000000003</v>
      </c>
      <c r="N40" s="94">
        <f t="shared" si="3"/>
        <v>5.3037037037037035E-2</v>
      </c>
      <c r="O40" s="116">
        <f t="shared" si="7"/>
        <v>0</v>
      </c>
    </row>
    <row r="41" spans="1:15" ht="15" customHeight="1">
      <c r="A41" s="129" t="s">
        <v>316</v>
      </c>
      <c r="B41" s="129" t="s">
        <v>293</v>
      </c>
      <c r="C41" s="91">
        <v>44260</v>
      </c>
      <c r="D41" s="109">
        <v>629</v>
      </c>
      <c r="E41" s="129" t="s">
        <v>294</v>
      </c>
      <c r="F41" s="129" t="s">
        <v>297</v>
      </c>
      <c r="G41" s="109" t="s">
        <v>319</v>
      </c>
      <c r="H41" s="129">
        <v>951093</v>
      </c>
      <c r="I41" s="109">
        <v>9</v>
      </c>
      <c r="J41" s="129" t="s">
        <v>193</v>
      </c>
      <c r="K41" s="127">
        <v>46</v>
      </c>
      <c r="L41" s="103">
        <v>97.135999999999996</v>
      </c>
      <c r="M41" s="128">
        <f t="shared" si="2"/>
        <v>-51.135999999999996</v>
      </c>
      <c r="N41" s="94">
        <f t="shared" si="3"/>
        <v>2.1116521739130434</v>
      </c>
    </row>
    <row r="42" spans="1:15" ht="15" customHeight="1">
      <c r="A42" s="129" t="s">
        <v>316</v>
      </c>
      <c r="B42" s="129" t="s">
        <v>293</v>
      </c>
      <c r="C42" s="91">
        <v>44260</v>
      </c>
      <c r="D42" s="109">
        <v>629</v>
      </c>
      <c r="E42" s="129" t="s">
        <v>294</v>
      </c>
      <c r="F42" s="129" t="s">
        <v>297</v>
      </c>
      <c r="G42" s="96" t="s">
        <v>320</v>
      </c>
      <c r="H42" s="99">
        <v>955189</v>
      </c>
      <c r="I42" s="109">
        <v>19</v>
      </c>
      <c r="J42" s="129" t="s">
        <v>192</v>
      </c>
      <c r="K42" s="127">
        <v>72</v>
      </c>
      <c r="L42" s="103">
        <v>18.8</v>
      </c>
      <c r="M42" s="128">
        <f t="shared" si="2"/>
        <v>53.2</v>
      </c>
      <c r="N42" s="94">
        <f t="shared" si="3"/>
        <v>0.26111111111111113</v>
      </c>
      <c r="O42" s="116">
        <f t="shared" si="9"/>
        <v>0</v>
      </c>
    </row>
    <row r="43" spans="1:15" ht="15" customHeight="1">
      <c r="A43" s="129" t="s">
        <v>316</v>
      </c>
      <c r="B43" s="129" t="s">
        <v>293</v>
      </c>
      <c r="C43" s="91">
        <v>44260</v>
      </c>
      <c r="D43" s="109">
        <v>629</v>
      </c>
      <c r="E43" s="129" t="s">
        <v>294</v>
      </c>
      <c r="F43" s="129" t="s">
        <v>297</v>
      </c>
      <c r="G43" s="109" t="s">
        <v>320</v>
      </c>
      <c r="H43" s="129">
        <v>955189</v>
      </c>
      <c r="I43" s="109">
        <v>19</v>
      </c>
      <c r="J43" s="129" t="s">
        <v>193</v>
      </c>
      <c r="K43" s="127">
        <v>61</v>
      </c>
      <c r="L43" s="103">
        <v>114.2</v>
      </c>
      <c r="M43" s="128">
        <f t="shared" si="2"/>
        <v>-53.2</v>
      </c>
      <c r="N43" s="94">
        <f t="shared" si="3"/>
        <v>1.8721311475409836</v>
      </c>
    </row>
    <row r="44" spans="1:15" ht="15" customHeight="1">
      <c r="A44" s="129" t="s">
        <v>316</v>
      </c>
      <c r="B44" s="129" t="s">
        <v>293</v>
      </c>
      <c r="C44" s="91">
        <v>44260</v>
      </c>
      <c r="D44" s="109">
        <v>629</v>
      </c>
      <c r="E44" s="129" t="s">
        <v>294</v>
      </c>
      <c r="F44" s="129" t="s">
        <v>297</v>
      </c>
      <c r="G44" s="96" t="s">
        <v>321</v>
      </c>
      <c r="H44" s="99">
        <v>955517</v>
      </c>
      <c r="I44" s="109">
        <v>58</v>
      </c>
      <c r="J44" s="129" t="s">
        <v>192</v>
      </c>
      <c r="K44" s="127">
        <v>108</v>
      </c>
      <c r="L44" s="103">
        <v>24.315000000000001</v>
      </c>
      <c r="M44" s="128">
        <f t="shared" si="2"/>
        <v>83.685000000000002</v>
      </c>
      <c r="N44" s="94">
        <f t="shared" si="3"/>
        <v>0.22513888888888889</v>
      </c>
      <c r="O44" s="116">
        <f t="shared" si="7"/>
        <v>3.6850000000000023</v>
      </c>
    </row>
    <row r="45" spans="1:15" ht="15" customHeight="1">
      <c r="A45" s="129" t="s">
        <v>316</v>
      </c>
      <c r="B45" s="129" t="s">
        <v>293</v>
      </c>
      <c r="C45" s="91">
        <v>44260</v>
      </c>
      <c r="D45" s="109">
        <v>629</v>
      </c>
      <c r="E45" s="129" t="s">
        <v>294</v>
      </c>
      <c r="F45" s="129" t="s">
        <v>297</v>
      </c>
      <c r="G45" s="109" t="s">
        <v>321</v>
      </c>
      <c r="H45" s="129">
        <v>955517</v>
      </c>
      <c r="I45" s="109">
        <v>58</v>
      </c>
      <c r="J45" s="129" t="s">
        <v>193</v>
      </c>
      <c r="K45" s="127">
        <v>92</v>
      </c>
      <c r="L45" s="103">
        <v>172</v>
      </c>
      <c r="M45" s="128">
        <f t="shared" si="2"/>
        <v>-80</v>
      </c>
      <c r="N45" s="94">
        <f t="shared" si="3"/>
        <v>1.8695652173913044</v>
      </c>
    </row>
    <row r="46" spans="1:15" ht="15" customHeight="1">
      <c r="A46" s="129" t="s">
        <v>316</v>
      </c>
      <c r="B46" s="129" t="s">
        <v>293</v>
      </c>
      <c r="C46" s="91">
        <v>44260</v>
      </c>
      <c r="D46" s="109">
        <v>629</v>
      </c>
      <c r="E46" s="129" t="s">
        <v>294</v>
      </c>
      <c r="F46" s="129" t="s">
        <v>297</v>
      </c>
      <c r="G46" s="96" t="s">
        <v>322</v>
      </c>
      <c r="H46" s="99">
        <v>968725</v>
      </c>
      <c r="I46" s="109">
        <v>58</v>
      </c>
      <c r="J46" s="129" t="s">
        <v>192</v>
      </c>
      <c r="K46" s="127">
        <v>108</v>
      </c>
      <c r="L46" s="103">
        <v>31.24</v>
      </c>
      <c r="M46" s="128">
        <f t="shared" si="2"/>
        <v>76.760000000000005</v>
      </c>
      <c r="N46" s="94">
        <f t="shared" si="3"/>
        <v>0.28925925925925927</v>
      </c>
      <c r="O46" s="116">
        <f t="shared" si="9"/>
        <v>0</v>
      </c>
    </row>
    <row r="47" spans="1:15" ht="15" customHeight="1">
      <c r="A47" s="129" t="s">
        <v>316</v>
      </c>
      <c r="B47" s="129" t="s">
        <v>293</v>
      </c>
      <c r="C47" s="91">
        <v>44260</v>
      </c>
      <c r="D47" s="109">
        <v>629</v>
      </c>
      <c r="E47" s="129" t="s">
        <v>294</v>
      </c>
      <c r="F47" s="129" t="s">
        <v>297</v>
      </c>
      <c r="G47" s="109" t="s">
        <v>322</v>
      </c>
      <c r="H47" s="129">
        <v>968725</v>
      </c>
      <c r="I47" s="109">
        <v>58</v>
      </c>
      <c r="J47" s="129" t="s">
        <v>193</v>
      </c>
      <c r="K47" s="127">
        <v>92</v>
      </c>
      <c r="L47" s="103">
        <v>168.76</v>
      </c>
      <c r="M47" s="128">
        <f t="shared" si="2"/>
        <v>-76.759999999999991</v>
      </c>
      <c r="N47" s="94">
        <f t="shared" si="3"/>
        <v>1.8343478260869563</v>
      </c>
    </row>
    <row r="48" spans="1:15" ht="15" customHeight="1">
      <c r="A48" s="129" t="s">
        <v>316</v>
      </c>
      <c r="B48" s="129" t="s">
        <v>293</v>
      </c>
      <c r="C48" s="91">
        <v>44260</v>
      </c>
      <c r="D48" s="109">
        <v>629</v>
      </c>
      <c r="E48" s="129" t="s">
        <v>294</v>
      </c>
      <c r="F48" s="129" t="s">
        <v>297</v>
      </c>
      <c r="G48" s="96" t="s">
        <v>323</v>
      </c>
      <c r="H48" s="99">
        <v>968494</v>
      </c>
      <c r="I48" s="109">
        <v>58</v>
      </c>
      <c r="J48" s="129" t="s">
        <v>192</v>
      </c>
      <c r="K48" s="127"/>
      <c r="L48" s="103"/>
      <c r="M48" s="128">
        <f t="shared" si="2"/>
        <v>0</v>
      </c>
      <c r="N48" s="94" t="e">
        <f t="shared" si="3"/>
        <v>#DIV/0!</v>
      </c>
      <c r="O48" s="116">
        <f t="shared" si="7"/>
        <v>0</v>
      </c>
    </row>
    <row r="49" spans="1:15" ht="15" customHeight="1">
      <c r="A49" s="129" t="s">
        <v>316</v>
      </c>
      <c r="B49" s="129" t="s">
        <v>293</v>
      </c>
      <c r="C49" s="91">
        <v>44260</v>
      </c>
      <c r="D49" s="109">
        <v>629</v>
      </c>
      <c r="E49" s="129" t="s">
        <v>294</v>
      </c>
      <c r="F49" s="129" t="s">
        <v>297</v>
      </c>
      <c r="G49" s="109" t="s">
        <v>323</v>
      </c>
      <c r="H49" s="129">
        <v>968494</v>
      </c>
      <c r="I49" s="109">
        <v>58</v>
      </c>
      <c r="J49" s="129" t="s">
        <v>193</v>
      </c>
      <c r="K49" s="127"/>
      <c r="L49" s="103"/>
      <c r="M49" s="128">
        <f t="shared" si="2"/>
        <v>0</v>
      </c>
      <c r="N49" s="94" t="e">
        <f t="shared" si="3"/>
        <v>#DIV/0!</v>
      </c>
    </row>
    <row r="50" spans="1:15" ht="15" customHeight="1">
      <c r="A50" s="129" t="s">
        <v>316</v>
      </c>
      <c r="B50" s="129" t="s">
        <v>293</v>
      </c>
      <c r="C50" s="91">
        <v>44260</v>
      </c>
      <c r="D50" s="109">
        <v>629</v>
      </c>
      <c r="E50" s="129" t="s">
        <v>294</v>
      </c>
      <c r="F50" s="129" t="s">
        <v>297</v>
      </c>
      <c r="G50" s="96" t="s">
        <v>324</v>
      </c>
      <c r="H50" s="99">
        <v>956236</v>
      </c>
      <c r="I50" s="109">
        <v>35</v>
      </c>
      <c r="J50" s="129" t="s">
        <v>192</v>
      </c>
      <c r="K50" s="127">
        <v>108</v>
      </c>
      <c r="L50" s="103">
        <v>37.627000000000002</v>
      </c>
      <c r="M50" s="128">
        <f t="shared" si="2"/>
        <v>70.37299999999999</v>
      </c>
      <c r="N50" s="94">
        <f t="shared" si="3"/>
        <v>0.34839814814814818</v>
      </c>
      <c r="O50" s="116">
        <f t="shared" si="9"/>
        <v>0</v>
      </c>
    </row>
    <row r="51" spans="1:15" ht="15" customHeight="1">
      <c r="A51" s="129" t="s">
        <v>316</v>
      </c>
      <c r="B51" s="129" t="s">
        <v>293</v>
      </c>
      <c r="C51" s="91">
        <v>44260</v>
      </c>
      <c r="D51" s="109">
        <v>629</v>
      </c>
      <c r="E51" s="129" t="s">
        <v>294</v>
      </c>
      <c r="F51" s="129" t="s">
        <v>297</v>
      </c>
      <c r="G51" s="109" t="s">
        <v>324</v>
      </c>
      <c r="H51" s="129">
        <v>956236</v>
      </c>
      <c r="I51" s="109">
        <v>35</v>
      </c>
      <c r="J51" s="129" t="s">
        <v>193</v>
      </c>
      <c r="K51" s="127">
        <v>92</v>
      </c>
      <c r="L51" s="103">
        <v>162.37299999999999</v>
      </c>
      <c r="M51" s="128">
        <f t="shared" si="2"/>
        <v>-70.37299999999999</v>
      </c>
      <c r="N51" s="94">
        <f t="shared" si="3"/>
        <v>1.7649239130434782</v>
      </c>
    </row>
    <row r="52" spans="1:15" ht="15" customHeight="1">
      <c r="A52" s="129" t="s">
        <v>316</v>
      </c>
      <c r="B52" s="129" t="s">
        <v>293</v>
      </c>
      <c r="C52" s="91">
        <v>44260</v>
      </c>
      <c r="D52" s="109">
        <v>629</v>
      </c>
      <c r="E52" s="129" t="s">
        <v>294</v>
      </c>
      <c r="F52" s="129" t="s">
        <v>297</v>
      </c>
      <c r="G52" s="96" t="s">
        <v>325</v>
      </c>
      <c r="H52" s="99">
        <v>913411</v>
      </c>
      <c r="I52" s="109">
        <v>55</v>
      </c>
      <c r="J52" s="129" t="s">
        <v>192</v>
      </c>
      <c r="K52" s="127">
        <v>108</v>
      </c>
      <c r="L52" s="103">
        <v>49.466999999999999</v>
      </c>
      <c r="M52" s="128">
        <f t="shared" si="2"/>
        <v>58.533000000000001</v>
      </c>
      <c r="N52" s="94">
        <f t="shared" si="3"/>
        <v>0.45802777777777776</v>
      </c>
      <c r="O52" s="116">
        <f t="shared" si="7"/>
        <v>0</v>
      </c>
    </row>
    <row r="53" spans="1:15" ht="15" customHeight="1">
      <c r="A53" s="129" t="s">
        <v>316</v>
      </c>
      <c r="B53" s="129" t="s">
        <v>293</v>
      </c>
      <c r="C53" s="91">
        <v>44260</v>
      </c>
      <c r="D53" s="109">
        <v>629</v>
      </c>
      <c r="E53" s="129" t="s">
        <v>294</v>
      </c>
      <c r="F53" s="129" t="s">
        <v>297</v>
      </c>
      <c r="G53" s="109" t="s">
        <v>325</v>
      </c>
      <c r="H53" s="129">
        <v>913411</v>
      </c>
      <c r="I53" s="109">
        <v>55</v>
      </c>
      <c r="J53" s="129" t="s">
        <v>193</v>
      </c>
      <c r="K53" s="127">
        <v>92</v>
      </c>
      <c r="L53" s="103">
        <v>150.53299999999999</v>
      </c>
      <c r="M53" s="128">
        <f t="shared" si="2"/>
        <v>-58.532999999999987</v>
      </c>
      <c r="N53" s="94">
        <f t="shared" si="3"/>
        <v>1.6362282608695651</v>
      </c>
    </row>
    <row r="54" spans="1:15" ht="15" customHeight="1">
      <c r="A54" s="129" t="s">
        <v>316</v>
      </c>
      <c r="B54" s="129" t="s">
        <v>293</v>
      </c>
      <c r="C54" s="91">
        <v>44260</v>
      </c>
      <c r="D54" s="109">
        <v>629</v>
      </c>
      <c r="E54" s="129" t="s">
        <v>294</v>
      </c>
      <c r="F54" s="129" t="s">
        <v>297</v>
      </c>
      <c r="G54" s="96" t="s">
        <v>326</v>
      </c>
      <c r="H54" s="99">
        <v>966025</v>
      </c>
      <c r="I54" s="109">
        <v>29</v>
      </c>
      <c r="J54" s="129" t="s">
        <v>192</v>
      </c>
      <c r="K54" s="127">
        <v>54</v>
      </c>
      <c r="L54" s="103">
        <v>26.7</v>
      </c>
      <c r="M54" s="128">
        <f t="shared" ref="M54:M87" si="10">K54-L54</f>
        <v>27.3</v>
      </c>
      <c r="N54" s="94">
        <f t="shared" ref="N54:N87" si="11">L54/K54</f>
        <v>0.49444444444444441</v>
      </c>
      <c r="O54" s="116">
        <f t="shared" si="9"/>
        <v>0</v>
      </c>
    </row>
    <row r="55" spans="1:15" ht="15" customHeight="1">
      <c r="A55" s="129" t="s">
        <v>316</v>
      </c>
      <c r="B55" s="129" t="s">
        <v>293</v>
      </c>
      <c r="C55" s="91">
        <v>44260</v>
      </c>
      <c r="D55" s="109">
        <v>629</v>
      </c>
      <c r="E55" s="129" t="s">
        <v>294</v>
      </c>
      <c r="F55" s="129" t="s">
        <v>297</v>
      </c>
      <c r="G55" s="109" t="s">
        <v>326</v>
      </c>
      <c r="H55" s="129">
        <v>966025</v>
      </c>
      <c r="I55" s="109">
        <v>29</v>
      </c>
      <c r="J55" s="129" t="s">
        <v>193</v>
      </c>
      <c r="K55" s="127">
        <v>46</v>
      </c>
      <c r="L55" s="103">
        <v>73.3</v>
      </c>
      <c r="M55" s="128">
        <f t="shared" si="10"/>
        <v>-27.299999999999997</v>
      </c>
      <c r="N55" s="94">
        <f t="shared" si="11"/>
        <v>1.5934782608695652</v>
      </c>
    </row>
    <row r="56" spans="1:15" ht="15" customHeight="1">
      <c r="A56" s="129" t="s">
        <v>316</v>
      </c>
      <c r="B56" s="129" t="s">
        <v>293</v>
      </c>
      <c r="C56" s="91">
        <v>44260</v>
      </c>
      <c r="D56" s="109">
        <v>629</v>
      </c>
      <c r="E56" s="129" t="s">
        <v>294</v>
      </c>
      <c r="F56" s="129" t="s">
        <v>297</v>
      </c>
      <c r="G56" s="96" t="s">
        <v>327</v>
      </c>
      <c r="H56" s="99">
        <v>967983</v>
      </c>
      <c r="I56" s="109">
        <v>9</v>
      </c>
      <c r="J56" s="129" t="s">
        <v>192</v>
      </c>
      <c r="K56" s="127">
        <v>54</v>
      </c>
      <c r="L56" s="103">
        <v>11.613</v>
      </c>
      <c r="M56" s="128">
        <f t="shared" si="10"/>
        <v>42.387</v>
      </c>
      <c r="N56" s="94">
        <f t="shared" si="11"/>
        <v>0.21505555555555556</v>
      </c>
      <c r="O56" s="116">
        <f t="shared" si="7"/>
        <v>0</v>
      </c>
    </row>
    <row r="57" spans="1:15" ht="15" customHeight="1">
      <c r="A57" s="129" t="s">
        <v>316</v>
      </c>
      <c r="B57" s="129" t="s">
        <v>293</v>
      </c>
      <c r="C57" s="91">
        <v>44260</v>
      </c>
      <c r="D57" s="109">
        <v>629</v>
      </c>
      <c r="E57" s="129" t="s">
        <v>294</v>
      </c>
      <c r="F57" s="129" t="s">
        <v>297</v>
      </c>
      <c r="G57" s="109" t="s">
        <v>327</v>
      </c>
      <c r="H57" s="129">
        <v>967983</v>
      </c>
      <c r="I57" s="109">
        <v>9</v>
      </c>
      <c r="J57" s="129" t="s">
        <v>193</v>
      </c>
      <c r="K57" s="127">
        <v>46</v>
      </c>
      <c r="L57" s="103">
        <v>88.387</v>
      </c>
      <c r="M57" s="128">
        <f t="shared" si="10"/>
        <v>-42.387</v>
      </c>
      <c r="N57" s="94">
        <f t="shared" si="11"/>
        <v>1.9214565217391304</v>
      </c>
    </row>
    <row r="58" spans="1:15" ht="15" customHeight="1">
      <c r="A58" s="129" t="s">
        <v>316</v>
      </c>
      <c r="B58" s="129" t="s">
        <v>293</v>
      </c>
      <c r="C58" s="91">
        <v>44260</v>
      </c>
      <c r="D58" s="109">
        <v>629</v>
      </c>
      <c r="E58" s="129" t="s">
        <v>294</v>
      </c>
      <c r="F58" s="129" t="s">
        <v>297</v>
      </c>
      <c r="G58" s="96" t="s">
        <v>328</v>
      </c>
      <c r="H58" s="99">
        <v>955250</v>
      </c>
      <c r="I58" s="109">
        <v>19</v>
      </c>
      <c r="J58" s="129" t="s">
        <v>192</v>
      </c>
      <c r="K58" s="127">
        <v>108</v>
      </c>
      <c r="L58" s="103">
        <v>51.448</v>
      </c>
      <c r="M58" s="128">
        <f t="shared" si="10"/>
        <v>56.552</v>
      </c>
      <c r="N58" s="94">
        <f t="shared" si="11"/>
        <v>0.47637037037037039</v>
      </c>
      <c r="O58" s="116">
        <f t="shared" si="9"/>
        <v>0</v>
      </c>
    </row>
    <row r="59" spans="1:15" ht="15" customHeight="1">
      <c r="A59" s="129" t="s">
        <v>316</v>
      </c>
      <c r="B59" s="129" t="s">
        <v>293</v>
      </c>
      <c r="C59" s="91">
        <v>44260</v>
      </c>
      <c r="D59" s="109">
        <v>629</v>
      </c>
      <c r="E59" s="129" t="s">
        <v>294</v>
      </c>
      <c r="F59" s="129" t="s">
        <v>297</v>
      </c>
      <c r="G59" s="109" t="s">
        <v>328</v>
      </c>
      <c r="H59" s="129">
        <v>955250</v>
      </c>
      <c r="I59" s="109">
        <v>19</v>
      </c>
      <c r="J59" s="129" t="s">
        <v>193</v>
      </c>
      <c r="K59" s="127">
        <v>92</v>
      </c>
      <c r="L59" s="103">
        <v>148.55199999999999</v>
      </c>
      <c r="M59" s="128">
        <f t="shared" si="10"/>
        <v>-56.551999999999992</v>
      </c>
      <c r="N59" s="94">
        <f t="shared" si="11"/>
        <v>1.6146956521739129</v>
      </c>
    </row>
    <row r="60" spans="1:15" ht="15" customHeight="1">
      <c r="A60" s="129" t="s">
        <v>316</v>
      </c>
      <c r="B60" s="129" t="s">
        <v>293</v>
      </c>
      <c r="C60" s="91">
        <v>44260</v>
      </c>
      <c r="D60" s="109">
        <v>629</v>
      </c>
      <c r="E60" s="129" t="s">
        <v>294</v>
      </c>
      <c r="F60" s="129" t="s">
        <v>297</v>
      </c>
      <c r="G60" s="96" t="s">
        <v>329</v>
      </c>
      <c r="H60" s="99">
        <v>697356</v>
      </c>
      <c r="I60" s="109">
        <v>19</v>
      </c>
      <c r="J60" s="129" t="s">
        <v>192</v>
      </c>
      <c r="K60" s="127">
        <v>108</v>
      </c>
      <c r="L60" s="103">
        <v>28</v>
      </c>
      <c r="M60" s="128">
        <f t="shared" si="10"/>
        <v>80</v>
      </c>
      <c r="N60" s="94">
        <f t="shared" si="11"/>
        <v>0.25925925925925924</v>
      </c>
      <c r="O60" s="116">
        <f t="shared" si="7"/>
        <v>0</v>
      </c>
    </row>
    <row r="61" spans="1:15" ht="15" customHeight="1">
      <c r="A61" s="129" t="s">
        <v>316</v>
      </c>
      <c r="B61" s="129" t="s">
        <v>293</v>
      </c>
      <c r="C61" s="91">
        <v>44260</v>
      </c>
      <c r="D61" s="109">
        <v>629</v>
      </c>
      <c r="E61" s="129" t="s">
        <v>294</v>
      </c>
      <c r="F61" s="129" t="s">
        <v>297</v>
      </c>
      <c r="G61" s="109" t="s">
        <v>329</v>
      </c>
      <c r="H61" s="129">
        <v>697356</v>
      </c>
      <c r="I61" s="109">
        <v>19</v>
      </c>
      <c r="J61" s="129" t="s">
        <v>193</v>
      </c>
      <c r="K61" s="127">
        <v>92</v>
      </c>
      <c r="L61" s="103">
        <v>172</v>
      </c>
      <c r="M61" s="128">
        <f t="shared" si="10"/>
        <v>-80</v>
      </c>
      <c r="N61" s="94">
        <f t="shared" si="11"/>
        <v>1.8695652173913044</v>
      </c>
    </row>
    <row r="62" spans="1:15" ht="15" customHeight="1">
      <c r="A62" s="129" t="s">
        <v>316</v>
      </c>
      <c r="B62" s="129" t="s">
        <v>293</v>
      </c>
      <c r="C62" s="91">
        <v>44260</v>
      </c>
      <c r="D62" s="109">
        <v>629</v>
      </c>
      <c r="E62" s="129" t="s">
        <v>294</v>
      </c>
      <c r="F62" s="129" t="s">
        <v>297</v>
      </c>
      <c r="G62" s="96" t="s">
        <v>330</v>
      </c>
      <c r="H62" s="99">
        <v>966763</v>
      </c>
      <c r="I62" s="109">
        <v>6</v>
      </c>
      <c r="J62" s="129" t="s">
        <v>192</v>
      </c>
      <c r="K62" s="127">
        <v>108</v>
      </c>
      <c r="L62" s="103">
        <v>17.861999999999998</v>
      </c>
      <c r="M62" s="128">
        <f t="shared" si="10"/>
        <v>90.138000000000005</v>
      </c>
      <c r="N62" s="94">
        <f t="shared" si="11"/>
        <v>0.16538888888888886</v>
      </c>
      <c r="O62" s="116">
        <f t="shared" si="9"/>
        <v>31.463999999999999</v>
      </c>
    </row>
    <row r="63" spans="1:15" ht="15" customHeight="1">
      <c r="A63" s="129" t="s">
        <v>316</v>
      </c>
      <c r="B63" s="129" t="s">
        <v>293</v>
      </c>
      <c r="C63" s="91">
        <v>44260</v>
      </c>
      <c r="D63" s="109">
        <v>629</v>
      </c>
      <c r="E63" s="129" t="s">
        <v>294</v>
      </c>
      <c r="F63" s="129" t="s">
        <v>297</v>
      </c>
      <c r="G63" s="109" t="s">
        <v>330</v>
      </c>
      <c r="H63" s="129">
        <v>966763</v>
      </c>
      <c r="I63" s="109">
        <v>6</v>
      </c>
      <c r="J63" s="129" t="s">
        <v>193</v>
      </c>
      <c r="K63" s="127">
        <v>92</v>
      </c>
      <c r="L63" s="103">
        <v>150.67400000000001</v>
      </c>
      <c r="M63" s="128">
        <f t="shared" si="10"/>
        <v>-58.674000000000007</v>
      </c>
      <c r="N63" s="94">
        <f t="shared" si="11"/>
        <v>1.6377608695652175</v>
      </c>
    </row>
    <row r="64" spans="1:15" ht="15" customHeight="1">
      <c r="A64" s="129" t="s">
        <v>316</v>
      </c>
      <c r="B64" s="129" t="s">
        <v>293</v>
      </c>
      <c r="C64" s="91">
        <v>44260</v>
      </c>
      <c r="D64" s="109">
        <v>629</v>
      </c>
      <c r="E64" s="129" t="s">
        <v>294</v>
      </c>
      <c r="F64" s="129" t="s">
        <v>297</v>
      </c>
      <c r="G64" s="96" t="s">
        <v>331</v>
      </c>
      <c r="H64" s="99">
        <v>958067</v>
      </c>
      <c r="I64" s="109">
        <v>38</v>
      </c>
      <c r="J64" s="129" t="s">
        <v>192</v>
      </c>
      <c r="K64" s="127">
        <v>75</v>
      </c>
      <c r="L64" s="103">
        <v>55.043999999999997</v>
      </c>
      <c r="M64" s="128">
        <f t="shared" si="10"/>
        <v>19.956000000000003</v>
      </c>
      <c r="N64" s="94">
        <f t="shared" si="11"/>
        <v>0.73391999999999991</v>
      </c>
      <c r="O64" s="116">
        <f t="shared" si="7"/>
        <v>0</v>
      </c>
    </row>
    <row r="65" spans="1:15" ht="15" customHeight="1">
      <c r="A65" s="129" t="s">
        <v>316</v>
      </c>
      <c r="B65" s="129" t="s">
        <v>293</v>
      </c>
      <c r="C65" s="91">
        <v>44260</v>
      </c>
      <c r="D65" s="109">
        <v>629</v>
      </c>
      <c r="E65" s="129" t="s">
        <v>294</v>
      </c>
      <c r="F65" s="129" t="s">
        <v>297</v>
      </c>
      <c r="G65" s="109" t="s">
        <v>331</v>
      </c>
      <c r="H65" s="129">
        <v>958067</v>
      </c>
      <c r="I65" s="109">
        <v>38</v>
      </c>
      <c r="J65" s="129" t="s">
        <v>193</v>
      </c>
      <c r="K65" s="127">
        <v>58</v>
      </c>
      <c r="L65" s="103">
        <v>77.956000000000003</v>
      </c>
      <c r="M65" s="128">
        <f t="shared" si="10"/>
        <v>-19.956000000000003</v>
      </c>
      <c r="N65" s="94">
        <f t="shared" si="11"/>
        <v>1.3440689655172415</v>
      </c>
    </row>
    <row r="66" spans="1:15" ht="15" customHeight="1">
      <c r="A66" s="129" t="s">
        <v>316</v>
      </c>
      <c r="B66" s="129" t="s">
        <v>293</v>
      </c>
      <c r="C66" s="91">
        <v>44260</v>
      </c>
      <c r="D66" s="109">
        <v>629</v>
      </c>
      <c r="E66" s="129" t="s">
        <v>294</v>
      </c>
      <c r="F66" s="129" t="s">
        <v>297</v>
      </c>
      <c r="G66" s="96" t="s">
        <v>332</v>
      </c>
      <c r="H66" s="99">
        <v>968764</v>
      </c>
      <c r="I66" s="109">
        <v>21</v>
      </c>
      <c r="J66" s="129" t="s">
        <v>192</v>
      </c>
      <c r="K66" s="127">
        <v>216</v>
      </c>
      <c r="L66" s="103">
        <v>173.04400000000001</v>
      </c>
      <c r="M66" s="128">
        <f t="shared" si="10"/>
        <v>42.955999999999989</v>
      </c>
      <c r="N66" s="94">
        <f t="shared" si="11"/>
        <v>0.80112962962962964</v>
      </c>
      <c r="O66" s="116">
        <f t="shared" si="9"/>
        <v>0</v>
      </c>
    </row>
    <row r="67" spans="1:15" ht="15" customHeight="1">
      <c r="A67" s="129" t="s">
        <v>316</v>
      </c>
      <c r="B67" s="129" t="s">
        <v>293</v>
      </c>
      <c r="C67" s="91">
        <v>44260</v>
      </c>
      <c r="D67" s="109">
        <v>629</v>
      </c>
      <c r="E67" s="129" t="s">
        <v>294</v>
      </c>
      <c r="F67" s="129" t="s">
        <v>297</v>
      </c>
      <c r="G67" s="109" t="s">
        <v>332</v>
      </c>
      <c r="H67" s="129">
        <v>968764</v>
      </c>
      <c r="I67" s="109">
        <v>21</v>
      </c>
      <c r="J67" s="129" t="s">
        <v>193</v>
      </c>
      <c r="K67" s="127">
        <v>184</v>
      </c>
      <c r="L67" s="103">
        <v>226.95599999999999</v>
      </c>
      <c r="M67" s="128">
        <f t="shared" si="10"/>
        <v>-42.955999999999989</v>
      </c>
      <c r="N67" s="94">
        <f t="shared" si="11"/>
        <v>1.2334565217391305</v>
      </c>
    </row>
    <row r="68" spans="1:15" ht="15" customHeight="1">
      <c r="A68" s="129" t="s">
        <v>316</v>
      </c>
      <c r="B68" s="129" t="s">
        <v>293</v>
      </c>
      <c r="C68" s="91">
        <v>44260</v>
      </c>
      <c r="D68" s="109">
        <v>629</v>
      </c>
      <c r="E68" s="129" t="s">
        <v>294</v>
      </c>
      <c r="F68" s="129" t="s">
        <v>297</v>
      </c>
      <c r="G68" s="96" t="s">
        <v>333</v>
      </c>
      <c r="H68" s="99">
        <v>959347</v>
      </c>
      <c r="I68" s="109">
        <v>68</v>
      </c>
      <c r="J68" s="129" t="s">
        <v>192</v>
      </c>
      <c r="K68" s="127">
        <v>108</v>
      </c>
      <c r="L68" s="103">
        <v>15.909000000000001</v>
      </c>
      <c r="M68" s="128">
        <f t="shared" si="10"/>
        <v>92.090999999999994</v>
      </c>
      <c r="N68" s="94">
        <f t="shared" si="11"/>
        <v>0.14730555555555555</v>
      </c>
      <c r="O68" s="116">
        <f t="shared" si="7"/>
        <v>0</v>
      </c>
    </row>
    <row r="69" spans="1:15" ht="15" customHeight="1">
      <c r="A69" s="129" t="s">
        <v>316</v>
      </c>
      <c r="B69" s="129" t="s">
        <v>293</v>
      </c>
      <c r="C69" s="91">
        <v>44260</v>
      </c>
      <c r="D69" s="109">
        <v>629</v>
      </c>
      <c r="E69" s="129" t="s">
        <v>294</v>
      </c>
      <c r="F69" s="129" t="s">
        <v>297</v>
      </c>
      <c r="G69" s="109" t="s">
        <v>333</v>
      </c>
      <c r="H69" s="129">
        <v>959347</v>
      </c>
      <c r="I69" s="109">
        <v>68</v>
      </c>
      <c r="J69" s="129" t="s">
        <v>193</v>
      </c>
      <c r="K69" s="127">
        <v>92</v>
      </c>
      <c r="L69" s="103">
        <v>184.09100000000001</v>
      </c>
      <c r="M69" s="128">
        <f t="shared" si="10"/>
        <v>-92.091000000000008</v>
      </c>
      <c r="N69" s="94">
        <f t="shared" si="11"/>
        <v>2.0009891304347827</v>
      </c>
    </row>
    <row r="70" spans="1:15" ht="15" customHeight="1">
      <c r="A70" s="129" t="s">
        <v>316</v>
      </c>
      <c r="B70" s="129" t="s">
        <v>293</v>
      </c>
      <c r="C70" s="91">
        <v>44260</v>
      </c>
      <c r="D70" s="109">
        <v>629</v>
      </c>
      <c r="E70" s="129" t="s">
        <v>294</v>
      </c>
      <c r="F70" s="129" t="s">
        <v>297</v>
      </c>
      <c r="G70" s="109" t="s">
        <v>632</v>
      </c>
      <c r="H70" s="129">
        <v>958078</v>
      </c>
      <c r="I70" s="109">
        <v>58</v>
      </c>
      <c r="J70" s="129" t="s">
        <v>192</v>
      </c>
      <c r="K70" s="127">
        <v>108</v>
      </c>
      <c r="L70" s="103">
        <v>176.864</v>
      </c>
      <c r="M70" s="128">
        <f t="shared" ref="M70:M71" si="12">K70-L70</f>
        <v>-68.864000000000004</v>
      </c>
      <c r="N70" s="94">
        <f t="shared" ref="N70:N71" si="13">L70/K70</f>
        <v>1.6376296296296298</v>
      </c>
      <c r="O70" s="116">
        <f t="shared" si="9"/>
        <v>0</v>
      </c>
    </row>
    <row r="71" spans="1:15" ht="15" customHeight="1">
      <c r="A71" s="129" t="s">
        <v>316</v>
      </c>
      <c r="B71" s="129" t="s">
        <v>293</v>
      </c>
      <c r="C71" s="91">
        <v>44260</v>
      </c>
      <c r="D71" s="109">
        <v>629</v>
      </c>
      <c r="E71" s="129" t="s">
        <v>294</v>
      </c>
      <c r="F71" s="129" t="s">
        <v>297</v>
      </c>
      <c r="G71" s="109" t="s">
        <v>632</v>
      </c>
      <c r="H71" s="129">
        <v>958078</v>
      </c>
      <c r="I71" s="109">
        <v>58</v>
      </c>
      <c r="J71" s="129" t="s">
        <v>193</v>
      </c>
      <c r="K71" s="127">
        <v>92</v>
      </c>
      <c r="L71" s="103">
        <v>23.135999999999999</v>
      </c>
      <c r="M71" s="128">
        <f t="shared" si="12"/>
        <v>68.864000000000004</v>
      </c>
      <c r="N71" s="94">
        <f t="shared" si="13"/>
        <v>0.25147826086956521</v>
      </c>
    </row>
    <row r="72" spans="1:15" ht="15" customHeight="1">
      <c r="A72" s="99" t="s">
        <v>334</v>
      </c>
      <c r="B72" s="99" t="s">
        <v>293</v>
      </c>
      <c r="C72" s="91">
        <v>44260</v>
      </c>
      <c r="D72" s="96">
        <v>647</v>
      </c>
      <c r="E72" s="129" t="s">
        <v>294</v>
      </c>
      <c r="F72" s="129" t="s">
        <v>297</v>
      </c>
      <c r="G72" s="96" t="s">
        <v>335</v>
      </c>
      <c r="H72" s="99">
        <v>926674</v>
      </c>
      <c r="I72" s="109">
        <v>69</v>
      </c>
      <c r="J72" s="129" t="s">
        <v>192</v>
      </c>
      <c r="K72" s="127">
        <v>60</v>
      </c>
      <c r="L72" s="103">
        <v>60</v>
      </c>
      <c r="M72" s="128">
        <f t="shared" si="10"/>
        <v>0</v>
      </c>
      <c r="N72" s="94">
        <f t="shared" si="11"/>
        <v>1</v>
      </c>
      <c r="O72" s="116">
        <f t="shared" si="7"/>
        <v>0</v>
      </c>
    </row>
    <row r="73" spans="1:15" ht="15" customHeight="1">
      <c r="A73" s="129" t="s">
        <v>334</v>
      </c>
      <c r="B73" s="129" t="s">
        <v>293</v>
      </c>
      <c r="C73" s="91">
        <v>44260</v>
      </c>
      <c r="D73" s="109">
        <v>647</v>
      </c>
      <c r="E73" s="129" t="s">
        <v>294</v>
      </c>
      <c r="F73" s="129" t="s">
        <v>297</v>
      </c>
      <c r="G73" s="109" t="s">
        <v>335</v>
      </c>
      <c r="H73" s="129">
        <v>926674</v>
      </c>
      <c r="I73" s="109">
        <v>69</v>
      </c>
      <c r="J73" s="129" t="s">
        <v>193</v>
      </c>
      <c r="K73" s="127">
        <v>40</v>
      </c>
      <c r="L73" s="103">
        <v>40</v>
      </c>
      <c r="M73" s="128">
        <f t="shared" si="10"/>
        <v>0</v>
      </c>
      <c r="N73" s="94">
        <f t="shared" si="11"/>
        <v>1</v>
      </c>
    </row>
    <row r="74" spans="1:15" ht="15" customHeight="1">
      <c r="A74" s="129" t="s">
        <v>334</v>
      </c>
      <c r="B74" s="129" t="s">
        <v>293</v>
      </c>
      <c r="C74" s="91">
        <v>44260</v>
      </c>
      <c r="D74" s="109">
        <v>647</v>
      </c>
      <c r="E74" s="129" t="s">
        <v>294</v>
      </c>
      <c r="F74" s="129" t="s">
        <v>297</v>
      </c>
      <c r="G74" s="96" t="s">
        <v>336</v>
      </c>
      <c r="H74" s="99">
        <v>961332</v>
      </c>
      <c r="I74" s="109">
        <v>63</v>
      </c>
      <c r="J74" s="129" t="s">
        <v>192</v>
      </c>
      <c r="K74" s="127">
        <v>60</v>
      </c>
      <c r="L74" s="103">
        <v>8.5500000000000007</v>
      </c>
      <c r="M74" s="128">
        <f t="shared" si="10"/>
        <v>51.45</v>
      </c>
      <c r="N74" s="94">
        <f t="shared" si="11"/>
        <v>0.14250000000000002</v>
      </c>
      <c r="O74" s="116">
        <f t="shared" si="9"/>
        <v>7.8020000000000067</v>
      </c>
    </row>
    <row r="75" spans="1:15" ht="15" customHeight="1">
      <c r="A75" s="129" t="s">
        <v>334</v>
      </c>
      <c r="B75" s="129" t="s">
        <v>293</v>
      </c>
      <c r="C75" s="91">
        <v>44260</v>
      </c>
      <c r="D75" s="109">
        <v>647</v>
      </c>
      <c r="E75" s="129" t="s">
        <v>294</v>
      </c>
      <c r="F75" s="129" t="s">
        <v>297</v>
      </c>
      <c r="G75" s="109" t="s">
        <v>336</v>
      </c>
      <c r="H75" s="129">
        <v>961332</v>
      </c>
      <c r="I75" s="109">
        <v>63</v>
      </c>
      <c r="J75" s="129" t="s">
        <v>193</v>
      </c>
      <c r="K75" s="127">
        <v>40</v>
      </c>
      <c r="L75" s="103">
        <v>83.647999999999996</v>
      </c>
      <c r="M75" s="128">
        <f t="shared" si="10"/>
        <v>-43.647999999999996</v>
      </c>
      <c r="N75" s="94">
        <f t="shared" si="11"/>
        <v>2.0911999999999997</v>
      </c>
    </row>
    <row r="76" spans="1:15" ht="15" customHeight="1">
      <c r="A76" s="129" t="s">
        <v>334</v>
      </c>
      <c r="B76" s="129" t="s">
        <v>293</v>
      </c>
      <c r="C76" s="91">
        <v>44260</v>
      </c>
      <c r="D76" s="109">
        <v>647</v>
      </c>
      <c r="E76" s="129" t="s">
        <v>294</v>
      </c>
      <c r="F76" s="129" t="s">
        <v>297</v>
      </c>
      <c r="G76" s="96" t="s">
        <v>337</v>
      </c>
      <c r="H76" s="96">
        <v>966816</v>
      </c>
      <c r="I76" s="109">
        <v>19</v>
      </c>
      <c r="J76" s="129" t="s">
        <v>192</v>
      </c>
      <c r="K76" s="127">
        <v>49</v>
      </c>
      <c r="L76" s="103">
        <v>49</v>
      </c>
      <c r="M76" s="128">
        <f t="shared" si="10"/>
        <v>0</v>
      </c>
      <c r="N76" s="94">
        <f t="shared" si="11"/>
        <v>1</v>
      </c>
      <c r="O76" s="116">
        <f t="shared" si="7"/>
        <v>0</v>
      </c>
    </row>
    <row r="77" spans="1:15" ht="15" customHeight="1">
      <c r="A77" s="129" t="s">
        <v>334</v>
      </c>
      <c r="B77" s="129" t="s">
        <v>293</v>
      </c>
      <c r="C77" s="91">
        <v>44260</v>
      </c>
      <c r="D77" s="109">
        <v>647</v>
      </c>
      <c r="E77" s="129" t="s">
        <v>294</v>
      </c>
      <c r="F77" s="129" t="s">
        <v>297</v>
      </c>
      <c r="G77" s="109" t="s">
        <v>337</v>
      </c>
      <c r="H77" s="109">
        <v>966816</v>
      </c>
      <c r="I77" s="109">
        <v>19</v>
      </c>
      <c r="J77" s="129" t="s">
        <v>193</v>
      </c>
      <c r="K77" s="127">
        <v>33</v>
      </c>
      <c r="L77" s="103">
        <v>33</v>
      </c>
      <c r="M77" s="128">
        <f t="shared" si="10"/>
        <v>0</v>
      </c>
      <c r="N77" s="94">
        <f t="shared" si="11"/>
        <v>1</v>
      </c>
    </row>
    <row r="78" spans="1:15" ht="15" customHeight="1">
      <c r="A78" s="129" t="s">
        <v>334</v>
      </c>
      <c r="B78" s="129" t="s">
        <v>293</v>
      </c>
      <c r="C78" s="91">
        <v>44260</v>
      </c>
      <c r="D78" s="109">
        <v>647</v>
      </c>
      <c r="E78" s="129" t="s">
        <v>294</v>
      </c>
      <c r="F78" s="129" t="s">
        <v>297</v>
      </c>
      <c r="G78" s="96" t="s">
        <v>338</v>
      </c>
      <c r="H78" s="99">
        <v>965019</v>
      </c>
      <c r="I78" s="109">
        <v>60</v>
      </c>
      <c r="J78" s="129" t="s">
        <v>192</v>
      </c>
      <c r="K78" s="127">
        <v>48</v>
      </c>
      <c r="L78" s="103">
        <v>39.494999999999997</v>
      </c>
      <c r="M78" s="128">
        <f t="shared" si="10"/>
        <v>8.5050000000000026</v>
      </c>
      <c r="N78" s="94">
        <f t="shared" si="11"/>
        <v>0.82281249999999995</v>
      </c>
      <c r="O78" s="116">
        <f t="shared" si="9"/>
        <v>6.0000000000002274E-3</v>
      </c>
    </row>
    <row r="79" spans="1:15" ht="15" customHeight="1">
      <c r="A79" s="129" t="s">
        <v>334</v>
      </c>
      <c r="B79" s="129" t="s">
        <v>293</v>
      </c>
      <c r="C79" s="91">
        <v>44260</v>
      </c>
      <c r="D79" s="109">
        <v>647</v>
      </c>
      <c r="E79" s="129" t="s">
        <v>294</v>
      </c>
      <c r="F79" s="129" t="s">
        <v>297</v>
      </c>
      <c r="G79" s="109" t="s">
        <v>338</v>
      </c>
      <c r="H79" s="129">
        <v>965019</v>
      </c>
      <c r="I79" s="109">
        <v>60</v>
      </c>
      <c r="J79" s="129" t="s">
        <v>193</v>
      </c>
      <c r="K79" s="127">
        <v>32</v>
      </c>
      <c r="L79" s="103">
        <v>40.499000000000002</v>
      </c>
      <c r="M79" s="128">
        <f t="shared" si="10"/>
        <v>-8.4990000000000023</v>
      </c>
      <c r="N79" s="94">
        <f t="shared" si="11"/>
        <v>1.2655937500000001</v>
      </c>
    </row>
    <row r="80" spans="1:15" ht="15" customHeight="1">
      <c r="A80" s="129" t="s">
        <v>334</v>
      </c>
      <c r="B80" s="129" t="s">
        <v>293</v>
      </c>
      <c r="C80" s="91">
        <v>44260</v>
      </c>
      <c r="D80" s="109">
        <v>647</v>
      </c>
      <c r="E80" s="129" t="s">
        <v>294</v>
      </c>
      <c r="F80" s="129" t="s">
        <v>297</v>
      </c>
      <c r="G80" s="96" t="s">
        <v>339</v>
      </c>
      <c r="H80" s="99">
        <v>964265</v>
      </c>
      <c r="I80" s="109">
        <v>62</v>
      </c>
      <c r="J80" s="129" t="s">
        <v>192</v>
      </c>
      <c r="K80" s="127">
        <v>60</v>
      </c>
      <c r="L80" s="103">
        <v>60</v>
      </c>
      <c r="M80" s="128">
        <f t="shared" si="10"/>
        <v>0</v>
      </c>
      <c r="N80" s="94">
        <f t="shared" si="11"/>
        <v>1</v>
      </c>
      <c r="O80" s="116">
        <f t="shared" si="7"/>
        <v>0</v>
      </c>
    </row>
    <row r="81" spans="1:16" ht="15" customHeight="1">
      <c r="A81" s="129" t="s">
        <v>334</v>
      </c>
      <c r="B81" s="129" t="s">
        <v>293</v>
      </c>
      <c r="C81" s="91">
        <v>44260</v>
      </c>
      <c r="D81" s="109">
        <v>647</v>
      </c>
      <c r="E81" s="129" t="s">
        <v>294</v>
      </c>
      <c r="F81" s="129" t="s">
        <v>297</v>
      </c>
      <c r="G81" s="109" t="s">
        <v>339</v>
      </c>
      <c r="H81" s="129">
        <v>964265</v>
      </c>
      <c r="I81" s="109">
        <v>62</v>
      </c>
      <c r="J81" s="129" t="s">
        <v>193</v>
      </c>
      <c r="K81" s="127">
        <v>40</v>
      </c>
      <c r="L81" s="103">
        <v>40</v>
      </c>
      <c r="M81" s="128">
        <f t="shared" si="10"/>
        <v>0</v>
      </c>
      <c r="N81" s="94">
        <f t="shared" si="11"/>
        <v>1</v>
      </c>
    </row>
    <row r="82" spans="1:16" ht="15" customHeight="1">
      <c r="A82" s="129" t="s">
        <v>334</v>
      </c>
      <c r="B82" s="129" t="s">
        <v>293</v>
      </c>
      <c r="C82" s="91">
        <v>44260</v>
      </c>
      <c r="D82" s="109">
        <v>647</v>
      </c>
      <c r="E82" s="129" t="s">
        <v>294</v>
      </c>
      <c r="F82" s="129" t="s">
        <v>297</v>
      </c>
      <c r="G82" s="96" t="s">
        <v>340</v>
      </c>
      <c r="H82" s="99">
        <v>966342</v>
      </c>
      <c r="I82" s="109">
        <v>55</v>
      </c>
      <c r="J82" s="129" t="s">
        <v>192</v>
      </c>
      <c r="K82" s="127">
        <v>92</v>
      </c>
      <c r="L82" s="103">
        <v>34.820999999999998</v>
      </c>
      <c r="M82" s="128">
        <f t="shared" si="10"/>
        <v>57.179000000000002</v>
      </c>
      <c r="N82" s="94">
        <f t="shared" si="11"/>
        <v>0.37848913043478261</v>
      </c>
      <c r="O82" s="214">
        <f t="shared" si="9"/>
        <v>-6.0000000000002274E-2</v>
      </c>
      <c r="P82" s="213" t="s">
        <v>744</v>
      </c>
    </row>
    <row r="83" spans="1:16" ht="15" customHeight="1">
      <c r="A83" s="129" t="s">
        <v>334</v>
      </c>
      <c r="B83" s="129" t="s">
        <v>293</v>
      </c>
      <c r="C83" s="91">
        <v>44260</v>
      </c>
      <c r="D83" s="109">
        <v>647</v>
      </c>
      <c r="E83" s="129" t="s">
        <v>294</v>
      </c>
      <c r="F83" s="129" t="s">
        <v>297</v>
      </c>
      <c r="G83" s="109" t="s">
        <v>340</v>
      </c>
      <c r="H83" s="129">
        <v>966342</v>
      </c>
      <c r="I83" s="109">
        <v>55</v>
      </c>
      <c r="J83" s="129" t="s">
        <v>193</v>
      </c>
      <c r="K83" s="127">
        <v>62</v>
      </c>
      <c r="L83" s="103">
        <v>119.239</v>
      </c>
      <c r="M83" s="128">
        <f t="shared" si="10"/>
        <v>-57.239000000000004</v>
      </c>
      <c r="N83" s="94">
        <f t="shared" si="11"/>
        <v>1.923209677419355</v>
      </c>
    </row>
    <row r="84" spans="1:16" ht="15" customHeight="1">
      <c r="A84" s="129" t="s">
        <v>334</v>
      </c>
      <c r="B84" s="129" t="s">
        <v>293</v>
      </c>
      <c r="C84" s="91">
        <v>44260</v>
      </c>
      <c r="D84" s="109">
        <v>647</v>
      </c>
      <c r="E84" s="129" t="s">
        <v>294</v>
      </c>
      <c r="F84" s="129" t="s">
        <v>297</v>
      </c>
      <c r="G84" s="96" t="s">
        <v>341</v>
      </c>
      <c r="H84" s="99">
        <v>963589</v>
      </c>
      <c r="I84" s="109">
        <v>62</v>
      </c>
      <c r="J84" s="129" t="s">
        <v>192</v>
      </c>
      <c r="K84" s="127">
        <v>60</v>
      </c>
      <c r="L84" s="103">
        <v>60</v>
      </c>
      <c r="M84" s="128">
        <f t="shared" si="10"/>
        <v>0</v>
      </c>
      <c r="N84" s="94">
        <f t="shared" si="11"/>
        <v>1</v>
      </c>
      <c r="O84" s="116">
        <f t="shared" si="7"/>
        <v>0</v>
      </c>
    </row>
    <row r="85" spans="1:16" ht="15" customHeight="1">
      <c r="A85" s="129" t="s">
        <v>334</v>
      </c>
      <c r="B85" s="129" t="s">
        <v>293</v>
      </c>
      <c r="C85" s="91">
        <v>44260</v>
      </c>
      <c r="D85" s="109">
        <v>647</v>
      </c>
      <c r="E85" s="129" t="s">
        <v>294</v>
      </c>
      <c r="F85" s="129" t="s">
        <v>297</v>
      </c>
      <c r="G85" s="109" t="s">
        <v>341</v>
      </c>
      <c r="H85" s="129">
        <v>963589</v>
      </c>
      <c r="I85" s="109">
        <v>62</v>
      </c>
      <c r="J85" s="129" t="s">
        <v>193</v>
      </c>
      <c r="K85" s="127">
        <v>40</v>
      </c>
      <c r="L85" s="103">
        <v>40</v>
      </c>
      <c r="M85" s="128">
        <f t="shared" si="10"/>
        <v>0</v>
      </c>
      <c r="N85" s="94">
        <f t="shared" si="11"/>
        <v>1</v>
      </c>
    </row>
    <row r="86" spans="1:16" ht="15" customHeight="1">
      <c r="A86" s="129" t="s">
        <v>334</v>
      </c>
      <c r="B86" s="129" t="s">
        <v>293</v>
      </c>
      <c r="C86" s="91">
        <v>44260</v>
      </c>
      <c r="D86" s="109">
        <v>647</v>
      </c>
      <c r="E86" s="129" t="s">
        <v>294</v>
      </c>
      <c r="F86" s="129" t="s">
        <v>297</v>
      </c>
      <c r="G86" s="96" t="s">
        <v>342</v>
      </c>
      <c r="H86" s="99">
        <v>968147</v>
      </c>
      <c r="I86" s="109">
        <v>64</v>
      </c>
      <c r="J86" s="129" t="s">
        <v>192</v>
      </c>
      <c r="K86" s="127">
        <v>132</v>
      </c>
      <c r="L86" s="103">
        <v>40.369</v>
      </c>
      <c r="M86" s="128">
        <f t="shared" si="10"/>
        <v>91.631</v>
      </c>
      <c r="N86" s="94">
        <f t="shared" si="11"/>
        <v>0.30582575757575758</v>
      </c>
      <c r="O86" s="116">
        <f t="shared" si="9"/>
        <v>1.6999999999995907E-2</v>
      </c>
    </row>
    <row r="87" spans="1:16" ht="15" customHeight="1">
      <c r="A87" s="129" t="s">
        <v>334</v>
      </c>
      <c r="B87" s="129" t="s">
        <v>293</v>
      </c>
      <c r="C87" s="91">
        <v>44260</v>
      </c>
      <c r="D87" s="109">
        <v>647</v>
      </c>
      <c r="E87" s="129" t="s">
        <v>294</v>
      </c>
      <c r="F87" s="129" t="s">
        <v>297</v>
      </c>
      <c r="G87" s="109" t="s">
        <v>342</v>
      </c>
      <c r="H87" s="129">
        <v>968147</v>
      </c>
      <c r="I87" s="109">
        <v>64</v>
      </c>
      <c r="J87" s="129" t="s">
        <v>193</v>
      </c>
      <c r="K87" s="127">
        <v>88</v>
      </c>
      <c r="L87" s="103">
        <v>179.614</v>
      </c>
      <c r="M87" s="128">
        <f t="shared" si="10"/>
        <v>-91.614000000000004</v>
      </c>
      <c r="N87" s="94">
        <f t="shared" si="11"/>
        <v>2.0410681818181819</v>
      </c>
    </row>
    <row r="88" spans="1:16" ht="15" customHeight="1">
      <c r="A88" s="129" t="s">
        <v>334</v>
      </c>
      <c r="B88" s="129" t="s">
        <v>293</v>
      </c>
      <c r="C88" s="91">
        <v>44260</v>
      </c>
      <c r="D88" s="109">
        <v>647</v>
      </c>
      <c r="E88" s="129" t="s">
        <v>294</v>
      </c>
      <c r="F88" s="129" t="s">
        <v>297</v>
      </c>
      <c r="G88" s="96" t="s">
        <v>343</v>
      </c>
      <c r="H88" s="99">
        <v>962853</v>
      </c>
      <c r="I88" s="109">
        <v>24</v>
      </c>
      <c r="J88" s="129" t="s">
        <v>192</v>
      </c>
      <c r="K88" s="127">
        <v>132</v>
      </c>
      <c r="L88" s="103">
        <v>75.581000000000003</v>
      </c>
      <c r="M88" s="128">
        <f t="shared" ref="M88:M119" si="14">K88-L88</f>
        <v>56.418999999999997</v>
      </c>
      <c r="N88" s="94">
        <f t="shared" ref="N88:N119" si="15">L88/K88</f>
        <v>0.57258333333333333</v>
      </c>
      <c r="O88" s="116">
        <f t="shared" si="7"/>
        <v>0</v>
      </c>
    </row>
    <row r="89" spans="1:16" ht="15" customHeight="1">
      <c r="A89" s="129" t="s">
        <v>334</v>
      </c>
      <c r="B89" s="129" t="s">
        <v>293</v>
      </c>
      <c r="C89" s="91">
        <v>44260</v>
      </c>
      <c r="D89" s="109">
        <v>647</v>
      </c>
      <c r="E89" s="129" t="s">
        <v>294</v>
      </c>
      <c r="F89" s="129" t="s">
        <v>297</v>
      </c>
      <c r="G89" s="109" t="s">
        <v>343</v>
      </c>
      <c r="H89" s="129">
        <v>962853</v>
      </c>
      <c r="I89" s="109">
        <v>24</v>
      </c>
      <c r="J89" s="129" t="s">
        <v>193</v>
      </c>
      <c r="K89" s="127">
        <v>88</v>
      </c>
      <c r="L89" s="103">
        <v>144.41900000000001</v>
      </c>
      <c r="M89" s="128">
        <f t="shared" si="14"/>
        <v>-56.419000000000011</v>
      </c>
      <c r="N89" s="94">
        <f t="shared" si="15"/>
        <v>1.6411250000000002</v>
      </c>
    </row>
    <row r="90" spans="1:16" ht="15" customHeight="1">
      <c r="A90" s="129" t="s">
        <v>334</v>
      </c>
      <c r="B90" s="129" t="s">
        <v>293</v>
      </c>
      <c r="C90" s="91">
        <v>44260</v>
      </c>
      <c r="D90" s="109">
        <v>647</v>
      </c>
      <c r="E90" s="129" t="s">
        <v>294</v>
      </c>
      <c r="F90" s="129" t="s">
        <v>297</v>
      </c>
      <c r="G90" s="96" t="s">
        <v>344</v>
      </c>
      <c r="H90" s="99">
        <v>956044</v>
      </c>
      <c r="I90" s="109">
        <v>39</v>
      </c>
      <c r="J90" s="129" t="s">
        <v>192</v>
      </c>
      <c r="K90" s="127">
        <v>203</v>
      </c>
      <c r="L90" s="103">
        <v>120.605</v>
      </c>
      <c r="M90" s="128">
        <f t="shared" si="14"/>
        <v>82.394999999999996</v>
      </c>
      <c r="N90" s="94">
        <f t="shared" si="15"/>
        <v>0.59411330049261091</v>
      </c>
      <c r="O90" s="116">
        <f t="shared" si="9"/>
        <v>2.2999999999981924E-2</v>
      </c>
    </row>
    <row r="91" spans="1:16" ht="15" customHeight="1">
      <c r="A91" s="129" t="s">
        <v>334</v>
      </c>
      <c r="B91" s="129" t="s">
        <v>293</v>
      </c>
      <c r="C91" s="91">
        <v>44260</v>
      </c>
      <c r="D91" s="109">
        <v>647</v>
      </c>
      <c r="E91" s="129" t="s">
        <v>294</v>
      </c>
      <c r="F91" s="129" t="s">
        <v>297</v>
      </c>
      <c r="G91" s="109" t="s">
        <v>344</v>
      </c>
      <c r="H91" s="129">
        <v>956044</v>
      </c>
      <c r="I91" s="109">
        <v>39</v>
      </c>
      <c r="J91" s="129" t="s">
        <v>193</v>
      </c>
      <c r="K91" s="127">
        <v>137</v>
      </c>
      <c r="L91" s="103">
        <v>219.37200000000001</v>
      </c>
      <c r="M91" s="128">
        <f t="shared" si="14"/>
        <v>-82.372000000000014</v>
      </c>
      <c r="N91" s="94">
        <f t="shared" si="15"/>
        <v>1.6012554744525549</v>
      </c>
    </row>
    <row r="92" spans="1:16" ht="15" customHeight="1">
      <c r="A92" s="129" t="s">
        <v>334</v>
      </c>
      <c r="B92" s="129" t="s">
        <v>293</v>
      </c>
      <c r="C92" s="91">
        <v>44260</v>
      </c>
      <c r="D92" s="109">
        <v>647</v>
      </c>
      <c r="E92" s="129" t="s">
        <v>294</v>
      </c>
      <c r="F92" s="129" t="s">
        <v>297</v>
      </c>
      <c r="G92" s="96" t="s">
        <v>345</v>
      </c>
      <c r="H92" s="99">
        <v>966475</v>
      </c>
      <c r="I92" s="109">
        <v>7</v>
      </c>
      <c r="J92" s="129" t="s">
        <v>192</v>
      </c>
      <c r="K92" s="127">
        <v>102</v>
      </c>
      <c r="L92" s="103">
        <v>102</v>
      </c>
      <c r="M92" s="128">
        <f t="shared" si="14"/>
        <v>0</v>
      </c>
      <c r="N92" s="94">
        <f t="shared" si="15"/>
        <v>1</v>
      </c>
      <c r="O92" s="116">
        <f t="shared" si="7"/>
        <v>0</v>
      </c>
    </row>
    <row r="93" spans="1:16" ht="15" customHeight="1">
      <c r="A93" s="129" t="s">
        <v>334</v>
      </c>
      <c r="B93" s="129" t="s">
        <v>293</v>
      </c>
      <c r="C93" s="91">
        <v>44260</v>
      </c>
      <c r="D93" s="109">
        <v>647</v>
      </c>
      <c r="E93" s="129" t="s">
        <v>294</v>
      </c>
      <c r="F93" s="129" t="s">
        <v>297</v>
      </c>
      <c r="G93" s="109" t="s">
        <v>345</v>
      </c>
      <c r="H93" s="129">
        <v>966475</v>
      </c>
      <c r="I93" s="109">
        <v>7</v>
      </c>
      <c r="J93" s="129" t="s">
        <v>193</v>
      </c>
      <c r="K93" s="127">
        <v>68</v>
      </c>
      <c r="L93" s="103">
        <v>68</v>
      </c>
      <c r="M93" s="128">
        <f t="shared" si="14"/>
        <v>0</v>
      </c>
      <c r="N93" s="94">
        <f t="shared" si="15"/>
        <v>1</v>
      </c>
    </row>
    <row r="94" spans="1:16" ht="15" customHeight="1">
      <c r="A94" s="129" t="s">
        <v>334</v>
      </c>
      <c r="B94" s="129" t="s">
        <v>293</v>
      </c>
      <c r="C94" s="91">
        <v>44260</v>
      </c>
      <c r="D94" s="109">
        <v>647</v>
      </c>
      <c r="E94" s="129" t="s">
        <v>294</v>
      </c>
      <c r="F94" s="129" t="s">
        <v>297</v>
      </c>
      <c r="G94" s="96" t="s">
        <v>346</v>
      </c>
      <c r="H94" s="99">
        <v>922513</v>
      </c>
      <c r="I94" s="109">
        <v>61</v>
      </c>
      <c r="J94" s="129" t="s">
        <v>192</v>
      </c>
      <c r="K94" s="127">
        <v>203</v>
      </c>
      <c r="L94" s="103">
        <v>109.709</v>
      </c>
      <c r="M94" s="128">
        <f t="shared" si="14"/>
        <v>93.290999999999997</v>
      </c>
      <c r="N94" s="94">
        <f t="shared" si="15"/>
        <v>0.54043842364532024</v>
      </c>
      <c r="O94" s="116">
        <f t="shared" si="9"/>
        <v>0</v>
      </c>
    </row>
    <row r="95" spans="1:16" ht="15" customHeight="1">
      <c r="A95" s="129" t="s">
        <v>334</v>
      </c>
      <c r="B95" s="129" t="s">
        <v>293</v>
      </c>
      <c r="C95" s="91">
        <v>44260</v>
      </c>
      <c r="D95" s="109">
        <v>647</v>
      </c>
      <c r="E95" s="129" t="s">
        <v>294</v>
      </c>
      <c r="F95" s="129" t="s">
        <v>297</v>
      </c>
      <c r="G95" s="109" t="s">
        <v>346</v>
      </c>
      <c r="H95" s="129">
        <v>922513</v>
      </c>
      <c r="I95" s="109">
        <v>61</v>
      </c>
      <c r="J95" s="129" t="s">
        <v>193</v>
      </c>
      <c r="K95" s="127">
        <v>137</v>
      </c>
      <c r="L95" s="103">
        <v>230.291</v>
      </c>
      <c r="M95" s="128">
        <f t="shared" si="14"/>
        <v>-93.290999999999997</v>
      </c>
      <c r="N95" s="94">
        <f t="shared" si="15"/>
        <v>1.6809562043795621</v>
      </c>
    </row>
    <row r="96" spans="1:16" ht="15" customHeight="1">
      <c r="A96" s="129" t="s">
        <v>334</v>
      </c>
      <c r="B96" s="129" t="s">
        <v>293</v>
      </c>
      <c r="C96" s="91">
        <v>44260</v>
      </c>
      <c r="D96" s="99">
        <v>649</v>
      </c>
      <c r="E96" s="129" t="s">
        <v>294</v>
      </c>
      <c r="F96" s="129" t="s">
        <v>297</v>
      </c>
      <c r="G96" s="96" t="s">
        <v>347</v>
      </c>
      <c r="H96" s="99">
        <v>963702</v>
      </c>
      <c r="I96" s="109">
        <v>7</v>
      </c>
      <c r="J96" s="129" t="s">
        <v>192</v>
      </c>
      <c r="K96" s="127">
        <v>102</v>
      </c>
      <c r="L96" s="103">
        <v>78.694000000000003</v>
      </c>
      <c r="M96" s="128">
        <f t="shared" si="14"/>
        <v>23.305999999999997</v>
      </c>
      <c r="N96" s="94">
        <f t="shared" si="15"/>
        <v>0.77150980392156865</v>
      </c>
      <c r="O96" s="209">
        <f t="shared" ref="O96:O156" si="16">M96+M97</f>
        <v>-1.8000000000000682E-2</v>
      </c>
      <c r="P96" s="90" t="s">
        <v>745</v>
      </c>
    </row>
    <row r="97" spans="1:15" ht="15" customHeight="1">
      <c r="A97" s="129" t="s">
        <v>334</v>
      </c>
      <c r="B97" s="129" t="s">
        <v>293</v>
      </c>
      <c r="C97" s="91">
        <v>44260</v>
      </c>
      <c r="D97" s="129">
        <v>649</v>
      </c>
      <c r="E97" s="129" t="s">
        <v>294</v>
      </c>
      <c r="F97" s="129" t="s">
        <v>297</v>
      </c>
      <c r="G97" s="109" t="s">
        <v>347</v>
      </c>
      <c r="H97" s="129">
        <v>963702</v>
      </c>
      <c r="I97" s="109">
        <v>7</v>
      </c>
      <c r="J97" s="129" t="s">
        <v>193</v>
      </c>
      <c r="K97" s="127">
        <v>68</v>
      </c>
      <c r="L97" s="103">
        <v>91.323999999999998</v>
      </c>
      <c r="M97" s="128">
        <f t="shared" si="14"/>
        <v>-23.323999999999998</v>
      </c>
      <c r="N97" s="94">
        <f t="shared" si="15"/>
        <v>1.343</v>
      </c>
    </row>
    <row r="98" spans="1:15" ht="15" customHeight="1">
      <c r="A98" s="99" t="s">
        <v>296</v>
      </c>
      <c r="B98" s="129" t="s">
        <v>293</v>
      </c>
      <c r="C98" s="91">
        <v>44260</v>
      </c>
      <c r="D98" s="99">
        <v>651</v>
      </c>
      <c r="E98" s="99" t="s">
        <v>294</v>
      </c>
      <c r="F98" s="129" t="s">
        <v>297</v>
      </c>
      <c r="G98" s="99" t="s">
        <v>348</v>
      </c>
      <c r="H98" s="99">
        <v>955511</v>
      </c>
      <c r="I98" s="109">
        <v>76</v>
      </c>
      <c r="J98" s="129" t="s">
        <v>192</v>
      </c>
      <c r="K98" s="127">
        <v>60</v>
      </c>
      <c r="L98" s="103">
        <v>34</v>
      </c>
      <c r="M98" s="128">
        <f t="shared" si="14"/>
        <v>26</v>
      </c>
      <c r="N98" s="94">
        <f t="shared" si="15"/>
        <v>0.56666666666666665</v>
      </c>
      <c r="O98" s="116">
        <f t="shared" si="9"/>
        <v>1.5889999999999986</v>
      </c>
    </row>
    <row r="99" spans="1:15" ht="15" customHeight="1">
      <c r="A99" s="129" t="s">
        <v>296</v>
      </c>
      <c r="B99" s="129" t="s">
        <v>293</v>
      </c>
      <c r="C99" s="91">
        <v>44260</v>
      </c>
      <c r="D99" s="129">
        <v>651</v>
      </c>
      <c r="E99" s="129" t="s">
        <v>294</v>
      </c>
      <c r="F99" s="129" t="s">
        <v>297</v>
      </c>
      <c r="G99" s="129" t="s">
        <v>348</v>
      </c>
      <c r="H99" s="129">
        <v>955511</v>
      </c>
      <c r="I99" s="109">
        <v>76</v>
      </c>
      <c r="J99" s="129" t="s">
        <v>193</v>
      </c>
      <c r="K99" s="127">
        <v>60</v>
      </c>
      <c r="L99" s="103">
        <v>84.411000000000001</v>
      </c>
      <c r="M99" s="128">
        <f t="shared" si="14"/>
        <v>-24.411000000000001</v>
      </c>
      <c r="N99" s="94">
        <f t="shared" si="15"/>
        <v>1.4068499999999999</v>
      </c>
    </row>
    <row r="100" spans="1:15" ht="15" customHeight="1">
      <c r="A100" s="129" t="s">
        <v>296</v>
      </c>
      <c r="B100" s="129" t="s">
        <v>293</v>
      </c>
      <c r="C100" s="91">
        <v>44260</v>
      </c>
      <c r="D100" s="129">
        <v>651</v>
      </c>
      <c r="E100" s="129" t="s">
        <v>294</v>
      </c>
      <c r="F100" s="129" t="s">
        <v>297</v>
      </c>
      <c r="G100" s="99" t="s">
        <v>349</v>
      </c>
      <c r="H100" s="99">
        <v>963562</v>
      </c>
      <c r="I100" s="109">
        <v>61</v>
      </c>
      <c r="J100" s="129" t="s">
        <v>192</v>
      </c>
      <c r="K100" s="127">
        <v>65</v>
      </c>
      <c r="L100" s="103">
        <v>65</v>
      </c>
      <c r="M100" s="128">
        <f t="shared" si="14"/>
        <v>0</v>
      </c>
      <c r="N100" s="94">
        <f t="shared" si="15"/>
        <v>1</v>
      </c>
      <c r="O100" s="116">
        <f t="shared" si="16"/>
        <v>0</v>
      </c>
    </row>
    <row r="101" spans="1:15" ht="15" customHeight="1">
      <c r="A101" s="129" t="s">
        <v>296</v>
      </c>
      <c r="B101" s="129" t="s">
        <v>293</v>
      </c>
      <c r="C101" s="91">
        <v>44260</v>
      </c>
      <c r="D101" s="129">
        <v>651</v>
      </c>
      <c r="E101" s="129" t="s">
        <v>294</v>
      </c>
      <c r="F101" s="129" t="s">
        <v>297</v>
      </c>
      <c r="G101" s="129" t="s">
        <v>349</v>
      </c>
      <c r="H101" s="129">
        <v>963562</v>
      </c>
      <c r="I101" s="109">
        <v>61</v>
      </c>
      <c r="J101" s="129" t="s">
        <v>193</v>
      </c>
      <c r="K101" s="127">
        <v>65</v>
      </c>
      <c r="L101" s="103">
        <v>65</v>
      </c>
      <c r="M101" s="128">
        <f t="shared" si="14"/>
        <v>0</v>
      </c>
      <c r="N101" s="94">
        <f t="shared" si="15"/>
        <v>1</v>
      </c>
    </row>
    <row r="102" spans="1:15" ht="15" customHeight="1">
      <c r="A102" s="129" t="s">
        <v>296</v>
      </c>
      <c r="B102" s="129" t="s">
        <v>293</v>
      </c>
      <c r="C102" s="91">
        <v>44260</v>
      </c>
      <c r="D102" s="129">
        <v>651</v>
      </c>
      <c r="E102" s="129" t="s">
        <v>294</v>
      </c>
      <c r="F102" s="129" t="s">
        <v>297</v>
      </c>
      <c r="G102" s="99" t="s">
        <v>350</v>
      </c>
      <c r="H102" s="99">
        <v>952345</v>
      </c>
      <c r="I102" s="109">
        <v>53</v>
      </c>
      <c r="J102" s="129" t="s">
        <v>192</v>
      </c>
      <c r="K102" s="127">
        <v>65</v>
      </c>
      <c r="L102" s="103">
        <v>65.480999999999995</v>
      </c>
      <c r="M102" s="128">
        <f t="shared" si="14"/>
        <v>-0.48099999999999454</v>
      </c>
      <c r="N102" s="94">
        <f t="shared" si="15"/>
        <v>1.0073999999999999</v>
      </c>
      <c r="O102" s="116">
        <f t="shared" ref="O102:O162" si="17">M102+M103</f>
        <v>0.86900000000000688</v>
      </c>
    </row>
    <row r="103" spans="1:15" ht="15" customHeight="1">
      <c r="A103" s="129" t="s">
        <v>296</v>
      </c>
      <c r="B103" s="129" t="s">
        <v>293</v>
      </c>
      <c r="C103" s="91">
        <v>44260</v>
      </c>
      <c r="D103" s="129">
        <v>651</v>
      </c>
      <c r="E103" s="129" t="s">
        <v>294</v>
      </c>
      <c r="F103" s="129" t="s">
        <v>297</v>
      </c>
      <c r="G103" s="129" t="s">
        <v>350</v>
      </c>
      <c r="H103" s="129">
        <v>952345</v>
      </c>
      <c r="I103" s="109">
        <v>53</v>
      </c>
      <c r="J103" s="129" t="s">
        <v>193</v>
      </c>
      <c r="K103" s="127">
        <v>65</v>
      </c>
      <c r="L103" s="103">
        <v>63.65</v>
      </c>
      <c r="M103" s="128">
        <f t="shared" si="14"/>
        <v>1.3500000000000014</v>
      </c>
      <c r="N103" s="94">
        <f t="shared" si="15"/>
        <v>0.97923076923076924</v>
      </c>
    </row>
    <row r="104" spans="1:15" ht="15" customHeight="1">
      <c r="A104" s="129" t="s">
        <v>296</v>
      </c>
      <c r="B104" s="129" t="s">
        <v>293</v>
      </c>
      <c r="C104" s="91">
        <v>44260</v>
      </c>
      <c r="D104" s="129">
        <v>651</v>
      </c>
      <c r="E104" s="129" t="s">
        <v>294</v>
      </c>
      <c r="F104" s="129" t="s">
        <v>297</v>
      </c>
      <c r="G104" s="99" t="s">
        <v>351</v>
      </c>
      <c r="H104" s="99">
        <v>955440</v>
      </c>
      <c r="I104" s="109">
        <v>58</v>
      </c>
      <c r="J104" s="129" t="s">
        <v>192</v>
      </c>
      <c r="K104" s="127">
        <v>65</v>
      </c>
      <c r="L104" s="103">
        <v>30.518000000000001</v>
      </c>
      <c r="M104" s="128">
        <f t="shared" si="14"/>
        <v>34.481999999999999</v>
      </c>
      <c r="N104" s="94">
        <f t="shared" si="15"/>
        <v>0.46950769230769229</v>
      </c>
      <c r="O104" s="116">
        <f t="shared" si="16"/>
        <v>0.4269999999999925</v>
      </c>
    </row>
    <row r="105" spans="1:15" ht="15" customHeight="1">
      <c r="A105" s="129" t="s">
        <v>296</v>
      </c>
      <c r="B105" s="129" t="s">
        <v>293</v>
      </c>
      <c r="C105" s="91">
        <v>44260</v>
      </c>
      <c r="D105" s="129">
        <v>651</v>
      </c>
      <c r="E105" s="129" t="s">
        <v>294</v>
      </c>
      <c r="F105" s="129" t="s">
        <v>297</v>
      </c>
      <c r="G105" s="129" t="s">
        <v>351</v>
      </c>
      <c r="H105" s="129">
        <v>955440</v>
      </c>
      <c r="I105" s="109">
        <v>58</v>
      </c>
      <c r="J105" s="129" t="s">
        <v>193</v>
      </c>
      <c r="K105" s="127">
        <v>65</v>
      </c>
      <c r="L105" s="103">
        <v>99.055000000000007</v>
      </c>
      <c r="M105" s="128">
        <f t="shared" si="14"/>
        <v>-34.055000000000007</v>
      </c>
      <c r="N105" s="94">
        <f t="shared" si="15"/>
        <v>1.5239230769230769</v>
      </c>
    </row>
    <row r="106" spans="1:15" ht="15" customHeight="1">
      <c r="A106" s="129" t="s">
        <v>296</v>
      </c>
      <c r="B106" s="129" t="s">
        <v>293</v>
      </c>
      <c r="C106" s="91">
        <v>44260</v>
      </c>
      <c r="D106" s="129">
        <v>651</v>
      </c>
      <c r="E106" s="129" t="s">
        <v>294</v>
      </c>
      <c r="F106" s="129" t="s">
        <v>297</v>
      </c>
      <c r="G106" s="99" t="s">
        <v>352</v>
      </c>
      <c r="H106" s="99">
        <v>967906</v>
      </c>
      <c r="I106" s="109">
        <v>53</v>
      </c>
      <c r="J106" s="129" t="s">
        <v>192</v>
      </c>
      <c r="K106" s="127">
        <v>65</v>
      </c>
      <c r="L106" s="103">
        <v>83.158000000000001</v>
      </c>
      <c r="M106" s="128">
        <f t="shared" si="14"/>
        <v>-18.158000000000001</v>
      </c>
      <c r="N106" s="94">
        <f t="shared" si="15"/>
        <v>1.2793538461538461</v>
      </c>
      <c r="O106" s="116">
        <f t="shared" si="17"/>
        <v>0.57099999999999795</v>
      </c>
    </row>
    <row r="107" spans="1:15" ht="15" customHeight="1">
      <c r="A107" s="129" t="s">
        <v>296</v>
      </c>
      <c r="B107" s="129" t="s">
        <v>293</v>
      </c>
      <c r="C107" s="91">
        <v>44260</v>
      </c>
      <c r="D107" s="129">
        <v>651</v>
      </c>
      <c r="E107" s="129" t="s">
        <v>294</v>
      </c>
      <c r="F107" s="129" t="s">
        <v>297</v>
      </c>
      <c r="G107" s="129" t="s">
        <v>352</v>
      </c>
      <c r="H107" s="129">
        <v>967906</v>
      </c>
      <c r="I107" s="109">
        <v>53</v>
      </c>
      <c r="J107" s="129" t="s">
        <v>193</v>
      </c>
      <c r="K107" s="127">
        <v>65</v>
      </c>
      <c r="L107" s="103">
        <v>46.271000000000001</v>
      </c>
      <c r="M107" s="128">
        <f t="shared" si="14"/>
        <v>18.728999999999999</v>
      </c>
      <c r="N107" s="94">
        <f t="shared" si="15"/>
        <v>0.71186153846153843</v>
      </c>
    </row>
    <row r="108" spans="1:15" ht="15" customHeight="1">
      <c r="A108" s="129" t="s">
        <v>296</v>
      </c>
      <c r="B108" s="129" t="s">
        <v>293</v>
      </c>
      <c r="C108" s="91">
        <v>44260</v>
      </c>
      <c r="D108" s="129">
        <v>651</v>
      </c>
      <c r="E108" s="129" t="s">
        <v>294</v>
      </c>
      <c r="F108" s="129" t="s">
        <v>297</v>
      </c>
      <c r="G108" s="99" t="s">
        <v>353</v>
      </c>
      <c r="H108" s="99">
        <v>968435</v>
      </c>
      <c r="I108" s="109">
        <v>59</v>
      </c>
      <c r="J108" s="129" t="s">
        <v>192</v>
      </c>
      <c r="K108" s="127">
        <v>65</v>
      </c>
      <c r="L108" s="103">
        <v>30.114000000000001</v>
      </c>
      <c r="M108" s="128">
        <f t="shared" si="14"/>
        <v>34.885999999999996</v>
      </c>
      <c r="N108" s="94">
        <f t="shared" si="15"/>
        <v>0.46329230769230773</v>
      </c>
      <c r="O108" s="116">
        <f t="shared" si="16"/>
        <v>0</v>
      </c>
    </row>
    <row r="109" spans="1:15" ht="15" customHeight="1">
      <c r="A109" s="129" t="s">
        <v>296</v>
      </c>
      <c r="B109" s="129" t="s">
        <v>293</v>
      </c>
      <c r="C109" s="91">
        <v>44260</v>
      </c>
      <c r="D109" s="129">
        <v>651</v>
      </c>
      <c r="E109" s="129" t="s">
        <v>294</v>
      </c>
      <c r="F109" s="129" t="s">
        <v>297</v>
      </c>
      <c r="G109" s="129" t="s">
        <v>353</v>
      </c>
      <c r="H109" s="129">
        <v>968435</v>
      </c>
      <c r="I109" s="109">
        <v>59</v>
      </c>
      <c r="J109" s="129" t="s">
        <v>193</v>
      </c>
      <c r="K109" s="127">
        <v>65</v>
      </c>
      <c r="L109" s="103">
        <v>99.885999999999996</v>
      </c>
      <c r="M109" s="128">
        <f t="shared" si="14"/>
        <v>-34.885999999999996</v>
      </c>
      <c r="N109" s="94">
        <f t="shared" si="15"/>
        <v>1.5367076923076923</v>
      </c>
    </row>
    <row r="110" spans="1:15" ht="15" customHeight="1">
      <c r="A110" s="129" t="s">
        <v>296</v>
      </c>
      <c r="B110" s="129" t="s">
        <v>293</v>
      </c>
      <c r="C110" s="91">
        <v>44260</v>
      </c>
      <c r="D110" s="129">
        <v>651</v>
      </c>
      <c r="E110" s="129" t="s">
        <v>294</v>
      </c>
      <c r="F110" s="129" t="s">
        <v>297</v>
      </c>
      <c r="G110" s="99" t="s">
        <v>354</v>
      </c>
      <c r="H110" s="99">
        <v>952321</v>
      </c>
      <c r="I110" s="109">
        <v>55</v>
      </c>
      <c r="J110" s="129" t="s">
        <v>192</v>
      </c>
      <c r="K110" s="127">
        <v>65</v>
      </c>
      <c r="L110" s="103">
        <v>48.75</v>
      </c>
      <c r="M110" s="128">
        <f t="shared" si="14"/>
        <v>16.25</v>
      </c>
      <c r="N110" s="94">
        <f t="shared" si="15"/>
        <v>0.75</v>
      </c>
      <c r="O110" s="116">
        <f t="shared" si="17"/>
        <v>0.84000000000000341</v>
      </c>
    </row>
    <row r="111" spans="1:15" ht="15" customHeight="1">
      <c r="A111" s="129" t="s">
        <v>296</v>
      </c>
      <c r="B111" s="129" t="s">
        <v>293</v>
      </c>
      <c r="C111" s="91">
        <v>44260</v>
      </c>
      <c r="D111" s="129">
        <v>651</v>
      </c>
      <c r="E111" s="129" t="s">
        <v>294</v>
      </c>
      <c r="F111" s="129" t="s">
        <v>297</v>
      </c>
      <c r="G111" s="129" t="s">
        <v>354</v>
      </c>
      <c r="H111" s="129">
        <v>952321</v>
      </c>
      <c r="I111" s="109">
        <v>55</v>
      </c>
      <c r="J111" s="129" t="s">
        <v>193</v>
      </c>
      <c r="K111" s="127">
        <v>65</v>
      </c>
      <c r="L111" s="103">
        <v>80.41</v>
      </c>
      <c r="M111" s="128">
        <f t="shared" si="14"/>
        <v>-15.409999999999997</v>
      </c>
      <c r="N111" s="94">
        <f t="shared" si="15"/>
        <v>1.237076923076923</v>
      </c>
    </row>
    <row r="112" spans="1:15" ht="15" customHeight="1">
      <c r="A112" s="129" t="s">
        <v>296</v>
      </c>
      <c r="B112" s="129" t="s">
        <v>293</v>
      </c>
      <c r="C112" s="91">
        <v>44260</v>
      </c>
      <c r="D112" s="129">
        <v>651</v>
      </c>
      <c r="E112" s="129" t="s">
        <v>294</v>
      </c>
      <c r="F112" s="129" t="s">
        <v>297</v>
      </c>
      <c r="G112" s="99" t="s">
        <v>355</v>
      </c>
      <c r="H112" s="99">
        <v>967820</v>
      </c>
      <c r="I112" s="109">
        <v>19</v>
      </c>
      <c r="J112" s="129" t="s">
        <v>192</v>
      </c>
      <c r="K112" s="127">
        <v>85</v>
      </c>
      <c r="L112" s="103">
        <v>21.684999999999999</v>
      </c>
      <c r="M112" s="128">
        <f t="shared" si="14"/>
        <v>63.314999999999998</v>
      </c>
      <c r="N112" s="94">
        <f t="shared" si="15"/>
        <v>0.2551176470588235</v>
      </c>
      <c r="O112" s="116">
        <f t="shared" si="16"/>
        <v>0</v>
      </c>
    </row>
    <row r="113" spans="1:16" ht="15" customHeight="1">
      <c r="A113" s="129" t="s">
        <v>296</v>
      </c>
      <c r="B113" s="129" t="s">
        <v>293</v>
      </c>
      <c r="C113" s="91">
        <v>44260</v>
      </c>
      <c r="D113" s="129">
        <v>651</v>
      </c>
      <c r="E113" s="129" t="s">
        <v>294</v>
      </c>
      <c r="F113" s="129" t="s">
        <v>297</v>
      </c>
      <c r="G113" s="129" t="s">
        <v>355</v>
      </c>
      <c r="H113" s="129">
        <v>967820</v>
      </c>
      <c r="I113" s="109">
        <v>19</v>
      </c>
      <c r="J113" s="129" t="s">
        <v>193</v>
      </c>
      <c r="K113" s="127">
        <v>85</v>
      </c>
      <c r="L113" s="103">
        <v>148.315</v>
      </c>
      <c r="M113" s="128">
        <f t="shared" si="14"/>
        <v>-63.314999999999998</v>
      </c>
      <c r="N113" s="94">
        <f t="shared" si="15"/>
        <v>1.7448823529411766</v>
      </c>
    </row>
    <row r="114" spans="1:16" ht="15" customHeight="1">
      <c r="A114" s="129" t="s">
        <v>296</v>
      </c>
      <c r="B114" s="129" t="s">
        <v>293</v>
      </c>
      <c r="C114" s="91">
        <v>44260</v>
      </c>
      <c r="D114" s="129">
        <v>651</v>
      </c>
      <c r="E114" s="129" t="s">
        <v>294</v>
      </c>
      <c r="F114" s="129" t="s">
        <v>297</v>
      </c>
      <c r="G114" s="99" t="s">
        <v>356</v>
      </c>
      <c r="H114" s="99">
        <v>958069</v>
      </c>
      <c r="I114" s="109">
        <v>19</v>
      </c>
      <c r="J114" s="129" t="s">
        <v>192</v>
      </c>
      <c r="K114" s="127">
        <v>85</v>
      </c>
      <c r="L114" s="103">
        <v>78.447999999999993</v>
      </c>
      <c r="M114" s="128">
        <f t="shared" si="14"/>
        <v>6.5520000000000067</v>
      </c>
      <c r="N114" s="94">
        <f t="shared" si="15"/>
        <v>0.9229176470588234</v>
      </c>
      <c r="O114" s="116">
        <f t="shared" si="17"/>
        <v>3</v>
      </c>
    </row>
    <row r="115" spans="1:16" ht="15" customHeight="1">
      <c r="A115" s="129" t="s">
        <v>296</v>
      </c>
      <c r="B115" s="129" t="s">
        <v>293</v>
      </c>
      <c r="C115" s="91">
        <v>44260</v>
      </c>
      <c r="D115" s="129">
        <v>651</v>
      </c>
      <c r="E115" s="129" t="s">
        <v>294</v>
      </c>
      <c r="F115" s="129" t="s">
        <v>297</v>
      </c>
      <c r="G115" s="129" t="s">
        <v>356</v>
      </c>
      <c r="H115" s="129">
        <v>958069</v>
      </c>
      <c r="I115" s="109">
        <v>19</v>
      </c>
      <c r="J115" s="129" t="s">
        <v>193</v>
      </c>
      <c r="K115" s="127">
        <v>85</v>
      </c>
      <c r="L115" s="103">
        <v>88.552000000000007</v>
      </c>
      <c r="M115" s="128">
        <f t="shared" si="14"/>
        <v>-3.5520000000000067</v>
      </c>
      <c r="N115" s="94">
        <f t="shared" si="15"/>
        <v>1.0417882352941177</v>
      </c>
    </row>
    <row r="116" spans="1:16" ht="15" customHeight="1">
      <c r="A116" s="129" t="s">
        <v>296</v>
      </c>
      <c r="B116" s="129" t="s">
        <v>293</v>
      </c>
      <c r="C116" s="91">
        <v>44260</v>
      </c>
      <c r="D116" s="129">
        <v>651</v>
      </c>
      <c r="E116" s="129" t="s">
        <v>294</v>
      </c>
      <c r="F116" s="129" t="s">
        <v>297</v>
      </c>
      <c r="G116" s="99" t="s">
        <v>357</v>
      </c>
      <c r="H116" s="99">
        <v>953555</v>
      </c>
      <c r="I116" s="109">
        <v>53</v>
      </c>
      <c r="J116" s="129" t="s">
        <v>192</v>
      </c>
      <c r="K116" s="127">
        <v>65</v>
      </c>
      <c r="L116" s="103">
        <v>90.944000000000003</v>
      </c>
      <c r="M116" s="128">
        <f t="shared" si="14"/>
        <v>-25.944000000000003</v>
      </c>
      <c r="N116" s="94">
        <f t="shared" si="15"/>
        <v>1.3991384615384617</v>
      </c>
      <c r="O116" s="116">
        <f t="shared" si="16"/>
        <v>0</v>
      </c>
    </row>
    <row r="117" spans="1:16" ht="15" customHeight="1">
      <c r="A117" s="129" t="s">
        <v>296</v>
      </c>
      <c r="B117" s="129" t="s">
        <v>293</v>
      </c>
      <c r="C117" s="91">
        <v>44260</v>
      </c>
      <c r="D117" s="129">
        <v>651</v>
      </c>
      <c r="E117" s="129" t="s">
        <v>294</v>
      </c>
      <c r="F117" s="129" t="s">
        <v>297</v>
      </c>
      <c r="G117" s="129" t="s">
        <v>357</v>
      </c>
      <c r="H117" s="129">
        <v>953555</v>
      </c>
      <c r="I117" s="109">
        <v>53</v>
      </c>
      <c r="J117" s="129" t="s">
        <v>193</v>
      </c>
      <c r="K117" s="127">
        <v>65</v>
      </c>
      <c r="L117" s="103">
        <v>39.055999999999997</v>
      </c>
      <c r="M117" s="128">
        <f t="shared" si="14"/>
        <v>25.944000000000003</v>
      </c>
      <c r="N117" s="94">
        <f t="shared" si="15"/>
        <v>0.60086153846153845</v>
      </c>
    </row>
    <row r="118" spans="1:16" ht="15" customHeight="1">
      <c r="A118" s="129" t="s">
        <v>296</v>
      </c>
      <c r="B118" s="129" t="s">
        <v>293</v>
      </c>
      <c r="C118" s="91">
        <v>44260</v>
      </c>
      <c r="D118" s="99">
        <v>652</v>
      </c>
      <c r="E118" s="129" t="s">
        <v>294</v>
      </c>
      <c r="F118" s="129" t="s">
        <v>297</v>
      </c>
      <c r="G118" s="99" t="s">
        <v>358</v>
      </c>
      <c r="H118" s="99">
        <v>965037</v>
      </c>
      <c r="I118" s="109">
        <v>53</v>
      </c>
      <c r="J118" s="129" t="s">
        <v>192</v>
      </c>
      <c r="K118" s="127">
        <v>30</v>
      </c>
      <c r="L118" s="103">
        <v>20.603000000000002</v>
      </c>
      <c r="M118" s="128">
        <f t="shared" si="14"/>
        <v>9.3969999999999985</v>
      </c>
      <c r="N118" s="94">
        <f t="shared" si="15"/>
        <v>0.68676666666666675</v>
      </c>
      <c r="O118" s="214">
        <f t="shared" si="17"/>
        <v>-3.5820000000000007</v>
      </c>
      <c r="P118" s="213" t="s">
        <v>746</v>
      </c>
    </row>
    <row r="119" spans="1:16" ht="15" customHeight="1">
      <c r="A119" s="129" t="s">
        <v>296</v>
      </c>
      <c r="B119" s="129" t="s">
        <v>293</v>
      </c>
      <c r="C119" s="91">
        <v>44260</v>
      </c>
      <c r="D119" s="129">
        <v>652</v>
      </c>
      <c r="E119" s="129" t="s">
        <v>294</v>
      </c>
      <c r="F119" s="129" t="s">
        <v>297</v>
      </c>
      <c r="G119" s="129" t="s">
        <v>358</v>
      </c>
      <c r="H119" s="129">
        <v>965037</v>
      </c>
      <c r="I119" s="109">
        <v>53</v>
      </c>
      <c r="J119" s="129" t="s">
        <v>193</v>
      </c>
      <c r="K119" s="127">
        <v>30</v>
      </c>
      <c r="L119" s="103">
        <v>42.978999999999999</v>
      </c>
      <c r="M119" s="128">
        <f t="shared" si="14"/>
        <v>-12.978999999999999</v>
      </c>
      <c r="N119" s="94">
        <f t="shared" si="15"/>
        <v>1.4326333333333332</v>
      </c>
    </row>
    <row r="120" spans="1:16" ht="15" customHeight="1">
      <c r="A120" s="129" t="s">
        <v>296</v>
      </c>
      <c r="B120" s="129" t="s">
        <v>293</v>
      </c>
      <c r="C120" s="91">
        <v>44260</v>
      </c>
      <c r="D120" s="129">
        <v>652</v>
      </c>
      <c r="E120" s="129" t="s">
        <v>294</v>
      </c>
      <c r="F120" s="129" t="s">
        <v>297</v>
      </c>
      <c r="G120" s="99" t="s">
        <v>359</v>
      </c>
      <c r="H120" s="99">
        <v>962103</v>
      </c>
      <c r="I120" s="109">
        <v>65</v>
      </c>
      <c r="J120" s="129" t="s">
        <v>192</v>
      </c>
      <c r="K120" s="127">
        <v>38</v>
      </c>
      <c r="L120" s="103">
        <v>24.542000000000002</v>
      </c>
      <c r="M120" s="128">
        <f t="shared" ref="M120:M151" si="18">K120-L120</f>
        <v>13.457999999999998</v>
      </c>
      <c r="N120" s="94">
        <f t="shared" ref="N120:N151" si="19">L120/K120</f>
        <v>0.64584210526315788</v>
      </c>
      <c r="O120" s="116">
        <f t="shared" si="16"/>
        <v>13.129999999999995</v>
      </c>
    </row>
    <row r="121" spans="1:16" ht="15" customHeight="1">
      <c r="A121" s="129" t="s">
        <v>296</v>
      </c>
      <c r="B121" s="129" t="s">
        <v>293</v>
      </c>
      <c r="C121" s="91">
        <v>44260</v>
      </c>
      <c r="D121" s="129">
        <v>652</v>
      </c>
      <c r="E121" s="129" t="s">
        <v>294</v>
      </c>
      <c r="F121" s="129" t="s">
        <v>297</v>
      </c>
      <c r="G121" s="129" t="s">
        <v>359</v>
      </c>
      <c r="H121" s="129">
        <v>962103</v>
      </c>
      <c r="I121" s="109">
        <v>65</v>
      </c>
      <c r="J121" s="129" t="s">
        <v>193</v>
      </c>
      <c r="K121" s="127">
        <v>38</v>
      </c>
      <c r="L121" s="103">
        <v>38.328000000000003</v>
      </c>
      <c r="M121" s="128">
        <f t="shared" si="18"/>
        <v>-0.32800000000000296</v>
      </c>
      <c r="N121" s="94">
        <f t="shared" si="19"/>
        <v>1.0086315789473685</v>
      </c>
    </row>
    <row r="122" spans="1:16" ht="15" customHeight="1">
      <c r="A122" s="129" t="s">
        <v>296</v>
      </c>
      <c r="B122" s="129" t="s">
        <v>293</v>
      </c>
      <c r="C122" s="91">
        <v>44260</v>
      </c>
      <c r="D122" s="129">
        <v>652</v>
      </c>
      <c r="E122" s="129" t="s">
        <v>294</v>
      </c>
      <c r="F122" s="129" t="s">
        <v>297</v>
      </c>
      <c r="G122" s="99" t="s">
        <v>360</v>
      </c>
      <c r="H122" s="99">
        <v>955397</v>
      </c>
      <c r="I122" s="109">
        <v>50</v>
      </c>
      <c r="J122" s="129" t="s">
        <v>192</v>
      </c>
      <c r="K122" s="127">
        <v>30</v>
      </c>
      <c r="L122" s="103">
        <v>37.874000000000002</v>
      </c>
      <c r="M122" s="128">
        <f t="shared" si="18"/>
        <v>-7.8740000000000023</v>
      </c>
      <c r="N122" s="94">
        <f t="shared" si="19"/>
        <v>1.2624666666666668</v>
      </c>
      <c r="O122" s="116">
        <f t="shared" si="17"/>
        <v>0</v>
      </c>
    </row>
    <row r="123" spans="1:16" ht="15" customHeight="1">
      <c r="A123" s="129" t="s">
        <v>296</v>
      </c>
      <c r="B123" s="129" t="s">
        <v>293</v>
      </c>
      <c r="C123" s="91">
        <v>44260</v>
      </c>
      <c r="D123" s="129">
        <v>652</v>
      </c>
      <c r="E123" s="129" t="s">
        <v>294</v>
      </c>
      <c r="F123" s="129" t="s">
        <v>297</v>
      </c>
      <c r="G123" s="129" t="s">
        <v>360</v>
      </c>
      <c r="H123" s="129">
        <v>955397</v>
      </c>
      <c r="I123" s="109">
        <v>50</v>
      </c>
      <c r="J123" s="129" t="s">
        <v>193</v>
      </c>
      <c r="K123" s="127">
        <v>30</v>
      </c>
      <c r="L123" s="103">
        <v>22.126000000000001</v>
      </c>
      <c r="M123" s="128">
        <f t="shared" si="18"/>
        <v>7.8739999999999988</v>
      </c>
      <c r="N123" s="94">
        <f t="shared" si="19"/>
        <v>0.73753333333333337</v>
      </c>
    </row>
    <row r="124" spans="1:16" ht="15" customHeight="1">
      <c r="A124" s="129" t="s">
        <v>296</v>
      </c>
      <c r="B124" s="129" t="s">
        <v>293</v>
      </c>
      <c r="C124" s="91">
        <v>44260</v>
      </c>
      <c r="D124" s="129">
        <v>652</v>
      </c>
      <c r="E124" s="129" t="s">
        <v>294</v>
      </c>
      <c r="F124" s="129" t="s">
        <v>297</v>
      </c>
      <c r="G124" s="99" t="s">
        <v>361</v>
      </c>
      <c r="H124" s="99">
        <v>966049</v>
      </c>
      <c r="I124" s="109">
        <v>59</v>
      </c>
      <c r="J124" s="129" t="s">
        <v>192</v>
      </c>
      <c r="K124" s="127">
        <v>38</v>
      </c>
      <c r="L124" s="103">
        <v>42.235999999999997</v>
      </c>
      <c r="M124" s="128">
        <f t="shared" si="18"/>
        <v>-4.2359999999999971</v>
      </c>
      <c r="N124" s="94">
        <f t="shared" si="19"/>
        <v>1.1114736842105262</v>
      </c>
      <c r="O124" s="116">
        <f t="shared" si="16"/>
        <v>0</v>
      </c>
    </row>
    <row r="125" spans="1:16" ht="15" customHeight="1">
      <c r="A125" s="129" t="s">
        <v>296</v>
      </c>
      <c r="B125" s="129" t="s">
        <v>293</v>
      </c>
      <c r="C125" s="91">
        <v>44260</v>
      </c>
      <c r="D125" s="129">
        <v>652</v>
      </c>
      <c r="E125" s="129" t="s">
        <v>294</v>
      </c>
      <c r="F125" s="129" t="s">
        <v>297</v>
      </c>
      <c r="G125" s="129" t="s">
        <v>361</v>
      </c>
      <c r="H125" s="129">
        <v>966049</v>
      </c>
      <c r="I125" s="109">
        <v>59</v>
      </c>
      <c r="J125" s="129" t="s">
        <v>193</v>
      </c>
      <c r="K125" s="127">
        <v>38</v>
      </c>
      <c r="L125" s="103">
        <v>33.764000000000003</v>
      </c>
      <c r="M125" s="128">
        <f t="shared" si="18"/>
        <v>4.2359999999999971</v>
      </c>
      <c r="N125" s="94">
        <f t="shared" si="19"/>
        <v>0.88852631578947372</v>
      </c>
    </row>
    <row r="126" spans="1:16" ht="15" customHeight="1">
      <c r="A126" s="129" t="s">
        <v>296</v>
      </c>
      <c r="B126" s="129" t="s">
        <v>293</v>
      </c>
      <c r="C126" s="91">
        <v>44260</v>
      </c>
      <c r="D126" s="129">
        <v>652</v>
      </c>
      <c r="E126" s="129" t="s">
        <v>294</v>
      </c>
      <c r="F126" s="129" t="s">
        <v>297</v>
      </c>
      <c r="G126" s="99" t="s">
        <v>362</v>
      </c>
      <c r="H126" s="99">
        <v>967659</v>
      </c>
      <c r="I126" s="109">
        <v>53</v>
      </c>
      <c r="J126" s="129" t="s">
        <v>192</v>
      </c>
      <c r="K126" s="127">
        <v>38</v>
      </c>
      <c r="L126" s="103">
        <v>3.0529999999999999</v>
      </c>
      <c r="M126" s="128">
        <f t="shared" si="18"/>
        <v>34.947000000000003</v>
      </c>
      <c r="N126" s="94">
        <f t="shared" si="19"/>
        <v>8.0342105263157895E-2</v>
      </c>
      <c r="O126" s="116">
        <f t="shared" si="17"/>
        <v>8.1419999999999959</v>
      </c>
    </row>
    <row r="127" spans="1:16" ht="15" customHeight="1">
      <c r="A127" s="129" t="s">
        <v>296</v>
      </c>
      <c r="B127" s="129" t="s">
        <v>293</v>
      </c>
      <c r="C127" s="91">
        <v>44260</v>
      </c>
      <c r="D127" s="129">
        <v>652</v>
      </c>
      <c r="E127" s="129" t="s">
        <v>294</v>
      </c>
      <c r="F127" s="129" t="s">
        <v>297</v>
      </c>
      <c r="G127" s="129" t="s">
        <v>362</v>
      </c>
      <c r="H127" s="129">
        <v>967659</v>
      </c>
      <c r="I127" s="109">
        <v>53</v>
      </c>
      <c r="J127" s="129" t="s">
        <v>193</v>
      </c>
      <c r="K127" s="127">
        <v>38</v>
      </c>
      <c r="L127" s="103">
        <v>64.805000000000007</v>
      </c>
      <c r="M127" s="128">
        <f t="shared" si="18"/>
        <v>-26.805000000000007</v>
      </c>
      <c r="N127" s="94">
        <f t="shared" si="19"/>
        <v>1.7053947368421054</v>
      </c>
    </row>
    <row r="128" spans="1:16" ht="15" customHeight="1">
      <c r="A128" s="129" t="s">
        <v>296</v>
      </c>
      <c r="B128" s="129" t="s">
        <v>293</v>
      </c>
      <c r="C128" s="91">
        <v>44260</v>
      </c>
      <c r="D128" s="129">
        <v>652</v>
      </c>
      <c r="E128" s="129" t="s">
        <v>294</v>
      </c>
      <c r="F128" s="129" t="s">
        <v>297</v>
      </c>
      <c r="G128" s="99" t="s">
        <v>363</v>
      </c>
      <c r="H128" s="99">
        <v>968290</v>
      </c>
      <c r="I128" s="109">
        <v>55</v>
      </c>
      <c r="J128" s="129" t="s">
        <v>192</v>
      </c>
      <c r="K128" s="127">
        <v>30</v>
      </c>
      <c r="L128" s="103">
        <v>4.7759999999999998</v>
      </c>
      <c r="M128" s="128">
        <f t="shared" si="18"/>
        <v>25.224</v>
      </c>
      <c r="N128" s="94">
        <f t="shared" si="19"/>
        <v>0.15919999999999998</v>
      </c>
      <c r="O128" s="116">
        <f t="shared" si="16"/>
        <v>3.0000000000000036</v>
      </c>
    </row>
    <row r="129" spans="1:16" ht="15" customHeight="1">
      <c r="A129" s="129" t="s">
        <v>296</v>
      </c>
      <c r="B129" s="129" t="s">
        <v>293</v>
      </c>
      <c r="C129" s="91">
        <v>44260</v>
      </c>
      <c r="D129" s="129">
        <v>652</v>
      </c>
      <c r="E129" s="129" t="s">
        <v>294</v>
      </c>
      <c r="F129" s="129" t="s">
        <v>297</v>
      </c>
      <c r="G129" s="129" t="s">
        <v>363</v>
      </c>
      <c r="H129" s="129">
        <v>968290</v>
      </c>
      <c r="I129" s="109">
        <v>55</v>
      </c>
      <c r="J129" s="129" t="s">
        <v>193</v>
      </c>
      <c r="K129" s="127">
        <v>30</v>
      </c>
      <c r="L129" s="103">
        <v>52.223999999999997</v>
      </c>
      <c r="M129" s="128">
        <f t="shared" si="18"/>
        <v>-22.223999999999997</v>
      </c>
      <c r="N129" s="94">
        <f t="shared" si="19"/>
        <v>1.7407999999999999</v>
      </c>
    </row>
    <row r="130" spans="1:16" ht="15" customHeight="1">
      <c r="A130" s="129" t="s">
        <v>296</v>
      </c>
      <c r="B130" s="129" t="s">
        <v>293</v>
      </c>
      <c r="C130" s="91">
        <v>44260</v>
      </c>
      <c r="D130" s="129">
        <v>652</v>
      </c>
      <c r="E130" s="129" t="s">
        <v>294</v>
      </c>
      <c r="F130" s="129" t="s">
        <v>297</v>
      </c>
      <c r="G130" s="99" t="s">
        <v>364</v>
      </c>
      <c r="H130" s="99">
        <v>967650</v>
      </c>
      <c r="I130" s="109">
        <v>18</v>
      </c>
      <c r="J130" s="129" t="s">
        <v>192</v>
      </c>
      <c r="K130" s="127">
        <v>38</v>
      </c>
      <c r="L130" s="103">
        <v>4.1079999999999997</v>
      </c>
      <c r="M130" s="128">
        <f t="shared" si="18"/>
        <v>33.892000000000003</v>
      </c>
      <c r="N130" s="94">
        <f t="shared" si="19"/>
        <v>0.10810526315789473</v>
      </c>
      <c r="O130" s="214">
        <f t="shared" si="17"/>
        <v>-1.3410000000000011</v>
      </c>
      <c r="P130" s="213" t="s">
        <v>748</v>
      </c>
    </row>
    <row r="131" spans="1:16" ht="15" customHeight="1">
      <c r="A131" s="129" t="s">
        <v>296</v>
      </c>
      <c r="B131" s="129" t="s">
        <v>293</v>
      </c>
      <c r="C131" s="91">
        <v>44260</v>
      </c>
      <c r="D131" s="129">
        <v>652</v>
      </c>
      <c r="E131" s="129" t="s">
        <v>294</v>
      </c>
      <c r="F131" s="129" t="s">
        <v>297</v>
      </c>
      <c r="G131" s="129" t="s">
        <v>364</v>
      </c>
      <c r="H131" s="129">
        <v>967650</v>
      </c>
      <c r="I131" s="109">
        <v>18</v>
      </c>
      <c r="J131" s="129" t="s">
        <v>193</v>
      </c>
      <c r="K131" s="127">
        <v>38</v>
      </c>
      <c r="L131" s="103">
        <v>73.233000000000004</v>
      </c>
      <c r="M131" s="128">
        <f t="shared" si="18"/>
        <v>-35.233000000000004</v>
      </c>
      <c r="N131" s="94">
        <f t="shared" si="19"/>
        <v>1.9271842105263159</v>
      </c>
    </row>
    <row r="132" spans="1:16" ht="15" customHeight="1">
      <c r="A132" s="129" t="s">
        <v>296</v>
      </c>
      <c r="B132" s="129" t="s">
        <v>293</v>
      </c>
      <c r="C132" s="91">
        <v>44260</v>
      </c>
      <c r="D132" s="129">
        <v>652</v>
      </c>
      <c r="E132" s="129" t="s">
        <v>294</v>
      </c>
      <c r="F132" s="129" t="s">
        <v>297</v>
      </c>
      <c r="G132" s="99" t="s">
        <v>340</v>
      </c>
      <c r="H132" s="99">
        <v>966342</v>
      </c>
      <c r="I132" s="109">
        <v>55</v>
      </c>
      <c r="J132" s="129" t="s">
        <v>192</v>
      </c>
      <c r="K132" s="127">
        <v>30</v>
      </c>
      <c r="L132" s="103">
        <v>12.888</v>
      </c>
      <c r="M132" s="128">
        <f t="shared" si="18"/>
        <v>17.112000000000002</v>
      </c>
      <c r="N132" s="94">
        <f t="shared" si="19"/>
        <v>0.42959999999999998</v>
      </c>
      <c r="O132" s="116">
        <f t="shared" si="16"/>
        <v>0</v>
      </c>
    </row>
    <row r="133" spans="1:16" ht="15" customHeight="1">
      <c r="A133" s="129" t="s">
        <v>296</v>
      </c>
      <c r="B133" s="129" t="s">
        <v>293</v>
      </c>
      <c r="C133" s="91">
        <v>44260</v>
      </c>
      <c r="D133" s="129">
        <v>652</v>
      </c>
      <c r="E133" s="129" t="s">
        <v>294</v>
      </c>
      <c r="F133" s="129" t="s">
        <v>297</v>
      </c>
      <c r="G133" s="129" t="s">
        <v>340</v>
      </c>
      <c r="H133" s="129">
        <v>966342</v>
      </c>
      <c r="I133" s="109">
        <v>55</v>
      </c>
      <c r="J133" s="129" t="s">
        <v>193</v>
      </c>
      <c r="K133" s="127">
        <v>30</v>
      </c>
      <c r="L133" s="103">
        <v>47.112000000000002</v>
      </c>
      <c r="M133" s="128">
        <f t="shared" si="18"/>
        <v>-17.112000000000002</v>
      </c>
      <c r="N133" s="94">
        <f t="shared" si="19"/>
        <v>1.5704</v>
      </c>
    </row>
    <row r="134" spans="1:16" ht="15" customHeight="1">
      <c r="A134" s="129" t="s">
        <v>296</v>
      </c>
      <c r="B134" s="129" t="s">
        <v>293</v>
      </c>
      <c r="C134" s="91">
        <v>44260</v>
      </c>
      <c r="D134" s="129">
        <v>652</v>
      </c>
      <c r="E134" s="129" t="s">
        <v>294</v>
      </c>
      <c r="F134" s="129" t="s">
        <v>297</v>
      </c>
      <c r="G134" s="99" t="s">
        <v>365</v>
      </c>
      <c r="H134" s="99">
        <v>959089</v>
      </c>
      <c r="I134" s="109">
        <v>29</v>
      </c>
      <c r="J134" s="129" t="s">
        <v>192</v>
      </c>
      <c r="K134" s="127">
        <v>38</v>
      </c>
      <c r="L134" s="103">
        <v>5.3220000000000001</v>
      </c>
      <c r="M134" s="128">
        <f t="shared" si="18"/>
        <v>32.677999999999997</v>
      </c>
      <c r="N134" s="94">
        <f t="shared" si="19"/>
        <v>0.14005263157894737</v>
      </c>
      <c r="O134" s="116">
        <f t="shared" si="17"/>
        <v>0</v>
      </c>
    </row>
    <row r="135" spans="1:16" ht="15" customHeight="1">
      <c r="A135" s="129" t="s">
        <v>296</v>
      </c>
      <c r="B135" s="129" t="s">
        <v>293</v>
      </c>
      <c r="C135" s="91">
        <v>44260</v>
      </c>
      <c r="D135" s="129">
        <v>652</v>
      </c>
      <c r="E135" s="129" t="s">
        <v>294</v>
      </c>
      <c r="F135" s="129" t="s">
        <v>297</v>
      </c>
      <c r="G135" s="129" t="s">
        <v>365</v>
      </c>
      <c r="H135" s="129">
        <v>959089</v>
      </c>
      <c r="I135" s="109">
        <v>29</v>
      </c>
      <c r="J135" s="129" t="s">
        <v>193</v>
      </c>
      <c r="K135" s="127">
        <v>38</v>
      </c>
      <c r="L135" s="103">
        <v>70.677999999999997</v>
      </c>
      <c r="M135" s="128">
        <f t="shared" si="18"/>
        <v>-32.677999999999997</v>
      </c>
      <c r="N135" s="94">
        <f t="shared" si="19"/>
        <v>1.8599473684210526</v>
      </c>
    </row>
    <row r="136" spans="1:16" ht="15" customHeight="1">
      <c r="A136" s="129" t="s">
        <v>296</v>
      </c>
      <c r="B136" s="129" t="s">
        <v>293</v>
      </c>
      <c r="C136" s="91">
        <v>44260</v>
      </c>
      <c r="D136" s="129">
        <v>652</v>
      </c>
      <c r="E136" s="129" t="s">
        <v>294</v>
      </c>
      <c r="F136" s="129" t="s">
        <v>297</v>
      </c>
      <c r="G136" s="99" t="s">
        <v>366</v>
      </c>
      <c r="H136" s="99">
        <v>964994</v>
      </c>
      <c r="I136" s="109">
        <v>53</v>
      </c>
      <c r="J136" s="129" t="s">
        <v>192</v>
      </c>
      <c r="K136" s="127">
        <v>38</v>
      </c>
      <c r="L136" s="103">
        <v>3.0979999999999999</v>
      </c>
      <c r="M136" s="128">
        <f t="shared" si="18"/>
        <v>34.902000000000001</v>
      </c>
      <c r="N136" s="94">
        <f t="shared" si="19"/>
        <v>8.1526315789473683E-2</v>
      </c>
      <c r="O136" s="116">
        <f t="shared" si="16"/>
        <v>0</v>
      </c>
    </row>
    <row r="137" spans="1:16" ht="15" customHeight="1">
      <c r="A137" s="129" t="s">
        <v>296</v>
      </c>
      <c r="B137" s="129" t="s">
        <v>293</v>
      </c>
      <c r="C137" s="91">
        <v>44260</v>
      </c>
      <c r="D137" s="129">
        <v>652</v>
      </c>
      <c r="E137" s="129" t="s">
        <v>294</v>
      </c>
      <c r="F137" s="129" t="s">
        <v>297</v>
      </c>
      <c r="G137" s="129" t="s">
        <v>366</v>
      </c>
      <c r="H137" s="129">
        <v>964994</v>
      </c>
      <c r="I137" s="109">
        <v>53</v>
      </c>
      <c r="J137" s="129" t="s">
        <v>193</v>
      </c>
      <c r="K137" s="127">
        <v>38</v>
      </c>
      <c r="L137" s="103">
        <v>72.902000000000001</v>
      </c>
      <c r="M137" s="128">
        <f t="shared" si="18"/>
        <v>-34.902000000000001</v>
      </c>
      <c r="N137" s="94">
        <f t="shared" si="19"/>
        <v>1.9184736842105263</v>
      </c>
    </row>
    <row r="138" spans="1:16" ht="15" customHeight="1">
      <c r="A138" s="129" t="s">
        <v>296</v>
      </c>
      <c r="B138" s="129" t="s">
        <v>293</v>
      </c>
      <c r="C138" s="91">
        <v>44260</v>
      </c>
      <c r="D138" s="129">
        <v>652</v>
      </c>
      <c r="E138" s="129" t="s">
        <v>294</v>
      </c>
      <c r="F138" s="129" t="s">
        <v>297</v>
      </c>
      <c r="G138" s="99" t="s">
        <v>367</v>
      </c>
      <c r="H138" s="99">
        <v>962295</v>
      </c>
      <c r="I138" s="109">
        <v>72</v>
      </c>
      <c r="J138" s="129" t="s">
        <v>192</v>
      </c>
      <c r="K138" s="127">
        <v>38</v>
      </c>
      <c r="L138" s="103">
        <v>21.978999999999999</v>
      </c>
      <c r="M138" s="128">
        <f t="shared" si="18"/>
        <v>16.021000000000001</v>
      </c>
      <c r="N138" s="94">
        <f t="shared" si="19"/>
        <v>0.57839473684210529</v>
      </c>
      <c r="O138" s="116">
        <f t="shared" si="17"/>
        <v>0</v>
      </c>
    </row>
    <row r="139" spans="1:16" ht="15" customHeight="1">
      <c r="A139" s="129" t="s">
        <v>296</v>
      </c>
      <c r="B139" s="129" t="s">
        <v>293</v>
      </c>
      <c r="C139" s="91">
        <v>44260</v>
      </c>
      <c r="D139" s="129">
        <v>652</v>
      </c>
      <c r="E139" s="129" t="s">
        <v>294</v>
      </c>
      <c r="F139" s="129" t="s">
        <v>297</v>
      </c>
      <c r="G139" s="129" t="s">
        <v>367</v>
      </c>
      <c r="H139" s="129">
        <v>962295</v>
      </c>
      <c r="I139" s="109">
        <v>72</v>
      </c>
      <c r="J139" s="129" t="s">
        <v>193</v>
      </c>
      <c r="K139" s="127">
        <v>38</v>
      </c>
      <c r="L139" s="103">
        <v>54.021000000000001</v>
      </c>
      <c r="M139" s="128">
        <f t="shared" si="18"/>
        <v>-16.021000000000001</v>
      </c>
      <c r="N139" s="94">
        <f t="shared" si="19"/>
        <v>1.4216052631578948</v>
      </c>
    </row>
    <row r="140" spans="1:16" ht="15" customHeight="1">
      <c r="A140" s="129" t="s">
        <v>296</v>
      </c>
      <c r="B140" s="129" t="s">
        <v>293</v>
      </c>
      <c r="C140" s="91">
        <v>44260</v>
      </c>
      <c r="D140" s="129">
        <v>652</v>
      </c>
      <c r="E140" s="129" t="s">
        <v>294</v>
      </c>
      <c r="F140" s="129" t="s">
        <v>297</v>
      </c>
      <c r="G140" s="99" t="s">
        <v>368</v>
      </c>
      <c r="H140" s="99">
        <v>960106</v>
      </c>
      <c r="I140" s="109">
        <v>72</v>
      </c>
      <c r="J140" s="129" t="s">
        <v>192</v>
      </c>
      <c r="K140" s="127">
        <v>38</v>
      </c>
      <c r="L140" s="103">
        <v>29.14</v>
      </c>
      <c r="M140" s="128">
        <f t="shared" si="18"/>
        <v>8.86</v>
      </c>
      <c r="N140" s="94">
        <f t="shared" si="19"/>
        <v>0.76684210526315788</v>
      </c>
      <c r="O140" s="116">
        <f t="shared" si="16"/>
        <v>0</v>
      </c>
    </row>
    <row r="141" spans="1:16" ht="15" customHeight="1">
      <c r="A141" s="129" t="s">
        <v>296</v>
      </c>
      <c r="B141" s="129" t="s">
        <v>293</v>
      </c>
      <c r="C141" s="91">
        <v>44260</v>
      </c>
      <c r="D141" s="129">
        <v>652</v>
      </c>
      <c r="E141" s="129" t="s">
        <v>294</v>
      </c>
      <c r="F141" s="129" t="s">
        <v>297</v>
      </c>
      <c r="G141" s="129" t="s">
        <v>368</v>
      </c>
      <c r="H141" s="129">
        <v>960106</v>
      </c>
      <c r="I141" s="109">
        <v>72</v>
      </c>
      <c r="J141" s="129" t="s">
        <v>193</v>
      </c>
      <c r="K141" s="127">
        <v>38</v>
      </c>
      <c r="L141" s="103">
        <v>46.86</v>
      </c>
      <c r="M141" s="128">
        <f t="shared" si="18"/>
        <v>-8.86</v>
      </c>
      <c r="N141" s="94">
        <f t="shared" si="19"/>
        <v>1.233157894736842</v>
      </c>
    </row>
    <row r="142" spans="1:16" ht="15" customHeight="1">
      <c r="A142" s="129" t="s">
        <v>296</v>
      </c>
      <c r="B142" s="129" t="s">
        <v>293</v>
      </c>
      <c r="C142" s="91">
        <v>44260</v>
      </c>
      <c r="D142" s="129">
        <v>652</v>
      </c>
      <c r="E142" s="129" t="s">
        <v>294</v>
      </c>
      <c r="F142" s="129" t="s">
        <v>297</v>
      </c>
      <c r="G142" s="99" t="s">
        <v>369</v>
      </c>
      <c r="H142" s="99">
        <v>965263</v>
      </c>
      <c r="I142" s="109">
        <v>65</v>
      </c>
      <c r="J142" s="129" t="s">
        <v>192</v>
      </c>
      <c r="K142" s="127">
        <v>38</v>
      </c>
      <c r="L142" s="103">
        <v>1.149</v>
      </c>
      <c r="M142" s="128">
        <f t="shared" si="18"/>
        <v>36.850999999999999</v>
      </c>
      <c r="N142" s="94">
        <f t="shared" si="19"/>
        <v>3.0236842105263159E-2</v>
      </c>
      <c r="O142" s="116">
        <f t="shared" si="17"/>
        <v>0</v>
      </c>
    </row>
    <row r="143" spans="1:16" ht="15" customHeight="1">
      <c r="A143" s="129" t="s">
        <v>296</v>
      </c>
      <c r="B143" s="129" t="s">
        <v>293</v>
      </c>
      <c r="C143" s="91">
        <v>44260</v>
      </c>
      <c r="D143" s="129">
        <v>652</v>
      </c>
      <c r="E143" s="129" t="s">
        <v>294</v>
      </c>
      <c r="F143" s="129" t="s">
        <v>297</v>
      </c>
      <c r="G143" s="129" t="s">
        <v>369</v>
      </c>
      <c r="H143" s="129">
        <v>965263</v>
      </c>
      <c r="I143" s="109">
        <v>65</v>
      </c>
      <c r="J143" s="129" t="s">
        <v>193</v>
      </c>
      <c r="K143" s="127">
        <v>38</v>
      </c>
      <c r="L143" s="103">
        <v>74.850999999999999</v>
      </c>
      <c r="M143" s="128">
        <f t="shared" si="18"/>
        <v>-36.850999999999999</v>
      </c>
      <c r="N143" s="94">
        <f t="shared" si="19"/>
        <v>1.9697631578947368</v>
      </c>
    </row>
    <row r="144" spans="1:16" ht="15" customHeight="1">
      <c r="A144" s="129" t="s">
        <v>296</v>
      </c>
      <c r="B144" s="129" t="s">
        <v>293</v>
      </c>
      <c r="C144" s="91">
        <v>44260</v>
      </c>
      <c r="D144" s="129">
        <v>652</v>
      </c>
      <c r="E144" s="129" t="s">
        <v>294</v>
      </c>
      <c r="F144" s="129" t="s">
        <v>297</v>
      </c>
      <c r="G144" s="99" t="s">
        <v>370</v>
      </c>
      <c r="H144" s="99">
        <v>961061</v>
      </c>
      <c r="I144" s="109">
        <v>58</v>
      </c>
      <c r="J144" s="129" t="s">
        <v>192</v>
      </c>
      <c r="K144" s="127">
        <v>38</v>
      </c>
      <c r="L144" s="103">
        <v>21.817</v>
      </c>
      <c r="M144" s="128">
        <f t="shared" si="18"/>
        <v>16.183</v>
      </c>
      <c r="N144" s="94">
        <f t="shared" si="19"/>
        <v>0.57413157894736844</v>
      </c>
      <c r="O144" s="116">
        <f t="shared" si="16"/>
        <v>0</v>
      </c>
    </row>
    <row r="145" spans="1:16" ht="15" customHeight="1">
      <c r="A145" s="129" t="s">
        <v>296</v>
      </c>
      <c r="B145" s="129" t="s">
        <v>293</v>
      </c>
      <c r="C145" s="91">
        <v>44260</v>
      </c>
      <c r="D145" s="129">
        <v>652</v>
      </c>
      <c r="E145" s="129" t="s">
        <v>294</v>
      </c>
      <c r="F145" s="129" t="s">
        <v>297</v>
      </c>
      <c r="G145" s="129" t="s">
        <v>370</v>
      </c>
      <c r="H145" s="129">
        <v>961061</v>
      </c>
      <c r="I145" s="109">
        <v>58</v>
      </c>
      <c r="J145" s="129" t="s">
        <v>193</v>
      </c>
      <c r="K145" s="127">
        <v>38</v>
      </c>
      <c r="L145" s="103">
        <v>54.183</v>
      </c>
      <c r="M145" s="128">
        <f t="shared" si="18"/>
        <v>-16.183</v>
      </c>
      <c r="N145" s="94">
        <f t="shared" si="19"/>
        <v>1.4258684210526316</v>
      </c>
    </row>
    <row r="146" spans="1:16" ht="15" customHeight="1">
      <c r="A146" s="129" t="s">
        <v>296</v>
      </c>
      <c r="B146" s="129" t="s">
        <v>293</v>
      </c>
      <c r="C146" s="91">
        <v>44260</v>
      </c>
      <c r="D146" s="129">
        <v>652</v>
      </c>
      <c r="E146" s="129" t="s">
        <v>294</v>
      </c>
      <c r="F146" s="129" t="s">
        <v>297</v>
      </c>
      <c r="G146" s="99" t="s">
        <v>371</v>
      </c>
      <c r="H146" s="99">
        <v>955079</v>
      </c>
      <c r="I146" s="109">
        <v>65</v>
      </c>
      <c r="J146" s="129" t="s">
        <v>192</v>
      </c>
      <c r="K146" s="127">
        <v>38</v>
      </c>
      <c r="L146" s="103">
        <v>5.03</v>
      </c>
      <c r="M146" s="128">
        <f t="shared" si="18"/>
        <v>32.97</v>
      </c>
      <c r="N146" s="94">
        <f t="shared" si="19"/>
        <v>0.13236842105263158</v>
      </c>
      <c r="O146" s="116">
        <f t="shared" si="17"/>
        <v>8.7000000000003297E-2</v>
      </c>
    </row>
    <row r="147" spans="1:16" ht="15" customHeight="1">
      <c r="A147" s="129" t="s">
        <v>296</v>
      </c>
      <c r="B147" s="129" t="s">
        <v>293</v>
      </c>
      <c r="C147" s="91">
        <v>44260</v>
      </c>
      <c r="D147" s="129">
        <v>652</v>
      </c>
      <c r="E147" s="129" t="s">
        <v>294</v>
      </c>
      <c r="F147" s="129" t="s">
        <v>297</v>
      </c>
      <c r="G147" s="129" t="s">
        <v>371</v>
      </c>
      <c r="H147" s="129">
        <v>955079</v>
      </c>
      <c r="I147" s="109">
        <v>65</v>
      </c>
      <c r="J147" s="129" t="s">
        <v>193</v>
      </c>
      <c r="K147" s="127">
        <v>38</v>
      </c>
      <c r="L147" s="103">
        <v>70.882999999999996</v>
      </c>
      <c r="M147" s="128">
        <f t="shared" si="18"/>
        <v>-32.882999999999996</v>
      </c>
      <c r="N147" s="94">
        <f t="shared" si="19"/>
        <v>1.8653421052631578</v>
      </c>
    </row>
    <row r="148" spans="1:16" ht="15" customHeight="1">
      <c r="A148" s="99" t="s">
        <v>372</v>
      </c>
      <c r="B148" s="129" t="s">
        <v>293</v>
      </c>
      <c r="C148" s="91">
        <v>44260</v>
      </c>
      <c r="D148" s="99">
        <v>653</v>
      </c>
      <c r="E148" s="129" t="s">
        <v>294</v>
      </c>
      <c r="F148" s="129" t="s">
        <v>297</v>
      </c>
      <c r="G148" s="99" t="s">
        <v>373</v>
      </c>
      <c r="H148" s="99">
        <v>963875</v>
      </c>
      <c r="I148" s="109">
        <v>68</v>
      </c>
      <c r="J148" s="129" t="s">
        <v>192</v>
      </c>
      <c r="K148" s="127">
        <v>580</v>
      </c>
      <c r="L148" s="103">
        <v>460.78100000000001</v>
      </c>
      <c r="M148" s="128">
        <f t="shared" si="18"/>
        <v>119.21899999999999</v>
      </c>
      <c r="N148" s="94">
        <f t="shared" si="19"/>
        <v>0.79444999999999999</v>
      </c>
      <c r="O148" s="209">
        <f t="shared" si="16"/>
        <v>-97.271999999999991</v>
      </c>
      <c r="P148" s="90" t="s">
        <v>749</v>
      </c>
    </row>
    <row r="149" spans="1:16" ht="15" customHeight="1">
      <c r="A149" s="129" t="s">
        <v>372</v>
      </c>
      <c r="B149" s="129" t="s">
        <v>293</v>
      </c>
      <c r="C149" s="91">
        <v>44260</v>
      </c>
      <c r="D149" s="129">
        <v>653</v>
      </c>
      <c r="E149" s="129" t="s">
        <v>294</v>
      </c>
      <c r="F149" s="129" t="s">
        <v>297</v>
      </c>
      <c r="G149" s="129" t="s">
        <v>373</v>
      </c>
      <c r="H149" s="129">
        <v>963875</v>
      </c>
      <c r="I149" s="109">
        <v>68</v>
      </c>
      <c r="J149" s="129" t="s">
        <v>193</v>
      </c>
      <c r="K149" s="127">
        <v>249</v>
      </c>
      <c r="L149" s="103">
        <v>465.49099999999999</v>
      </c>
      <c r="M149" s="128">
        <f t="shared" si="18"/>
        <v>-216.49099999999999</v>
      </c>
      <c r="N149" s="94">
        <f t="shared" si="19"/>
        <v>1.869441767068273</v>
      </c>
    </row>
    <row r="150" spans="1:16" ht="15" customHeight="1">
      <c r="A150" s="129" t="s">
        <v>372</v>
      </c>
      <c r="B150" s="129" t="s">
        <v>293</v>
      </c>
      <c r="C150" s="91">
        <v>44260</v>
      </c>
      <c r="D150" s="129">
        <v>653</v>
      </c>
      <c r="E150" s="129" t="s">
        <v>294</v>
      </c>
      <c r="F150" s="129" t="s">
        <v>297</v>
      </c>
      <c r="G150" s="99" t="s">
        <v>374</v>
      </c>
      <c r="H150" s="99">
        <v>964054</v>
      </c>
      <c r="I150" s="109">
        <v>19</v>
      </c>
      <c r="J150" s="129" t="s">
        <v>192</v>
      </c>
      <c r="K150" s="127">
        <v>281</v>
      </c>
      <c r="L150" s="103">
        <v>111.60599999999999</v>
      </c>
      <c r="M150" s="128">
        <f t="shared" si="18"/>
        <v>169.39400000000001</v>
      </c>
      <c r="N150" s="94">
        <f t="shared" si="19"/>
        <v>0.39717437722419929</v>
      </c>
      <c r="O150" s="116">
        <f t="shared" si="17"/>
        <v>9.3940000000000055</v>
      </c>
    </row>
    <row r="151" spans="1:16" ht="15" customHeight="1">
      <c r="A151" s="129" t="s">
        <v>372</v>
      </c>
      <c r="B151" s="129" t="s">
        <v>293</v>
      </c>
      <c r="C151" s="91">
        <v>44260</v>
      </c>
      <c r="D151" s="129">
        <v>653</v>
      </c>
      <c r="E151" s="129" t="s">
        <v>294</v>
      </c>
      <c r="F151" s="129" t="s">
        <v>297</v>
      </c>
      <c r="G151" s="129" t="s">
        <v>374</v>
      </c>
      <c r="H151" s="129">
        <v>964054</v>
      </c>
      <c r="I151" s="109">
        <v>19</v>
      </c>
      <c r="J151" s="129" t="s">
        <v>193</v>
      </c>
      <c r="K151" s="127">
        <v>119</v>
      </c>
      <c r="L151" s="103">
        <v>279</v>
      </c>
      <c r="M151" s="128">
        <f t="shared" si="18"/>
        <v>-160</v>
      </c>
      <c r="N151" s="94">
        <f t="shared" si="19"/>
        <v>2.3445378151260505</v>
      </c>
    </row>
    <row r="152" spans="1:16" ht="15" customHeight="1">
      <c r="A152" s="129" t="s">
        <v>372</v>
      </c>
      <c r="B152" s="129" t="s">
        <v>293</v>
      </c>
      <c r="C152" s="91">
        <v>44260</v>
      </c>
      <c r="D152" s="129">
        <v>653</v>
      </c>
      <c r="E152" s="129" t="s">
        <v>294</v>
      </c>
      <c r="F152" s="129" t="s">
        <v>297</v>
      </c>
      <c r="G152" s="99" t="s">
        <v>375</v>
      </c>
      <c r="H152" s="99">
        <v>960094</v>
      </c>
      <c r="I152" s="109">
        <v>70</v>
      </c>
      <c r="J152" s="129" t="s">
        <v>192</v>
      </c>
      <c r="K152" s="127">
        <v>281</v>
      </c>
      <c r="L152" s="103">
        <v>248.45</v>
      </c>
      <c r="M152" s="128">
        <f t="shared" ref="M152:M159" si="20">K152-L152</f>
        <v>32.550000000000011</v>
      </c>
      <c r="N152" s="94">
        <f t="shared" ref="N152:N159" si="21">L152/K152</f>
        <v>0.88416370106761566</v>
      </c>
      <c r="O152" s="116">
        <f t="shared" si="16"/>
        <v>0</v>
      </c>
    </row>
    <row r="153" spans="1:16" ht="15" customHeight="1">
      <c r="A153" s="129" t="s">
        <v>372</v>
      </c>
      <c r="B153" s="129" t="s">
        <v>293</v>
      </c>
      <c r="C153" s="91">
        <v>44260</v>
      </c>
      <c r="D153" s="129">
        <v>653</v>
      </c>
      <c r="E153" s="129" t="s">
        <v>294</v>
      </c>
      <c r="F153" s="129" t="s">
        <v>297</v>
      </c>
      <c r="G153" s="129" t="s">
        <v>375</v>
      </c>
      <c r="H153" s="129">
        <v>960094</v>
      </c>
      <c r="I153" s="109">
        <v>70</v>
      </c>
      <c r="J153" s="129" t="s">
        <v>193</v>
      </c>
      <c r="K153" s="127">
        <v>119</v>
      </c>
      <c r="L153" s="103">
        <v>151.55000000000001</v>
      </c>
      <c r="M153" s="128">
        <f t="shared" si="20"/>
        <v>-32.550000000000011</v>
      </c>
      <c r="N153" s="94">
        <f t="shared" si="21"/>
        <v>1.273529411764706</v>
      </c>
    </row>
    <row r="154" spans="1:16" ht="15" customHeight="1">
      <c r="A154" s="129" t="s">
        <v>372</v>
      </c>
      <c r="B154" s="129" t="s">
        <v>293</v>
      </c>
      <c r="C154" s="91">
        <v>44260</v>
      </c>
      <c r="D154" s="129">
        <v>653</v>
      </c>
      <c r="E154" s="129" t="s">
        <v>294</v>
      </c>
      <c r="F154" s="129" t="s">
        <v>297</v>
      </c>
      <c r="G154" s="99" t="s">
        <v>376</v>
      </c>
      <c r="H154" s="99">
        <v>968532</v>
      </c>
      <c r="I154" s="109">
        <v>68</v>
      </c>
      <c r="J154" s="129" t="s">
        <v>192</v>
      </c>
      <c r="K154" s="127">
        <v>324</v>
      </c>
      <c r="L154" s="103">
        <v>277.613</v>
      </c>
      <c r="M154" s="128">
        <f t="shared" si="20"/>
        <v>46.387</v>
      </c>
      <c r="N154" s="94">
        <f t="shared" si="21"/>
        <v>0.85683024691358023</v>
      </c>
      <c r="O154" s="116">
        <f t="shared" si="17"/>
        <v>0</v>
      </c>
    </row>
    <row r="155" spans="1:16" ht="15" customHeight="1">
      <c r="A155" s="129" t="s">
        <v>372</v>
      </c>
      <c r="B155" s="129" t="s">
        <v>293</v>
      </c>
      <c r="C155" s="91">
        <v>44260</v>
      </c>
      <c r="D155" s="129">
        <v>653</v>
      </c>
      <c r="E155" s="129" t="s">
        <v>294</v>
      </c>
      <c r="F155" s="129" t="s">
        <v>297</v>
      </c>
      <c r="G155" s="129" t="s">
        <v>376</v>
      </c>
      <c r="H155" s="129">
        <v>968532</v>
      </c>
      <c r="I155" s="109">
        <v>68</v>
      </c>
      <c r="J155" s="129" t="s">
        <v>193</v>
      </c>
      <c r="K155" s="127">
        <v>138</v>
      </c>
      <c r="L155" s="103">
        <v>184.387</v>
      </c>
      <c r="M155" s="128">
        <f t="shared" si="20"/>
        <v>-46.387</v>
      </c>
      <c r="N155" s="94">
        <f t="shared" si="21"/>
        <v>1.3361376811594203</v>
      </c>
    </row>
    <row r="156" spans="1:16" ht="15" customHeight="1">
      <c r="A156" s="129" t="s">
        <v>372</v>
      </c>
      <c r="B156" s="129" t="s">
        <v>293</v>
      </c>
      <c r="C156" s="91">
        <v>44260</v>
      </c>
      <c r="D156" s="129">
        <v>653</v>
      </c>
      <c r="E156" s="129" t="s">
        <v>294</v>
      </c>
      <c r="F156" s="129" t="s">
        <v>297</v>
      </c>
      <c r="G156" s="99" t="s">
        <v>377</v>
      </c>
      <c r="H156" s="99">
        <v>959036</v>
      </c>
      <c r="I156" s="109">
        <v>68</v>
      </c>
      <c r="J156" s="129" t="s">
        <v>192</v>
      </c>
      <c r="K156" s="127">
        <v>356</v>
      </c>
      <c r="L156" s="103">
        <v>332.161</v>
      </c>
      <c r="M156" s="128">
        <f t="shared" si="20"/>
        <v>23.838999999999999</v>
      </c>
      <c r="N156" s="94">
        <f t="shared" si="21"/>
        <v>0.93303651685393263</v>
      </c>
      <c r="O156" s="116">
        <f t="shared" si="16"/>
        <v>0</v>
      </c>
    </row>
    <row r="157" spans="1:16" ht="15" customHeight="1">
      <c r="A157" s="129" t="s">
        <v>372</v>
      </c>
      <c r="B157" s="129" t="s">
        <v>293</v>
      </c>
      <c r="C157" s="91">
        <v>44260</v>
      </c>
      <c r="D157" s="129">
        <v>653</v>
      </c>
      <c r="E157" s="129" t="s">
        <v>294</v>
      </c>
      <c r="F157" s="129" t="s">
        <v>297</v>
      </c>
      <c r="G157" s="129" t="s">
        <v>377</v>
      </c>
      <c r="H157" s="129">
        <v>959036</v>
      </c>
      <c r="I157" s="109">
        <v>68</v>
      </c>
      <c r="J157" s="129" t="s">
        <v>193</v>
      </c>
      <c r="K157" s="127">
        <v>153</v>
      </c>
      <c r="L157" s="103">
        <v>176.839</v>
      </c>
      <c r="M157" s="128">
        <f t="shared" si="20"/>
        <v>-23.838999999999999</v>
      </c>
      <c r="N157" s="94">
        <f t="shared" si="21"/>
        <v>1.1558104575163399</v>
      </c>
    </row>
    <row r="158" spans="1:16" ht="15" customHeight="1">
      <c r="A158" s="129" t="s">
        <v>372</v>
      </c>
      <c r="B158" s="129" t="s">
        <v>293</v>
      </c>
      <c r="C158" s="91">
        <v>44260</v>
      </c>
      <c r="D158" s="129">
        <v>653</v>
      </c>
      <c r="E158" s="129" t="s">
        <v>294</v>
      </c>
      <c r="F158" s="129" t="s">
        <v>297</v>
      </c>
      <c r="G158" s="99" t="s">
        <v>378</v>
      </c>
      <c r="H158" s="99">
        <v>962102</v>
      </c>
      <c r="I158" s="109">
        <v>68</v>
      </c>
      <c r="J158" s="129" t="s">
        <v>192</v>
      </c>
      <c r="K158" s="127">
        <v>581</v>
      </c>
      <c r="L158" s="103">
        <v>510.65300000000002</v>
      </c>
      <c r="M158" s="128">
        <f t="shared" si="20"/>
        <v>70.34699999999998</v>
      </c>
      <c r="N158" s="94">
        <f t="shared" si="21"/>
        <v>0.87892082616179001</v>
      </c>
      <c r="O158" s="209">
        <f t="shared" si="17"/>
        <v>-81.93100000000004</v>
      </c>
      <c r="P158" s="90" t="s">
        <v>749</v>
      </c>
    </row>
    <row r="159" spans="1:16" ht="15" customHeight="1">
      <c r="A159" s="129" t="s">
        <v>372</v>
      </c>
      <c r="B159" s="129" t="s">
        <v>293</v>
      </c>
      <c r="C159" s="91">
        <v>44260</v>
      </c>
      <c r="D159" s="129">
        <v>653</v>
      </c>
      <c r="E159" s="129" t="s">
        <v>294</v>
      </c>
      <c r="F159" s="129" t="s">
        <v>297</v>
      </c>
      <c r="G159" s="129" t="s">
        <v>378</v>
      </c>
      <c r="H159" s="129">
        <v>962102</v>
      </c>
      <c r="I159" s="109">
        <v>68</v>
      </c>
      <c r="J159" s="129" t="s">
        <v>193</v>
      </c>
      <c r="K159" s="127">
        <v>249</v>
      </c>
      <c r="L159" s="103">
        <v>401.27800000000002</v>
      </c>
      <c r="M159" s="128">
        <f t="shared" si="20"/>
        <v>-152.27800000000002</v>
      </c>
      <c r="N159" s="94">
        <f t="shared" si="21"/>
        <v>1.6115582329317271</v>
      </c>
    </row>
    <row r="160" spans="1:16" ht="15" customHeight="1">
      <c r="A160" s="99" t="s">
        <v>379</v>
      </c>
      <c r="B160" s="99" t="s">
        <v>288</v>
      </c>
      <c r="C160" s="91">
        <v>44260</v>
      </c>
      <c r="D160" s="99">
        <v>654</v>
      </c>
      <c r="E160" s="129" t="s">
        <v>294</v>
      </c>
      <c r="F160" s="129" t="s">
        <v>297</v>
      </c>
      <c r="G160" s="99" t="s">
        <v>380</v>
      </c>
      <c r="H160" s="99">
        <v>965073</v>
      </c>
      <c r="I160" s="109">
        <v>12</v>
      </c>
      <c r="J160" s="129" t="s">
        <v>193</v>
      </c>
      <c r="K160" s="282">
        <v>357.91800000000001</v>
      </c>
      <c r="L160" s="103">
        <v>304.43700000000001</v>
      </c>
      <c r="M160" s="285">
        <f>K160-(L160+L161)</f>
        <v>53.480999999999995</v>
      </c>
      <c r="N160" s="288">
        <f>(L160+L161)/K160</f>
        <v>0.85057750657971942</v>
      </c>
      <c r="O160" s="116">
        <f t="shared" ref="O160:O172" si="22">M160+M161</f>
        <v>53.480999999999995</v>
      </c>
    </row>
    <row r="161" spans="1:16" ht="15" customHeight="1">
      <c r="A161" s="129" t="s">
        <v>379</v>
      </c>
      <c r="B161" s="129" t="s">
        <v>288</v>
      </c>
      <c r="C161" s="91">
        <v>44260</v>
      </c>
      <c r="D161" s="129">
        <v>654</v>
      </c>
      <c r="E161" s="129" t="s">
        <v>294</v>
      </c>
      <c r="F161" s="129" t="s">
        <v>297</v>
      </c>
      <c r="G161" s="99" t="s">
        <v>381</v>
      </c>
      <c r="H161" s="99">
        <v>968981</v>
      </c>
      <c r="I161" s="109">
        <v>12</v>
      </c>
      <c r="J161" s="129" t="s">
        <v>193</v>
      </c>
      <c r="K161" s="284"/>
      <c r="L161" s="103"/>
      <c r="M161" s="287"/>
      <c r="N161" s="290"/>
    </row>
    <row r="162" spans="1:16" ht="15" customHeight="1">
      <c r="A162" s="129" t="s">
        <v>372</v>
      </c>
      <c r="B162" s="129" t="s">
        <v>293</v>
      </c>
      <c r="C162" s="91">
        <v>44260</v>
      </c>
      <c r="D162" s="99">
        <v>655</v>
      </c>
      <c r="E162" s="129" t="s">
        <v>294</v>
      </c>
      <c r="F162" s="129" t="s">
        <v>297</v>
      </c>
      <c r="G162" s="99" t="s">
        <v>382</v>
      </c>
      <c r="H162" s="99">
        <v>968281</v>
      </c>
      <c r="I162" s="109">
        <v>59</v>
      </c>
      <c r="J162" s="99" t="s">
        <v>192</v>
      </c>
      <c r="K162" s="110">
        <v>141</v>
      </c>
      <c r="L162" s="103">
        <v>67.146000000000001</v>
      </c>
      <c r="M162" s="98">
        <f t="shared" ref="M162:M175" si="23">K162-L162</f>
        <v>73.853999999999999</v>
      </c>
      <c r="N162" s="94">
        <f t="shared" ref="N162:N175" si="24">L162/K162</f>
        <v>0.47621276595744683</v>
      </c>
      <c r="O162" s="116">
        <f t="shared" si="17"/>
        <v>0</v>
      </c>
    </row>
    <row r="163" spans="1:16" ht="15" customHeight="1">
      <c r="A163" s="129" t="s">
        <v>372</v>
      </c>
      <c r="B163" s="129" t="s">
        <v>293</v>
      </c>
      <c r="C163" s="91">
        <v>44260</v>
      </c>
      <c r="D163" s="129">
        <v>655</v>
      </c>
      <c r="E163" s="129" t="s">
        <v>294</v>
      </c>
      <c r="F163" s="129" t="s">
        <v>297</v>
      </c>
      <c r="G163" s="129" t="s">
        <v>382</v>
      </c>
      <c r="H163" s="129">
        <v>968281</v>
      </c>
      <c r="I163" s="109">
        <v>59</v>
      </c>
      <c r="J163" s="99" t="s">
        <v>193</v>
      </c>
      <c r="K163" s="110">
        <v>59</v>
      </c>
      <c r="L163" s="103">
        <v>132.85400000000001</v>
      </c>
      <c r="M163" s="98">
        <f t="shared" si="23"/>
        <v>-73.854000000000013</v>
      </c>
      <c r="N163" s="94">
        <f t="shared" si="24"/>
        <v>2.2517627118644068</v>
      </c>
    </row>
    <row r="164" spans="1:16" ht="15" customHeight="1">
      <c r="A164" s="129" t="s">
        <v>372</v>
      </c>
      <c r="B164" s="129" t="s">
        <v>293</v>
      </c>
      <c r="C164" s="91">
        <v>44260</v>
      </c>
      <c r="D164" s="129">
        <v>655</v>
      </c>
      <c r="E164" s="129" t="s">
        <v>294</v>
      </c>
      <c r="F164" s="129" t="s">
        <v>297</v>
      </c>
      <c r="G164" s="99" t="s">
        <v>383</v>
      </c>
      <c r="H164" s="99">
        <v>968938</v>
      </c>
      <c r="I164" s="109">
        <v>43</v>
      </c>
      <c r="J164" s="99" t="s">
        <v>192</v>
      </c>
      <c r="K164" s="110">
        <v>374</v>
      </c>
      <c r="L164" s="103">
        <v>280.93799999999999</v>
      </c>
      <c r="M164" s="98">
        <f t="shared" si="23"/>
        <v>93.062000000000012</v>
      </c>
      <c r="N164" s="94">
        <f t="shared" si="24"/>
        <v>0.75117112299465238</v>
      </c>
      <c r="O164" s="116">
        <f t="shared" si="22"/>
        <v>2.0370000000000061</v>
      </c>
    </row>
    <row r="165" spans="1:16" ht="15" customHeight="1">
      <c r="A165" s="129" t="s">
        <v>372</v>
      </c>
      <c r="B165" s="129" t="s">
        <v>293</v>
      </c>
      <c r="C165" s="91">
        <v>44260</v>
      </c>
      <c r="D165" s="129">
        <v>655</v>
      </c>
      <c r="E165" s="129" t="s">
        <v>294</v>
      </c>
      <c r="F165" s="129" t="s">
        <v>297</v>
      </c>
      <c r="G165" s="129" t="s">
        <v>383</v>
      </c>
      <c r="H165" s="129">
        <v>968938</v>
      </c>
      <c r="I165" s="109">
        <v>43</v>
      </c>
      <c r="J165" s="99" t="s">
        <v>193</v>
      </c>
      <c r="K165" s="110">
        <v>159</v>
      </c>
      <c r="L165" s="103">
        <v>250.02500000000001</v>
      </c>
      <c r="M165" s="98">
        <f t="shared" si="23"/>
        <v>-91.025000000000006</v>
      </c>
      <c r="N165" s="94">
        <f t="shared" si="24"/>
        <v>1.5724842767295597</v>
      </c>
    </row>
    <row r="166" spans="1:16" ht="15" customHeight="1">
      <c r="A166" s="129" t="s">
        <v>372</v>
      </c>
      <c r="B166" s="129" t="s">
        <v>293</v>
      </c>
      <c r="C166" s="91">
        <v>44260</v>
      </c>
      <c r="D166" s="129">
        <v>655</v>
      </c>
      <c r="E166" s="129" t="s">
        <v>294</v>
      </c>
      <c r="F166" s="129" t="s">
        <v>297</v>
      </c>
      <c r="G166" s="99" t="s">
        <v>384</v>
      </c>
      <c r="H166" s="99">
        <v>31015</v>
      </c>
      <c r="I166" s="109">
        <v>43</v>
      </c>
      <c r="J166" s="99" t="s">
        <v>192</v>
      </c>
      <c r="K166" s="110">
        <v>374</v>
      </c>
      <c r="L166" s="103">
        <v>330.661</v>
      </c>
      <c r="M166" s="98">
        <f t="shared" si="23"/>
        <v>43.338999999999999</v>
      </c>
      <c r="N166" s="94">
        <f t="shared" si="24"/>
        <v>0.88412032085561498</v>
      </c>
      <c r="O166" s="214">
        <f t="shared" ref="O166:O174" si="25">M166+M167</f>
        <v>-7.8729999999999905</v>
      </c>
      <c r="P166" s="216" t="s">
        <v>761</v>
      </c>
    </row>
    <row r="167" spans="1:16" ht="15" customHeight="1">
      <c r="A167" s="129" t="s">
        <v>372</v>
      </c>
      <c r="B167" s="129" t="s">
        <v>293</v>
      </c>
      <c r="C167" s="91">
        <v>44260</v>
      </c>
      <c r="D167" s="129">
        <v>655</v>
      </c>
      <c r="E167" s="129" t="s">
        <v>294</v>
      </c>
      <c r="F167" s="129" t="s">
        <v>297</v>
      </c>
      <c r="G167" s="129" t="s">
        <v>384</v>
      </c>
      <c r="H167" s="129">
        <v>31015</v>
      </c>
      <c r="I167" s="109">
        <v>43</v>
      </c>
      <c r="J167" s="99" t="s">
        <v>193</v>
      </c>
      <c r="K167" s="110">
        <v>159</v>
      </c>
      <c r="L167" s="103">
        <v>210.21199999999999</v>
      </c>
      <c r="M167" s="98">
        <f t="shared" si="23"/>
        <v>-51.211999999999989</v>
      </c>
      <c r="N167" s="94">
        <f t="shared" si="24"/>
        <v>1.3220880503144654</v>
      </c>
    </row>
    <row r="168" spans="1:16" ht="15" customHeight="1">
      <c r="A168" s="129" t="s">
        <v>372</v>
      </c>
      <c r="B168" s="129" t="s">
        <v>293</v>
      </c>
      <c r="C168" s="91">
        <v>44260</v>
      </c>
      <c r="D168" s="129">
        <v>655</v>
      </c>
      <c r="E168" s="129" t="s">
        <v>294</v>
      </c>
      <c r="F168" s="129" t="s">
        <v>297</v>
      </c>
      <c r="G168" s="99" t="s">
        <v>385</v>
      </c>
      <c r="H168" s="99">
        <v>952004</v>
      </c>
      <c r="I168" s="109">
        <v>21</v>
      </c>
      <c r="J168" s="99" t="s">
        <v>192</v>
      </c>
      <c r="K168" s="110">
        <v>211</v>
      </c>
      <c r="L168" s="103">
        <v>104.789</v>
      </c>
      <c r="M168" s="98">
        <f t="shared" si="23"/>
        <v>106.211</v>
      </c>
      <c r="N168" s="94">
        <f t="shared" si="24"/>
        <v>0.49663033175355453</v>
      </c>
      <c r="O168" s="116">
        <f t="shared" si="22"/>
        <v>0</v>
      </c>
    </row>
    <row r="169" spans="1:16" ht="15" customHeight="1">
      <c r="A169" s="129" t="s">
        <v>372</v>
      </c>
      <c r="B169" s="129" t="s">
        <v>293</v>
      </c>
      <c r="C169" s="91">
        <v>44260</v>
      </c>
      <c r="D169" s="129">
        <v>655</v>
      </c>
      <c r="E169" s="129" t="s">
        <v>294</v>
      </c>
      <c r="F169" s="129" t="s">
        <v>297</v>
      </c>
      <c r="G169" s="129" t="s">
        <v>385</v>
      </c>
      <c r="H169" s="129">
        <v>952004</v>
      </c>
      <c r="I169" s="109">
        <v>21</v>
      </c>
      <c r="J169" s="99" t="s">
        <v>193</v>
      </c>
      <c r="K169" s="110">
        <v>89</v>
      </c>
      <c r="L169" s="103">
        <v>195.21100000000001</v>
      </c>
      <c r="M169" s="98">
        <f t="shared" si="23"/>
        <v>-106.21100000000001</v>
      </c>
      <c r="N169" s="94">
        <f t="shared" si="24"/>
        <v>2.1933820224719103</v>
      </c>
    </row>
    <row r="170" spans="1:16" ht="15" customHeight="1">
      <c r="A170" s="129" t="s">
        <v>372</v>
      </c>
      <c r="B170" s="129" t="s">
        <v>293</v>
      </c>
      <c r="C170" s="91">
        <v>44260</v>
      </c>
      <c r="D170" s="129">
        <v>655</v>
      </c>
      <c r="E170" s="129" t="s">
        <v>294</v>
      </c>
      <c r="F170" s="129" t="s">
        <v>297</v>
      </c>
      <c r="G170" s="99" t="s">
        <v>386</v>
      </c>
      <c r="H170" s="99">
        <v>955516</v>
      </c>
      <c r="I170" s="109">
        <v>37</v>
      </c>
      <c r="J170" s="129" t="s">
        <v>192</v>
      </c>
      <c r="K170" s="127">
        <v>211</v>
      </c>
      <c r="L170" s="103">
        <v>211</v>
      </c>
      <c r="M170" s="128">
        <f t="shared" si="23"/>
        <v>0</v>
      </c>
      <c r="N170" s="94">
        <f t="shared" si="24"/>
        <v>1</v>
      </c>
      <c r="O170" s="116">
        <f t="shared" si="25"/>
        <v>0</v>
      </c>
    </row>
    <row r="171" spans="1:16" ht="15" customHeight="1">
      <c r="A171" s="129" t="s">
        <v>372</v>
      </c>
      <c r="B171" s="129" t="s">
        <v>293</v>
      </c>
      <c r="C171" s="91">
        <v>44260</v>
      </c>
      <c r="D171" s="129">
        <v>655</v>
      </c>
      <c r="E171" s="129" t="s">
        <v>294</v>
      </c>
      <c r="F171" s="129" t="s">
        <v>297</v>
      </c>
      <c r="G171" s="129" t="s">
        <v>386</v>
      </c>
      <c r="H171" s="129">
        <v>955516</v>
      </c>
      <c r="I171" s="109">
        <v>37</v>
      </c>
      <c r="J171" s="129" t="s">
        <v>193</v>
      </c>
      <c r="K171" s="127">
        <v>89</v>
      </c>
      <c r="L171" s="103">
        <v>89</v>
      </c>
      <c r="M171" s="128">
        <f t="shared" si="23"/>
        <v>0</v>
      </c>
      <c r="N171" s="94">
        <f t="shared" si="24"/>
        <v>1</v>
      </c>
    </row>
    <row r="172" spans="1:16" ht="15" customHeight="1">
      <c r="A172" s="129" t="s">
        <v>372</v>
      </c>
      <c r="B172" s="129" t="s">
        <v>293</v>
      </c>
      <c r="C172" s="91">
        <v>44260</v>
      </c>
      <c r="D172" s="129">
        <v>655</v>
      </c>
      <c r="E172" s="129" t="s">
        <v>294</v>
      </c>
      <c r="F172" s="129" t="s">
        <v>297</v>
      </c>
      <c r="G172" s="99" t="s">
        <v>387</v>
      </c>
      <c r="H172" s="99">
        <v>966410</v>
      </c>
      <c r="I172" s="109">
        <v>43</v>
      </c>
      <c r="J172" s="129" t="s">
        <v>192</v>
      </c>
      <c r="K172" s="127">
        <v>375</v>
      </c>
      <c r="L172" s="103">
        <v>269.85899999999998</v>
      </c>
      <c r="M172" s="128">
        <f t="shared" si="23"/>
        <v>105.14100000000002</v>
      </c>
      <c r="N172" s="94">
        <f t="shared" si="24"/>
        <v>0.71962399999999993</v>
      </c>
      <c r="O172" s="116">
        <f t="shared" si="22"/>
        <v>4.5540000000000305</v>
      </c>
    </row>
    <row r="173" spans="1:16" ht="15" customHeight="1">
      <c r="A173" s="129" t="s">
        <v>372</v>
      </c>
      <c r="B173" s="129" t="s">
        <v>293</v>
      </c>
      <c r="C173" s="91">
        <v>44260</v>
      </c>
      <c r="D173" s="129">
        <v>655</v>
      </c>
      <c r="E173" s="129" t="s">
        <v>294</v>
      </c>
      <c r="F173" s="129" t="s">
        <v>297</v>
      </c>
      <c r="G173" s="129" t="s">
        <v>387</v>
      </c>
      <c r="H173" s="129">
        <v>966410</v>
      </c>
      <c r="I173" s="109">
        <v>43</v>
      </c>
      <c r="J173" s="129" t="s">
        <v>193</v>
      </c>
      <c r="K173" s="127">
        <v>159</v>
      </c>
      <c r="L173" s="103">
        <v>259.58699999999999</v>
      </c>
      <c r="M173" s="128">
        <f t="shared" si="23"/>
        <v>-100.58699999999999</v>
      </c>
      <c r="N173" s="94">
        <f t="shared" si="24"/>
        <v>1.6326226415094338</v>
      </c>
    </row>
    <row r="174" spans="1:16" ht="15" customHeight="1">
      <c r="A174" s="129" t="s">
        <v>372</v>
      </c>
      <c r="B174" s="129" t="s">
        <v>293</v>
      </c>
      <c r="C174" s="91">
        <v>44260</v>
      </c>
      <c r="D174" s="129">
        <v>655</v>
      </c>
      <c r="E174" s="129" t="s">
        <v>294</v>
      </c>
      <c r="F174" s="129" t="s">
        <v>297</v>
      </c>
      <c r="G174" s="99" t="s">
        <v>388</v>
      </c>
      <c r="H174" s="99">
        <v>962641</v>
      </c>
      <c r="I174" s="109">
        <v>11</v>
      </c>
      <c r="J174" s="129" t="s">
        <v>192</v>
      </c>
      <c r="K174" s="127">
        <v>246</v>
      </c>
      <c r="L174" s="103">
        <v>117.31100000000001</v>
      </c>
      <c r="M174" s="128">
        <f t="shared" si="23"/>
        <v>128.68899999999999</v>
      </c>
      <c r="N174" s="94">
        <f t="shared" si="24"/>
        <v>0.47687398373983741</v>
      </c>
      <c r="O174" s="116">
        <f t="shared" si="25"/>
        <v>0</v>
      </c>
    </row>
    <row r="175" spans="1:16" ht="15" customHeight="1">
      <c r="A175" s="129" t="s">
        <v>372</v>
      </c>
      <c r="B175" s="129" t="s">
        <v>293</v>
      </c>
      <c r="C175" s="91">
        <v>44260</v>
      </c>
      <c r="D175" s="129">
        <v>655</v>
      </c>
      <c r="E175" s="129" t="s">
        <v>294</v>
      </c>
      <c r="F175" s="129" t="s">
        <v>297</v>
      </c>
      <c r="G175" s="129" t="s">
        <v>388</v>
      </c>
      <c r="H175" s="129">
        <v>962641</v>
      </c>
      <c r="I175" s="109">
        <v>11</v>
      </c>
      <c r="J175" s="129" t="s">
        <v>193</v>
      </c>
      <c r="K175" s="127">
        <v>104</v>
      </c>
      <c r="L175" s="103">
        <v>232.68899999999999</v>
      </c>
      <c r="M175" s="128">
        <f t="shared" si="23"/>
        <v>-128.68899999999999</v>
      </c>
      <c r="N175" s="94">
        <f t="shared" si="24"/>
        <v>2.2373942307692305</v>
      </c>
    </row>
    <row r="176" spans="1:16" ht="15" customHeight="1">
      <c r="A176" s="99" t="s">
        <v>391</v>
      </c>
      <c r="B176" s="99" t="s">
        <v>288</v>
      </c>
      <c r="C176" s="91">
        <v>44259</v>
      </c>
      <c r="D176" s="99">
        <v>24</v>
      </c>
      <c r="E176" s="99" t="s">
        <v>289</v>
      </c>
      <c r="F176" s="99" t="s">
        <v>287</v>
      </c>
      <c r="G176" s="129" t="s">
        <v>302</v>
      </c>
      <c r="H176" s="129">
        <v>966875</v>
      </c>
      <c r="I176" s="109">
        <v>44</v>
      </c>
      <c r="J176" s="129" t="s">
        <v>192</v>
      </c>
      <c r="K176" s="282">
        <v>350</v>
      </c>
      <c r="L176" s="103"/>
      <c r="M176" s="285">
        <f>K176-(L176+L177)</f>
        <v>90.552000000000021</v>
      </c>
      <c r="N176" s="288">
        <f>(L176+L177)/K176</f>
        <v>0.74127999999999994</v>
      </c>
      <c r="O176" s="116">
        <f>M176+M178</f>
        <v>0</v>
      </c>
    </row>
    <row r="177" spans="1:16" ht="15" customHeight="1">
      <c r="A177" s="129" t="s">
        <v>391</v>
      </c>
      <c r="B177" s="129" t="s">
        <v>288</v>
      </c>
      <c r="C177" s="91">
        <v>44259</v>
      </c>
      <c r="D177" s="129">
        <v>24</v>
      </c>
      <c r="E177" s="129" t="s">
        <v>289</v>
      </c>
      <c r="F177" s="129" t="s">
        <v>287</v>
      </c>
      <c r="G177" s="129" t="s">
        <v>304</v>
      </c>
      <c r="H177" s="129">
        <v>958905</v>
      </c>
      <c r="I177" s="109">
        <v>44</v>
      </c>
      <c r="J177" s="129" t="s">
        <v>192</v>
      </c>
      <c r="K177" s="284"/>
      <c r="L177" s="103">
        <v>259.44799999999998</v>
      </c>
      <c r="M177" s="287"/>
      <c r="N177" s="290"/>
    </row>
    <row r="178" spans="1:16" ht="15" customHeight="1">
      <c r="A178" s="129" t="s">
        <v>391</v>
      </c>
      <c r="B178" s="129" t="s">
        <v>288</v>
      </c>
      <c r="C178" s="91">
        <v>44259</v>
      </c>
      <c r="D178" s="129">
        <v>24</v>
      </c>
      <c r="E178" s="129" t="s">
        <v>289</v>
      </c>
      <c r="F178" s="129" t="s">
        <v>287</v>
      </c>
      <c r="G178" s="129" t="s">
        <v>302</v>
      </c>
      <c r="H178" s="129">
        <v>966875</v>
      </c>
      <c r="I178" s="109">
        <v>44</v>
      </c>
      <c r="J178" s="129" t="s">
        <v>193</v>
      </c>
      <c r="K178" s="282">
        <v>450</v>
      </c>
      <c r="L178" s="103"/>
      <c r="M178" s="285">
        <f>K178-(L178+L179)</f>
        <v>-90.552000000000021</v>
      </c>
      <c r="N178" s="288">
        <f>(L178+L179)/K178</f>
        <v>1.2012266666666667</v>
      </c>
    </row>
    <row r="179" spans="1:16" ht="15" customHeight="1">
      <c r="A179" s="129" t="s">
        <v>391</v>
      </c>
      <c r="B179" s="129" t="s">
        <v>288</v>
      </c>
      <c r="C179" s="91">
        <v>44259</v>
      </c>
      <c r="D179" s="129">
        <v>24</v>
      </c>
      <c r="E179" s="129" t="s">
        <v>289</v>
      </c>
      <c r="F179" s="129" t="s">
        <v>287</v>
      </c>
      <c r="G179" s="129" t="s">
        <v>304</v>
      </c>
      <c r="H179" s="129">
        <v>958905</v>
      </c>
      <c r="I179" s="109">
        <v>44</v>
      </c>
      <c r="J179" s="129" t="s">
        <v>193</v>
      </c>
      <c r="K179" s="284"/>
      <c r="L179" s="103">
        <v>540.55200000000002</v>
      </c>
      <c r="M179" s="287"/>
      <c r="N179" s="290"/>
    </row>
    <row r="180" spans="1:16" ht="15" customHeight="1">
      <c r="A180" s="99" t="s">
        <v>392</v>
      </c>
      <c r="B180" s="99" t="s">
        <v>293</v>
      </c>
      <c r="C180" s="91">
        <v>44264</v>
      </c>
      <c r="D180" s="99">
        <v>673</v>
      </c>
      <c r="E180" s="99" t="s">
        <v>294</v>
      </c>
      <c r="F180" s="99" t="s">
        <v>297</v>
      </c>
      <c r="G180" s="99" t="s">
        <v>393</v>
      </c>
      <c r="H180" s="99">
        <v>950991</v>
      </c>
      <c r="I180" s="109">
        <v>19</v>
      </c>
      <c r="J180" s="129" t="s">
        <v>192</v>
      </c>
      <c r="K180" s="127">
        <v>30.337</v>
      </c>
      <c r="L180" s="103"/>
      <c r="M180" s="128">
        <f>K180-L180</f>
        <v>30.337</v>
      </c>
      <c r="N180" s="94">
        <f>L180/K180</f>
        <v>0</v>
      </c>
      <c r="O180" s="116"/>
    </row>
    <row r="181" spans="1:16" ht="15" customHeight="1">
      <c r="A181" s="129" t="s">
        <v>392</v>
      </c>
      <c r="B181" s="129" t="s">
        <v>293</v>
      </c>
      <c r="C181" s="91">
        <v>44264</v>
      </c>
      <c r="D181" s="99">
        <v>674</v>
      </c>
      <c r="E181" s="129" t="s">
        <v>294</v>
      </c>
      <c r="F181" s="129" t="s">
        <v>297</v>
      </c>
      <c r="G181" s="99" t="s">
        <v>394</v>
      </c>
      <c r="H181" s="99">
        <v>953964</v>
      </c>
      <c r="I181" s="109">
        <v>19</v>
      </c>
      <c r="J181" s="129" t="s">
        <v>192</v>
      </c>
      <c r="K181" s="127">
        <v>30.337</v>
      </c>
      <c r="L181" s="103">
        <v>22.283999999999999</v>
      </c>
      <c r="M181" s="128">
        <f>K181-L181</f>
        <v>8.0530000000000008</v>
      </c>
      <c r="N181" s="94">
        <f>L181/K181</f>
        <v>0.7345485710518509</v>
      </c>
    </row>
    <row r="182" spans="1:16" ht="15" customHeight="1">
      <c r="A182" s="129" t="s">
        <v>392</v>
      </c>
      <c r="B182" s="129" t="s">
        <v>293</v>
      </c>
      <c r="C182" s="91">
        <v>44264</v>
      </c>
      <c r="D182" s="99">
        <v>675</v>
      </c>
      <c r="E182" s="129" t="s">
        <v>294</v>
      </c>
      <c r="F182" s="129" t="s">
        <v>297</v>
      </c>
      <c r="G182" s="129" t="s">
        <v>394</v>
      </c>
      <c r="H182" s="129">
        <v>953964</v>
      </c>
      <c r="I182" s="109">
        <v>19</v>
      </c>
      <c r="J182" s="129" t="s">
        <v>193</v>
      </c>
      <c r="K182" s="127">
        <v>70.281999999999996</v>
      </c>
      <c r="L182" s="103">
        <v>70.281999999999996</v>
      </c>
      <c r="M182" s="128">
        <f>K182-L182</f>
        <v>0</v>
      </c>
      <c r="N182" s="94">
        <f>L182/K182</f>
        <v>1</v>
      </c>
    </row>
    <row r="183" spans="1:16" ht="15" customHeight="1">
      <c r="A183" s="129" t="s">
        <v>392</v>
      </c>
      <c r="B183" s="129" t="s">
        <v>293</v>
      </c>
      <c r="C183" s="91">
        <v>44264</v>
      </c>
      <c r="D183" s="129">
        <v>676</v>
      </c>
      <c r="E183" s="129" t="s">
        <v>294</v>
      </c>
      <c r="F183" s="129" t="s">
        <v>297</v>
      </c>
      <c r="G183" s="129" t="s">
        <v>413</v>
      </c>
      <c r="H183" s="129">
        <v>964409</v>
      </c>
      <c r="I183" s="109">
        <v>19</v>
      </c>
      <c r="J183" s="129" t="s">
        <v>193</v>
      </c>
      <c r="K183" s="127">
        <v>82.43</v>
      </c>
      <c r="L183" s="103">
        <v>82.433999999999997</v>
      </c>
      <c r="M183" s="128">
        <f>K183-L183</f>
        <v>-3.9999999999906777E-3</v>
      </c>
      <c r="N183" s="94">
        <f>L183/K183</f>
        <v>1.0000485260220793</v>
      </c>
      <c r="O183" s="209">
        <f>M183</f>
        <v>-3.9999999999906777E-3</v>
      </c>
      <c r="P183" s="90" t="s">
        <v>750</v>
      </c>
    </row>
    <row r="184" spans="1:16" ht="15" customHeight="1">
      <c r="A184" s="129" t="s">
        <v>392</v>
      </c>
      <c r="B184" s="129" t="s">
        <v>293</v>
      </c>
      <c r="C184" s="91">
        <v>44264</v>
      </c>
      <c r="D184" s="129">
        <v>677</v>
      </c>
      <c r="E184" s="129" t="s">
        <v>294</v>
      </c>
      <c r="F184" s="129" t="s">
        <v>297</v>
      </c>
      <c r="G184" s="129" t="s">
        <v>393</v>
      </c>
      <c r="H184" s="129">
        <v>950991</v>
      </c>
      <c r="I184" s="109">
        <v>19</v>
      </c>
      <c r="J184" s="129" t="s">
        <v>193</v>
      </c>
      <c r="K184" s="127">
        <v>70.281999999999996</v>
      </c>
      <c r="L184" s="103">
        <v>46.393000000000001</v>
      </c>
      <c r="M184" s="128">
        <f>K184-L184</f>
        <v>23.888999999999996</v>
      </c>
      <c r="N184" s="94">
        <f>L184/K184</f>
        <v>0.66009789135198205</v>
      </c>
    </row>
    <row r="185" spans="1:16" ht="15" customHeight="1">
      <c r="A185" s="129" t="s">
        <v>392</v>
      </c>
      <c r="B185" s="129" t="s">
        <v>288</v>
      </c>
      <c r="C185" s="91">
        <v>44264</v>
      </c>
      <c r="D185" s="99">
        <v>678</v>
      </c>
      <c r="E185" s="129" t="s">
        <v>294</v>
      </c>
      <c r="F185" s="129" t="s">
        <v>297</v>
      </c>
      <c r="G185" s="99" t="s">
        <v>395</v>
      </c>
      <c r="H185" s="99">
        <v>966146</v>
      </c>
      <c r="I185" s="109">
        <v>19</v>
      </c>
      <c r="J185" s="129" t="s">
        <v>192</v>
      </c>
      <c r="K185" s="282">
        <v>43.920999999999999</v>
      </c>
      <c r="L185" s="103">
        <v>17.8</v>
      </c>
      <c r="M185" s="285">
        <f>K185-(L185+L186)</f>
        <v>9.9999999999766942E-4</v>
      </c>
      <c r="N185" s="288">
        <f>(L185+L186)/K185</f>
        <v>0.99997723184809095</v>
      </c>
    </row>
    <row r="186" spans="1:16" ht="15" customHeight="1">
      <c r="A186" s="129" t="s">
        <v>392</v>
      </c>
      <c r="B186" s="129" t="s">
        <v>288</v>
      </c>
      <c r="C186" s="91">
        <v>44264</v>
      </c>
      <c r="D186" s="129">
        <v>678</v>
      </c>
      <c r="E186" s="129" t="s">
        <v>294</v>
      </c>
      <c r="F186" s="129" t="s">
        <v>297</v>
      </c>
      <c r="G186" s="99" t="s">
        <v>396</v>
      </c>
      <c r="H186" s="96">
        <v>959370</v>
      </c>
      <c r="I186" s="109">
        <v>19</v>
      </c>
      <c r="J186" s="129" t="s">
        <v>192</v>
      </c>
      <c r="K186" s="284"/>
      <c r="L186" s="103">
        <v>26.12</v>
      </c>
      <c r="M186" s="287"/>
      <c r="N186" s="290"/>
    </row>
    <row r="187" spans="1:16" ht="15" customHeight="1">
      <c r="A187" s="129" t="s">
        <v>392</v>
      </c>
      <c r="B187" s="129" t="s">
        <v>288</v>
      </c>
      <c r="C187" s="91">
        <v>44264</v>
      </c>
      <c r="D187" s="99">
        <v>679</v>
      </c>
      <c r="E187" s="129" t="s">
        <v>294</v>
      </c>
      <c r="F187" s="129" t="s">
        <v>297</v>
      </c>
      <c r="G187" s="129" t="s">
        <v>291</v>
      </c>
      <c r="H187" s="129">
        <v>968160</v>
      </c>
      <c r="I187" s="109">
        <v>14</v>
      </c>
      <c r="J187" s="129" t="s">
        <v>192</v>
      </c>
      <c r="K187" s="282">
        <v>99.161000000000001</v>
      </c>
      <c r="L187" s="103">
        <v>47.524999999999999</v>
      </c>
      <c r="M187" s="285">
        <f>K187-(L187+L188)</f>
        <v>-7.414999999999992</v>
      </c>
      <c r="N187" s="288">
        <f>(L187+L188)/K187</f>
        <v>1.0747773822369682</v>
      </c>
      <c r="O187" s="209">
        <f>M187</f>
        <v>-7.414999999999992</v>
      </c>
      <c r="P187" s="90" t="s">
        <v>751</v>
      </c>
    </row>
    <row r="188" spans="1:16" ht="15" customHeight="1">
      <c r="A188" s="129" t="s">
        <v>392</v>
      </c>
      <c r="B188" s="129" t="s">
        <v>288</v>
      </c>
      <c r="C188" s="91">
        <v>44264</v>
      </c>
      <c r="D188" s="129">
        <v>679</v>
      </c>
      <c r="E188" s="129" t="s">
        <v>294</v>
      </c>
      <c r="F188" s="129" t="s">
        <v>297</v>
      </c>
      <c r="G188" s="129" t="s">
        <v>290</v>
      </c>
      <c r="H188" s="109">
        <v>969106</v>
      </c>
      <c r="I188" s="109">
        <v>14</v>
      </c>
      <c r="J188" s="129" t="s">
        <v>192</v>
      </c>
      <c r="K188" s="284"/>
      <c r="L188" s="103">
        <v>59.051000000000002</v>
      </c>
      <c r="M188" s="287"/>
      <c r="N188" s="290"/>
    </row>
    <row r="189" spans="1:16" ht="15" customHeight="1">
      <c r="A189" s="129" t="s">
        <v>372</v>
      </c>
      <c r="B189" s="129" t="s">
        <v>293</v>
      </c>
      <c r="C189" s="91">
        <v>44264</v>
      </c>
      <c r="D189" s="99">
        <v>680</v>
      </c>
      <c r="E189" s="129" t="s">
        <v>294</v>
      </c>
      <c r="F189" s="129" t="s">
        <v>297</v>
      </c>
      <c r="G189" s="99" t="s">
        <v>397</v>
      </c>
      <c r="H189" s="96">
        <v>962899</v>
      </c>
      <c r="I189" s="109">
        <v>27</v>
      </c>
      <c r="J189" s="129" t="s">
        <v>192</v>
      </c>
      <c r="K189" s="127">
        <v>314</v>
      </c>
      <c r="L189" s="103">
        <v>133.14599999999999</v>
      </c>
      <c r="M189" s="128">
        <f t="shared" ref="M189:M198" si="26">K189-L189</f>
        <v>180.85400000000001</v>
      </c>
      <c r="N189" s="94">
        <f t="shared" ref="N189:N198" si="27">L189/K189</f>
        <v>0.42403184713375791</v>
      </c>
      <c r="O189" s="116">
        <f>M189+M190</f>
        <v>1.0000000000000284</v>
      </c>
    </row>
    <row r="190" spans="1:16" ht="15" customHeight="1">
      <c r="A190" s="129" t="s">
        <v>372</v>
      </c>
      <c r="B190" s="129" t="s">
        <v>293</v>
      </c>
      <c r="C190" s="91">
        <v>44264</v>
      </c>
      <c r="D190" s="129">
        <v>680</v>
      </c>
      <c r="E190" s="129" t="s">
        <v>294</v>
      </c>
      <c r="F190" s="129" t="s">
        <v>297</v>
      </c>
      <c r="G190" s="129" t="s">
        <v>397</v>
      </c>
      <c r="H190" s="109">
        <v>962899</v>
      </c>
      <c r="I190" s="109">
        <v>27</v>
      </c>
      <c r="J190" s="129" t="s">
        <v>193</v>
      </c>
      <c r="K190" s="127">
        <v>133</v>
      </c>
      <c r="L190" s="103">
        <v>312.85399999999998</v>
      </c>
      <c r="M190" s="128">
        <f t="shared" si="26"/>
        <v>-179.85399999999998</v>
      </c>
      <c r="N190" s="94">
        <f t="shared" si="27"/>
        <v>2.3522857142857143</v>
      </c>
    </row>
    <row r="191" spans="1:16" ht="15" customHeight="1">
      <c r="A191" s="129" t="s">
        <v>372</v>
      </c>
      <c r="B191" s="129" t="s">
        <v>293</v>
      </c>
      <c r="C191" s="91">
        <v>44264</v>
      </c>
      <c r="D191" s="129">
        <v>680</v>
      </c>
      <c r="E191" s="129" t="s">
        <v>294</v>
      </c>
      <c r="F191" s="129" t="s">
        <v>297</v>
      </c>
      <c r="G191" s="99" t="s">
        <v>398</v>
      </c>
      <c r="H191" s="96">
        <v>950995</v>
      </c>
      <c r="I191" s="109">
        <v>27</v>
      </c>
      <c r="J191" s="129" t="s">
        <v>192</v>
      </c>
      <c r="K191" s="127">
        <v>313</v>
      </c>
      <c r="L191" s="103">
        <v>169.62899999999999</v>
      </c>
      <c r="M191" s="128">
        <f t="shared" si="26"/>
        <v>143.37100000000001</v>
      </c>
      <c r="N191" s="94">
        <f t="shared" si="27"/>
        <v>0.54194568690095846</v>
      </c>
      <c r="O191" s="116">
        <f>M191+M192</f>
        <v>15.102000000000004</v>
      </c>
    </row>
    <row r="192" spans="1:16" ht="15" customHeight="1">
      <c r="A192" s="129" t="s">
        <v>372</v>
      </c>
      <c r="B192" s="129" t="s">
        <v>293</v>
      </c>
      <c r="C192" s="91">
        <v>44264</v>
      </c>
      <c r="D192" s="129">
        <v>680</v>
      </c>
      <c r="E192" s="129" t="s">
        <v>294</v>
      </c>
      <c r="F192" s="129" t="s">
        <v>297</v>
      </c>
      <c r="G192" s="129" t="s">
        <v>398</v>
      </c>
      <c r="H192" s="109">
        <v>950995</v>
      </c>
      <c r="I192" s="109">
        <v>27</v>
      </c>
      <c r="J192" s="129" t="s">
        <v>193</v>
      </c>
      <c r="K192" s="127">
        <v>133</v>
      </c>
      <c r="L192" s="103">
        <v>261.26900000000001</v>
      </c>
      <c r="M192" s="128">
        <f t="shared" si="26"/>
        <v>-128.26900000000001</v>
      </c>
      <c r="N192" s="94">
        <f t="shared" si="27"/>
        <v>1.9644285714285714</v>
      </c>
    </row>
    <row r="193" spans="1:15" ht="15" customHeight="1">
      <c r="A193" s="129" t="s">
        <v>372</v>
      </c>
      <c r="B193" s="129" t="s">
        <v>293</v>
      </c>
      <c r="C193" s="91">
        <v>44264</v>
      </c>
      <c r="D193" s="129">
        <v>680</v>
      </c>
      <c r="E193" s="129" t="s">
        <v>294</v>
      </c>
      <c r="F193" s="129" t="s">
        <v>297</v>
      </c>
      <c r="G193" s="99" t="s">
        <v>399</v>
      </c>
      <c r="H193" s="96">
        <v>959982</v>
      </c>
      <c r="I193" s="109">
        <v>27</v>
      </c>
      <c r="J193" s="129" t="s">
        <v>192</v>
      </c>
      <c r="K193" s="127">
        <v>313</v>
      </c>
      <c r="L193" s="103">
        <v>188.739</v>
      </c>
      <c r="M193" s="128">
        <f t="shared" si="26"/>
        <v>124.261</v>
      </c>
      <c r="N193" s="94">
        <f t="shared" si="27"/>
        <v>0.60299999999999998</v>
      </c>
      <c r="O193" s="116">
        <f t="shared" ref="O193" si="28">M193+M194</f>
        <v>0</v>
      </c>
    </row>
    <row r="194" spans="1:15" ht="15" customHeight="1">
      <c r="A194" s="129" t="s">
        <v>372</v>
      </c>
      <c r="B194" s="129" t="s">
        <v>293</v>
      </c>
      <c r="C194" s="91">
        <v>44264</v>
      </c>
      <c r="D194" s="129">
        <v>680</v>
      </c>
      <c r="E194" s="129" t="s">
        <v>294</v>
      </c>
      <c r="F194" s="129" t="s">
        <v>297</v>
      </c>
      <c r="G194" s="129" t="s">
        <v>399</v>
      </c>
      <c r="H194" s="109">
        <v>959982</v>
      </c>
      <c r="I194" s="109">
        <v>27</v>
      </c>
      <c r="J194" s="129" t="s">
        <v>193</v>
      </c>
      <c r="K194" s="127">
        <v>133</v>
      </c>
      <c r="L194" s="103">
        <v>257.26100000000002</v>
      </c>
      <c r="M194" s="128">
        <f t="shared" si="26"/>
        <v>-124.26100000000002</v>
      </c>
      <c r="N194" s="94">
        <f t="shared" si="27"/>
        <v>1.934293233082707</v>
      </c>
    </row>
    <row r="195" spans="1:15" ht="15" customHeight="1">
      <c r="A195" s="129" t="s">
        <v>372</v>
      </c>
      <c r="B195" s="129" t="s">
        <v>293</v>
      </c>
      <c r="C195" s="91">
        <v>44264</v>
      </c>
      <c r="D195" s="99">
        <v>681</v>
      </c>
      <c r="E195" s="129" t="s">
        <v>294</v>
      </c>
      <c r="F195" s="129" t="s">
        <v>297</v>
      </c>
      <c r="G195" s="129" t="s">
        <v>313</v>
      </c>
      <c r="H195" s="129">
        <v>697391</v>
      </c>
      <c r="I195" s="109">
        <v>53</v>
      </c>
      <c r="J195" s="129" t="s">
        <v>192</v>
      </c>
      <c r="K195" s="127">
        <v>141</v>
      </c>
      <c r="L195" s="103">
        <v>40.643000000000001</v>
      </c>
      <c r="M195" s="128">
        <f t="shared" si="26"/>
        <v>100.357</v>
      </c>
      <c r="N195" s="94">
        <f t="shared" si="27"/>
        <v>0.28824822695035462</v>
      </c>
      <c r="O195" s="116">
        <f t="shared" ref="O195" si="29">M195+M196</f>
        <v>0</v>
      </c>
    </row>
    <row r="196" spans="1:15" ht="15" customHeight="1">
      <c r="A196" s="129" t="s">
        <v>372</v>
      </c>
      <c r="B196" s="129" t="s">
        <v>293</v>
      </c>
      <c r="C196" s="91">
        <v>44264</v>
      </c>
      <c r="D196" s="129">
        <v>681</v>
      </c>
      <c r="E196" s="129" t="s">
        <v>294</v>
      </c>
      <c r="F196" s="129" t="s">
        <v>297</v>
      </c>
      <c r="G196" s="129" t="s">
        <v>313</v>
      </c>
      <c r="H196" s="129">
        <v>697391</v>
      </c>
      <c r="I196" s="109">
        <v>53</v>
      </c>
      <c r="J196" s="129" t="s">
        <v>193</v>
      </c>
      <c r="K196" s="127">
        <v>59</v>
      </c>
      <c r="L196" s="103">
        <v>159.357</v>
      </c>
      <c r="M196" s="128">
        <f t="shared" si="26"/>
        <v>-100.357</v>
      </c>
      <c r="N196" s="94">
        <f t="shared" si="27"/>
        <v>2.7009661016949154</v>
      </c>
    </row>
    <row r="197" spans="1:15" ht="15" customHeight="1">
      <c r="A197" s="129" t="s">
        <v>372</v>
      </c>
      <c r="B197" s="129" t="s">
        <v>293</v>
      </c>
      <c r="C197" s="91">
        <v>44264</v>
      </c>
      <c r="D197" s="129">
        <v>681</v>
      </c>
      <c r="E197" s="129" t="s">
        <v>294</v>
      </c>
      <c r="F197" s="129" t="s">
        <v>297</v>
      </c>
      <c r="G197" s="99" t="s">
        <v>400</v>
      </c>
      <c r="H197" s="99">
        <v>967746</v>
      </c>
      <c r="I197" s="109">
        <v>69</v>
      </c>
      <c r="J197" s="129" t="s">
        <v>192</v>
      </c>
      <c r="K197" s="127">
        <v>211</v>
      </c>
      <c r="L197" s="103">
        <v>174.69</v>
      </c>
      <c r="M197" s="128">
        <f t="shared" si="26"/>
        <v>36.31</v>
      </c>
      <c r="N197" s="94">
        <f t="shared" si="27"/>
        <v>0.82791469194312794</v>
      </c>
      <c r="O197" s="116">
        <f t="shared" ref="O197" si="30">M197+M198</f>
        <v>0</v>
      </c>
    </row>
    <row r="198" spans="1:15" ht="15" customHeight="1">
      <c r="A198" s="129" t="s">
        <v>372</v>
      </c>
      <c r="B198" s="129" t="s">
        <v>293</v>
      </c>
      <c r="C198" s="91">
        <v>44264</v>
      </c>
      <c r="D198" s="129">
        <v>681</v>
      </c>
      <c r="E198" s="129" t="s">
        <v>294</v>
      </c>
      <c r="F198" s="129" t="s">
        <v>297</v>
      </c>
      <c r="G198" s="129" t="s">
        <v>400</v>
      </c>
      <c r="H198" s="129">
        <v>967746</v>
      </c>
      <c r="I198" s="109">
        <v>69</v>
      </c>
      <c r="J198" s="129" t="s">
        <v>193</v>
      </c>
      <c r="K198" s="127">
        <v>89</v>
      </c>
      <c r="L198" s="103">
        <v>125.31</v>
      </c>
      <c r="M198" s="128">
        <f t="shared" si="26"/>
        <v>-36.31</v>
      </c>
      <c r="N198" s="94">
        <f t="shared" si="27"/>
        <v>1.4079775280898876</v>
      </c>
    </row>
    <row r="199" spans="1:15" ht="15" customHeight="1">
      <c r="A199" s="129" t="s">
        <v>392</v>
      </c>
      <c r="B199" s="129" t="s">
        <v>288</v>
      </c>
      <c r="C199" s="91">
        <v>44264</v>
      </c>
      <c r="D199" s="99">
        <v>682</v>
      </c>
      <c r="E199" s="129" t="s">
        <v>294</v>
      </c>
      <c r="F199" s="129" t="s">
        <v>297</v>
      </c>
      <c r="G199" s="99" t="s">
        <v>401</v>
      </c>
      <c r="H199" s="99">
        <v>968817</v>
      </c>
      <c r="I199" s="109">
        <v>55</v>
      </c>
      <c r="J199" s="129" t="s">
        <v>192</v>
      </c>
      <c r="K199" s="282">
        <v>244.87700000000001</v>
      </c>
      <c r="L199" s="103">
        <v>91.04</v>
      </c>
      <c r="M199" s="285">
        <f>K199-(L199+L200+L201+L202)</f>
        <v>0</v>
      </c>
      <c r="N199" s="288">
        <f>(L199+L200+L201+L202)/K199</f>
        <v>1</v>
      </c>
    </row>
    <row r="200" spans="1:15" ht="15" customHeight="1">
      <c r="A200" s="129" t="s">
        <v>392</v>
      </c>
      <c r="B200" s="129" t="s">
        <v>288</v>
      </c>
      <c r="C200" s="91">
        <v>44264</v>
      </c>
      <c r="D200" s="129">
        <v>682</v>
      </c>
      <c r="E200" s="129" t="s">
        <v>294</v>
      </c>
      <c r="F200" s="129" t="s">
        <v>297</v>
      </c>
      <c r="G200" s="99" t="s">
        <v>402</v>
      </c>
      <c r="H200" s="99">
        <v>963960</v>
      </c>
      <c r="I200" s="109">
        <v>55</v>
      </c>
      <c r="J200" s="129" t="s">
        <v>192</v>
      </c>
      <c r="K200" s="283"/>
      <c r="L200" s="103">
        <v>109.58199999999999</v>
      </c>
      <c r="M200" s="286"/>
      <c r="N200" s="289"/>
    </row>
    <row r="201" spans="1:15" ht="15" customHeight="1">
      <c r="A201" s="129" t="s">
        <v>392</v>
      </c>
      <c r="B201" s="129" t="s">
        <v>288</v>
      </c>
      <c r="C201" s="91">
        <v>44264</v>
      </c>
      <c r="D201" s="129">
        <v>682</v>
      </c>
      <c r="E201" s="129" t="s">
        <v>294</v>
      </c>
      <c r="F201" s="129" t="s">
        <v>297</v>
      </c>
      <c r="G201" s="129" t="s">
        <v>403</v>
      </c>
      <c r="H201" s="129">
        <v>697475</v>
      </c>
      <c r="I201" s="109">
        <v>55</v>
      </c>
      <c r="J201" s="129" t="s">
        <v>192</v>
      </c>
      <c r="K201" s="283"/>
      <c r="L201" s="103">
        <v>14.327</v>
      </c>
      <c r="M201" s="286"/>
      <c r="N201" s="289"/>
    </row>
    <row r="202" spans="1:15" ht="15" customHeight="1">
      <c r="A202" s="129" t="s">
        <v>392</v>
      </c>
      <c r="B202" s="129" t="s">
        <v>288</v>
      </c>
      <c r="C202" s="91">
        <v>44264</v>
      </c>
      <c r="D202" s="129">
        <v>682</v>
      </c>
      <c r="E202" s="129" t="s">
        <v>294</v>
      </c>
      <c r="F202" s="129" t="s">
        <v>297</v>
      </c>
      <c r="G202" s="99" t="s">
        <v>472</v>
      </c>
      <c r="H202" s="99">
        <v>697489</v>
      </c>
      <c r="I202" s="109">
        <v>55</v>
      </c>
      <c r="J202" s="129" t="s">
        <v>192</v>
      </c>
      <c r="K202" s="284"/>
      <c r="L202" s="103">
        <v>29.928000000000001</v>
      </c>
      <c r="M202" s="287"/>
      <c r="N202" s="290"/>
    </row>
    <row r="203" spans="1:15" ht="15" customHeight="1">
      <c r="A203" s="99" t="s">
        <v>405</v>
      </c>
      <c r="B203" s="129" t="s">
        <v>288</v>
      </c>
      <c r="C203" s="91">
        <v>44264</v>
      </c>
      <c r="D203" s="99">
        <v>684</v>
      </c>
      <c r="E203" s="129" t="s">
        <v>294</v>
      </c>
      <c r="F203" s="99" t="s">
        <v>287</v>
      </c>
      <c r="G203" s="99" t="s">
        <v>406</v>
      </c>
      <c r="H203" s="99">
        <v>923199</v>
      </c>
      <c r="I203" s="109">
        <v>44</v>
      </c>
      <c r="J203" s="129" t="s">
        <v>192</v>
      </c>
      <c r="K203" s="282">
        <v>7</v>
      </c>
      <c r="L203" s="103">
        <v>6.8940000000000001</v>
      </c>
      <c r="M203" s="285">
        <f>K203-(L203+L204)</f>
        <v>0.10599999999999987</v>
      </c>
      <c r="N203" s="288">
        <f>(L203+L204)/K203</f>
        <v>0.98485714285714288</v>
      </c>
      <c r="O203" s="116">
        <f>M203+M205</f>
        <v>5.3290705182007514E-15</v>
      </c>
    </row>
    <row r="204" spans="1:15" ht="15" customHeight="1">
      <c r="A204" s="129" t="s">
        <v>405</v>
      </c>
      <c r="B204" s="129" t="s">
        <v>288</v>
      </c>
      <c r="C204" s="91">
        <v>44264</v>
      </c>
      <c r="D204" s="129">
        <v>684</v>
      </c>
      <c r="E204" s="129" t="s">
        <v>294</v>
      </c>
      <c r="F204" s="129" t="s">
        <v>287</v>
      </c>
      <c r="G204" s="99" t="s">
        <v>407</v>
      </c>
      <c r="H204" s="99">
        <v>964068</v>
      </c>
      <c r="I204" s="109">
        <v>44</v>
      </c>
      <c r="J204" s="129" t="s">
        <v>192</v>
      </c>
      <c r="K204" s="284"/>
      <c r="L204" s="103"/>
      <c r="M204" s="287"/>
      <c r="N204" s="290"/>
    </row>
    <row r="205" spans="1:15" ht="15" customHeight="1">
      <c r="A205" s="129" t="s">
        <v>405</v>
      </c>
      <c r="B205" s="129" t="s">
        <v>288</v>
      </c>
      <c r="C205" s="91">
        <v>44264</v>
      </c>
      <c r="D205" s="129">
        <v>684</v>
      </c>
      <c r="E205" s="129" t="s">
        <v>294</v>
      </c>
      <c r="F205" s="129" t="s">
        <v>287</v>
      </c>
      <c r="G205" s="129" t="s">
        <v>406</v>
      </c>
      <c r="H205" s="129">
        <v>923199</v>
      </c>
      <c r="I205" s="109">
        <v>44</v>
      </c>
      <c r="J205" s="129" t="s">
        <v>193</v>
      </c>
      <c r="K205" s="282">
        <v>250</v>
      </c>
      <c r="L205" s="103">
        <v>250.10599999999999</v>
      </c>
      <c r="M205" s="285">
        <f>K205-(L205+L206)</f>
        <v>-0.10599999999999454</v>
      </c>
      <c r="N205" s="288">
        <f>(L205+L206)/K205</f>
        <v>1.000424</v>
      </c>
    </row>
    <row r="206" spans="1:15" ht="15" customHeight="1">
      <c r="A206" s="129" t="s">
        <v>405</v>
      </c>
      <c r="B206" s="129" t="s">
        <v>288</v>
      </c>
      <c r="C206" s="91">
        <v>44264</v>
      </c>
      <c r="D206" s="129">
        <v>684</v>
      </c>
      <c r="E206" s="129" t="s">
        <v>294</v>
      </c>
      <c r="F206" s="129" t="s">
        <v>287</v>
      </c>
      <c r="G206" s="129" t="s">
        <v>407</v>
      </c>
      <c r="H206" s="129">
        <v>964068</v>
      </c>
      <c r="I206" s="109">
        <v>44</v>
      </c>
      <c r="J206" s="129" t="s">
        <v>193</v>
      </c>
      <c r="K206" s="284"/>
      <c r="L206" s="103"/>
      <c r="M206" s="287"/>
      <c r="N206" s="290"/>
    </row>
    <row r="207" spans="1:15" ht="15" customHeight="1">
      <c r="A207" s="99" t="s">
        <v>408</v>
      </c>
      <c r="B207" s="129" t="s">
        <v>288</v>
      </c>
      <c r="C207" s="91">
        <v>44264</v>
      </c>
      <c r="D207" s="99">
        <v>696</v>
      </c>
      <c r="E207" s="129" t="s">
        <v>294</v>
      </c>
      <c r="F207" s="99" t="s">
        <v>297</v>
      </c>
      <c r="G207" s="99" t="s">
        <v>409</v>
      </c>
      <c r="H207" s="99">
        <v>968797</v>
      </c>
      <c r="I207" s="109">
        <v>12</v>
      </c>
      <c r="J207" s="129" t="s">
        <v>193</v>
      </c>
      <c r="K207" s="282">
        <v>195.22800000000001</v>
      </c>
      <c r="L207" s="103">
        <v>56.716000000000001</v>
      </c>
      <c r="M207" s="285">
        <f>K207-(L207+L208+L209+L210)</f>
        <v>6.9480000000000075</v>
      </c>
      <c r="N207" s="288">
        <f>(L207+L208+L209+L210)/K207</f>
        <v>0.96441084270698874</v>
      </c>
    </row>
    <row r="208" spans="1:15" ht="15" customHeight="1">
      <c r="A208" s="129" t="s">
        <v>408</v>
      </c>
      <c r="B208" s="129" t="s">
        <v>288</v>
      </c>
      <c r="C208" s="91">
        <v>44264</v>
      </c>
      <c r="D208" s="129">
        <v>696</v>
      </c>
      <c r="E208" s="129" t="s">
        <v>294</v>
      </c>
      <c r="F208" s="129" t="s">
        <v>297</v>
      </c>
      <c r="G208" s="99" t="s">
        <v>410</v>
      </c>
      <c r="H208" s="99">
        <v>962289</v>
      </c>
      <c r="I208" s="109">
        <v>12</v>
      </c>
      <c r="J208" s="129" t="s">
        <v>193</v>
      </c>
      <c r="K208" s="283"/>
      <c r="L208" s="103">
        <v>52.276000000000003</v>
      </c>
      <c r="M208" s="286"/>
      <c r="N208" s="289"/>
    </row>
    <row r="209" spans="1:16" ht="15" customHeight="1">
      <c r="A209" s="129" t="s">
        <v>408</v>
      </c>
      <c r="B209" s="129" t="s">
        <v>288</v>
      </c>
      <c r="C209" s="91">
        <v>44264</v>
      </c>
      <c r="D209" s="129">
        <v>696</v>
      </c>
      <c r="E209" s="129" t="s">
        <v>294</v>
      </c>
      <c r="F209" s="129" t="s">
        <v>297</v>
      </c>
      <c r="G209" s="99" t="s">
        <v>411</v>
      </c>
      <c r="H209" s="99">
        <v>957816</v>
      </c>
      <c r="I209" s="109">
        <v>12</v>
      </c>
      <c r="J209" s="129" t="s">
        <v>193</v>
      </c>
      <c r="K209" s="283"/>
      <c r="L209" s="103"/>
      <c r="M209" s="286"/>
      <c r="N209" s="289"/>
    </row>
    <row r="210" spans="1:16" ht="15" customHeight="1">
      <c r="A210" s="129" t="s">
        <v>408</v>
      </c>
      <c r="B210" s="129" t="s">
        <v>288</v>
      </c>
      <c r="C210" s="91">
        <v>44264</v>
      </c>
      <c r="D210" s="129">
        <v>696</v>
      </c>
      <c r="E210" s="129" t="s">
        <v>294</v>
      </c>
      <c r="F210" s="129" t="s">
        <v>297</v>
      </c>
      <c r="G210" s="99" t="s">
        <v>380</v>
      </c>
      <c r="H210" s="99">
        <v>965073</v>
      </c>
      <c r="I210" s="109">
        <v>12</v>
      </c>
      <c r="J210" s="129" t="s">
        <v>193</v>
      </c>
      <c r="K210" s="284"/>
      <c r="L210" s="103">
        <v>79.287999999999997</v>
      </c>
      <c r="M210" s="287"/>
      <c r="N210" s="290"/>
    </row>
    <row r="211" spans="1:16" ht="15" customHeight="1">
      <c r="A211" s="129" t="s">
        <v>408</v>
      </c>
      <c r="B211" s="129" t="s">
        <v>288</v>
      </c>
      <c r="C211" s="91">
        <v>44264</v>
      </c>
      <c r="D211" s="99">
        <v>697</v>
      </c>
      <c r="E211" s="129" t="s">
        <v>294</v>
      </c>
      <c r="F211" s="129" t="s">
        <v>297</v>
      </c>
      <c r="G211" s="129" t="s">
        <v>401</v>
      </c>
      <c r="H211" s="129">
        <v>968817</v>
      </c>
      <c r="I211" s="109">
        <v>55</v>
      </c>
      <c r="J211" s="129" t="s">
        <v>193</v>
      </c>
      <c r="K211" s="282">
        <v>97.614000000000004</v>
      </c>
      <c r="L211" s="103">
        <v>64.884</v>
      </c>
      <c r="M211" s="285">
        <f>K211-(L211+L212+L213+L214)</f>
        <v>0</v>
      </c>
      <c r="N211" s="288">
        <f>(L211+L212+L213+L214)/K211</f>
        <v>1</v>
      </c>
    </row>
    <row r="212" spans="1:16" ht="15" customHeight="1">
      <c r="A212" s="129" t="s">
        <v>408</v>
      </c>
      <c r="B212" s="129" t="s">
        <v>288</v>
      </c>
      <c r="C212" s="91">
        <v>44264</v>
      </c>
      <c r="D212" s="129">
        <v>697</v>
      </c>
      <c r="E212" s="129" t="s">
        <v>294</v>
      </c>
      <c r="F212" s="129" t="s">
        <v>297</v>
      </c>
      <c r="G212" s="129" t="s">
        <v>402</v>
      </c>
      <c r="H212" s="129">
        <v>963960</v>
      </c>
      <c r="I212" s="109">
        <v>55</v>
      </c>
      <c r="J212" s="129" t="s">
        <v>193</v>
      </c>
      <c r="K212" s="283"/>
      <c r="L212" s="103">
        <v>31.69</v>
      </c>
      <c r="M212" s="286"/>
      <c r="N212" s="289"/>
    </row>
    <row r="213" spans="1:16" ht="15" customHeight="1">
      <c r="A213" s="129" t="s">
        <v>408</v>
      </c>
      <c r="B213" s="129" t="s">
        <v>288</v>
      </c>
      <c r="C213" s="91">
        <v>44264</v>
      </c>
      <c r="D213" s="129">
        <v>697</v>
      </c>
      <c r="E213" s="129" t="s">
        <v>294</v>
      </c>
      <c r="F213" s="129" t="s">
        <v>297</v>
      </c>
      <c r="G213" s="129" t="s">
        <v>403</v>
      </c>
      <c r="H213" s="129">
        <v>697475</v>
      </c>
      <c r="I213" s="109">
        <v>55</v>
      </c>
      <c r="J213" s="129" t="s">
        <v>193</v>
      </c>
      <c r="K213" s="283"/>
      <c r="L213" s="103"/>
      <c r="M213" s="286"/>
      <c r="N213" s="289"/>
    </row>
    <row r="214" spans="1:16" ht="15" customHeight="1">
      <c r="A214" s="129" t="s">
        <v>408</v>
      </c>
      <c r="B214" s="129" t="s">
        <v>288</v>
      </c>
      <c r="C214" s="91">
        <v>44264</v>
      </c>
      <c r="D214" s="129">
        <v>697</v>
      </c>
      <c r="E214" s="129" t="s">
        <v>294</v>
      </c>
      <c r="F214" s="129" t="s">
        <v>297</v>
      </c>
      <c r="G214" s="129" t="s">
        <v>472</v>
      </c>
      <c r="H214" s="129">
        <v>697489</v>
      </c>
      <c r="I214" s="109">
        <v>55</v>
      </c>
      <c r="J214" s="129" t="s">
        <v>193</v>
      </c>
      <c r="K214" s="284"/>
      <c r="L214" s="103">
        <v>1.04</v>
      </c>
      <c r="M214" s="287"/>
      <c r="N214" s="290"/>
    </row>
    <row r="215" spans="1:16" ht="15" customHeight="1">
      <c r="A215" s="99" t="s">
        <v>412</v>
      </c>
      <c r="B215" s="129" t="s">
        <v>288</v>
      </c>
      <c r="C215" s="91">
        <v>44264</v>
      </c>
      <c r="D215" s="99">
        <v>698</v>
      </c>
      <c r="E215" s="129" t="s">
        <v>294</v>
      </c>
      <c r="F215" s="129" t="s">
        <v>297</v>
      </c>
      <c r="G215" s="129" t="s">
        <v>409</v>
      </c>
      <c r="H215" s="129">
        <v>968797</v>
      </c>
      <c r="I215" s="109">
        <v>12</v>
      </c>
      <c r="J215" s="129" t="s">
        <v>192</v>
      </c>
      <c r="K215" s="282">
        <v>597.40200000000004</v>
      </c>
      <c r="L215" s="103">
        <v>132.25800000000001</v>
      </c>
      <c r="M215" s="285">
        <f>K215-(L215+L216+L217+L218)</f>
        <v>-51.149000000000001</v>
      </c>
      <c r="N215" s="288">
        <f>(L215+L216+L217+L218)/K215</f>
        <v>1.0856190638799335</v>
      </c>
      <c r="O215" s="209">
        <f>M215</f>
        <v>-51.149000000000001</v>
      </c>
      <c r="P215" s="90" t="s">
        <v>773</v>
      </c>
    </row>
    <row r="216" spans="1:16" ht="15" customHeight="1">
      <c r="A216" s="129" t="s">
        <v>412</v>
      </c>
      <c r="B216" s="129" t="s">
        <v>288</v>
      </c>
      <c r="C216" s="91">
        <v>44264</v>
      </c>
      <c r="D216" s="129">
        <v>698</v>
      </c>
      <c r="E216" s="129" t="s">
        <v>294</v>
      </c>
      <c r="F216" s="129" t="s">
        <v>297</v>
      </c>
      <c r="G216" s="129" t="s">
        <v>410</v>
      </c>
      <c r="H216" s="129">
        <v>962289</v>
      </c>
      <c r="I216" s="109">
        <v>12</v>
      </c>
      <c r="J216" s="129" t="s">
        <v>192</v>
      </c>
      <c r="K216" s="283"/>
      <c r="L216" s="103">
        <v>201.476</v>
      </c>
      <c r="M216" s="286"/>
      <c r="N216" s="289"/>
      <c r="O216" s="129"/>
      <c r="P216" s="129"/>
    </row>
    <row r="217" spans="1:16" ht="15" customHeight="1">
      <c r="A217" s="129" t="s">
        <v>412</v>
      </c>
      <c r="B217" s="129" t="s">
        <v>288</v>
      </c>
      <c r="C217" s="91">
        <v>44264</v>
      </c>
      <c r="D217" s="129">
        <v>698</v>
      </c>
      <c r="E217" s="129" t="s">
        <v>294</v>
      </c>
      <c r="F217" s="129" t="s">
        <v>297</v>
      </c>
      <c r="G217" s="129" t="s">
        <v>411</v>
      </c>
      <c r="H217" s="129">
        <v>957816</v>
      </c>
      <c r="I217" s="109">
        <v>12</v>
      </c>
      <c r="J217" s="129" t="s">
        <v>192</v>
      </c>
      <c r="K217" s="283"/>
      <c r="L217" s="103">
        <v>187.172</v>
      </c>
      <c r="M217" s="286"/>
      <c r="N217" s="289"/>
    </row>
    <row r="218" spans="1:16" ht="15" customHeight="1">
      <c r="A218" s="129" t="s">
        <v>412</v>
      </c>
      <c r="B218" s="129" t="s">
        <v>288</v>
      </c>
      <c r="C218" s="91">
        <v>44264</v>
      </c>
      <c r="D218" s="129">
        <v>698</v>
      </c>
      <c r="E218" s="129" t="s">
        <v>294</v>
      </c>
      <c r="F218" s="129" t="s">
        <v>297</v>
      </c>
      <c r="G218" s="129" t="s">
        <v>380</v>
      </c>
      <c r="H218" s="129">
        <v>965073</v>
      </c>
      <c r="I218" s="109">
        <v>12</v>
      </c>
      <c r="J218" s="129" t="s">
        <v>192</v>
      </c>
      <c r="K218" s="284"/>
      <c r="L218" s="103">
        <v>127.645</v>
      </c>
      <c r="M218" s="287"/>
      <c r="N218" s="290"/>
    </row>
    <row r="219" spans="1:16" ht="15" customHeight="1">
      <c r="A219" s="129" t="s">
        <v>412</v>
      </c>
      <c r="B219" s="129" t="s">
        <v>288</v>
      </c>
      <c r="C219" s="91">
        <v>44264</v>
      </c>
      <c r="D219" s="129">
        <v>699</v>
      </c>
      <c r="E219" s="129" t="s">
        <v>294</v>
      </c>
      <c r="F219" s="129" t="s">
        <v>297</v>
      </c>
      <c r="G219" s="129" t="s">
        <v>409</v>
      </c>
      <c r="H219" s="129">
        <v>968797</v>
      </c>
      <c r="I219" s="109">
        <v>12</v>
      </c>
      <c r="J219" s="129" t="s">
        <v>193</v>
      </c>
      <c r="K219" s="282">
        <v>1607.9690000000001</v>
      </c>
      <c r="L219" s="103">
        <v>510.00599999999997</v>
      </c>
      <c r="M219" s="285">
        <f>K219-(L219+L220+L221+L222)</f>
        <v>-42.762999999999693</v>
      </c>
      <c r="N219" s="288">
        <f>(L219+L220+L221+L222)/K219</f>
        <v>1.0265944181759721</v>
      </c>
      <c r="O219" s="209">
        <f>M219</f>
        <v>-42.762999999999693</v>
      </c>
      <c r="P219" s="90" t="s">
        <v>774</v>
      </c>
    </row>
    <row r="220" spans="1:16" ht="15" customHeight="1">
      <c r="A220" s="129" t="s">
        <v>412</v>
      </c>
      <c r="B220" s="129" t="s">
        <v>288</v>
      </c>
      <c r="C220" s="91">
        <v>44264</v>
      </c>
      <c r="D220" s="129">
        <v>699</v>
      </c>
      <c r="E220" s="129" t="s">
        <v>294</v>
      </c>
      <c r="F220" s="129" t="s">
        <v>297</v>
      </c>
      <c r="G220" s="129" t="s">
        <v>410</v>
      </c>
      <c r="H220" s="129">
        <v>962289</v>
      </c>
      <c r="I220" s="109">
        <v>12</v>
      </c>
      <c r="J220" s="129" t="s">
        <v>193</v>
      </c>
      <c r="K220" s="283"/>
      <c r="L220" s="103">
        <v>585.51800000000003</v>
      </c>
      <c r="M220" s="286"/>
      <c r="N220" s="289"/>
      <c r="O220" s="129"/>
      <c r="P220" s="213"/>
    </row>
    <row r="221" spans="1:16" ht="15" customHeight="1">
      <c r="A221" s="129" t="s">
        <v>412</v>
      </c>
      <c r="B221" s="129" t="s">
        <v>288</v>
      </c>
      <c r="C221" s="91">
        <v>44264</v>
      </c>
      <c r="D221" s="129">
        <v>699</v>
      </c>
      <c r="E221" s="129" t="s">
        <v>294</v>
      </c>
      <c r="F221" s="129" t="s">
        <v>297</v>
      </c>
      <c r="G221" s="129" t="s">
        <v>411</v>
      </c>
      <c r="H221" s="129">
        <v>957816</v>
      </c>
      <c r="I221" s="109">
        <v>12</v>
      </c>
      <c r="J221" s="129" t="s">
        <v>193</v>
      </c>
      <c r="K221" s="283"/>
      <c r="L221" s="103">
        <v>462.44799999999998</v>
      </c>
      <c r="M221" s="286"/>
      <c r="N221" s="289"/>
    </row>
    <row r="222" spans="1:16" ht="15" customHeight="1">
      <c r="A222" s="129" t="s">
        <v>412</v>
      </c>
      <c r="B222" s="129" t="s">
        <v>288</v>
      </c>
      <c r="C222" s="91">
        <v>44264</v>
      </c>
      <c r="D222" s="129">
        <v>699</v>
      </c>
      <c r="E222" s="129" t="s">
        <v>294</v>
      </c>
      <c r="F222" s="129" t="s">
        <v>297</v>
      </c>
      <c r="G222" s="129" t="s">
        <v>380</v>
      </c>
      <c r="H222" s="129">
        <v>965073</v>
      </c>
      <c r="I222" s="109">
        <v>12</v>
      </c>
      <c r="J222" s="129" t="s">
        <v>193</v>
      </c>
      <c r="K222" s="284"/>
      <c r="L222" s="103">
        <v>92.76</v>
      </c>
      <c r="M222" s="287"/>
      <c r="N222" s="290"/>
    </row>
    <row r="223" spans="1:16" ht="15" customHeight="1">
      <c r="A223" s="129" t="s">
        <v>412</v>
      </c>
      <c r="B223" s="129" t="s">
        <v>288</v>
      </c>
      <c r="C223" s="91">
        <v>44264</v>
      </c>
      <c r="D223" s="99">
        <v>700</v>
      </c>
      <c r="E223" s="129" t="s">
        <v>294</v>
      </c>
      <c r="F223" s="129" t="s">
        <v>297</v>
      </c>
      <c r="G223" s="129" t="s">
        <v>395</v>
      </c>
      <c r="H223" s="129">
        <v>966146</v>
      </c>
      <c r="I223" s="109">
        <v>19</v>
      </c>
      <c r="J223" s="129" t="s">
        <v>193</v>
      </c>
      <c r="K223" s="282">
        <v>106.291</v>
      </c>
      <c r="L223" s="103">
        <v>57.305</v>
      </c>
      <c r="M223" s="285">
        <f>K223-(L223+L224)</f>
        <v>1.0000000000047748E-3</v>
      </c>
      <c r="N223" s="288">
        <f>(L223+L224)/K223</f>
        <v>0.99999059186572703</v>
      </c>
    </row>
    <row r="224" spans="1:16" ht="15" customHeight="1">
      <c r="A224" s="129" t="s">
        <v>412</v>
      </c>
      <c r="B224" s="129" t="s">
        <v>288</v>
      </c>
      <c r="C224" s="91">
        <v>44264</v>
      </c>
      <c r="D224" s="129">
        <v>700</v>
      </c>
      <c r="E224" s="129" t="s">
        <v>294</v>
      </c>
      <c r="F224" s="129" t="s">
        <v>297</v>
      </c>
      <c r="G224" s="129" t="s">
        <v>396</v>
      </c>
      <c r="H224" s="109">
        <v>959370</v>
      </c>
      <c r="I224" s="109">
        <v>19</v>
      </c>
      <c r="J224" s="129" t="s">
        <v>193</v>
      </c>
      <c r="K224" s="284"/>
      <c r="L224" s="103">
        <v>48.984999999999999</v>
      </c>
      <c r="M224" s="287"/>
      <c r="N224" s="290"/>
    </row>
    <row r="225" spans="1:16" ht="15" customHeight="1">
      <c r="A225" s="129" t="s">
        <v>412</v>
      </c>
      <c r="B225" s="129" t="s">
        <v>288</v>
      </c>
      <c r="C225" s="91">
        <v>44264</v>
      </c>
      <c r="D225" s="99">
        <v>701</v>
      </c>
      <c r="E225" s="129" t="s">
        <v>294</v>
      </c>
      <c r="F225" s="129" t="s">
        <v>297</v>
      </c>
      <c r="G225" s="129" t="s">
        <v>401</v>
      </c>
      <c r="H225" s="129">
        <v>968817</v>
      </c>
      <c r="I225" s="109">
        <v>55</v>
      </c>
      <c r="J225" s="129" t="s">
        <v>193</v>
      </c>
      <c r="K225" s="282">
        <v>422.31700000000001</v>
      </c>
      <c r="L225" s="103">
        <v>195.65899999999999</v>
      </c>
      <c r="M225" s="285">
        <f>K225-(L225+L226+L227+L228)</f>
        <v>0</v>
      </c>
      <c r="N225" s="288">
        <f>(L225+L226+L227+L228)/K225</f>
        <v>1</v>
      </c>
    </row>
    <row r="226" spans="1:16" ht="15" customHeight="1">
      <c r="A226" s="129" t="s">
        <v>412</v>
      </c>
      <c r="B226" s="129" t="s">
        <v>288</v>
      </c>
      <c r="C226" s="91">
        <v>44264</v>
      </c>
      <c r="D226" s="129">
        <v>701</v>
      </c>
      <c r="E226" s="129" t="s">
        <v>294</v>
      </c>
      <c r="F226" s="129" t="s">
        <v>297</v>
      </c>
      <c r="G226" s="129" t="s">
        <v>402</v>
      </c>
      <c r="H226" s="129">
        <v>963960</v>
      </c>
      <c r="I226" s="109">
        <v>55</v>
      </c>
      <c r="J226" s="129" t="s">
        <v>193</v>
      </c>
      <c r="K226" s="283"/>
      <c r="L226" s="103">
        <v>54.420999999999999</v>
      </c>
      <c r="M226" s="286"/>
      <c r="N226" s="289"/>
    </row>
    <row r="227" spans="1:16" ht="15" customHeight="1">
      <c r="A227" s="129" t="s">
        <v>412</v>
      </c>
      <c r="B227" s="129" t="s">
        <v>288</v>
      </c>
      <c r="C227" s="91">
        <v>44264</v>
      </c>
      <c r="D227" s="129">
        <v>701</v>
      </c>
      <c r="E227" s="129" t="s">
        <v>294</v>
      </c>
      <c r="F227" s="129" t="s">
        <v>297</v>
      </c>
      <c r="G227" s="129" t="s">
        <v>403</v>
      </c>
      <c r="H227" s="129">
        <v>697475</v>
      </c>
      <c r="I227" s="109">
        <v>55</v>
      </c>
      <c r="J227" s="129" t="s">
        <v>193</v>
      </c>
      <c r="K227" s="283"/>
      <c r="L227" s="103">
        <v>29.677</v>
      </c>
      <c r="M227" s="286"/>
      <c r="N227" s="289"/>
    </row>
    <row r="228" spans="1:16" ht="15" customHeight="1">
      <c r="A228" s="129" t="s">
        <v>412</v>
      </c>
      <c r="B228" s="129" t="s">
        <v>288</v>
      </c>
      <c r="C228" s="91">
        <v>44264</v>
      </c>
      <c r="D228" s="129">
        <v>701</v>
      </c>
      <c r="E228" s="129" t="s">
        <v>294</v>
      </c>
      <c r="F228" s="129" t="s">
        <v>297</v>
      </c>
      <c r="G228" s="129" t="s">
        <v>472</v>
      </c>
      <c r="H228" s="129">
        <v>697489</v>
      </c>
      <c r="I228" s="109">
        <v>55</v>
      </c>
      <c r="J228" s="129" t="s">
        <v>193</v>
      </c>
      <c r="K228" s="284"/>
      <c r="L228" s="103">
        <v>142.56</v>
      </c>
      <c r="M228" s="287"/>
      <c r="N228" s="290"/>
    </row>
    <row r="229" spans="1:16" ht="15" customHeight="1">
      <c r="A229" s="129" t="s">
        <v>412</v>
      </c>
      <c r="B229" s="129" t="s">
        <v>288</v>
      </c>
      <c r="C229" s="91">
        <v>44264</v>
      </c>
      <c r="D229" s="99">
        <v>702</v>
      </c>
      <c r="E229" s="129" t="s">
        <v>294</v>
      </c>
      <c r="F229" s="129" t="s">
        <v>297</v>
      </c>
      <c r="G229" s="129" t="s">
        <v>291</v>
      </c>
      <c r="H229" s="129">
        <v>968160</v>
      </c>
      <c r="I229" s="109">
        <v>14</v>
      </c>
      <c r="J229" s="129" t="s">
        <v>193</v>
      </c>
      <c r="K229" s="282">
        <v>231.67099999999999</v>
      </c>
      <c r="L229" s="103">
        <v>59.854999999999997</v>
      </c>
      <c r="M229" s="285">
        <f>K229-(L229+L230)</f>
        <v>5.3439999999999941</v>
      </c>
      <c r="N229" s="288">
        <f>(L229+L230)/K229</f>
        <v>0.97693280557342099</v>
      </c>
    </row>
    <row r="230" spans="1:16" ht="15" customHeight="1">
      <c r="A230" s="129" t="s">
        <v>412</v>
      </c>
      <c r="B230" s="129" t="s">
        <v>288</v>
      </c>
      <c r="C230" s="91">
        <v>44264</v>
      </c>
      <c r="D230" s="129">
        <v>702</v>
      </c>
      <c r="E230" s="129" t="s">
        <v>294</v>
      </c>
      <c r="F230" s="129" t="s">
        <v>297</v>
      </c>
      <c r="G230" s="129" t="s">
        <v>290</v>
      </c>
      <c r="H230" s="109">
        <v>969106</v>
      </c>
      <c r="I230" s="109">
        <v>14</v>
      </c>
      <c r="J230" s="129" t="s">
        <v>193</v>
      </c>
      <c r="K230" s="284"/>
      <c r="L230" s="103">
        <v>166.47200000000001</v>
      </c>
      <c r="M230" s="287"/>
      <c r="N230" s="290"/>
    </row>
    <row r="231" spans="1:16" ht="15" customHeight="1">
      <c r="A231" s="129" t="s">
        <v>412</v>
      </c>
      <c r="B231" s="129" t="s">
        <v>293</v>
      </c>
      <c r="C231" s="91">
        <v>44264</v>
      </c>
      <c r="D231" s="99">
        <v>703</v>
      </c>
      <c r="E231" s="129" t="s">
        <v>294</v>
      </c>
      <c r="F231" s="129" t="s">
        <v>297</v>
      </c>
      <c r="G231" s="99" t="s">
        <v>413</v>
      </c>
      <c r="H231" s="99">
        <v>964409</v>
      </c>
      <c r="I231" s="109">
        <v>19</v>
      </c>
      <c r="J231" s="129" t="s">
        <v>193</v>
      </c>
      <c r="K231" s="127">
        <v>42.515999999999998</v>
      </c>
      <c r="L231" s="103">
        <v>42.515999999999998</v>
      </c>
      <c r="M231" s="128">
        <f>K231-L231</f>
        <v>0</v>
      </c>
      <c r="N231" s="94">
        <f>L231/K231</f>
        <v>1</v>
      </c>
    </row>
    <row r="232" spans="1:16" ht="15" customHeight="1">
      <c r="A232" s="129" t="s">
        <v>392</v>
      </c>
      <c r="B232" s="129" t="s">
        <v>293</v>
      </c>
      <c r="C232" s="91">
        <v>44264</v>
      </c>
      <c r="D232" s="99">
        <v>716</v>
      </c>
      <c r="E232" s="129" t="s">
        <v>294</v>
      </c>
      <c r="F232" s="129" t="s">
        <v>297</v>
      </c>
      <c r="G232" s="129" t="s">
        <v>413</v>
      </c>
      <c r="H232" s="129">
        <v>964409</v>
      </c>
      <c r="I232" s="109">
        <v>19</v>
      </c>
      <c r="J232" s="129" t="s">
        <v>192</v>
      </c>
      <c r="K232" s="127">
        <v>33.959000000000003</v>
      </c>
      <c r="L232" s="103">
        <v>27.603999999999999</v>
      </c>
      <c r="M232" s="128">
        <f>K232-L232</f>
        <v>6.355000000000004</v>
      </c>
      <c r="N232" s="94">
        <f>L232/K232</f>
        <v>0.81286256956918623</v>
      </c>
    </row>
    <row r="233" spans="1:16" ht="15" customHeight="1">
      <c r="A233" s="129" t="s">
        <v>412</v>
      </c>
      <c r="B233" s="129" t="s">
        <v>288</v>
      </c>
      <c r="C233" s="91">
        <v>44267</v>
      </c>
      <c r="D233" s="99">
        <v>762</v>
      </c>
      <c r="E233" s="129" t="s">
        <v>294</v>
      </c>
      <c r="F233" s="129" t="s">
        <v>297</v>
      </c>
      <c r="G233" s="99" t="s">
        <v>414</v>
      </c>
      <c r="H233" s="99">
        <v>967342</v>
      </c>
      <c r="I233" s="109">
        <v>15</v>
      </c>
      <c r="J233" s="129" t="s">
        <v>193</v>
      </c>
      <c r="K233" s="282">
        <v>512.74699999999996</v>
      </c>
      <c r="L233" s="103">
        <v>222.352</v>
      </c>
      <c r="M233" s="285">
        <f>K233-(L233+L234)</f>
        <v>2.9999999999290594E-3</v>
      </c>
      <c r="N233" s="288">
        <f>(L233+L234)/K233</f>
        <v>0.99999414916128238</v>
      </c>
    </row>
    <row r="234" spans="1:16" ht="15" customHeight="1">
      <c r="A234" s="129" t="s">
        <v>412</v>
      </c>
      <c r="B234" s="129" t="s">
        <v>288</v>
      </c>
      <c r="C234" s="91">
        <v>44267</v>
      </c>
      <c r="D234" s="129">
        <v>762</v>
      </c>
      <c r="E234" s="129" t="s">
        <v>294</v>
      </c>
      <c r="F234" s="129" t="s">
        <v>297</v>
      </c>
      <c r="G234" s="99" t="s">
        <v>415</v>
      </c>
      <c r="H234" s="99">
        <v>967281</v>
      </c>
      <c r="I234" s="109">
        <v>15</v>
      </c>
      <c r="J234" s="129" t="s">
        <v>193</v>
      </c>
      <c r="K234" s="284"/>
      <c r="L234" s="103">
        <v>290.392</v>
      </c>
      <c r="M234" s="287"/>
      <c r="N234" s="290"/>
    </row>
    <row r="235" spans="1:16" ht="15" customHeight="1">
      <c r="A235" s="129" t="s">
        <v>392</v>
      </c>
      <c r="B235" s="129" t="s">
        <v>288</v>
      </c>
      <c r="C235" s="91">
        <v>44267</v>
      </c>
      <c r="D235" s="99">
        <v>763</v>
      </c>
      <c r="E235" s="129" t="s">
        <v>294</v>
      </c>
      <c r="F235" s="129" t="s">
        <v>297</v>
      </c>
      <c r="G235" s="129" t="s">
        <v>414</v>
      </c>
      <c r="H235" s="129">
        <v>967342</v>
      </c>
      <c r="I235" s="109">
        <v>15</v>
      </c>
      <c r="J235" s="129" t="s">
        <v>192</v>
      </c>
      <c r="K235" s="282">
        <v>219.60300000000001</v>
      </c>
      <c r="L235" s="103">
        <v>149.292</v>
      </c>
      <c r="M235" s="285">
        <f>K235-(L235+L236)</f>
        <v>-2.6730000000000018</v>
      </c>
      <c r="N235" s="288">
        <f>(L235+L236)/K235</f>
        <v>1.0121719648638681</v>
      </c>
      <c r="O235" s="209">
        <f>M235</f>
        <v>-2.6730000000000018</v>
      </c>
      <c r="P235" s="90" t="s">
        <v>752</v>
      </c>
    </row>
    <row r="236" spans="1:16" ht="15" customHeight="1">
      <c r="A236" s="129" t="s">
        <v>392</v>
      </c>
      <c r="B236" s="129" t="s">
        <v>288</v>
      </c>
      <c r="C236" s="91">
        <v>44267</v>
      </c>
      <c r="D236" s="129">
        <v>763</v>
      </c>
      <c r="E236" s="129" t="s">
        <v>294</v>
      </c>
      <c r="F236" s="129" t="s">
        <v>297</v>
      </c>
      <c r="G236" s="129" t="s">
        <v>415</v>
      </c>
      <c r="H236" s="129">
        <v>967281</v>
      </c>
      <c r="I236" s="109">
        <v>15</v>
      </c>
      <c r="J236" s="129" t="s">
        <v>192</v>
      </c>
      <c r="K236" s="284"/>
      <c r="L236" s="103">
        <v>72.983999999999995</v>
      </c>
      <c r="M236" s="287"/>
      <c r="N236" s="290"/>
    </row>
    <row r="237" spans="1:16" ht="15" customHeight="1">
      <c r="A237" s="99" t="s">
        <v>391</v>
      </c>
      <c r="B237" s="99" t="s">
        <v>293</v>
      </c>
      <c r="C237" s="91">
        <v>44267</v>
      </c>
      <c r="D237" s="99">
        <v>27</v>
      </c>
      <c r="E237" s="99" t="s">
        <v>289</v>
      </c>
      <c r="F237" s="99" t="s">
        <v>287</v>
      </c>
      <c r="G237" s="99" t="s">
        <v>416</v>
      </c>
      <c r="H237" s="99">
        <v>951259</v>
      </c>
      <c r="I237" s="109">
        <v>36</v>
      </c>
      <c r="J237" s="129" t="s">
        <v>192</v>
      </c>
      <c r="K237" s="127">
        <v>300</v>
      </c>
      <c r="L237" s="103">
        <v>393.60500000000002</v>
      </c>
      <c r="M237" s="128">
        <f t="shared" ref="M237:M268" si="31">K237-L237</f>
        <v>-93.605000000000018</v>
      </c>
      <c r="N237" s="94">
        <f t="shared" ref="N237:N268" si="32">L237/K237</f>
        <v>1.3120166666666668</v>
      </c>
      <c r="O237" s="116">
        <f>M237+M238</f>
        <v>0</v>
      </c>
    </row>
    <row r="238" spans="1:16" ht="15" customHeight="1">
      <c r="A238" s="129" t="s">
        <v>391</v>
      </c>
      <c r="B238" s="129" t="s">
        <v>293</v>
      </c>
      <c r="C238" s="91">
        <v>44267</v>
      </c>
      <c r="D238" s="129">
        <v>27</v>
      </c>
      <c r="E238" s="129" t="s">
        <v>289</v>
      </c>
      <c r="F238" s="129" t="s">
        <v>287</v>
      </c>
      <c r="G238" s="129" t="s">
        <v>416</v>
      </c>
      <c r="H238" s="129">
        <v>951259</v>
      </c>
      <c r="I238" s="109">
        <v>36</v>
      </c>
      <c r="J238" s="129" t="s">
        <v>193</v>
      </c>
      <c r="K238" s="110">
        <v>200</v>
      </c>
      <c r="L238" s="103">
        <v>106.395</v>
      </c>
      <c r="M238" s="128">
        <f t="shared" si="31"/>
        <v>93.605000000000004</v>
      </c>
      <c r="N238" s="94">
        <f t="shared" si="32"/>
        <v>0.53197499999999998</v>
      </c>
    </row>
    <row r="239" spans="1:16" ht="15" customHeight="1">
      <c r="A239" s="129" t="s">
        <v>391</v>
      </c>
      <c r="B239" s="129" t="s">
        <v>293</v>
      </c>
      <c r="C239" s="91">
        <v>44267</v>
      </c>
      <c r="D239" s="129">
        <v>27</v>
      </c>
      <c r="E239" s="129" t="s">
        <v>289</v>
      </c>
      <c r="F239" s="129" t="s">
        <v>287</v>
      </c>
      <c r="G239" s="99" t="s">
        <v>406</v>
      </c>
      <c r="H239" s="99">
        <v>923199</v>
      </c>
      <c r="I239" s="109">
        <v>44</v>
      </c>
      <c r="J239" s="129" t="s">
        <v>192</v>
      </c>
      <c r="K239" s="110">
        <v>170</v>
      </c>
      <c r="L239" s="103">
        <v>83.905000000000001</v>
      </c>
      <c r="M239" s="128">
        <f t="shared" si="31"/>
        <v>86.094999999999999</v>
      </c>
      <c r="N239" s="94">
        <f t="shared" si="32"/>
        <v>0.49355882352941177</v>
      </c>
      <c r="O239" s="116">
        <f>M239+M240</f>
        <v>0</v>
      </c>
    </row>
    <row r="240" spans="1:16" ht="15" customHeight="1">
      <c r="A240" s="129" t="s">
        <v>391</v>
      </c>
      <c r="B240" s="129" t="s">
        <v>293</v>
      </c>
      <c r="C240" s="91">
        <v>44267</v>
      </c>
      <c r="D240" s="129">
        <v>27</v>
      </c>
      <c r="E240" s="129" t="s">
        <v>289</v>
      </c>
      <c r="F240" s="129" t="s">
        <v>287</v>
      </c>
      <c r="G240" s="129" t="s">
        <v>406</v>
      </c>
      <c r="H240" s="129">
        <v>923199</v>
      </c>
      <c r="I240" s="109">
        <v>44</v>
      </c>
      <c r="J240" s="129" t="s">
        <v>193</v>
      </c>
      <c r="K240" s="110">
        <v>100</v>
      </c>
      <c r="L240" s="103">
        <v>186.095</v>
      </c>
      <c r="M240" s="128">
        <f t="shared" si="31"/>
        <v>-86.094999999999999</v>
      </c>
      <c r="N240" s="94">
        <f t="shared" si="32"/>
        <v>1.8609499999999999</v>
      </c>
    </row>
    <row r="241" spans="1:16" ht="15" customHeight="1">
      <c r="A241" s="129" t="s">
        <v>391</v>
      </c>
      <c r="B241" s="129" t="s">
        <v>293</v>
      </c>
      <c r="C241" s="91">
        <v>44267</v>
      </c>
      <c r="D241" s="129">
        <v>27</v>
      </c>
      <c r="E241" s="129" t="s">
        <v>289</v>
      </c>
      <c r="F241" s="129" t="s">
        <v>287</v>
      </c>
      <c r="G241" s="99" t="s">
        <v>417</v>
      </c>
      <c r="H241" s="99">
        <v>964068</v>
      </c>
      <c r="I241" s="109">
        <v>44</v>
      </c>
      <c r="J241" s="129" t="s">
        <v>192</v>
      </c>
      <c r="K241" s="110">
        <v>36</v>
      </c>
      <c r="L241" s="103">
        <v>19.033999999999999</v>
      </c>
      <c r="M241" s="128">
        <f t="shared" si="31"/>
        <v>16.966000000000001</v>
      </c>
      <c r="N241" s="94">
        <f t="shared" si="32"/>
        <v>0.5287222222222222</v>
      </c>
      <c r="O241" s="116">
        <f t="shared" ref="O241" si="33">M241+M242</f>
        <v>0</v>
      </c>
    </row>
    <row r="242" spans="1:16" ht="15" customHeight="1">
      <c r="A242" s="129" t="s">
        <v>391</v>
      </c>
      <c r="B242" s="129" t="s">
        <v>293</v>
      </c>
      <c r="C242" s="91">
        <v>44267</v>
      </c>
      <c r="D242" s="129">
        <v>27</v>
      </c>
      <c r="E242" s="129" t="s">
        <v>289</v>
      </c>
      <c r="F242" s="129" t="s">
        <v>287</v>
      </c>
      <c r="G242" s="129" t="s">
        <v>417</v>
      </c>
      <c r="H242" s="129">
        <v>964068</v>
      </c>
      <c r="I242" s="109">
        <v>44</v>
      </c>
      <c r="J242" s="129" t="s">
        <v>193</v>
      </c>
      <c r="K242" s="110">
        <v>24</v>
      </c>
      <c r="L242" s="103">
        <v>40.966000000000001</v>
      </c>
      <c r="M242" s="128">
        <f t="shared" si="31"/>
        <v>-16.966000000000001</v>
      </c>
      <c r="N242" s="94">
        <f t="shared" si="32"/>
        <v>1.7069166666666666</v>
      </c>
    </row>
    <row r="243" spans="1:16" ht="15" customHeight="1">
      <c r="A243" s="129" t="s">
        <v>391</v>
      </c>
      <c r="B243" s="129" t="s">
        <v>293</v>
      </c>
      <c r="C243" s="91">
        <v>44267</v>
      </c>
      <c r="D243" s="129">
        <v>27</v>
      </c>
      <c r="E243" s="129" t="s">
        <v>289</v>
      </c>
      <c r="F243" s="129" t="s">
        <v>287</v>
      </c>
      <c r="G243" s="99" t="s">
        <v>418</v>
      </c>
      <c r="H243" s="99">
        <v>953832</v>
      </c>
      <c r="I243" s="109">
        <v>19</v>
      </c>
      <c r="J243" s="129" t="s">
        <v>192</v>
      </c>
      <c r="K243" s="110">
        <v>90</v>
      </c>
      <c r="L243" s="103">
        <v>30</v>
      </c>
      <c r="M243" s="128">
        <f t="shared" si="31"/>
        <v>60</v>
      </c>
      <c r="N243" s="94">
        <f t="shared" si="32"/>
        <v>0.33333333333333331</v>
      </c>
      <c r="O243" s="116">
        <f t="shared" ref="O243" si="34">M243+M244</f>
        <v>0</v>
      </c>
    </row>
    <row r="244" spans="1:16" ht="15" customHeight="1">
      <c r="A244" s="129" t="s">
        <v>391</v>
      </c>
      <c r="B244" s="129" t="s">
        <v>293</v>
      </c>
      <c r="C244" s="91">
        <v>44267</v>
      </c>
      <c r="D244" s="129">
        <v>27</v>
      </c>
      <c r="E244" s="129" t="s">
        <v>289</v>
      </c>
      <c r="F244" s="129" t="s">
        <v>287</v>
      </c>
      <c r="G244" s="129" t="s">
        <v>418</v>
      </c>
      <c r="H244" s="129">
        <v>953832</v>
      </c>
      <c r="I244" s="109">
        <v>19</v>
      </c>
      <c r="J244" s="129" t="s">
        <v>193</v>
      </c>
      <c r="K244" s="110">
        <v>60</v>
      </c>
      <c r="L244" s="103">
        <v>120</v>
      </c>
      <c r="M244" s="128">
        <f t="shared" si="31"/>
        <v>-60</v>
      </c>
      <c r="N244" s="94">
        <f t="shared" si="32"/>
        <v>2</v>
      </c>
    </row>
    <row r="245" spans="1:16" ht="15" customHeight="1">
      <c r="A245" s="99" t="s">
        <v>419</v>
      </c>
      <c r="B245" s="129" t="s">
        <v>293</v>
      </c>
      <c r="C245" s="91">
        <v>44270</v>
      </c>
      <c r="D245" s="99">
        <v>29</v>
      </c>
      <c r="E245" s="129" t="s">
        <v>289</v>
      </c>
      <c r="F245" s="129" t="s">
        <v>287</v>
      </c>
      <c r="G245" s="99" t="s">
        <v>420</v>
      </c>
      <c r="H245" s="99">
        <v>968886</v>
      </c>
      <c r="I245" s="109">
        <v>78</v>
      </c>
      <c r="J245" s="129" t="s">
        <v>192</v>
      </c>
      <c r="K245" s="127">
        <v>10</v>
      </c>
      <c r="L245" s="103">
        <v>36.548999999999999</v>
      </c>
      <c r="M245" s="128">
        <f t="shared" si="31"/>
        <v>-26.548999999999999</v>
      </c>
      <c r="N245" s="94">
        <f t="shared" si="32"/>
        <v>3.6549</v>
      </c>
      <c r="O245" s="214">
        <f t="shared" ref="O245" si="35">M245+M246</f>
        <v>-0.44200000000000017</v>
      </c>
      <c r="P245" s="213" t="s">
        <v>753</v>
      </c>
    </row>
    <row r="246" spans="1:16" ht="15" customHeight="1">
      <c r="A246" s="129" t="s">
        <v>419</v>
      </c>
      <c r="B246" s="129" t="s">
        <v>293</v>
      </c>
      <c r="C246" s="91">
        <v>44270</v>
      </c>
      <c r="D246" s="129">
        <v>29</v>
      </c>
      <c r="E246" s="129" t="s">
        <v>289</v>
      </c>
      <c r="F246" s="129" t="s">
        <v>287</v>
      </c>
      <c r="G246" s="129" t="s">
        <v>420</v>
      </c>
      <c r="H246" s="129">
        <v>968886</v>
      </c>
      <c r="I246" s="109">
        <v>78</v>
      </c>
      <c r="J246" s="129" t="s">
        <v>193</v>
      </c>
      <c r="K246" s="127">
        <v>90</v>
      </c>
      <c r="L246" s="103">
        <v>63.893000000000001</v>
      </c>
      <c r="M246" s="128">
        <f t="shared" si="31"/>
        <v>26.106999999999999</v>
      </c>
      <c r="N246" s="94">
        <f t="shared" si="32"/>
        <v>0.70992222222222223</v>
      </c>
    </row>
    <row r="247" spans="1:16" ht="15" customHeight="1">
      <c r="A247" s="129" t="s">
        <v>392</v>
      </c>
      <c r="B247" s="129" t="s">
        <v>293</v>
      </c>
      <c r="C247" s="91">
        <v>44273</v>
      </c>
      <c r="D247" s="99">
        <v>802</v>
      </c>
      <c r="E247" s="99" t="s">
        <v>294</v>
      </c>
      <c r="F247" s="99" t="s">
        <v>297</v>
      </c>
      <c r="G247" s="129" t="s">
        <v>501</v>
      </c>
      <c r="H247" s="99">
        <v>926065</v>
      </c>
      <c r="I247" s="109">
        <v>19</v>
      </c>
      <c r="J247" s="129" t="s">
        <v>192</v>
      </c>
      <c r="K247" s="127">
        <v>72.899000000000001</v>
      </c>
      <c r="L247" s="103">
        <v>6.5209999999999999</v>
      </c>
      <c r="M247" s="128">
        <f t="shared" si="31"/>
        <v>66.378</v>
      </c>
      <c r="N247" s="94">
        <f t="shared" si="32"/>
        <v>8.9452530213034467E-2</v>
      </c>
    </row>
    <row r="248" spans="1:16" ht="15" customHeight="1">
      <c r="A248" s="129" t="s">
        <v>392</v>
      </c>
      <c r="B248" s="129" t="s">
        <v>293</v>
      </c>
      <c r="C248" s="91">
        <v>44273</v>
      </c>
      <c r="D248" s="99">
        <v>803</v>
      </c>
      <c r="E248" s="129" t="s">
        <v>294</v>
      </c>
      <c r="F248" s="129" t="s">
        <v>297</v>
      </c>
      <c r="G248" s="129" t="s">
        <v>501</v>
      </c>
      <c r="H248" s="129">
        <v>926065</v>
      </c>
      <c r="I248" s="109">
        <v>19</v>
      </c>
      <c r="J248" s="129" t="s">
        <v>193</v>
      </c>
      <c r="K248" s="127">
        <v>167.89599999999999</v>
      </c>
      <c r="L248" s="103">
        <v>231.887</v>
      </c>
      <c r="M248" s="128">
        <f t="shared" si="31"/>
        <v>-63.991000000000014</v>
      </c>
      <c r="N248" s="94">
        <f t="shared" si="32"/>
        <v>1.381134750083385</v>
      </c>
    </row>
    <row r="249" spans="1:16" ht="15" customHeight="1">
      <c r="A249" s="99" t="s">
        <v>423</v>
      </c>
      <c r="B249" s="129" t="s">
        <v>293</v>
      </c>
      <c r="C249" s="91">
        <v>44273</v>
      </c>
      <c r="D249" s="99">
        <v>809</v>
      </c>
      <c r="E249" s="129" t="s">
        <v>294</v>
      </c>
      <c r="F249" s="129" t="s">
        <v>297</v>
      </c>
      <c r="G249" s="99" t="s">
        <v>395</v>
      </c>
      <c r="H249" s="99">
        <v>966146</v>
      </c>
      <c r="I249" s="109">
        <v>19</v>
      </c>
      <c r="J249" s="129" t="s">
        <v>192</v>
      </c>
      <c r="K249" s="127">
        <v>110</v>
      </c>
      <c r="L249" s="103">
        <v>96.119</v>
      </c>
      <c r="M249" s="128">
        <f t="shared" si="31"/>
        <v>13.881</v>
      </c>
      <c r="N249" s="94">
        <f t="shared" si="32"/>
        <v>0.87380909090909087</v>
      </c>
      <c r="O249" s="116">
        <f>M249+M250</f>
        <v>0</v>
      </c>
    </row>
    <row r="250" spans="1:16" ht="15" customHeight="1">
      <c r="A250" s="129" t="s">
        <v>423</v>
      </c>
      <c r="B250" s="129" t="s">
        <v>293</v>
      </c>
      <c r="C250" s="91">
        <v>44273</v>
      </c>
      <c r="D250" s="129">
        <v>809</v>
      </c>
      <c r="E250" s="129" t="s">
        <v>294</v>
      </c>
      <c r="F250" s="129" t="s">
        <v>297</v>
      </c>
      <c r="G250" s="129" t="s">
        <v>395</v>
      </c>
      <c r="H250" s="129">
        <v>966146</v>
      </c>
      <c r="I250" s="109">
        <v>19</v>
      </c>
      <c r="J250" s="129" t="s">
        <v>193</v>
      </c>
      <c r="K250" s="127">
        <v>140</v>
      </c>
      <c r="L250" s="103">
        <v>153.881</v>
      </c>
      <c r="M250" s="128">
        <f t="shared" si="31"/>
        <v>-13.881</v>
      </c>
      <c r="N250" s="94">
        <f t="shared" si="32"/>
        <v>1.0991500000000001</v>
      </c>
    </row>
    <row r="251" spans="1:16" ht="15" customHeight="1">
      <c r="A251" s="129" t="s">
        <v>423</v>
      </c>
      <c r="B251" s="129" t="s">
        <v>293</v>
      </c>
      <c r="C251" s="91">
        <v>44273</v>
      </c>
      <c r="D251" s="129">
        <v>809</v>
      </c>
      <c r="E251" s="129" t="s">
        <v>294</v>
      </c>
      <c r="F251" s="129" t="s">
        <v>297</v>
      </c>
      <c r="G251" s="99" t="s">
        <v>424</v>
      </c>
      <c r="H251" s="99">
        <v>958563</v>
      </c>
      <c r="I251" s="109">
        <v>64</v>
      </c>
      <c r="J251" s="129" t="s">
        <v>192</v>
      </c>
      <c r="K251" s="127">
        <v>144</v>
      </c>
      <c r="L251" s="103">
        <v>60.000999999999998</v>
      </c>
      <c r="M251" s="128">
        <f t="shared" si="31"/>
        <v>83.998999999999995</v>
      </c>
      <c r="N251" s="94">
        <f t="shared" si="32"/>
        <v>0.41667361111111112</v>
      </c>
      <c r="O251" s="116">
        <f>M251+M252</f>
        <v>0</v>
      </c>
    </row>
    <row r="252" spans="1:16" ht="15" customHeight="1">
      <c r="A252" s="129" t="s">
        <v>423</v>
      </c>
      <c r="B252" s="129" t="s">
        <v>293</v>
      </c>
      <c r="C252" s="91">
        <v>44273</v>
      </c>
      <c r="D252" s="129">
        <v>809</v>
      </c>
      <c r="E252" s="129" t="s">
        <v>294</v>
      </c>
      <c r="F252" s="129" t="s">
        <v>297</v>
      </c>
      <c r="G252" s="129" t="s">
        <v>424</v>
      </c>
      <c r="H252" s="129">
        <v>958563</v>
      </c>
      <c r="I252" s="109">
        <v>64</v>
      </c>
      <c r="J252" s="129" t="s">
        <v>193</v>
      </c>
      <c r="K252" s="127">
        <v>184</v>
      </c>
      <c r="L252" s="103">
        <v>267.99900000000002</v>
      </c>
      <c r="M252" s="128">
        <f t="shared" si="31"/>
        <v>-83.999000000000024</v>
      </c>
      <c r="N252" s="94">
        <f t="shared" si="32"/>
        <v>1.4565163043478262</v>
      </c>
    </row>
    <row r="253" spans="1:16" ht="15" customHeight="1">
      <c r="A253" s="129" t="s">
        <v>423</v>
      </c>
      <c r="B253" s="129" t="s">
        <v>293</v>
      </c>
      <c r="C253" s="91">
        <v>44273</v>
      </c>
      <c r="D253" s="129">
        <v>809</v>
      </c>
      <c r="E253" s="129" t="s">
        <v>294</v>
      </c>
      <c r="F253" s="129" t="s">
        <v>297</v>
      </c>
      <c r="G253" s="99" t="s">
        <v>425</v>
      </c>
      <c r="H253" s="99">
        <v>697484</v>
      </c>
      <c r="I253" s="109">
        <v>19</v>
      </c>
      <c r="J253" s="129" t="s">
        <v>192</v>
      </c>
      <c r="K253" s="127">
        <v>110</v>
      </c>
      <c r="L253" s="103">
        <v>35.966999999999999</v>
      </c>
      <c r="M253" s="128">
        <f t="shared" si="31"/>
        <v>74.033000000000001</v>
      </c>
      <c r="N253" s="94">
        <f t="shared" si="32"/>
        <v>0.32697272727272725</v>
      </c>
      <c r="O253" s="116">
        <f t="shared" ref="O253" si="36">M253+M254</f>
        <v>0</v>
      </c>
    </row>
    <row r="254" spans="1:16" ht="15" customHeight="1">
      <c r="A254" s="129" t="s">
        <v>423</v>
      </c>
      <c r="B254" s="129" t="s">
        <v>293</v>
      </c>
      <c r="C254" s="91">
        <v>44273</v>
      </c>
      <c r="D254" s="129">
        <v>809</v>
      </c>
      <c r="E254" s="129" t="s">
        <v>294</v>
      </c>
      <c r="F254" s="129" t="s">
        <v>297</v>
      </c>
      <c r="G254" s="129" t="s">
        <v>425</v>
      </c>
      <c r="H254" s="129">
        <v>697484</v>
      </c>
      <c r="I254" s="109">
        <v>19</v>
      </c>
      <c r="J254" s="129" t="s">
        <v>193</v>
      </c>
      <c r="K254" s="127">
        <v>140</v>
      </c>
      <c r="L254" s="103">
        <v>214.03299999999999</v>
      </c>
      <c r="M254" s="128">
        <f t="shared" si="31"/>
        <v>-74.032999999999987</v>
      </c>
      <c r="N254" s="94">
        <f t="shared" si="32"/>
        <v>1.5288071428571428</v>
      </c>
    </row>
    <row r="255" spans="1:16" ht="15" customHeight="1">
      <c r="A255" s="129" t="s">
        <v>423</v>
      </c>
      <c r="B255" s="129" t="s">
        <v>293</v>
      </c>
      <c r="C255" s="91">
        <v>44273</v>
      </c>
      <c r="D255" s="129">
        <v>809</v>
      </c>
      <c r="E255" s="129" t="s">
        <v>294</v>
      </c>
      <c r="F255" s="129" t="s">
        <v>297</v>
      </c>
      <c r="G255" s="99" t="s">
        <v>426</v>
      </c>
      <c r="H255" s="99">
        <v>954711</v>
      </c>
      <c r="I255" s="109">
        <v>38</v>
      </c>
      <c r="J255" s="129" t="s">
        <v>192</v>
      </c>
      <c r="K255" s="127">
        <v>88</v>
      </c>
      <c r="L255" s="103">
        <v>46.451000000000001</v>
      </c>
      <c r="M255" s="128">
        <f t="shared" si="31"/>
        <v>41.548999999999999</v>
      </c>
      <c r="N255" s="94">
        <f t="shared" si="32"/>
        <v>0.52785227272727275</v>
      </c>
      <c r="O255" s="116">
        <f t="shared" ref="O255" si="37">M255+M256</f>
        <v>1.5000000000007674E-2</v>
      </c>
    </row>
    <row r="256" spans="1:16" ht="15" customHeight="1">
      <c r="A256" s="129" t="s">
        <v>423</v>
      </c>
      <c r="B256" s="129" t="s">
        <v>293</v>
      </c>
      <c r="C256" s="91">
        <v>44273</v>
      </c>
      <c r="D256" s="129">
        <v>809</v>
      </c>
      <c r="E256" s="129" t="s">
        <v>294</v>
      </c>
      <c r="F256" s="129" t="s">
        <v>297</v>
      </c>
      <c r="G256" s="129" t="s">
        <v>426</v>
      </c>
      <c r="H256" s="129">
        <v>954711</v>
      </c>
      <c r="I256" s="109">
        <v>38</v>
      </c>
      <c r="J256" s="129" t="s">
        <v>193</v>
      </c>
      <c r="K256" s="127">
        <v>112</v>
      </c>
      <c r="L256" s="103">
        <v>153.53399999999999</v>
      </c>
      <c r="M256" s="128">
        <f t="shared" si="31"/>
        <v>-41.533999999999992</v>
      </c>
      <c r="N256" s="94">
        <f t="shared" si="32"/>
        <v>1.3708392857142857</v>
      </c>
    </row>
    <row r="257" spans="1:16" ht="15" customHeight="1">
      <c r="A257" s="129" t="s">
        <v>423</v>
      </c>
      <c r="B257" s="129" t="s">
        <v>293</v>
      </c>
      <c r="C257" s="91">
        <v>44273</v>
      </c>
      <c r="D257" s="129">
        <v>809</v>
      </c>
      <c r="E257" s="129" t="s">
        <v>294</v>
      </c>
      <c r="F257" s="129" t="s">
        <v>297</v>
      </c>
      <c r="G257" s="99" t="s">
        <v>427</v>
      </c>
      <c r="H257" s="99">
        <v>968833</v>
      </c>
      <c r="I257" s="109">
        <v>19</v>
      </c>
      <c r="J257" s="129" t="s">
        <v>192</v>
      </c>
      <c r="K257" s="127">
        <v>132</v>
      </c>
      <c r="L257" s="103">
        <v>106.339</v>
      </c>
      <c r="M257" s="128">
        <f t="shared" si="31"/>
        <v>25.661000000000001</v>
      </c>
      <c r="N257" s="94">
        <f t="shared" si="32"/>
        <v>0.80559848484848484</v>
      </c>
      <c r="O257" s="116">
        <f t="shared" ref="O257" si="38">M257+M258</f>
        <v>0</v>
      </c>
    </row>
    <row r="258" spans="1:16" ht="15" customHeight="1">
      <c r="A258" s="129" t="s">
        <v>423</v>
      </c>
      <c r="B258" s="129" t="s">
        <v>293</v>
      </c>
      <c r="C258" s="91">
        <v>44273</v>
      </c>
      <c r="D258" s="129">
        <v>809</v>
      </c>
      <c r="E258" s="129" t="s">
        <v>294</v>
      </c>
      <c r="F258" s="129" t="s">
        <v>297</v>
      </c>
      <c r="G258" s="129" t="s">
        <v>427</v>
      </c>
      <c r="H258" s="129">
        <v>968833</v>
      </c>
      <c r="I258" s="109">
        <v>19</v>
      </c>
      <c r="J258" s="129" t="s">
        <v>193</v>
      </c>
      <c r="K258" s="127">
        <v>168</v>
      </c>
      <c r="L258" s="103">
        <v>193.661</v>
      </c>
      <c r="M258" s="128">
        <f t="shared" si="31"/>
        <v>-25.661000000000001</v>
      </c>
      <c r="N258" s="94">
        <f t="shared" si="32"/>
        <v>1.1527440476190476</v>
      </c>
    </row>
    <row r="259" spans="1:16" ht="15" customHeight="1">
      <c r="A259" s="129" t="s">
        <v>423</v>
      </c>
      <c r="B259" s="129" t="s">
        <v>293</v>
      </c>
      <c r="C259" s="91">
        <v>44273</v>
      </c>
      <c r="D259" s="129">
        <v>809</v>
      </c>
      <c r="E259" s="129" t="s">
        <v>294</v>
      </c>
      <c r="F259" s="129" t="s">
        <v>297</v>
      </c>
      <c r="G259" s="99" t="s">
        <v>416</v>
      </c>
      <c r="H259" s="99">
        <v>951259</v>
      </c>
      <c r="I259" s="109">
        <v>36</v>
      </c>
      <c r="J259" s="129" t="s">
        <v>192</v>
      </c>
      <c r="K259" s="127">
        <v>176</v>
      </c>
      <c r="L259" s="103">
        <v>316.92700000000002</v>
      </c>
      <c r="M259" s="128">
        <f t="shared" si="31"/>
        <v>-140.92700000000002</v>
      </c>
      <c r="N259" s="94">
        <f t="shared" si="32"/>
        <v>1.800721590909091</v>
      </c>
      <c r="O259" s="116">
        <f t="shared" ref="O259" si="39">M259+M260</f>
        <v>0</v>
      </c>
    </row>
    <row r="260" spans="1:16" ht="15" customHeight="1">
      <c r="A260" s="129" t="s">
        <v>423</v>
      </c>
      <c r="B260" s="129" t="s">
        <v>293</v>
      </c>
      <c r="C260" s="91">
        <v>44273</v>
      </c>
      <c r="D260" s="129">
        <v>809</v>
      </c>
      <c r="E260" s="129" t="s">
        <v>294</v>
      </c>
      <c r="F260" s="129" t="s">
        <v>297</v>
      </c>
      <c r="G260" s="129" t="s">
        <v>416</v>
      </c>
      <c r="H260" s="129">
        <v>951259</v>
      </c>
      <c r="I260" s="109">
        <v>36</v>
      </c>
      <c r="J260" s="129" t="s">
        <v>193</v>
      </c>
      <c r="K260" s="127">
        <v>224</v>
      </c>
      <c r="L260" s="103">
        <v>83.072999999999993</v>
      </c>
      <c r="M260" s="128">
        <f t="shared" si="31"/>
        <v>140.92700000000002</v>
      </c>
      <c r="N260" s="94">
        <f t="shared" si="32"/>
        <v>0.3708616071428571</v>
      </c>
    </row>
    <row r="261" spans="1:16" ht="15" customHeight="1">
      <c r="A261" s="129" t="s">
        <v>423</v>
      </c>
      <c r="B261" s="129" t="s">
        <v>293</v>
      </c>
      <c r="C261" s="91">
        <v>44273</v>
      </c>
      <c r="D261" s="129">
        <v>809</v>
      </c>
      <c r="E261" s="129" t="s">
        <v>294</v>
      </c>
      <c r="F261" s="129" t="s">
        <v>297</v>
      </c>
      <c r="G261" s="99" t="s">
        <v>396</v>
      </c>
      <c r="H261" s="99">
        <v>959370</v>
      </c>
      <c r="I261" s="109">
        <v>19</v>
      </c>
      <c r="J261" s="129" t="s">
        <v>192</v>
      </c>
      <c r="K261" s="127">
        <v>110</v>
      </c>
      <c r="L261" s="103">
        <v>95.734999999999999</v>
      </c>
      <c r="M261" s="128">
        <f t="shared" si="31"/>
        <v>14.265000000000001</v>
      </c>
      <c r="N261" s="94">
        <f t="shared" si="32"/>
        <v>0.87031818181818177</v>
      </c>
      <c r="O261" s="116">
        <f t="shared" ref="O261" si="40">M261+M262</f>
        <v>1.4210854715202004E-14</v>
      </c>
    </row>
    <row r="262" spans="1:16" ht="15" customHeight="1">
      <c r="A262" s="129" t="s">
        <v>423</v>
      </c>
      <c r="B262" s="129" t="s">
        <v>293</v>
      </c>
      <c r="C262" s="91">
        <v>44273</v>
      </c>
      <c r="D262" s="129">
        <v>809</v>
      </c>
      <c r="E262" s="129" t="s">
        <v>294</v>
      </c>
      <c r="F262" s="129" t="s">
        <v>297</v>
      </c>
      <c r="G262" s="129" t="s">
        <v>396</v>
      </c>
      <c r="H262" s="129">
        <v>959370</v>
      </c>
      <c r="I262" s="109">
        <v>19</v>
      </c>
      <c r="J262" s="129" t="s">
        <v>193</v>
      </c>
      <c r="K262" s="127">
        <v>140</v>
      </c>
      <c r="L262" s="103">
        <v>154.26499999999999</v>
      </c>
      <c r="M262" s="128">
        <f t="shared" si="31"/>
        <v>-14.264999999999986</v>
      </c>
      <c r="N262" s="94">
        <f t="shared" si="32"/>
        <v>1.101892857142857</v>
      </c>
    </row>
    <row r="263" spans="1:16" ht="15" customHeight="1">
      <c r="A263" s="129" t="s">
        <v>423</v>
      </c>
      <c r="B263" s="129" t="s">
        <v>293</v>
      </c>
      <c r="C263" s="91">
        <v>44273</v>
      </c>
      <c r="D263" s="129">
        <v>809</v>
      </c>
      <c r="E263" s="129" t="s">
        <v>294</v>
      </c>
      <c r="F263" s="129" t="s">
        <v>297</v>
      </c>
      <c r="G263" s="99" t="s">
        <v>428</v>
      </c>
      <c r="H263" s="99">
        <v>910708</v>
      </c>
      <c r="I263" s="109">
        <v>21</v>
      </c>
      <c r="J263" s="129" t="s">
        <v>192</v>
      </c>
      <c r="K263" s="127">
        <v>57</v>
      </c>
      <c r="L263" s="103">
        <v>57</v>
      </c>
      <c r="M263" s="128">
        <f t="shared" si="31"/>
        <v>0</v>
      </c>
      <c r="N263" s="94">
        <f t="shared" si="32"/>
        <v>1</v>
      </c>
      <c r="O263" s="214">
        <f t="shared" ref="O263" si="41">M263+M264</f>
        <v>-0.16400000000000148</v>
      </c>
      <c r="P263" s="213" t="s">
        <v>754</v>
      </c>
    </row>
    <row r="264" spans="1:16" ht="15" customHeight="1">
      <c r="A264" s="129" t="s">
        <v>423</v>
      </c>
      <c r="B264" s="129" t="s">
        <v>293</v>
      </c>
      <c r="C264" s="91">
        <v>44273</v>
      </c>
      <c r="D264" s="129">
        <v>809</v>
      </c>
      <c r="E264" s="129" t="s">
        <v>294</v>
      </c>
      <c r="F264" s="129" t="s">
        <v>297</v>
      </c>
      <c r="G264" s="129" t="s">
        <v>428</v>
      </c>
      <c r="H264" s="129">
        <v>910708</v>
      </c>
      <c r="I264" s="109">
        <v>21</v>
      </c>
      <c r="J264" s="129" t="s">
        <v>193</v>
      </c>
      <c r="K264" s="127">
        <v>73</v>
      </c>
      <c r="L264" s="103">
        <v>73.164000000000001</v>
      </c>
      <c r="M264" s="128">
        <f t="shared" si="31"/>
        <v>-0.16400000000000148</v>
      </c>
      <c r="N264" s="94">
        <f t="shared" si="32"/>
        <v>1.0022465753424659</v>
      </c>
    </row>
    <row r="265" spans="1:16" ht="15" customHeight="1">
      <c r="A265" s="129" t="s">
        <v>423</v>
      </c>
      <c r="B265" s="129" t="s">
        <v>293</v>
      </c>
      <c r="C265" s="91">
        <v>44273</v>
      </c>
      <c r="D265" s="129">
        <v>809</v>
      </c>
      <c r="E265" s="129" t="s">
        <v>294</v>
      </c>
      <c r="F265" s="129" t="s">
        <v>297</v>
      </c>
      <c r="G265" s="99" t="s">
        <v>418</v>
      </c>
      <c r="H265" s="99">
        <v>953832</v>
      </c>
      <c r="I265" s="109">
        <v>19</v>
      </c>
      <c r="J265" s="129" t="s">
        <v>192</v>
      </c>
      <c r="K265" s="127">
        <v>70</v>
      </c>
      <c r="L265" s="103">
        <v>29.366</v>
      </c>
      <c r="M265" s="128">
        <f t="shared" si="31"/>
        <v>40.634</v>
      </c>
      <c r="N265" s="94">
        <f t="shared" si="32"/>
        <v>0.41951428571428573</v>
      </c>
      <c r="O265" s="116">
        <f t="shared" ref="O265" si="42">M265+M266</f>
        <v>0</v>
      </c>
    </row>
    <row r="266" spans="1:16" ht="15" customHeight="1">
      <c r="A266" s="129" t="s">
        <v>423</v>
      </c>
      <c r="B266" s="129" t="s">
        <v>293</v>
      </c>
      <c r="C266" s="91">
        <v>44273</v>
      </c>
      <c r="D266" s="129">
        <v>809</v>
      </c>
      <c r="E266" s="129" t="s">
        <v>294</v>
      </c>
      <c r="F266" s="129" t="s">
        <v>297</v>
      </c>
      <c r="G266" s="129" t="s">
        <v>418</v>
      </c>
      <c r="H266" s="129">
        <v>953832</v>
      </c>
      <c r="I266" s="109">
        <v>19</v>
      </c>
      <c r="J266" s="129" t="s">
        <v>193</v>
      </c>
      <c r="K266" s="127">
        <v>90</v>
      </c>
      <c r="L266" s="103">
        <v>130.63399999999999</v>
      </c>
      <c r="M266" s="128">
        <f t="shared" si="31"/>
        <v>-40.633999999999986</v>
      </c>
      <c r="N266" s="94">
        <f t="shared" si="32"/>
        <v>1.4514888888888888</v>
      </c>
    </row>
    <row r="267" spans="1:16" ht="15" customHeight="1">
      <c r="A267" s="129" t="s">
        <v>423</v>
      </c>
      <c r="B267" s="129" t="s">
        <v>293</v>
      </c>
      <c r="C267" s="91">
        <v>44273</v>
      </c>
      <c r="D267" s="129">
        <v>809</v>
      </c>
      <c r="E267" s="129" t="s">
        <v>294</v>
      </c>
      <c r="F267" s="129" t="s">
        <v>297</v>
      </c>
      <c r="G267" s="99" t="s">
        <v>429</v>
      </c>
      <c r="H267" s="99">
        <v>922515</v>
      </c>
      <c r="I267" s="109">
        <v>61</v>
      </c>
      <c r="J267" s="129" t="s">
        <v>192</v>
      </c>
      <c r="K267" s="127">
        <v>110</v>
      </c>
      <c r="L267" s="103">
        <v>22.524999999999999</v>
      </c>
      <c r="M267" s="128">
        <f t="shared" si="31"/>
        <v>87.474999999999994</v>
      </c>
      <c r="N267" s="94">
        <f t="shared" si="32"/>
        <v>0.20477272727272727</v>
      </c>
      <c r="O267" s="116">
        <f t="shared" ref="O267" si="43">M267+M268</f>
        <v>0</v>
      </c>
    </row>
    <row r="268" spans="1:16" ht="15" customHeight="1">
      <c r="A268" s="129" t="s">
        <v>423</v>
      </c>
      <c r="B268" s="129" t="s">
        <v>293</v>
      </c>
      <c r="C268" s="91">
        <v>44273</v>
      </c>
      <c r="D268" s="129">
        <v>809</v>
      </c>
      <c r="E268" s="129" t="s">
        <v>294</v>
      </c>
      <c r="F268" s="129" t="s">
        <v>297</v>
      </c>
      <c r="G268" s="129" t="s">
        <v>429</v>
      </c>
      <c r="H268" s="129">
        <v>922515</v>
      </c>
      <c r="I268" s="109">
        <v>61</v>
      </c>
      <c r="J268" s="129" t="s">
        <v>193</v>
      </c>
      <c r="K268" s="127">
        <v>140</v>
      </c>
      <c r="L268" s="103">
        <v>227.47499999999999</v>
      </c>
      <c r="M268" s="128">
        <f t="shared" si="31"/>
        <v>-87.474999999999994</v>
      </c>
      <c r="N268" s="94">
        <f t="shared" si="32"/>
        <v>1.6248214285714286</v>
      </c>
    </row>
    <row r="269" spans="1:16" ht="15" customHeight="1">
      <c r="A269" s="129" t="s">
        <v>423</v>
      </c>
      <c r="B269" s="129" t="s">
        <v>293</v>
      </c>
      <c r="C269" s="91">
        <v>44273</v>
      </c>
      <c r="D269" s="129">
        <v>809</v>
      </c>
      <c r="E269" s="129" t="s">
        <v>294</v>
      </c>
      <c r="F269" s="129" t="s">
        <v>297</v>
      </c>
      <c r="G269" s="99" t="s">
        <v>430</v>
      </c>
      <c r="H269" s="99">
        <v>955588</v>
      </c>
      <c r="I269" s="109">
        <v>31</v>
      </c>
      <c r="J269" s="129" t="s">
        <v>192</v>
      </c>
      <c r="K269" s="127">
        <v>57</v>
      </c>
      <c r="L269" s="103">
        <v>28.925999999999998</v>
      </c>
      <c r="M269" s="128">
        <f t="shared" ref="M269:M300" si="44">K269-L269</f>
        <v>28.074000000000002</v>
      </c>
      <c r="N269" s="94">
        <f t="shared" ref="N269:N300" si="45">L269/K269</f>
        <v>0.5074736842105263</v>
      </c>
      <c r="O269" s="116">
        <f t="shared" ref="O269" si="46">M269+M270</f>
        <v>0</v>
      </c>
    </row>
    <row r="270" spans="1:16" ht="15" customHeight="1">
      <c r="A270" s="129" t="s">
        <v>423</v>
      </c>
      <c r="B270" s="129" t="s">
        <v>293</v>
      </c>
      <c r="C270" s="91">
        <v>44273</v>
      </c>
      <c r="D270" s="129">
        <v>809</v>
      </c>
      <c r="E270" s="129" t="s">
        <v>294</v>
      </c>
      <c r="F270" s="129" t="s">
        <v>297</v>
      </c>
      <c r="G270" s="129" t="s">
        <v>430</v>
      </c>
      <c r="H270" s="129">
        <v>955588</v>
      </c>
      <c r="I270" s="109">
        <v>31</v>
      </c>
      <c r="J270" s="129" t="s">
        <v>193</v>
      </c>
      <c r="K270" s="127">
        <v>73</v>
      </c>
      <c r="L270" s="103">
        <v>101.074</v>
      </c>
      <c r="M270" s="128">
        <f t="shared" si="44"/>
        <v>-28.073999999999998</v>
      </c>
      <c r="N270" s="94">
        <f t="shared" si="45"/>
        <v>1.3845753424657534</v>
      </c>
    </row>
    <row r="271" spans="1:16" ht="15" customHeight="1">
      <c r="A271" s="129" t="s">
        <v>423</v>
      </c>
      <c r="B271" s="129" t="s">
        <v>293</v>
      </c>
      <c r="C271" s="91">
        <v>44273</v>
      </c>
      <c r="D271" s="129">
        <v>809</v>
      </c>
      <c r="E271" s="129" t="s">
        <v>294</v>
      </c>
      <c r="F271" s="129" t="s">
        <v>297</v>
      </c>
      <c r="G271" s="99" t="s">
        <v>431</v>
      </c>
      <c r="H271" s="99">
        <v>958198</v>
      </c>
      <c r="I271" s="109">
        <v>61</v>
      </c>
      <c r="J271" s="129" t="s">
        <v>192</v>
      </c>
      <c r="K271" s="127">
        <v>110</v>
      </c>
      <c r="L271" s="103">
        <v>175.25200000000001</v>
      </c>
      <c r="M271" s="128">
        <f t="shared" si="44"/>
        <v>-65.25200000000001</v>
      </c>
      <c r="N271" s="94">
        <f t="shared" si="45"/>
        <v>1.5932000000000002</v>
      </c>
      <c r="O271" s="116">
        <f t="shared" ref="O271" si="47">M271+M272</f>
        <v>0</v>
      </c>
    </row>
    <row r="272" spans="1:16" ht="15" customHeight="1">
      <c r="A272" s="129" t="s">
        <v>423</v>
      </c>
      <c r="B272" s="129" t="s">
        <v>293</v>
      </c>
      <c r="C272" s="91">
        <v>44273</v>
      </c>
      <c r="D272" s="129">
        <v>809</v>
      </c>
      <c r="E272" s="129" t="s">
        <v>294</v>
      </c>
      <c r="F272" s="129" t="s">
        <v>297</v>
      </c>
      <c r="G272" s="129" t="s">
        <v>431</v>
      </c>
      <c r="H272" s="129">
        <v>958198</v>
      </c>
      <c r="I272" s="109">
        <v>61</v>
      </c>
      <c r="J272" s="129" t="s">
        <v>193</v>
      </c>
      <c r="K272" s="127">
        <v>140</v>
      </c>
      <c r="L272" s="103">
        <v>74.748000000000005</v>
      </c>
      <c r="M272" s="128">
        <f t="shared" si="44"/>
        <v>65.251999999999995</v>
      </c>
      <c r="N272" s="94">
        <f t="shared" si="45"/>
        <v>0.53391428571428579</v>
      </c>
    </row>
    <row r="273" spans="1:15" ht="15" customHeight="1">
      <c r="A273" s="129" t="s">
        <v>423</v>
      </c>
      <c r="B273" s="129" t="s">
        <v>293</v>
      </c>
      <c r="C273" s="91">
        <v>44273</v>
      </c>
      <c r="D273" s="129">
        <v>809</v>
      </c>
      <c r="E273" s="129" t="s">
        <v>294</v>
      </c>
      <c r="F273" s="129" t="s">
        <v>297</v>
      </c>
      <c r="G273" s="99" t="s">
        <v>432</v>
      </c>
      <c r="H273" s="99">
        <v>955486</v>
      </c>
      <c r="I273" s="109">
        <v>38</v>
      </c>
      <c r="J273" s="129" t="s">
        <v>192</v>
      </c>
      <c r="K273" s="127">
        <v>176</v>
      </c>
      <c r="L273" s="103">
        <v>109.93600000000001</v>
      </c>
      <c r="M273" s="128">
        <f t="shared" si="44"/>
        <v>66.063999999999993</v>
      </c>
      <c r="N273" s="94">
        <f t="shared" si="45"/>
        <v>0.62463636363636366</v>
      </c>
      <c r="O273" s="116">
        <f t="shared" ref="O273" si="48">M273+M274</f>
        <v>0</v>
      </c>
    </row>
    <row r="274" spans="1:15" ht="15" customHeight="1">
      <c r="A274" s="129" t="s">
        <v>423</v>
      </c>
      <c r="B274" s="129" t="s">
        <v>293</v>
      </c>
      <c r="C274" s="91">
        <v>44273</v>
      </c>
      <c r="D274" s="129">
        <v>809</v>
      </c>
      <c r="E274" s="129" t="s">
        <v>294</v>
      </c>
      <c r="F274" s="129" t="s">
        <v>297</v>
      </c>
      <c r="G274" s="129" t="s">
        <v>432</v>
      </c>
      <c r="H274" s="129">
        <v>955486</v>
      </c>
      <c r="I274" s="109">
        <v>38</v>
      </c>
      <c r="J274" s="129" t="s">
        <v>193</v>
      </c>
      <c r="K274" s="127">
        <v>224</v>
      </c>
      <c r="L274" s="103">
        <v>290.06400000000002</v>
      </c>
      <c r="M274" s="128">
        <f t="shared" si="44"/>
        <v>-66.064000000000021</v>
      </c>
      <c r="N274" s="94">
        <f t="shared" si="45"/>
        <v>1.2949285714285714</v>
      </c>
    </row>
    <row r="275" spans="1:15" ht="15" customHeight="1">
      <c r="A275" s="129" t="s">
        <v>423</v>
      </c>
      <c r="B275" s="129" t="s">
        <v>293</v>
      </c>
      <c r="C275" s="91">
        <v>44273</v>
      </c>
      <c r="D275" s="129">
        <v>809</v>
      </c>
      <c r="E275" s="129" t="s">
        <v>294</v>
      </c>
      <c r="F275" s="129" t="s">
        <v>297</v>
      </c>
      <c r="G275" s="99" t="s">
        <v>433</v>
      </c>
      <c r="H275" s="99">
        <v>926664</v>
      </c>
      <c r="I275" s="109">
        <v>51</v>
      </c>
      <c r="J275" s="129" t="s">
        <v>192</v>
      </c>
      <c r="K275" s="127">
        <v>176</v>
      </c>
      <c r="L275" s="103">
        <v>356.78500000000003</v>
      </c>
      <c r="M275" s="128">
        <f t="shared" si="44"/>
        <v>-180.78500000000003</v>
      </c>
      <c r="N275" s="94">
        <f t="shared" si="45"/>
        <v>2.0271875000000001</v>
      </c>
      <c r="O275" s="116">
        <f t="shared" ref="O275" si="49">M275+M276</f>
        <v>0</v>
      </c>
    </row>
    <row r="276" spans="1:15" ht="15" customHeight="1">
      <c r="A276" s="129" t="s">
        <v>423</v>
      </c>
      <c r="B276" s="129" t="s">
        <v>293</v>
      </c>
      <c r="C276" s="91">
        <v>44273</v>
      </c>
      <c r="D276" s="129">
        <v>809</v>
      </c>
      <c r="E276" s="129" t="s">
        <v>294</v>
      </c>
      <c r="F276" s="129" t="s">
        <v>297</v>
      </c>
      <c r="G276" s="129" t="s">
        <v>433</v>
      </c>
      <c r="H276" s="129">
        <v>926664</v>
      </c>
      <c r="I276" s="109">
        <v>51</v>
      </c>
      <c r="J276" s="129" t="s">
        <v>193</v>
      </c>
      <c r="K276" s="127">
        <v>224</v>
      </c>
      <c r="L276" s="103">
        <v>43.215000000000003</v>
      </c>
      <c r="M276" s="128">
        <f t="shared" si="44"/>
        <v>180.785</v>
      </c>
      <c r="N276" s="94">
        <f t="shared" si="45"/>
        <v>0.19292410714285715</v>
      </c>
    </row>
    <row r="277" spans="1:15" ht="15" customHeight="1">
      <c r="A277" s="129" t="s">
        <v>423</v>
      </c>
      <c r="B277" s="129" t="s">
        <v>293</v>
      </c>
      <c r="C277" s="91">
        <v>44273</v>
      </c>
      <c r="D277" s="129">
        <v>809</v>
      </c>
      <c r="E277" s="129" t="s">
        <v>294</v>
      </c>
      <c r="F277" s="129" t="s">
        <v>297</v>
      </c>
      <c r="G277" s="99" t="s">
        <v>394</v>
      </c>
      <c r="H277" s="99">
        <v>953964</v>
      </c>
      <c r="I277" s="109">
        <v>19</v>
      </c>
      <c r="J277" s="129" t="s">
        <v>192</v>
      </c>
      <c r="K277" s="127">
        <v>110</v>
      </c>
      <c r="L277" s="103">
        <v>74.075999999999993</v>
      </c>
      <c r="M277" s="128">
        <f t="shared" si="44"/>
        <v>35.924000000000007</v>
      </c>
      <c r="N277" s="94">
        <f t="shared" si="45"/>
        <v>0.6734181818181818</v>
      </c>
      <c r="O277" s="116">
        <f t="shared" ref="O277" si="50">M277+M278</f>
        <v>39.010000000000019</v>
      </c>
    </row>
    <row r="278" spans="1:15" ht="15" customHeight="1">
      <c r="A278" s="129" t="s">
        <v>423</v>
      </c>
      <c r="B278" s="129" t="s">
        <v>293</v>
      </c>
      <c r="C278" s="91">
        <v>44273</v>
      </c>
      <c r="D278" s="129">
        <v>809</v>
      </c>
      <c r="E278" s="129" t="s">
        <v>294</v>
      </c>
      <c r="F278" s="129" t="s">
        <v>297</v>
      </c>
      <c r="G278" s="129" t="s">
        <v>394</v>
      </c>
      <c r="H278" s="129">
        <v>953964</v>
      </c>
      <c r="I278" s="109">
        <v>19</v>
      </c>
      <c r="J278" s="129" t="s">
        <v>193</v>
      </c>
      <c r="K278" s="127">
        <v>140</v>
      </c>
      <c r="L278" s="103">
        <v>136.91399999999999</v>
      </c>
      <c r="M278" s="128">
        <f t="shared" si="44"/>
        <v>3.0860000000000127</v>
      </c>
      <c r="N278" s="94">
        <f t="shared" si="45"/>
        <v>0.97795714285714275</v>
      </c>
    </row>
    <row r="279" spans="1:15" ht="15" customHeight="1">
      <c r="A279" s="129" t="s">
        <v>423</v>
      </c>
      <c r="B279" s="129" t="s">
        <v>293</v>
      </c>
      <c r="C279" s="91">
        <v>44273</v>
      </c>
      <c r="D279" s="129">
        <v>809</v>
      </c>
      <c r="E279" s="129" t="s">
        <v>294</v>
      </c>
      <c r="F279" s="129" t="s">
        <v>297</v>
      </c>
      <c r="G279" s="99" t="s">
        <v>434</v>
      </c>
      <c r="H279" s="99">
        <v>955877</v>
      </c>
      <c r="I279" s="109">
        <v>19</v>
      </c>
      <c r="J279" s="129" t="s">
        <v>192</v>
      </c>
      <c r="K279" s="127">
        <v>110</v>
      </c>
      <c r="L279" s="103">
        <v>48.436999999999998</v>
      </c>
      <c r="M279" s="128">
        <f t="shared" si="44"/>
        <v>61.563000000000002</v>
      </c>
      <c r="N279" s="94">
        <f t="shared" si="45"/>
        <v>0.44033636363636364</v>
      </c>
      <c r="O279" s="116">
        <f t="shared" ref="O279" si="51">M279+M280</f>
        <v>0</v>
      </c>
    </row>
    <row r="280" spans="1:15" ht="15" customHeight="1">
      <c r="A280" s="129" t="s">
        <v>423</v>
      </c>
      <c r="B280" s="129" t="s">
        <v>293</v>
      </c>
      <c r="C280" s="91">
        <v>44273</v>
      </c>
      <c r="D280" s="129">
        <v>809</v>
      </c>
      <c r="E280" s="129" t="s">
        <v>294</v>
      </c>
      <c r="F280" s="129" t="s">
        <v>297</v>
      </c>
      <c r="G280" s="129" t="s">
        <v>434</v>
      </c>
      <c r="H280" s="129">
        <v>955877</v>
      </c>
      <c r="I280" s="109">
        <v>19</v>
      </c>
      <c r="J280" s="129" t="s">
        <v>193</v>
      </c>
      <c r="K280" s="127">
        <v>140</v>
      </c>
      <c r="L280" s="103">
        <v>201.56299999999999</v>
      </c>
      <c r="M280" s="128">
        <f t="shared" si="44"/>
        <v>-61.562999999999988</v>
      </c>
      <c r="N280" s="94">
        <f t="shared" si="45"/>
        <v>1.4397357142857141</v>
      </c>
    </row>
    <row r="281" spans="1:15" ht="15" customHeight="1">
      <c r="A281" s="129" t="s">
        <v>423</v>
      </c>
      <c r="B281" s="129" t="s">
        <v>293</v>
      </c>
      <c r="C281" s="91">
        <v>44273</v>
      </c>
      <c r="D281" s="129">
        <v>809</v>
      </c>
      <c r="E281" s="129" t="s">
        <v>294</v>
      </c>
      <c r="F281" s="129" t="s">
        <v>297</v>
      </c>
      <c r="G281" s="99" t="s">
        <v>393</v>
      </c>
      <c r="H281" s="99">
        <v>950991</v>
      </c>
      <c r="I281" s="109">
        <v>19</v>
      </c>
      <c r="J281" s="129" t="s">
        <v>192</v>
      </c>
      <c r="K281" s="127">
        <v>53</v>
      </c>
      <c r="L281" s="103">
        <v>41.75</v>
      </c>
      <c r="M281" s="128">
        <f t="shared" si="44"/>
        <v>11.25</v>
      </c>
      <c r="N281" s="94">
        <f t="shared" si="45"/>
        <v>0.78773584905660377</v>
      </c>
      <c r="O281" s="116">
        <f t="shared" ref="O281" si="52">M281+M282</f>
        <v>10.682000000000002</v>
      </c>
    </row>
    <row r="282" spans="1:15" ht="15" customHeight="1">
      <c r="A282" s="129" t="s">
        <v>423</v>
      </c>
      <c r="B282" s="129" t="s">
        <v>293</v>
      </c>
      <c r="C282" s="91">
        <v>44273</v>
      </c>
      <c r="D282" s="129">
        <v>809</v>
      </c>
      <c r="E282" s="129" t="s">
        <v>294</v>
      </c>
      <c r="F282" s="129" t="s">
        <v>297</v>
      </c>
      <c r="G282" s="129" t="s">
        <v>393</v>
      </c>
      <c r="H282" s="129">
        <v>950991</v>
      </c>
      <c r="I282" s="109">
        <v>19</v>
      </c>
      <c r="J282" s="129" t="s">
        <v>193</v>
      </c>
      <c r="K282" s="127">
        <v>67</v>
      </c>
      <c r="L282" s="103">
        <v>67.567999999999998</v>
      </c>
      <c r="M282" s="128">
        <f t="shared" si="44"/>
        <v>-0.56799999999999784</v>
      </c>
      <c r="N282" s="94">
        <f t="shared" si="45"/>
        <v>1.0084776119402985</v>
      </c>
    </row>
    <row r="283" spans="1:15" ht="15" customHeight="1">
      <c r="A283" s="129" t="s">
        <v>423</v>
      </c>
      <c r="B283" s="129" t="s">
        <v>293</v>
      </c>
      <c r="C283" s="91">
        <v>44273</v>
      </c>
      <c r="D283" s="129">
        <v>809</v>
      </c>
      <c r="E283" s="129" t="s">
        <v>294</v>
      </c>
      <c r="F283" s="129" t="s">
        <v>297</v>
      </c>
      <c r="G283" s="99" t="s">
        <v>291</v>
      </c>
      <c r="H283" s="99">
        <v>968160</v>
      </c>
      <c r="I283" s="109">
        <v>14</v>
      </c>
      <c r="J283" s="129" t="s">
        <v>192</v>
      </c>
      <c r="K283" s="127">
        <v>102</v>
      </c>
      <c r="L283" s="103">
        <v>114.41</v>
      </c>
      <c r="M283" s="128">
        <f t="shared" si="44"/>
        <v>-12.409999999999997</v>
      </c>
      <c r="N283" s="94">
        <f t="shared" si="45"/>
        <v>1.1216666666666666</v>
      </c>
      <c r="O283" s="116">
        <f t="shared" ref="O283" si="53">M283+M284</f>
        <v>0</v>
      </c>
    </row>
    <row r="284" spans="1:15" ht="15" customHeight="1">
      <c r="A284" s="129" t="s">
        <v>423</v>
      </c>
      <c r="B284" s="129" t="s">
        <v>293</v>
      </c>
      <c r="C284" s="91">
        <v>44273</v>
      </c>
      <c r="D284" s="129">
        <v>809</v>
      </c>
      <c r="E284" s="129" t="s">
        <v>294</v>
      </c>
      <c r="F284" s="129" t="s">
        <v>297</v>
      </c>
      <c r="G284" s="129" t="s">
        <v>291</v>
      </c>
      <c r="H284" s="129">
        <v>968160</v>
      </c>
      <c r="I284" s="109">
        <v>14</v>
      </c>
      <c r="J284" s="129" t="s">
        <v>193</v>
      </c>
      <c r="K284" s="127">
        <v>130</v>
      </c>
      <c r="L284" s="103">
        <v>117.59</v>
      </c>
      <c r="M284" s="128">
        <f t="shared" si="44"/>
        <v>12.409999999999997</v>
      </c>
      <c r="N284" s="94">
        <f t="shared" si="45"/>
        <v>0.90453846153846151</v>
      </c>
    </row>
    <row r="285" spans="1:15" ht="15" customHeight="1">
      <c r="A285" s="129" t="s">
        <v>423</v>
      </c>
      <c r="B285" s="129" t="s">
        <v>293</v>
      </c>
      <c r="C285" s="91">
        <v>44273</v>
      </c>
      <c r="D285" s="129">
        <v>809</v>
      </c>
      <c r="E285" s="129" t="s">
        <v>294</v>
      </c>
      <c r="F285" s="129" t="s">
        <v>297</v>
      </c>
      <c r="G285" s="99" t="s">
        <v>435</v>
      </c>
      <c r="H285" s="99">
        <v>951038</v>
      </c>
      <c r="I285" s="109">
        <v>19</v>
      </c>
      <c r="J285" s="129" t="s">
        <v>192</v>
      </c>
      <c r="K285" s="127">
        <v>53</v>
      </c>
      <c r="L285" s="103">
        <v>18.507000000000001</v>
      </c>
      <c r="M285" s="128">
        <f t="shared" si="44"/>
        <v>34.492999999999995</v>
      </c>
      <c r="N285" s="94">
        <f t="shared" si="45"/>
        <v>0.34918867924528307</v>
      </c>
      <c r="O285" s="116">
        <f t="shared" ref="O285" si="54">M285+M286</f>
        <v>7.5450000000000017</v>
      </c>
    </row>
    <row r="286" spans="1:15" ht="15" customHeight="1">
      <c r="A286" s="129" t="s">
        <v>423</v>
      </c>
      <c r="B286" s="129" t="s">
        <v>293</v>
      </c>
      <c r="C286" s="91">
        <v>44273</v>
      </c>
      <c r="D286" s="129">
        <v>809</v>
      </c>
      <c r="E286" s="129" t="s">
        <v>294</v>
      </c>
      <c r="F286" s="129" t="s">
        <v>297</v>
      </c>
      <c r="G286" s="129" t="s">
        <v>435</v>
      </c>
      <c r="H286" s="129">
        <v>951038</v>
      </c>
      <c r="I286" s="109">
        <v>19</v>
      </c>
      <c r="J286" s="129" t="s">
        <v>193</v>
      </c>
      <c r="K286" s="127">
        <v>67</v>
      </c>
      <c r="L286" s="103">
        <v>93.947999999999993</v>
      </c>
      <c r="M286" s="128">
        <f t="shared" si="44"/>
        <v>-26.947999999999993</v>
      </c>
      <c r="N286" s="94">
        <f t="shared" si="45"/>
        <v>1.4022089552238806</v>
      </c>
    </row>
    <row r="287" spans="1:15" ht="15" customHeight="1">
      <c r="A287" s="129" t="s">
        <v>423</v>
      </c>
      <c r="B287" s="129" t="s">
        <v>293</v>
      </c>
      <c r="C287" s="91">
        <v>44273</v>
      </c>
      <c r="D287" s="129">
        <v>809</v>
      </c>
      <c r="E287" s="129" t="s">
        <v>294</v>
      </c>
      <c r="F287" s="129" t="s">
        <v>297</v>
      </c>
      <c r="G287" s="99" t="s">
        <v>436</v>
      </c>
      <c r="H287" s="99">
        <v>964240</v>
      </c>
      <c r="I287" s="109">
        <v>19</v>
      </c>
      <c r="J287" s="129" t="s">
        <v>192</v>
      </c>
      <c r="K287" s="127">
        <v>66</v>
      </c>
      <c r="L287" s="103">
        <v>5.7830000000000004</v>
      </c>
      <c r="M287" s="128">
        <f t="shared" si="44"/>
        <v>60.216999999999999</v>
      </c>
      <c r="N287" s="94">
        <f t="shared" si="45"/>
        <v>8.7621212121212128E-2</v>
      </c>
      <c r="O287" s="116">
        <f t="shared" ref="O287" si="55">M287+M288</f>
        <v>4.1000000000011028E-2</v>
      </c>
    </row>
    <row r="288" spans="1:15" ht="15" customHeight="1">
      <c r="A288" s="129" t="s">
        <v>423</v>
      </c>
      <c r="B288" s="129" t="s">
        <v>293</v>
      </c>
      <c r="C288" s="91">
        <v>44273</v>
      </c>
      <c r="D288" s="129">
        <v>809</v>
      </c>
      <c r="E288" s="129" t="s">
        <v>294</v>
      </c>
      <c r="F288" s="129" t="s">
        <v>297</v>
      </c>
      <c r="G288" s="129" t="s">
        <v>436</v>
      </c>
      <c r="H288" s="129">
        <v>964240</v>
      </c>
      <c r="I288" s="109">
        <v>19</v>
      </c>
      <c r="J288" s="129" t="s">
        <v>193</v>
      </c>
      <c r="K288" s="127">
        <v>84</v>
      </c>
      <c r="L288" s="103">
        <v>144.17599999999999</v>
      </c>
      <c r="M288" s="128">
        <f t="shared" si="44"/>
        <v>-60.175999999999988</v>
      </c>
      <c r="N288" s="94">
        <f t="shared" si="45"/>
        <v>1.7163809523809523</v>
      </c>
    </row>
    <row r="289" spans="1:16" ht="15" customHeight="1">
      <c r="A289" s="129" t="s">
        <v>423</v>
      </c>
      <c r="B289" s="129" t="s">
        <v>293</v>
      </c>
      <c r="C289" s="91">
        <v>44273</v>
      </c>
      <c r="D289" s="129">
        <v>809</v>
      </c>
      <c r="E289" s="129" t="s">
        <v>294</v>
      </c>
      <c r="F289" s="129" t="s">
        <v>297</v>
      </c>
      <c r="G289" s="99" t="s">
        <v>437</v>
      </c>
      <c r="H289" s="99">
        <v>968770</v>
      </c>
      <c r="I289" s="109">
        <v>54</v>
      </c>
      <c r="J289" s="129" t="s">
        <v>192</v>
      </c>
      <c r="K289" s="127">
        <v>57</v>
      </c>
      <c r="L289" s="103"/>
      <c r="M289" s="128">
        <f t="shared" si="44"/>
        <v>57</v>
      </c>
      <c r="N289" s="94">
        <f t="shared" si="45"/>
        <v>0</v>
      </c>
      <c r="O289" s="116">
        <f t="shared" ref="O289" si="56">M289+M290</f>
        <v>0</v>
      </c>
    </row>
    <row r="290" spans="1:16" ht="15" customHeight="1">
      <c r="A290" s="129" t="s">
        <v>423</v>
      </c>
      <c r="B290" s="129" t="s">
        <v>293</v>
      </c>
      <c r="C290" s="91">
        <v>44273</v>
      </c>
      <c r="D290" s="129">
        <v>809</v>
      </c>
      <c r="E290" s="129" t="s">
        <v>294</v>
      </c>
      <c r="F290" s="129" t="s">
        <v>297</v>
      </c>
      <c r="G290" s="129" t="s">
        <v>437</v>
      </c>
      <c r="H290" s="129">
        <v>968770</v>
      </c>
      <c r="I290" s="109">
        <v>54</v>
      </c>
      <c r="J290" s="129" t="s">
        <v>193</v>
      </c>
      <c r="K290" s="127">
        <v>73</v>
      </c>
      <c r="L290" s="103">
        <v>130</v>
      </c>
      <c r="M290" s="128">
        <f t="shared" si="44"/>
        <v>-57</v>
      </c>
      <c r="N290" s="94">
        <f t="shared" si="45"/>
        <v>1.7808219178082192</v>
      </c>
    </row>
    <row r="291" spans="1:16" ht="15" customHeight="1">
      <c r="A291" s="129" t="s">
        <v>423</v>
      </c>
      <c r="B291" s="129" t="s">
        <v>293</v>
      </c>
      <c r="C291" s="91">
        <v>44273</v>
      </c>
      <c r="D291" s="129">
        <v>809</v>
      </c>
      <c r="E291" s="129" t="s">
        <v>294</v>
      </c>
      <c r="F291" s="129" t="s">
        <v>297</v>
      </c>
      <c r="G291" s="99" t="s">
        <v>438</v>
      </c>
      <c r="H291" s="99">
        <v>966093</v>
      </c>
      <c r="I291" s="109">
        <v>25</v>
      </c>
      <c r="J291" s="129" t="s">
        <v>192</v>
      </c>
      <c r="K291" s="127">
        <v>80</v>
      </c>
      <c r="L291" s="103">
        <v>75.638999999999996</v>
      </c>
      <c r="M291" s="128">
        <f t="shared" si="44"/>
        <v>4.3610000000000042</v>
      </c>
      <c r="N291" s="94">
        <f t="shared" si="45"/>
        <v>0.94548749999999993</v>
      </c>
      <c r="O291" s="116">
        <f t="shared" ref="O291" si="57">M291+M292</f>
        <v>0</v>
      </c>
    </row>
    <row r="292" spans="1:16" ht="15" customHeight="1">
      <c r="A292" s="129" t="s">
        <v>423</v>
      </c>
      <c r="B292" s="129" t="s">
        <v>293</v>
      </c>
      <c r="C292" s="91">
        <v>44273</v>
      </c>
      <c r="D292" s="129">
        <v>809</v>
      </c>
      <c r="E292" s="129" t="s">
        <v>294</v>
      </c>
      <c r="F292" s="129" t="s">
        <v>297</v>
      </c>
      <c r="G292" s="129" t="s">
        <v>438</v>
      </c>
      <c r="H292" s="129">
        <v>966093</v>
      </c>
      <c r="I292" s="109">
        <v>25</v>
      </c>
      <c r="J292" s="129" t="s">
        <v>193</v>
      </c>
      <c r="K292" s="127">
        <v>100</v>
      </c>
      <c r="L292" s="103">
        <v>104.361</v>
      </c>
      <c r="M292" s="128">
        <f t="shared" si="44"/>
        <v>-4.3610000000000042</v>
      </c>
      <c r="N292" s="94">
        <f t="shared" si="45"/>
        <v>1.0436100000000001</v>
      </c>
    </row>
    <row r="293" spans="1:16" ht="15" customHeight="1">
      <c r="A293" s="129" t="s">
        <v>423</v>
      </c>
      <c r="B293" s="129" t="s">
        <v>293</v>
      </c>
      <c r="C293" s="91">
        <v>44273</v>
      </c>
      <c r="D293" s="129">
        <v>809</v>
      </c>
      <c r="E293" s="129" t="s">
        <v>294</v>
      </c>
      <c r="F293" s="129" t="s">
        <v>297</v>
      </c>
      <c r="G293" s="99" t="s">
        <v>439</v>
      </c>
      <c r="H293" s="99">
        <v>968710</v>
      </c>
      <c r="I293" s="109">
        <v>50</v>
      </c>
      <c r="J293" s="129" t="s">
        <v>192</v>
      </c>
      <c r="K293" s="127">
        <v>176</v>
      </c>
      <c r="L293" s="103">
        <v>258.21800000000002</v>
      </c>
      <c r="M293" s="128">
        <f t="shared" si="44"/>
        <v>-82.218000000000018</v>
      </c>
      <c r="N293" s="94">
        <f t="shared" si="45"/>
        <v>1.4671477272727274</v>
      </c>
      <c r="O293" s="116">
        <f t="shared" ref="O293" si="58">M293+M294</f>
        <v>0</v>
      </c>
    </row>
    <row r="294" spans="1:16" ht="15" customHeight="1">
      <c r="A294" s="129" t="s">
        <v>423</v>
      </c>
      <c r="B294" s="129" t="s">
        <v>293</v>
      </c>
      <c r="C294" s="91">
        <v>44273</v>
      </c>
      <c r="D294" s="129">
        <v>809</v>
      </c>
      <c r="E294" s="129" t="s">
        <v>294</v>
      </c>
      <c r="F294" s="129" t="s">
        <v>297</v>
      </c>
      <c r="G294" s="129" t="s">
        <v>439</v>
      </c>
      <c r="H294" s="129">
        <v>968710</v>
      </c>
      <c r="I294" s="109">
        <v>50</v>
      </c>
      <c r="J294" s="129" t="s">
        <v>193</v>
      </c>
      <c r="K294" s="127">
        <v>224</v>
      </c>
      <c r="L294" s="103">
        <v>141.78200000000001</v>
      </c>
      <c r="M294" s="128">
        <f t="shared" si="44"/>
        <v>82.217999999999989</v>
      </c>
      <c r="N294" s="94">
        <f t="shared" si="45"/>
        <v>0.63295535714285722</v>
      </c>
    </row>
    <row r="295" spans="1:16" ht="15" customHeight="1">
      <c r="A295" s="129" t="s">
        <v>423</v>
      </c>
      <c r="B295" s="129" t="s">
        <v>293</v>
      </c>
      <c r="C295" s="91">
        <v>44273</v>
      </c>
      <c r="D295" s="129">
        <v>809</v>
      </c>
      <c r="E295" s="129" t="s">
        <v>294</v>
      </c>
      <c r="F295" s="129" t="s">
        <v>297</v>
      </c>
      <c r="G295" s="99" t="s">
        <v>440</v>
      </c>
      <c r="H295" s="99">
        <v>968805</v>
      </c>
      <c r="I295" s="109">
        <v>29</v>
      </c>
      <c r="J295" s="129" t="s">
        <v>192</v>
      </c>
      <c r="K295" s="127">
        <v>110</v>
      </c>
      <c r="L295" s="103">
        <v>164.874</v>
      </c>
      <c r="M295" s="128">
        <f t="shared" si="44"/>
        <v>-54.873999999999995</v>
      </c>
      <c r="N295" s="94">
        <f t="shared" si="45"/>
        <v>1.4988545454545454</v>
      </c>
      <c r="O295" s="209">
        <f t="shared" ref="O295" si="59">M295+M296</f>
        <v>-52.621999999999986</v>
      </c>
      <c r="P295" s="90" t="s">
        <v>755</v>
      </c>
    </row>
    <row r="296" spans="1:16" ht="15" customHeight="1">
      <c r="A296" s="129" t="s">
        <v>423</v>
      </c>
      <c r="B296" s="129" t="s">
        <v>293</v>
      </c>
      <c r="C296" s="91">
        <v>44273</v>
      </c>
      <c r="D296" s="129">
        <v>809</v>
      </c>
      <c r="E296" s="129" t="s">
        <v>294</v>
      </c>
      <c r="F296" s="129" t="s">
        <v>297</v>
      </c>
      <c r="G296" s="129" t="s">
        <v>440</v>
      </c>
      <c r="H296" s="129">
        <v>968805</v>
      </c>
      <c r="I296" s="109">
        <v>29</v>
      </c>
      <c r="J296" s="129" t="s">
        <v>193</v>
      </c>
      <c r="K296" s="127">
        <v>140</v>
      </c>
      <c r="L296" s="103">
        <v>137.74799999999999</v>
      </c>
      <c r="M296" s="128">
        <f t="shared" si="44"/>
        <v>2.2520000000000095</v>
      </c>
      <c r="N296" s="94">
        <f t="shared" si="45"/>
        <v>0.98391428571428563</v>
      </c>
    </row>
    <row r="297" spans="1:16" ht="15" customHeight="1">
      <c r="A297" s="129" t="s">
        <v>423</v>
      </c>
      <c r="B297" s="129" t="s">
        <v>293</v>
      </c>
      <c r="C297" s="91">
        <v>44273</v>
      </c>
      <c r="D297" s="129">
        <v>809</v>
      </c>
      <c r="E297" s="129" t="s">
        <v>294</v>
      </c>
      <c r="F297" s="129" t="s">
        <v>297</v>
      </c>
      <c r="G297" s="99" t="s">
        <v>441</v>
      </c>
      <c r="H297" s="99">
        <v>956608</v>
      </c>
      <c r="I297" s="109">
        <v>52</v>
      </c>
      <c r="J297" s="129" t="s">
        <v>192</v>
      </c>
      <c r="K297" s="127">
        <v>220</v>
      </c>
      <c r="L297" s="103">
        <v>230.16499999999999</v>
      </c>
      <c r="M297" s="128">
        <f t="shared" si="44"/>
        <v>-10.164999999999992</v>
      </c>
      <c r="N297" s="94">
        <f t="shared" si="45"/>
        <v>1.0462045454545454</v>
      </c>
      <c r="O297" s="116">
        <f t="shared" ref="O297" si="60">M297+M298</f>
        <v>2.8421709430404007E-14</v>
      </c>
    </row>
    <row r="298" spans="1:16" ht="15" customHeight="1">
      <c r="A298" s="129" t="s">
        <v>423</v>
      </c>
      <c r="B298" s="129" t="s">
        <v>293</v>
      </c>
      <c r="C298" s="91">
        <v>44273</v>
      </c>
      <c r="D298" s="129">
        <v>809</v>
      </c>
      <c r="E298" s="129" t="s">
        <v>294</v>
      </c>
      <c r="F298" s="129" t="s">
        <v>297</v>
      </c>
      <c r="G298" s="129" t="s">
        <v>441</v>
      </c>
      <c r="H298" s="129">
        <v>956608</v>
      </c>
      <c r="I298" s="109">
        <v>52</v>
      </c>
      <c r="J298" s="129" t="s">
        <v>193</v>
      </c>
      <c r="K298" s="127">
        <v>280</v>
      </c>
      <c r="L298" s="103">
        <v>269.83499999999998</v>
      </c>
      <c r="M298" s="128">
        <f t="shared" si="44"/>
        <v>10.16500000000002</v>
      </c>
      <c r="N298" s="94">
        <f t="shared" si="45"/>
        <v>0.96369642857142845</v>
      </c>
    </row>
    <row r="299" spans="1:16" ht="15" customHeight="1">
      <c r="A299" s="129" t="s">
        <v>423</v>
      </c>
      <c r="B299" s="129" t="s">
        <v>293</v>
      </c>
      <c r="C299" s="91">
        <v>44273</v>
      </c>
      <c r="D299" s="129">
        <v>809</v>
      </c>
      <c r="E299" s="129" t="s">
        <v>294</v>
      </c>
      <c r="F299" s="129" t="s">
        <v>297</v>
      </c>
      <c r="G299" s="99" t="s">
        <v>442</v>
      </c>
      <c r="H299" s="99">
        <v>968946</v>
      </c>
      <c r="I299" s="109">
        <v>19</v>
      </c>
      <c r="J299" s="129" t="s">
        <v>192</v>
      </c>
      <c r="K299" s="127">
        <v>154</v>
      </c>
      <c r="L299" s="103">
        <v>54.445</v>
      </c>
      <c r="M299" s="128">
        <f t="shared" si="44"/>
        <v>99.555000000000007</v>
      </c>
      <c r="N299" s="94">
        <f t="shared" si="45"/>
        <v>0.35353896103896104</v>
      </c>
      <c r="O299" s="116">
        <f t="shared" ref="O299" si="61">M299+M300</f>
        <v>1.5049999999999955</v>
      </c>
    </row>
    <row r="300" spans="1:16" ht="15" customHeight="1">
      <c r="A300" s="129" t="s">
        <v>423</v>
      </c>
      <c r="B300" s="129" t="s">
        <v>293</v>
      </c>
      <c r="C300" s="91">
        <v>44273</v>
      </c>
      <c r="D300" s="129">
        <v>809</v>
      </c>
      <c r="E300" s="129" t="s">
        <v>294</v>
      </c>
      <c r="F300" s="129" t="s">
        <v>297</v>
      </c>
      <c r="G300" s="129" t="s">
        <v>442</v>
      </c>
      <c r="H300" s="129">
        <v>968946</v>
      </c>
      <c r="I300" s="109">
        <v>19</v>
      </c>
      <c r="J300" s="129" t="s">
        <v>193</v>
      </c>
      <c r="K300" s="127">
        <v>196</v>
      </c>
      <c r="L300" s="103">
        <v>294.05</v>
      </c>
      <c r="M300" s="128">
        <f t="shared" si="44"/>
        <v>-98.050000000000011</v>
      </c>
      <c r="N300" s="94">
        <f t="shared" si="45"/>
        <v>1.5002551020408164</v>
      </c>
    </row>
    <row r="301" spans="1:16" ht="15" customHeight="1">
      <c r="A301" s="129" t="s">
        <v>423</v>
      </c>
      <c r="B301" s="129" t="s">
        <v>293</v>
      </c>
      <c r="C301" s="91">
        <v>44273</v>
      </c>
      <c r="D301" s="129">
        <v>809</v>
      </c>
      <c r="E301" s="129" t="s">
        <v>294</v>
      </c>
      <c r="F301" s="129" t="s">
        <v>297</v>
      </c>
      <c r="G301" s="99" t="s">
        <v>443</v>
      </c>
      <c r="H301" s="99">
        <v>968716</v>
      </c>
      <c r="I301" s="109">
        <v>55</v>
      </c>
      <c r="J301" s="129" t="s">
        <v>192</v>
      </c>
      <c r="K301" s="127">
        <v>70</v>
      </c>
      <c r="L301" s="103">
        <v>24.423999999999999</v>
      </c>
      <c r="M301" s="128">
        <f t="shared" ref="M301:M326" si="62">K301-L301</f>
        <v>45.576000000000001</v>
      </c>
      <c r="N301" s="94">
        <f t="shared" ref="N301:N326" si="63">L301/K301</f>
        <v>0.34891428571428573</v>
      </c>
      <c r="O301" s="116">
        <f t="shared" ref="O301" si="64">M301+M302</f>
        <v>0</v>
      </c>
    </row>
    <row r="302" spans="1:16" ht="15" customHeight="1">
      <c r="A302" s="129" t="s">
        <v>423</v>
      </c>
      <c r="B302" s="129" t="s">
        <v>293</v>
      </c>
      <c r="C302" s="91">
        <v>44273</v>
      </c>
      <c r="D302" s="129">
        <v>809</v>
      </c>
      <c r="E302" s="129" t="s">
        <v>294</v>
      </c>
      <c r="F302" s="129" t="s">
        <v>297</v>
      </c>
      <c r="G302" s="129" t="s">
        <v>443</v>
      </c>
      <c r="H302" s="129">
        <v>968716</v>
      </c>
      <c r="I302" s="109">
        <v>55</v>
      </c>
      <c r="J302" s="129" t="s">
        <v>193</v>
      </c>
      <c r="K302" s="127">
        <v>90</v>
      </c>
      <c r="L302" s="103">
        <v>135.57599999999999</v>
      </c>
      <c r="M302" s="128">
        <f t="shared" si="62"/>
        <v>-45.575999999999993</v>
      </c>
      <c r="N302" s="94">
        <f t="shared" si="63"/>
        <v>1.5064</v>
      </c>
    </row>
    <row r="303" spans="1:16" ht="15" customHeight="1">
      <c r="A303" s="129" t="s">
        <v>423</v>
      </c>
      <c r="B303" s="129" t="s">
        <v>293</v>
      </c>
      <c r="C303" s="91">
        <v>44273</v>
      </c>
      <c r="D303" s="129">
        <v>809</v>
      </c>
      <c r="E303" s="129" t="s">
        <v>294</v>
      </c>
      <c r="F303" s="129" t="s">
        <v>297</v>
      </c>
      <c r="G303" s="99" t="s">
        <v>444</v>
      </c>
      <c r="H303" s="99">
        <v>955420</v>
      </c>
      <c r="I303" s="109">
        <v>19</v>
      </c>
      <c r="J303" s="129" t="s">
        <v>192</v>
      </c>
      <c r="K303" s="127">
        <v>114</v>
      </c>
      <c r="L303" s="103">
        <v>108.203</v>
      </c>
      <c r="M303" s="128">
        <f t="shared" si="62"/>
        <v>5.796999999999997</v>
      </c>
      <c r="N303" s="94">
        <f t="shared" si="63"/>
        <v>0.94914912280701758</v>
      </c>
      <c r="O303" s="116">
        <f t="shared" ref="O303" si="65">M303+M304</f>
        <v>0</v>
      </c>
    </row>
    <row r="304" spans="1:16" ht="15" customHeight="1">
      <c r="A304" s="129" t="s">
        <v>423</v>
      </c>
      <c r="B304" s="129" t="s">
        <v>293</v>
      </c>
      <c r="C304" s="91">
        <v>44273</v>
      </c>
      <c r="D304" s="129">
        <v>809</v>
      </c>
      <c r="E304" s="129" t="s">
        <v>294</v>
      </c>
      <c r="F304" s="129" t="s">
        <v>297</v>
      </c>
      <c r="G304" s="129" t="s">
        <v>444</v>
      </c>
      <c r="H304" s="129">
        <v>955420</v>
      </c>
      <c r="I304" s="109">
        <v>19</v>
      </c>
      <c r="J304" s="129" t="s">
        <v>193</v>
      </c>
      <c r="K304" s="127">
        <v>146</v>
      </c>
      <c r="L304" s="103">
        <v>151.797</v>
      </c>
      <c r="M304" s="128">
        <f t="shared" si="62"/>
        <v>-5.796999999999997</v>
      </c>
      <c r="N304" s="94">
        <f t="shared" si="63"/>
        <v>1.0397054794520548</v>
      </c>
    </row>
    <row r="305" spans="1:16" ht="15" customHeight="1">
      <c r="A305" s="129" t="s">
        <v>423</v>
      </c>
      <c r="B305" s="129" t="s">
        <v>293</v>
      </c>
      <c r="C305" s="91">
        <v>44273</v>
      </c>
      <c r="D305" s="129">
        <v>809</v>
      </c>
      <c r="E305" s="129" t="s">
        <v>294</v>
      </c>
      <c r="F305" s="129" t="s">
        <v>297</v>
      </c>
      <c r="G305" s="99" t="s">
        <v>445</v>
      </c>
      <c r="H305" s="99">
        <v>902733</v>
      </c>
      <c r="I305" s="109">
        <v>52</v>
      </c>
      <c r="J305" s="129" t="s">
        <v>192</v>
      </c>
      <c r="K305" s="127">
        <v>292</v>
      </c>
      <c r="L305" s="103">
        <v>262.92099999999999</v>
      </c>
      <c r="M305" s="128">
        <f t="shared" si="62"/>
        <v>29.079000000000008</v>
      </c>
      <c r="N305" s="94">
        <f t="shared" si="63"/>
        <v>0.90041438356164383</v>
      </c>
      <c r="O305" s="116">
        <f t="shared" ref="O305" si="66">M305+M306</f>
        <v>0</v>
      </c>
    </row>
    <row r="306" spans="1:16" ht="15" customHeight="1">
      <c r="A306" s="129" t="s">
        <v>423</v>
      </c>
      <c r="B306" s="129" t="s">
        <v>293</v>
      </c>
      <c r="C306" s="91">
        <v>44273</v>
      </c>
      <c r="D306" s="129">
        <v>809</v>
      </c>
      <c r="E306" s="129" t="s">
        <v>294</v>
      </c>
      <c r="F306" s="129" t="s">
        <v>297</v>
      </c>
      <c r="G306" s="129" t="s">
        <v>445</v>
      </c>
      <c r="H306" s="129">
        <v>902733</v>
      </c>
      <c r="I306" s="109">
        <v>52</v>
      </c>
      <c r="J306" s="129" t="s">
        <v>193</v>
      </c>
      <c r="K306" s="127">
        <v>371</v>
      </c>
      <c r="L306" s="103">
        <v>400.07900000000001</v>
      </c>
      <c r="M306" s="128">
        <f t="shared" si="62"/>
        <v>-29.079000000000008</v>
      </c>
      <c r="N306" s="94">
        <f t="shared" si="63"/>
        <v>1.0783800539083559</v>
      </c>
    </row>
    <row r="307" spans="1:16" ht="15" customHeight="1">
      <c r="A307" s="129" t="s">
        <v>423</v>
      </c>
      <c r="B307" s="129" t="s">
        <v>293</v>
      </c>
      <c r="C307" s="91">
        <v>44273</v>
      </c>
      <c r="D307" s="129">
        <v>809</v>
      </c>
      <c r="E307" s="129" t="s">
        <v>294</v>
      </c>
      <c r="F307" s="129" t="s">
        <v>297</v>
      </c>
      <c r="G307" s="99" t="s">
        <v>446</v>
      </c>
      <c r="H307" s="99">
        <v>951221</v>
      </c>
      <c r="I307" s="109">
        <v>19</v>
      </c>
      <c r="J307" s="129" t="s">
        <v>192</v>
      </c>
      <c r="K307" s="127">
        <v>88</v>
      </c>
      <c r="L307" s="103">
        <v>88</v>
      </c>
      <c r="M307" s="128">
        <f t="shared" si="62"/>
        <v>0</v>
      </c>
      <c r="N307" s="94">
        <f t="shared" si="63"/>
        <v>1</v>
      </c>
      <c r="O307" s="116">
        <f t="shared" ref="O307" si="67">M307+M308</f>
        <v>0</v>
      </c>
    </row>
    <row r="308" spans="1:16" ht="15" customHeight="1">
      <c r="A308" s="129" t="s">
        <v>423</v>
      </c>
      <c r="B308" s="129" t="s">
        <v>293</v>
      </c>
      <c r="C308" s="91">
        <v>44273</v>
      </c>
      <c r="D308" s="129">
        <v>809</v>
      </c>
      <c r="E308" s="129" t="s">
        <v>294</v>
      </c>
      <c r="F308" s="129" t="s">
        <v>297</v>
      </c>
      <c r="G308" s="129" t="s">
        <v>446</v>
      </c>
      <c r="H308" s="129">
        <v>951221</v>
      </c>
      <c r="I308" s="109">
        <v>19</v>
      </c>
      <c r="J308" s="129" t="s">
        <v>193</v>
      </c>
      <c r="K308" s="127">
        <v>112</v>
      </c>
      <c r="L308" s="103">
        <v>112</v>
      </c>
      <c r="M308" s="128">
        <f t="shared" si="62"/>
        <v>0</v>
      </c>
      <c r="N308" s="94">
        <f t="shared" si="63"/>
        <v>1</v>
      </c>
    </row>
    <row r="309" spans="1:16" ht="15" customHeight="1">
      <c r="A309" s="129" t="s">
        <v>423</v>
      </c>
      <c r="B309" s="129" t="s">
        <v>293</v>
      </c>
      <c r="C309" s="91">
        <v>44273</v>
      </c>
      <c r="D309" s="129">
        <v>809</v>
      </c>
      <c r="E309" s="129" t="s">
        <v>294</v>
      </c>
      <c r="F309" s="129" t="s">
        <v>297</v>
      </c>
      <c r="G309" s="99" t="s">
        <v>447</v>
      </c>
      <c r="H309" s="99">
        <v>956244</v>
      </c>
      <c r="I309" s="109">
        <v>55</v>
      </c>
      <c r="J309" s="129" t="s">
        <v>192</v>
      </c>
      <c r="K309" s="127">
        <v>66</v>
      </c>
      <c r="L309" s="103">
        <v>4.0970000000000004</v>
      </c>
      <c r="M309" s="128">
        <f t="shared" si="62"/>
        <v>61.902999999999999</v>
      </c>
      <c r="N309" s="94">
        <f t="shared" si="63"/>
        <v>6.2075757575757583E-2</v>
      </c>
      <c r="O309" s="116">
        <f t="shared" ref="O309" si="68">M309+M310</f>
        <v>0</v>
      </c>
    </row>
    <row r="310" spans="1:16" ht="15" customHeight="1">
      <c r="A310" s="129" t="s">
        <v>423</v>
      </c>
      <c r="B310" s="129" t="s">
        <v>293</v>
      </c>
      <c r="C310" s="91">
        <v>44273</v>
      </c>
      <c r="D310" s="129">
        <v>809</v>
      </c>
      <c r="E310" s="129" t="s">
        <v>294</v>
      </c>
      <c r="F310" s="129" t="s">
        <v>297</v>
      </c>
      <c r="G310" s="129" t="s">
        <v>447</v>
      </c>
      <c r="H310" s="129">
        <v>956244</v>
      </c>
      <c r="I310" s="109">
        <v>55</v>
      </c>
      <c r="J310" s="129" t="s">
        <v>193</v>
      </c>
      <c r="K310" s="127">
        <v>84</v>
      </c>
      <c r="L310" s="103">
        <v>145.90299999999999</v>
      </c>
      <c r="M310" s="128">
        <f t="shared" si="62"/>
        <v>-61.902999999999992</v>
      </c>
      <c r="N310" s="94">
        <f t="shared" si="63"/>
        <v>1.7369404761904761</v>
      </c>
    </row>
    <row r="311" spans="1:16" ht="15" customHeight="1">
      <c r="A311" s="129" t="s">
        <v>423</v>
      </c>
      <c r="B311" s="129" t="s">
        <v>293</v>
      </c>
      <c r="C311" s="91">
        <v>44273</v>
      </c>
      <c r="D311" s="129">
        <v>809</v>
      </c>
      <c r="E311" s="129" t="s">
        <v>294</v>
      </c>
      <c r="F311" s="129" t="s">
        <v>297</v>
      </c>
      <c r="G311" s="99" t="s">
        <v>448</v>
      </c>
      <c r="H311" s="99">
        <v>968681</v>
      </c>
      <c r="I311" s="109">
        <v>21</v>
      </c>
      <c r="J311" s="129" t="s">
        <v>192</v>
      </c>
      <c r="K311" s="127">
        <v>106</v>
      </c>
      <c r="L311" s="103">
        <v>88.813000000000002</v>
      </c>
      <c r="M311" s="128">
        <f t="shared" si="62"/>
        <v>17.186999999999998</v>
      </c>
      <c r="N311" s="94">
        <f t="shared" si="63"/>
        <v>0.83785849056603778</v>
      </c>
      <c r="O311" s="116">
        <f t="shared" ref="O311" si="69">M311+M312</f>
        <v>0</v>
      </c>
    </row>
    <row r="312" spans="1:16" ht="15" customHeight="1">
      <c r="A312" s="129" t="s">
        <v>423</v>
      </c>
      <c r="B312" s="129" t="s">
        <v>293</v>
      </c>
      <c r="C312" s="91">
        <v>44273</v>
      </c>
      <c r="D312" s="129">
        <v>809</v>
      </c>
      <c r="E312" s="129" t="s">
        <v>294</v>
      </c>
      <c r="F312" s="129" t="s">
        <v>297</v>
      </c>
      <c r="G312" s="129" t="s">
        <v>448</v>
      </c>
      <c r="H312" s="129">
        <v>968681</v>
      </c>
      <c r="I312" s="109">
        <v>21</v>
      </c>
      <c r="J312" s="129" t="s">
        <v>193</v>
      </c>
      <c r="K312" s="127">
        <v>134</v>
      </c>
      <c r="L312" s="103">
        <v>151.18700000000001</v>
      </c>
      <c r="M312" s="128">
        <f t="shared" si="62"/>
        <v>-17.187000000000012</v>
      </c>
      <c r="N312" s="94">
        <f t="shared" si="63"/>
        <v>1.1282611940298508</v>
      </c>
    </row>
    <row r="313" spans="1:16" ht="15" customHeight="1">
      <c r="A313" s="129" t="s">
        <v>423</v>
      </c>
      <c r="B313" s="129" t="s">
        <v>293</v>
      </c>
      <c r="C313" s="91">
        <v>44273</v>
      </c>
      <c r="D313" s="129">
        <v>809</v>
      </c>
      <c r="E313" s="129" t="s">
        <v>294</v>
      </c>
      <c r="F313" s="129" t="s">
        <v>297</v>
      </c>
      <c r="G313" s="99" t="s">
        <v>449</v>
      </c>
      <c r="H313" s="99">
        <v>953883</v>
      </c>
      <c r="I313" s="109">
        <v>61</v>
      </c>
      <c r="J313" s="129" t="s">
        <v>192</v>
      </c>
      <c r="K313" s="127">
        <v>220</v>
      </c>
      <c r="L313" s="103">
        <v>223.24</v>
      </c>
      <c r="M313" s="128">
        <f t="shared" si="62"/>
        <v>-3.2400000000000091</v>
      </c>
      <c r="N313" s="94">
        <f t="shared" si="63"/>
        <v>1.0147272727272727</v>
      </c>
      <c r="O313" s="116">
        <f t="shared" ref="O313" si="70">M313+M314</f>
        <v>0</v>
      </c>
    </row>
    <row r="314" spans="1:16" ht="15" customHeight="1">
      <c r="A314" s="129" t="s">
        <v>423</v>
      </c>
      <c r="B314" s="129" t="s">
        <v>293</v>
      </c>
      <c r="C314" s="91">
        <v>44273</v>
      </c>
      <c r="D314" s="129">
        <v>809</v>
      </c>
      <c r="E314" s="129" t="s">
        <v>294</v>
      </c>
      <c r="F314" s="129" t="s">
        <v>297</v>
      </c>
      <c r="G314" s="129" t="s">
        <v>449</v>
      </c>
      <c r="H314" s="129">
        <v>953883</v>
      </c>
      <c r="I314" s="109">
        <v>61</v>
      </c>
      <c r="J314" s="129" t="s">
        <v>193</v>
      </c>
      <c r="K314" s="127">
        <v>280</v>
      </c>
      <c r="L314" s="103">
        <v>276.76</v>
      </c>
      <c r="M314" s="128">
        <f t="shared" si="62"/>
        <v>3.2400000000000091</v>
      </c>
      <c r="N314" s="94">
        <f t="shared" si="63"/>
        <v>0.98842857142857143</v>
      </c>
    </row>
    <row r="315" spans="1:16" ht="15" customHeight="1">
      <c r="A315" s="129" t="s">
        <v>423</v>
      </c>
      <c r="B315" s="129" t="s">
        <v>293</v>
      </c>
      <c r="C315" s="91">
        <v>44273</v>
      </c>
      <c r="D315" s="129">
        <v>809</v>
      </c>
      <c r="E315" s="129" t="s">
        <v>294</v>
      </c>
      <c r="F315" s="129" t="s">
        <v>297</v>
      </c>
      <c r="G315" s="99" t="s">
        <v>450</v>
      </c>
      <c r="H315" s="99">
        <v>961377</v>
      </c>
      <c r="I315" s="109">
        <v>19</v>
      </c>
      <c r="J315" s="129" t="s">
        <v>192</v>
      </c>
      <c r="K315" s="127">
        <v>97</v>
      </c>
      <c r="L315" s="103">
        <v>29.443000000000001</v>
      </c>
      <c r="M315" s="128">
        <f t="shared" si="62"/>
        <v>67.557000000000002</v>
      </c>
      <c r="N315" s="94">
        <f t="shared" si="63"/>
        <v>0.30353608247422681</v>
      </c>
      <c r="O315" s="116">
        <f t="shared" ref="O315" si="71">M315+M316</f>
        <v>1.0000000000000142</v>
      </c>
    </row>
    <row r="316" spans="1:16" ht="15" customHeight="1">
      <c r="A316" s="129" t="s">
        <v>423</v>
      </c>
      <c r="B316" s="129" t="s">
        <v>293</v>
      </c>
      <c r="C316" s="91">
        <v>44273</v>
      </c>
      <c r="D316" s="129">
        <v>809</v>
      </c>
      <c r="E316" s="129" t="s">
        <v>294</v>
      </c>
      <c r="F316" s="129" t="s">
        <v>297</v>
      </c>
      <c r="G316" s="129" t="s">
        <v>450</v>
      </c>
      <c r="H316" s="129">
        <v>961377</v>
      </c>
      <c r="I316" s="109">
        <v>19</v>
      </c>
      <c r="J316" s="129" t="s">
        <v>193</v>
      </c>
      <c r="K316" s="127">
        <v>123</v>
      </c>
      <c r="L316" s="103">
        <v>189.55699999999999</v>
      </c>
      <c r="M316" s="128">
        <f t="shared" si="62"/>
        <v>-66.556999999999988</v>
      </c>
      <c r="N316" s="94">
        <f t="shared" si="63"/>
        <v>1.5411138211382114</v>
      </c>
    </row>
    <row r="317" spans="1:16" ht="15" customHeight="1">
      <c r="A317" s="129" t="s">
        <v>423</v>
      </c>
      <c r="B317" s="129" t="s">
        <v>293</v>
      </c>
      <c r="C317" s="91">
        <v>44273</v>
      </c>
      <c r="D317" s="129">
        <v>809</v>
      </c>
      <c r="E317" s="129" t="s">
        <v>294</v>
      </c>
      <c r="F317" s="129" t="s">
        <v>297</v>
      </c>
      <c r="G317" s="99" t="s">
        <v>451</v>
      </c>
      <c r="H317" s="99">
        <v>966171</v>
      </c>
      <c r="I317" s="109">
        <v>53</v>
      </c>
      <c r="J317" s="129" t="s">
        <v>192</v>
      </c>
      <c r="K317" s="127">
        <v>70</v>
      </c>
      <c r="L317" s="103">
        <v>50.402999999999999</v>
      </c>
      <c r="M317" s="128">
        <f t="shared" si="62"/>
        <v>19.597000000000001</v>
      </c>
      <c r="N317" s="94">
        <f t="shared" si="63"/>
        <v>0.7200428571428571</v>
      </c>
      <c r="O317" s="116">
        <f t="shared" ref="O317" si="72">M317+M318</f>
        <v>0</v>
      </c>
    </row>
    <row r="318" spans="1:16" ht="15" customHeight="1">
      <c r="A318" s="129" t="s">
        <v>423</v>
      </c>
      <c r="B318" s="129" t="s">
        <v>293</v>
      </c>
      <c r="C318" s="91">
        <v>44273</v>
      </c>
      <c r="D318" s="129">
        <v>809</v>
      </c>
      <c r="E318" s="129" t="s">
        <v>294</v>
      </c>
      <c r="F318" s="129" t="s">
        <v>297</v>
      </c>
      <c r="G318" s="129" t="s">
        <v>451</v>
      </c>
      <c r="H318" s="129">
        <v>966171</v>
      </c>
      <c r="I318" s="109">
        <v>53</v>
      </c>
      <c r="J318" s="129" t="s">
        <v>193</v>
      </c>
      <c r="K318" s="127">
        <v>90</v>
      </c>
      <c r="L318" s="103">
        <v>109.59699999999999</v>
      </c>
      <c r="M318" s="128">
        <f t="shared" si="62"/>
        <v>-19.596999999999994</v>
      </c>
      <c r="N318" s="94">
        <f t="shared" si="63"/>
        <v>1.2177444444444443</v>
      </c>
    </row>
    <row r="319" spans="1:16" ht="15" customHeight="1">
      <c r="A319" s="129" t="s">
        <v>423</v>
      </c>
      <c r="B319" s="129" t="s">
        <v>293</v>
      </c>
      <c r="C319" s="91">
        <v>44273</v>
      </c>
      <c r="D319" s="129">
        <v>809</v>
      </c>
      <c r="E319" s="129" t="s">
        <v>294</v>
      </c>
      <c r="F319" s="129" t="s">
        <v>297</v>
      </c>
      <c r="G319" s="99" t="s">
        <v>452</v>
      </c>
      <c r="H319" s="99">
        <v>968520</v>
      </c>
      <c r="I319" s="109">
        <v>31</v>
      </c>
      <c r="J319" s="129" t="s">
        <v>192</v>
      </c>
      <c r="K319" s="127">
        <v>97</v>
      </c>
      <c r="L319" s="103">
        <v>277.90800000000002</v>
      </c>
      <c r="M319" s="128">
        <f t="shared" si="62"/>
        <v>-180.90800000000002</v>
      </c>
      <c r="N319" s="94">
        <f t="shared" si="63"/>
        <v>2.8650309278350519</v>
      </c>
      <c r="O319" s="209">
        <f t="shared" ref="O319" si="73">M319+M320</f>
        <v>-180.80700000000002</v>
      </c>
      <c r="P319" s="90" t="s">
        <v>756</v>
      </c>
    </row>
    <row r="320" spans="1:16" ht="15" customHeight="1">
      <c r="A320" s="129" t="s">
        <v>423</v>
      </c>
      <c r="B320" s="129" t="s">
        <v>293</v>
      </c>
      <c r="C320" s="91">
        <v>44273</v>
      </c>
      <c r="D320" s="129">
        <v>809</v>
      </c>
      <c r="E320" s="129" t="s">
        <v>294</v>
      </c>
      <c r="F320" s="129" t="s">
        <v>297</v>
      </c>
      <c r="G320" s="129" t="s">
        <v>452</v>
      </c>
      <c r="H320" s="129">
        <v>968520</v>
      </c>
      <c r="I320" s="109">
        <v>31</v>
      </c>
      <c r="J320" s="129" t="s">
        <v>193</v>
      </c>
      <c r="K320" s="127">
        <v>124</v>
      </c>
      <c r="L320" s="103">
        <v>123.899</v>
      </c>
      <c r="M320" s="128">
        <f t="shared" si="62"/>
        <v>0.10099999999999909</v>
      </c>
      <c r="N320" s="94">
        <f t="shared" si="63"/>
        <v>0.99918548387096773</v>
      </c>
    </row>
    <row r="321" spans="1:16" ht="15" customHeight="1">
      <c r="A321" s="129" t="s">
        <v>423</v>
      </c>
      <c r="B321" s="129" t="s">
        <v>293</v>
      </c>
      <c r="C321" s="91">
        <v>44273</v>
      </c>
      <c r="D321" s="129">
        <v>809</v>
      </c>
      <c r="E321" s="129" t="s">
        <v>294</v>
      </c>
      <c r="F321" s="129" t="s">
        <v>297</v>
      </c>
      <c r="G321" s="99" t="s">
        <v>453</v>
      </c>
      <c r="H321" s="99">
        <v>969061</v>
      </c>
      <c r="I321" s="109">
        <v>53</v>
      </c>
      <c r="J321" s="129" t="s">
        <v>192</v>
      </c>
      <c r="K321" s="127">
        <v>238</v>
      </c>
      <c r="L321" s="103">
        <v>280.30399999999997</v>
      </c>
      <c r="M321" s="128">
        <f t="shared" si="62"/>
        <v>-42.303999999999974</v>
      </c>
      <c r="N321" s="94">
        <f t="shared" si="63"/>
        <v>1.1777478991596637</v>
      </c>
      <c r="O321" s="116">
        <f t="shared" ref="O321" si="74">M321+M322</f>
        <v>0</v>
      </c>
    </row>
    <row r="322" spans="1:16" ht="15" customHeight="1">
      <c r="A322" s="129" t="s">
        <v>423</v>
      </c>
      <c r="B322" s="129" t="s">
        <v>293</v>
      </c>
      <c r="C322" s="91">
        <v>44273</v>
      </c>
      <c r="D322" s="129">
        <v>809</v>
      </c>
      <c r="E322" s="129" t="s">
        <v>294</v>
      </c>
      <c r="F322" s="129" t="s">
        <v>297</v>
      </c>
      <c r="G322" s="129" t="s">
        <v>453</v>
      </c>
      <c r="H322" s="129">
        <v>969061</v>
      </c>
      <c r="I322" s="109">
        <v>53</v>
      </c>
      <c r="J322" s="129" t="s">
        <v>193</v>
      </c>
      <c r="K322" s="127">
        <v>302</v>
      </c>
      <c r="L322" s="103">
        <v>259.69600000000003</v>
      </c>
      <c r="M322" s="128">
        <f t="shared" si="62"/>
        <v>42.303999999999974</v>
      </c>
      <c r="N322" s="94">
        <f t="shared" si="63"/>
        <v>0.85992052980132461</v>
      </c>
    </row>
    <row r="323" spans="1:16" ht="15" customHeight="1">
      <c r="A323" s="129" t="s">
        <v>423</v>
      </c>
      <c r="B323" s="129" t="s">
        <v>293</v>
      </c>
      <c r="C323" s="91">
        <v>44273</v>
      </c>
      <c r="D323" s="129">
        <v>809</v>
      </c>
      <c r="E323" s="129" t="s">
        <v>294</v>
      </c>
      <c r="F323" s="129" t="s">
        <v>297</v>
      </c>
      <c r="G323" s="99" t="s">
        <v>290</v>
      </c>
      <c r="H323" s="99">
        <v>969106</v>
      </c>
      <c r="I323" s="109">
        <v>14</v>
      </c>
      <c r="J323" s="129" t="s">
        <v>192</v>
      </c>
      <c r="K323" s="127">
        <v>106</v>
      </c>
      <c r="L323" s="103">
        <v>192.256</v>
      </c>
      <c r="M323" s="128">
        <f t="shared" si="62"/>
        <v>-86.256</v>
      </c>
      <c r="N323" s="94">
        <f t="shared" si="63"/>
        <v>1.8137358490566038</v>
      </c>
      <c r="O323" s="214">
        <f t="shared" ref="O323" si="75">M323+M324</f>
        <v>-39.287999999999997</v>
      </c>
      <c r="P323" s="213" t="s">
        <v>757</v>
      </c>
    </row>
    <row r="324" spans="1:16" ht="15" customHeight="1">
      <c r="A324" s="129" t="s">
        <v>423</v>
      </c>
      <c r="B324" s="129" t="s">
        <v>293</v>
      </c>
      <c r="C324" s="91">
        <v>44273</v>
      </c>
      <c r="D324" s="129">
        <v>809</v>
      </c>
      <c r="E324" s="129" t="s">
        <v>294</v>
      </c>
      <c r="F324" s="129" t="s">
        <v>297</v>
      </c>
      <c r="G324" s="129" t="s">
        <v>290</v>
      </c>
      <c r="H324" s="129">
        <v>969106</v>
      </c>
      <c r="I324" s="109">
        <v>14</v>
      </c>
      <c r="J324" s="129" t="s">
        <v>193</v>
      </c>
      <c r="K324" s="127">
        <v>134</v>
      </c>
      <c r="L324" s="103">
        <v>87.031999999999996</v>
      </c>
      <c r="M324" s="128">
        <f t="shared" si="62"/>
        <v>46.968000000000004</v>
      </c>
      <c r="N324" s="94">
        <f t="shared" si="63"/>
        <v>0.64949253731343282</v>
      </c>
    </row>
    <row r="325" spans="1:16" ht="15" customHeight="1">
      <c r="A325" s="129" t="s">
        <v>423</v>
      </c>
      <c r="B325" s="129" t="s">
        <v>293</v>
      </c>
      <c r="C325" s="91">
        <v>44273</v>
      </c>
      <c r="D325" s="129">
        <v>809</v>
      </c>
      <c r="E325" s="129" t="s">
        <v>294</v>
      </c>
      <c r="F325" s="129" t="s">
        <v>297</v>
      </c>
      <c r="G325" s="99" t="s">
        <v>454</v>
      </c>
      <c r="H325" s="99">
        <v>963890</v>
      </c>
      <c r="I325" s="109">
        <v>47</v>
      </c>
      <c r="J325" s="129" t="s">
        <v>192</v>
      </c>
      <c r="K325" s="127">
        <v>62</v>
      </c>
      <c r="L325" s="103">
        <v>104.27500000000001</v>
      </c>
      <c r="M325" s="128">
        <f t="shared" si="62"/>
        <v>-42.275000000000006</v>
      </c>
      <c r="N325" s="94">
        <f t="shared" si="63"/>
        <v>1.6818548387096774</v>
      </c>
      <c r="O325" s="116">
        <f t="shared" ref="O325" si="76">M325+M326</f>
        <v>26.287999999999997</v>
      </c>
    </row>
    <row r="326" spans="1:16" ht="15" customHeight="1">
      <c r="A326" s="129" t="s">
        <v>423</v>
      </c>
      <c r="B326" s="129" t="s">
        <v>293</v>
      </c>
      <c r="C326" s="91">
        <v>44273</v>
      </c>
      <c r="D326" s="129">
        <v>809</v>
      </c>
      <c r="E326" s="129" t="s">
        <v>294</v>
      </c>
      <c r="F326" s="129" t="s">
        <v>297</v>
      </c>
      <c r="G326" s="129" t="s">
        <v>454</v>
      </c>
      <c r="H326" s="129">
        <v>963890</v>
      </c>
      <c r="I326" s="109">
        <v>47</v>
      </c>
      <c r="J326" s="129" t="s">
        <v>193</v>
      </c>
      <c r="K326" s="127">
        <v>78</v>
      </c>
      <c r="L326" s="103">
        <v>9.4369999999999994</v>
      </c>
      <c r="M326" s="128">
        <f t="shared" si="62"/>
        <v>68.563000000000002</v>
      </c>
      <c r="N326" s="94">
        <f t="shared" si="63"/>
        <v>0.12098717948717948</v>
      </c>
    </row>
    <row r="327" spans="1:16" ht="15" customHeight="1">
      <c r="A327" s="129" t="s">
        <v>423</v>
      </c>
      <c r="B327" s="99" t="s">
        <v>288</v>
      </c>
      <c r="C327" s="91">
        <v>44273</v>
      </c>
      <c r="D327" s="129">
        <v>809</v>
      </c>
      <c r="E327" s="129" t="s">
        <v>294</v>
      </c>
      <c r="F327" s="129" t="s">
        <v>297</v>
      </c>
      <c r="G327" s="99" t="s">
        <v>302</v>
      </c>
      <c r="H327" s="99">
        <v>966875</v>
      </c>
      <c r="I327" s="109">
        <v>44</v>
      </c>
      <c r="J327" s="129" t="s">
        <v>192</v>
      </c>
      <c r="K327" s="282">
        <v>352</v>
      </c>
      <c r="L327" s="103"/>
      <c r="M327" s="285">
        <f>K327-(L327+L328)</f>
        <v>229.59699999999998</v>
      </c>
      <c r="N327" s="288">
        <f>(L327+L328)/K327</f>
        <v>0.34773579545454547</v>
      </c>
      <c r="O327" s="116">
        <f>M327+M329</f>
        <v>0</v>
      </c>
    </row>
    <row r="328" spans="1:16" ht="15" customHeight="1">
      <c r="A328" s="129" t="s">
        <v>423</v>
      </c>
      <c r="B328" s="129" t="s">
        <v>288</v>
      </c>
      <c r="C328" s="91">
        <v>44273</v>
      </c>
      <c r="D328" s="129">
        <v>809</v>
      </c>
      <c r="E328" s="129" t="s">
        <v>294</v>
      </c>
      <c r="F328" s="129" t="s">
        <v>297</v>
      </c>
      <c r="G328" s="129" t="s">
        <v>304</v>
      </c>
      <c r="H328" s="129">
        <v>958905</v>
      </c>
      <c r="I328" s="109">
        <v>44</v>
      </c>
      <c r="J328" s="129" t="s">
        <v>192</v>
      </c>
      <c r="K328" s="284"/>
      <c r="L328" s="103">
        <v>122.40300000000001</v>
      </c>
      <c r="M328" s="287"/>
      <c r="N328" s="290"/>
    </row>
    <row r="329" spans="1:16" ht="15" customHeight="1">
      <c r="A329" s="129" t="s">
        <v>423</v>
      </c>
      <c r="B329" s="129" t="s">
        <v>288</v>
      </c>
      <c r="C329" s="91">
        <v>44273</v>
      </c>
      <c r="D329" s="129">
        <v>809</v>
      </c>
      <c r="E329" s="129" t="s">
        <v>294</v>
      </c>
      <c r="F329" s="129" t="s">
        <v>297</v>
      </c>
      <c r="G329" s="129" t="s">
        <v>302</v>
      </c>
      <c r="H329" s="129">
        <v>966875</v>
      </c>
      <c r="I329" s="109">
        <v>44</v>
      </c>
      <c r="J329" s="129" t="s">
        <v>193</v>
      </c>
      <c r="K329" s="282">
        <v>448</v>
      </c>
      <c r="L329" s="103"/>
      <c r="M329" s="285">
        <f>K329-(L329+L330)</f>
        <v>-229.59699999999998</v>
      </c>
      <c r="N329" s="288">
        <f>(L329+L330)/K329</f>
        <v>1.5124933035714285</v>
      </c>
    </row>
    <row r="330" spans="1:16" ht="15" customHeight="1">
      <c r="A330" s="129" t="s">
        <v>423</v>
      </c>
      <c r="B330" s="129" t="s">
        <v>288</v>
      </c>
      <c r="C330" s="91">
        <v>44273</v>
      </c>
      <c r="D330" s="129">
        <v>809</v>
      </c>
      <c r="E330" s="129" t="s">
        <v>294</v>
      </c>
      <c r="F330" s="129" t="s">
        <v>297</v>
      </c>
      <c r="G330" s="99" t="s">
        <v>304</v>
      </c>
      <c r="H330" s="99">
        <v>958905</v>
      </c>
      <c r="I330" s="109">
        <v>44</v>
      </c>
      <c r="J330" s="129" t="s">
        <v>193</v>
      </c>
      <c r="K330" s="284"/>
      <c r="L330" s="103">
        <v>677.59699999999998</v>
      </c>
      <c r="M330" s="287"/>
      <c r="N330" s="290"/>
    </row>
    <row r="331" spans="1:16" ht="15" customHeight="1">
      <c r="A331" s="129" t="s">
        <v>423</v>
      </c>
      <c r="B331" s="129" t="s">
        <v>288</v>
      </c>
      <c r="C331" s="91">
        <v>44273</v>
      </c>
      <c r="D331" s="129">
        <v>809</v>
      </c>
      <c r="E331" s="129" t="s">
        <v>294</v>
      </c>
      <c r="F331" s="129" t="s">
        <v>297</v>
      </c>
      <c r="G331" s="99" t="s">
        <v>455</v>
      </c>
      <c r="H331" s="99">
        <v>922996</v>
      </c>
      <c r="I331" s="109">
        <v>22</v>
      </c>
      <c r="J331" s="129" t="s">
        <v>192</v>
      </c>
      <c r="K331" s="282">
        <v>996</v>
      </c>
      <c r="L331" s="103">
        <v>78.510999999999996</v>
      </c>
      <c r="M331" s="285">
        <f>K331-(L331+L332+L333+L334)</f>
        <v>178.74</v>
      </c>
      <c r="N331" s="288">
        <f>(L331+L332+L333+L334)/K331</f>
        <v>0.82054216867469876</v>
      </c>
      <c r="O331" s="116">
        <f>M331+M335</f>
        <v>0.90899999999987813</v>
      </c>
    </row>
    <row r="332" spans="1:16" ht="15" customHeight="1">
      <c r="A332" s="129" t="s">
        <v>423</v>
      </c>
      <c r="B332" s="129" t="s">
        <v>288</v>
      </c>
      <c r="C332" s="91">
        <v>44273</v>
      </c>
      <c r="D332" s="129">
        <v>809</v>
      </c>
      <c r="E332" s="129" t="s">
        <v>294</v>
      </c>
      <c r="F332" s="129" t="s">
        <v>297</v>
      </c>
      <c r="G332" s="129" t="s">
        <v>456</v>
      </c>
      <c r="H332" s="129">
        <v>969526</v>
      </c>
      <c r="I332" s="109">
        <v>22</v>
      </c>
      <c r="J332" s="129" t="s">
        <v>192</v>
      </c>
      <c r="K332" s="283"/>
      <c r="L332" s="103">
        <v>349.63099999999997</v>
      </c>
      <c r="M332" s="286"/>
      <c r="N332" s="289"/>
    </row>
    <row r="333" spans="1:16" ht="15" customHeight="1">
      <c r="A333" s="129" t="s">
        <v>423</v>
      </c>
      <c r="B333" s="129" t="s">
        <v>288</v>
      </c>
      <c r="C333" s="91">
        <v>44273</v>
      </c>
      <c r="D333" s="129">
        <v>809</v>
      </c>
      <c r="E333" s="129" t="s">
        <v>294</v>
      </c>
      <c r="F333" s="129" t="s">
        <v>297</v>
      </c>
      <c r="G333" s="129" t="s">
        <v>457</v>
      </c>
      <c r="H333" s="129">
        <v>968922</v>
      </c>
      <c r="I333" s="109">
        <v>22</v>
      </c>
      <c r="J333" s="129" t="s">
        <v>192</v>
      </c>
      <c r="K333" s="283"/>
      <c r="L333" s="103"/>
      <c r="M333" s="286"/>
      <c r="N333" s="289"/>
    </row>
    <row r="334" spans="1:16" ht="15" customHeight="1">
      <c r="A334" s="129" t="s">
        <v>423</v>
      </c>
      <c r="B334" s="129" t="s">
        <v>288</v>
      </c>
      <c r="C334" s="91">
        <v>44273</v>
      </c>
      <c r="D334" s="129">
        <v>809</v>
      </c>
      <c r="E334" s="129" t="s">
        <v>294</v>
      </c>
      <c r="F334" s="129" t="s">
        <v>297</v>
      </c>
      <c r="G334" s="129" t="s">
        <v>458</v>
      </c>
      <c r="H334" s="129">
        <v>926655</v>
      </c>
      <c r="I334" s="109">
        <v>22</v>
      </c>
      <c r="J334" s="129" t="s">
        <v>192</v>
      </c>
      <c r="K334" s="284"/>
      <c r="L334" s="103">
        <v>389.11799999999999</v>
      </c>
      <c r="M334" s="287"/>
      <c r="N334" s="290"/>
    </row>
    <row r="335" spans="1:16" ht="15" customHeight="1">
      <c r="A335" s="129" t="s">
        <v>423</v>
      </c>
      <c r="B335" s="129" t="s">
        <v>288</v>
      </c>
      <c r="C335" s="91">
        <v>44273</v>
      </c>
      <c r="D335" s="129">
        <v>809</v>
      </c>
      <c r="E335" s="129" t="s">
        <v>294</v>
      </c>
      <c r="F335" s="129" t="s">
        <v>297</v>
      </c>
      <c r="G335" s="129" t="s">
        <v>455</v>
      </c>
      <c r="H335" s="129">
        <v>922996</v>
      </c>
      <c r="I335" s="109">
        <v>22</v>
      </c>
      <c r="J335" s="129" t="s">
        <v>193</v>
      </c>
      <c r="K335" s="282">
        <v>1267</v>
      </c>
      <c r="L335" s="103">
        <v>264.30399999999997</v>
      </c>
      <c r="M335" s="285">
        <f>K335-(L335+L336+L337+L338)</f>
        <v>-177.83100000000013</v>
      </c>
      <c r="N335" s="288">
        <f>(L335+L336+L337+L338)/K335</f>
        <v>1.1403559589581691</v>
      </c>
    </row>
    <row r="336" spans="1:16" ht="15" customHeight="1">
      <c r="A336" s="129" t="s">
        <v>423</v>
      </c>
      <c r="B336" s="129" t="s">
        <v>288</v>
      </c>
      <c r="C336" s="91">
        <v>44273</v>
      </c>
      <c r="D336" s="129">
        <v>809</v>
      </c>
      <c r="E336" s="129" t="s">
        <v>294</v>
      </c>
      <c r="F336" s="129" t="s">
        <v>297</v>
      </c>
      <c r="G336" s="99" t="s">
        <v>456</v>
      </c>
      <c r="H336" s="99">
        <v>969526</v>
      </c>
      <c r="I336" s="109">
        <v>22</v>
      </c>
      <c r="J336" s="129" t="s">
        <v>193</v>
      </c>
      <c r="K336" s="283"/>
      <c r="L336" s="103">
        <v>577.99400000000003</v>
      </c>
      <c r="M336" s="286"/>
      <c r="N336" s="289"/>
    </row>
    <row r="337" spans="1:16" ht="15" customHeight="1">
      <c r="A337" s="129" t="s">
        <v>423</v>
      </c>
      <c r="B337" s="129" t="s">
        <v>288</v>
      </c>
      <c r="C337" s="91">
        <v>44273</v>
      </c>
      <c r="D337" s="129">
        <v>809</v>
      </c>
      <c r="E337" s="129" t="s">
        <v>294</v>
      </c>
      <c r="F337" s="129" t="s">
        <v>297</v>
      </c>
      <c r="G337" s="129" t="s">
        <v>457</v>
      </c>
      <c r="H337" s="129">
        <v>968922</v>
      </c>
      <c r="I337" s="109">
        <v>22</v>
      </c>
      <c r="J337" s="129" t="s">
        <v>193</v>
      </c>
      <c r="K337" s="283"/>
      <c r="L337" s="103"/>
      <c r="M337" s="286"/>
      <c r="N337" s="289"/>
    </row>
    <row r="338" spans="1:16" ht="15" customHeight="1">
      <c r="A338" s="129" t="s">
        <v>423</v>
      </c>
      <c r="B338" s="129" t="s">
        <v>288</v>
      </c>
      <c r="C338" s="91">
        <v>44273</v>
      </c>
      <c r="D338" s="129">
        <v>809</v>
      </c>
      <c r="E338" s="129" t="s">
        <v>294</v>
      </c>
      <c r="F338" s="129" t="s">
        <v>297</v>
      </c>
      <c r="G338" s="129" t="s">
        <v>458</v>
      </c>
      <c r="H338" s="129">
        <v>926655</v>
      </c>
      <c r="I338" s="109">
        <v>22</v>
      </c>
      <c r="J338" s="129" t="s">
        <v>193</v>
      </c>
      <c r="K338" s="284"/>
      <c r="L338" s="103">
        <v>602.53300000000002</v>
      </c>
      <c r="M338" s="287"/>
      <c r="N338" s="290"/>
    </row>
    <row r="339" spans="1:16" ht="15" customHeight="1">
      <c r="A339" s="129" t="s">
        <v>423</v>
      </c>
      <c r="B339" s="129" t="s">
        <v>288</v>
      </c>
      <c r="C339" s="91">
        <v>44273</v>
      </c>
      <c r="D339" s="129">
        <v>809</v>
      </c>
      <c r="E339" s="129" t="s">
        <v>294</v>
      </c>
      <c r="F339" s="129" t="s">
        <v>297</v>
      </c>
      <c r="G339" s="99" t="s">
        <v>459</v>
      </c>
      <c r="H339" s="99">
        <v>952052</v>
      </c>
      <c r="I339" s="109">
        <v>55</v>
      </c>
      <c r="J339" s="129" t="s">
        <v>192</v>
      </c>
      <c r="K339" s="282">
        <v>198</v>
      </c>
      <c r="L339" s="103">
        <v>104.901</v>
      </c>
      <c r="M339" s="285">
        <f>K339-(L339+L340+L341)</f>
        <v>93.099000000000004</v>
      </c>
      <c r="N339" s="288">
        <f>(L339+L340+L341)/K339</f>
        <v>0.52980303030303033</v>
      </c>
      <c r="O339" s="116">
        <f>M339+M342</f>
        <v>0</v>
      </c>
    </row>
    <row r="340" spans="1:16" ht="15" customHeight="1">
      <c r="A340" s="129" t="s">
        <v>423</v>
      </c>
      <c r="B340" s="129" t="s">
        <v>288</v>
      </c>
      <c r="C340" s="91">
        <v>44273</v>
      </c>
      <c r="D340" s="129">
        <v>809</v>
      </c>
      <c r="E340" s="129" t="s">
        <v>294</v>
      </c>
      <c r="F340" s="129" t="s">
        <v>297</v>
      </c>
      <c r="G340" s="129" t="s">
        <v>460</v>
      </c>
      <c r="H340" s="129">
        <v>966236</v>
      </c>
      <c r="I340" s="109">
        <v>55</v>
      </c>
      <c r="J340" s="129" t="s">
        <v>192</v>
      </c>
      <c r="K340" s="283"/>
      <c r="L340" s="103"/>
      <c r="M340" s="286"/>
      <c r="N340" s="289"/>
    </row>
    <row r="341" spans="1:16" ht="15" customHeight="1">
      <c r="A341" s="129" t="s">
        <v>423</v>
      </c>
      <c r="B341" s="129" t="s">
        <v>288</v>
      </c>
      <c r="C341" s="91">
        <v>44273</v>
      </c>
      <c r="D341" s="129">
        <v>809</v>
      </c>
      <c r="E341" s="129" t="s">
        <v>294</v>
      </c>
      <c r="F341" s="129" t="s">
        <v>297</v>
      </c>
      <c r="G341" s="129" t="s">
        <v>461</v>
      </c>
      <c r="H341" s="129">
        <v>961133</v>
      </c>
      <c r="I341" s="109">
        <v>55</v>
      </c>
      <c r="J341" s="129" t="s">
        <v>192</v>
      </c>
      <c r="K341" s="284"/>
      <c r="L341" s="103"/>
      <c r="M341" s="287"/>
      <c r="N341" s="290"/>
    </row>
    <row r="342" spans="1:16" ht="15" customHeight="1">
      <c r="A342" s="129" t="s">
        <v>423</v>
      </c>
      <c r="B342" s="129" t="s">
        <v>288</v>
      </c>
      <c r="C342" s="91">
        <v>44273</v>
      </c>
      <c r="D342" s="129">
        <v>809</v>
      </c>
      <c r="E342" s="129" t="s">
        <v>294</v>
      </c>
      <c r="F342" s="129" t="s">
        <v>297</v>
      </c>
      <c r="G342" s="129" t="s">
        <v>459</v>
      </c>
      <c r="H342" s="129">
        <v>952052</v>
      </c>
      <c r="I342" s="109">
        <v>55</v>
      </c>
      <c r="J342" s="129" t="s">
        <v>193</v>
      </c>
      <c r="K342" s="282">
        <v>252</v>
      </c>
      <c r="L342" s="103">
        <v>345.09899999999999</v>
      </c>
      <c r="M342" s="285">
        <f>K342-(L342+L343+L344)</f>
        <v>-93.09899999999999</v>
      </c>
      <c r="N342" s="288">
        <f>(L342+L343+L344)/K342</f>
        <v>1.3694404761904762</v>
      </c>
    </row>
    <row r="343" spans="1:16" ht="15" customHeight="1">
      <c r="A343" s="129" t="s">
        <v>423</v>
      </c>
      <c r="B343" s="129" t="s">
        <v>288</v>
      </c>
      <c r="C343" s="91">
        <v>44273</v>
      </c>
      <c r="D343" s="129">
        <v>809</v>
      </c>
      <c r="E343" s="129" t="s">
        <v>294</v>
      </c>
      <c r="F343" s="129" t="s">
        <v>297</v>
      </c>
      <c r="G343" s="99" t="s">
        <v>460</v>
      </c>
      <c r="H343" s="99">
        <v>966236</v>
      </c>
      <c r="I343" s="109">
        <v>55</v>
      </c>
      <c r="J343" s="129" t="s">
        <v>193</v>
      </c>
      <c r="K343" s="283"/>
      <c r="L343" s="103"/>
      <c r="M343" s="286"/>
      <c r="N343" s="289"/>
    </row>
    <row r="344" spans="1:16" ht="15" customHeight="1">
      <c r="A344" s="129" t="s">
        <v>423</v>
      </c>
      <c r="B344" s="129" t="s">
        <v>288</v>
      </c>
      <c r="C344" s="91">
        <v>44273</v>
      </c>
      <c r="D344" s="129">
        <v>809</v>
      </c>
      <c r="E344" s="129" t="s">
        <v>294</v>
      </c>
      <c r="F344" s="129" t="s">
        <v>297</v>
      </c>
      <c r="G344" s="129" t="s">
        <v>461</v>
      </c>
      <c r="H344" s="129">
        <v>961133</v>
      </c>
      <c r="I344" s="109">
        <v>55</v>
      </c>
      <c r="J344" s="129" t="s">
        <v>193</v>
      </c>
      <c r="K344" s="284"/>
      <c r="L344" s="103"/>
      <c r="M344" s="287"/>
      <c r="N344" s="290"/>
    </row>
    <row r="345" spans="1:16" ht="15" customHeight="1">
      <c r="A345" s="99" t="s">
        <v>372</v>
      </c>
      <c r="B345" s="99" t="s">
        <v>293</v>
      </c>
      <c r="C345" s="91">
        <v>44273</v>
      </c>
      <c r="D345" s="99">
        <v>811</v>
      </c>
      <c r="E345" s="129" t="s">
        <v>294</v>
      </c>
      <c r="F345" s="129" t="s">
        <v>297</v>
      </c>
      <c r="G345" s="99" t="s">
        <v>462</v>
      </c>
      <c r="H345" s="99">
        <v>31292</v>
      </c>
      <c r="I345" s="109">
        <v>31</v>
      </c>
      <c r="J345" s="129" t="s">
        <v>192</v>
      </c>
      <c r="K345" s="127">
        <v>430</v>
      </c>
      <c r="L345" s="103">
        <v>377.00599999999997</v>
      </c>
      <c r="M345" s="128">
        <f t="shared" ref="M345:M350" si="77">K345-L345</f>
        <v>52.994000000000028</v>
      </c>
      <c r="N345" s="94">
        <f t="shared" ref="N345:N350" si="78">L345/K345</f>
        <v>0.87675813953488368</v>
      </c>
      <c r="O345" s="116">
        <f>M345+M346</f>
        <v>0</v>
      </c>
    </row>
    <row r="346" spans="1:16" ht="15" customHeight="1">
      <c r="A346" s="129" t="s">
        <v>372</v>
      </c>
      <c r="B346" s="129" t="s">
        <v>293</v>
      </c>
      <c r="C346" s="91">
        <v>44273</v>
      </c>
      <c r="D346" s="129">
        <v>811</v>
      </c>
      <c r="E346" s="129" t="s">
        <v>294</v>
      </c>
      <c r="F346" s="129" t="s">
        <v>297</v>
      </c>
      <c r="G346" s="129" t="s">
        <v>462</v>
      </c>
      <c r="H346" s="129">
        <v>31292</v>
      </c>
      <c r="I346" s="109">
        <v>31</v>
      </c>
      <c r="J346" s="129" t="s">
        <v>193</v>
      </c>
      <c r="K346" s="127">
        <v>170</v>
      </c>
      <c r="L346" s="103">
        <v>222.994</v>
      </c>
      <c r="M346" s="128">
        <f t="shared" si="77"/>
        <v>-52.994</v>
      </c>
      <c r="N346" s="94">
        <f t="shared" si="78"/>
        <v>1.3117294117647058</v>
      </c>
    </row>
    <row r="347" spans="1:16" ht="15" customHeight="1">
      <c r="A347" s="129" t="s">
        <v>372</v>
      </c>
      <c r="B347" s="129" t="s">
        <v>293</v>
      </c>
      <c r="C347" s="91">
        <v>44273</v>
      </c>
      <c r="D347" s="129">
        <v>811</v>
      </c>
      <c r="E347" s="129" t="s">
        <v>294</v>
      </c>
      <c r="F347" s="129" t="s">
        <v>297</v>
      </c>
      <c r="G347" s="99" t="s">
        <v>463</v>
      </c>
      <c r="H347" s="99">
        <v>969290</v>
      </c>
      <c r="I347" s="109">
        <v>67</v>
      </c>
      <c r="J347" s="129" t="s">
        <v>192</v>
      </c>
      <c r="K347" s="127">
        <v>351</v>
      </c>
      <c r="L347" s="103">
        <v>149</v>
      </c>
      <c r="M347" s="128">
        <f t="shared" si="77"/>
        <v>202</v>
      </c>
      <c r="N347" s="94">
        <f t="shared" si="78"/>
        <v>0.42450142450142453</v>
      </c>
      <c r="O347" s="116">
        <f>M347+M348</f>
        <v>1.214999999999975</v>
      </c>
    </row>
    <row r="348" spans="1:16" ht="15" customHeight="1">
      <c r="A348" s="129" t="s">
        <v>372</v>
      </c>
      <c r="B348" s="129" t="s">
        <v>293</v>
      </c>
      <c r="C348" s="91">
        <v>44273</v>
      </c>
      <c r="D348" s="129">
        <v>811</v>
      </c>
      <c r="E348" s="129" t="s">
        <v>294</v>
      </c>
      <c r="F348" s="129" t="s">
        <v>297</v>
      </c>
      <c r="G348" s="129" t="s">
        <v>463</v>
      </c>
      <c r="H348" s="129">
        <v>969290</v>
      </c>
      <c r="I348" s="109">
        <v>67</v>
      </c>
      <c r="J348" s="129" t="s">
        <v>193</v>
      </c>
      <c r="K348" s="127">
        <v>149</v>
      </c>
      <c r="L348" s="103">
        <v>349.78500000000003</v>
      </c>
      <c r="M348" s="128">
        <f t="shared" si="77"/>
        <v>-200.78500000000003</v>
      </c>
      <c r="N348" s="94">
        <f t="shared" si="78"/>
        <v>2.3475503355704701</v>
      </c>
    </row>
    <row r="349" spans="1:16" ht="15" customHeight="1">
      <c r="A349" s="129" t="s">
        <v>372</v>
      </c>
      <c r="B349" s="129" t="s">
        <v>293</v>
      </c>
      <c r="C349" s="91">
        <v>44273</v>
      </c>
      <c r="D349" s="129">
        <v>811</v>
      </c>
      <c r="E349" s="129" t="s">
        <v>294</v>
      </c>
      <c r="F349" s="129" t="s">
        <v>297</v>
      </c>
      <c r="G349" s="99" t="s">
        <v>464</v>
      </c>
      <c r="H349" s="99">
        <v>967182</v>
      </c>
      <c r="I349" s="109">
        <v>1</v>
      </c>
      <c r="J349" s="129" t="s">
        <v>192</v>
      </c>
      <c r="K349" s="127">
        <v>56</v>
      </c>
      <c r="L349" s="103">
        <v>41.637999999999998</v>
      </c>
      <c r="M349" s="128">
        <f t="shared" si="77"/>
        <v>14.362000000000002</v>
      </c>
      <c r="N349" s="94">
        <f t="shared" si="78"/>
        <v>0.7435357142857143</v>
      </c>
      <c r="O349" s="214">
        <f>M349+M350</f>
        <v>-2.1580000000000013</v>
      </c>
      <c r="P349" s="213" t="s">
        <v>758</v>
      </c>
    </row>
    <row r="350" spans="1:16" ht="15" customHeight="1">
      <c r="A350" s="129" t="s">
        <v>372</v>
      </c>
      <c r="B350" s="129" t="s">
        <v>293</v>
      </c>
      <c r="C350" s="91">
        <v>44273</v>
      </c>
      <c r="D350" s="129">
        <v>811</v>
      </c>
      <c r="E350" s="129" t="s">
        <v>294</v>
      </c>
      <c r="F350" s="129" t="s">
        <v>297</v>
      </c>
      <c r="G350" s="129" t="s">
        <v>464</v>
      </c>
      <c r="H350" s="129">
        <v>967182</v>
      </c>
      <c r="I350" s="109">
        <v>1</v>
      </c>
      <c r="J350" s="129" t="s">
        <v>193</v>
      </c>
      <c r="K350" s="127">
        <v>24</v>
      </c>
      <c r="L350" s="103">
        <v>40.520000000000003</v>
      </c>
      <c r="M350" s="128">
        <f t="shared" si="77"/>
        <v>-16.520000000000003</v>
      </c>
      <c r="N350" s="94">
        <f t="shared" si="78"/>
        <v>1.6883333333333335</v>
      </c>
    </row>
    <row r="351" spans="1:16" ht="15" customHeight="1">
      <c r="A351" s="99" t="s">
        <v>465</v>
      </c>
      <c r="B351" s="99" t="s">
        <v>288</v>
      </c>
      <c r="C351" s="91">
        <v>44273</v>
      </c>
      <c r="D351" s="99">
        <v>812</v>
      </c>
      <c r="E351" s="129" t="s">
        <v>294</v>
      </c>
      <c r="F351" s="129" t="s">
        <v>297</v>
      </c>
      <c r="G351" s="99" t="s">
        <v>466</v>
      </c>
      <c r="H351" s="99">
        <v>960538</v>
      </c>
      <c r="I351" s="109">
        <v>74</v>
      </c>
      <c r="J351" s="129" t="s">
        <v>193</v>
      </c>
      <c r="K351" s="282">
        <f>1199.568+297.514</f>
        <v>1497.0819999999999</v>
      </c>
      <c r="L351" s="103">
        <v>396.40499999999997</v>
      </c>
      <c r="M351" s="285">
        <f>K351-(L351+L352+L353)</f>
        <v>0</v>
      </c>
      <c r="N351" s="288">
        <f>(L351+L352+L353)/K351</f>
        <v>1.0000000000000002</v>
      </c>
    </row>
    <row r="352" spans="1:16" ht="15" customHeight="1">
      <c r="A352" s="129" t="s">
        <v>465</v>
      </c>
      <c r="B352" s="129" t="s">
        <v>288</v>
      </c>
      <c r="C352" s="91">
        <v>44273</v>
      </c>
      <c r="D352" s="129">
        <v>812</v>
      </c>
      <c r="E352" s="129" t="s">
        <v>294</v>
      </c>
      <c r="F352" s="129" t="s">
        <v>297</v>
      </c>
      <c r="G352" s="99" t="s">
        <v>467</v>
      </c>
      <c r="H352" s="99">
        <v>960539</v>
      </c>
      <c r="I352" s="109">
        <v>74</v>
      </c>
      <c r="J352" s="129" t="s">
        <v>193</v>
      </c>
      <c r="K352" s="283"/>
      <c r="L352" s="103">
        <v>500.56400000000002</v>
      </c>
      <c r="M352" s="286"/>
      <c r="N352" s="289"/>
    </row>
    <row r="353" spans="1:15" ht="15" customHeight="1">
      <c r="A353" s="129" t="s">
        <v>465</v>
      </c>
      <c r="B353" s="129" t="s">
        <v>288</v>
      </c>
      <c r="C353" s="91">
        <v>44273</v>
      </c>
      <c r="D353" s="129">
        <v>812</v>
      </c>
      <c r="E353" s="129" t="s">
        <v>294</v>
      </c>
      <c r="F353" s="129" t="s">
        <v>297</v>
      </c>
      <c r="G353" s="99" t="s">
        <v>468</v>
      </c>
      <c r="H353" s="99">
        <v>967898</v>
      </c>
      <c r="I353" s="109">
        <v>74</v>
      </c>
      <c r="J353" s="129" t="s">
        <v>193</v>
      </c>
      <c r="K353" s="284"/>
      <c r="L353" s="103">
        <v>600.11300000000006</v>
      </c>
      <c r="M353" s="287"/>
      <c r="N353" s="290"/>
    </row>
    <row r="354" spans="1:15" ht="15" customHeight="1">
      <c r="A354" s="99" t="s">
        <v>300</v>
      </c>
      <c r="B354" s="99" t="s">
        <v>288</v>
      </c>
      <c r="C354" s="91">
        <v>44273</v>
      </c>
      <c r="D354" s="99">
        <v>808</v>
      </c>
      <c r="E354" s="129" t="s">
        <v>294</v>
      </c>
      <c r="F354" s="99" t="s">
        <v>287</v>
      </c>
      <c r="G354" s="99" t="s">
        <v>304</v>
      </c>
      <c r="H354" s="99">
        <v>9589059</v>
      </c>
      <c r="I354" s="109">
        <v>44</v>
      </c>
      <c r="J354" s="129" t="s">
        <v>192</v>
      </c>
      <c r="K354" s="282">
        <v>25</v>
      </c>
      <c r="L354" s="103"/>
      <c r="M354" s="285">
        <f>K354-(L354+L355)</f>
        <v>8.4110000000000014</v>
      </c>
      <c r="N354" s="288">
        <f>(L354+L355)/K354</f>
        <v>0.66355999999999993</v>
      </c>
      <c r="O354" s="116">
        <f>M354+M356</f>
        <v>0</v>
      </c>
    </row>
    <row r="355" spans="1:15" ht="15" customHeight="1">
      <c r="A355" s="129" t="s">
        <v>300</v>
      </c>
      <c r="B355" s="129" t="s">
        <v>288</v>
      </c>
      <c r="C355" s="91">
        <v>44273</v>
      </c>
      <c r="D355" s="129">
        <v>808</v>
      </c>
      <c r="E355" s="129" t="s">
        <v>294</v>
      </c>
      <c r="F355" s="129" t="s">
        <v>287</v>
      </c>
      <c r="G355" s="99" t="s">
        <v>302</v>
      </c>
      <c r="H355" s="99">
        <v>966875</v>
      </c>
      <c r="I355" s="109">
        <v>44</v>
      </c>
      <c r="J355" s="129" t="s">
        <v>192</v>
      </c>
      <c r="K355" s="284"/>
      <c r="L355" s="103">
        <v>16.588999999999999</v>
      </c>
      <c r="M355" s="287"/>
      <c r="N355" s="290"/>
    </row>
    <row r="356" spans="1:15" ht="15" customHeight="1">
      <c r="A356" s="129" t="s">
        <v>300</v>
      </c>
      <c r="B356" s="129" t="s">
        <v>288</v>
      </c>
      <c r="C356" s="91">
        <v>44273</v>
      </c>
      <c r="D356" s="129">
        <v>808</v>
      </c>
      <c r="E356" s="129" t="s">
        <v>294</v>
      </c>
      <c r="F356" s="129" t="s">
        <v>287</v>
      </c>
      <c r="G356" s="129" t="s">
        <v>304</v>
      </c>
      <c r="H356" s="129">
        <v>9589059</v>
      </c>
      <c r="I356" s="109">
        <v>44</v>
      </c>
      <c r="J356" s="129" t="s">
        <v>193</v>
      </c>
      <c r="K356" s="282">
        <v>20</v>
      </c>
      <c r="L356" s="103"/>
      <c r="M356" s="285">
        <f>K356-(L356+L357)</f>
        <v>-8.4110000000000014</v>
      </c>
      <c r="N356" s="288">
        <f>(L356+L357)/K356</f>
        <v>1.42055</v>
      </c>
    </row>
    <row r="357" spans="1:15" ht="15" customHeight="1">
      <c r="A357" s="129" t="s">
        <v>300</v>
      </c>
      <c r="B357" s="129" t="s">
        <v>288</v>
      </c>
      <c r="C357" s="91">
        <v>44273</v>
      </c>
      <c r="D357" s="129">
        <v>808</v>
      </c>
      <c r="E357" s="129" t="s">
        <v>294</v>
      </c>
      <c r="F357" s="129" t="s">
        <v>287</v>
      </c>
      <c r="G357" s="129" t="s">
        <v>302</v>
      </c>
      <c r="H357" s="129">
        <v>966875</v>
      </c>
      <c r="I357" s="109">
        <v>44</v>
      </c>
      <c r="J357" s="129" t="s">
        <v>193</v>
      </c>
      <c r="K357" s="284"/>
      <c r="L357" s="103">
        <v>28.411000000000001</v>
      </c>
      <c r="M357" s="287"/>
      <c r="N357" s="290"/>
    </row>
    <row r="358" spans="1:15" ht="15" customHeight="1">
      <c r="A358" s="129" t="s">
        <v>372</v>
      </c>
      <c r="B358" s="129" t="s">
        <v>293</v>
      </c>
      <c r="C358" s="91">
        <v>44273</v>
      </c>
      <c r="D358" s="129">
        <v>804</v>
      </c>
      <c r="E358" s="129" t="s">
        <v>294</v>
      </c>
      <c r="F358" s="99" t="s">
        <v>297</v>
      </c>
      <c r="G358" s="99" t="s">
        <v>371</v>
      </c>
      <c r="H358" s="99">
        <v>969173</v>
      </c>
      <c r="I358" s="109">
        <v>25</v>
      </c>
      <c r="J358" s="129" t="s">
        <v>192</v>
      </c>
      <c r="K358" s="127">
        <v>619</v>
      </c>
      <c r="L358" s="103">
        <v>608.32500000000005</v>
      </c>
      <c r="M358" s="128">
        <f t="shared" ref="M358:M365" si="79">K358-L358</f>
        <v>10.674999999999955</v>
      </c>
      <c r="N358" s="94">
        <f t="shared" ref="N358:N365" si="80">L358/K358</f>
        <v>0.98275444264943468</v>
      </c>
      <c r="O358" s="116">
        <f>M358+M359</f>
        <v>-5.6843418860808015E-14</v>
      </c>
    </row>
    <row r="359" spans="1:15" ht="15" customHeight="1">
      <c r="A359" s="129" t="s">
        <v>372</v>
      </c>
      <c r="B359" s="129" t="s">
        <v>293</v>
      </c>
      <c r="C359" s="91">
        <v>44273</v>
      </c>
      <c r="D359" s="129">
        <v>804</v>
      </c>
      <c r="E359" s="129" t="s">
        <v>294</v>
      </c>
      <c r="F359" s="129" t="s">
        <v>297</v>
      </c>
      <c r="G359" s="129" t="s">
        <v>371</v>
      </c>
      <c r="H359" s="129">
        <v>969173</v>
      </c>
      <c r="I359" s="109">
        <v>25</v>
      </c>
      <c r="J359" s="129" t="s">
        <v>193</v>
      </c>
      <c r="K359" s="127">
        <v>265</v>
      </c>
      <c r="L359" s="103">
        <v>275.67500000000001</v>
      </c>
      <c r="M359" s="128">
        <f t="shared" si="79"/>
        <v>-10.675000000000011</v>
      </c>
      <c r="N359" s="94">
        <f t="shared" si="80"/>
        <v>1.0402830188679246</v>
      </c>
    </row>
    <row r="360" spans="1:15" ht="15" customHeight="1">
      <c r="A360" s="129" t="s">
        <v>372</v>
      </c>
      <c r="B360" s="129" t="s">
        <v>293</v>
      </c>
      <c r="C360" s="91">
        <v>44273</v>
      </c>
      <c r="D360" s="129">
        <v>804</v>
      </c>
      <c r="E360" s="129" t="s">
        <v>294</v>
      </c>
      <c r="F360" s="129" t="s">
        <v>297</v>
      </c>
      <c r="G360" s="99" t="s">
        <v>469</v>
      </c>
      <c r="H360" s="99">
        <v>969362</v>
      </c>
      <c r="I360" s="109">
        <v>25</v>
      </c>
      <c r="J360" s="129" t="s">
        <v>192</v>
      </c>
      <c r="K360" s="127">
        <v>619</v>
      </c>
      <c r="L360" s="103">
        <v>414.61599999999999</v>
      </c>
      <c r="M360" s="128">
        <f t="shared" si="79"/>
        <v>204.38400000000001</v>
      </c>
      <c r="N360" s="94">
        <f t="shared" si="80"/>
        <v>0.66981583198707595</v>
      </c>
      <c r="O360" s="116">
        <f>M360+M361</f>
        <v>0</v>
      </c>
    </row>
    <row r="361" spans="1:15" ht="15" customHeight="1">
      <c r="A361" s="129" t="s">
        <v>372</v>
      </c>
      <c r="B361" s="129" t="s">
        <v>293</v>
      </c>
      <c r="C361" s="91">
        <v>44273</v>
      </c>
      <c r="D361" s="129">
        <v>804</v>
      </c>
      <c r="E361" s="129" t="s">
        <v>294</v>
      </c>
      <c r="F361" s="129" t="s">
        <v>297</v>
      </c>
      <c r="G361" s="129" t="s">
        <v>469</v>
      </c>
      <c r="H361" s="129">
        <v>969362</v>
      </c>
      <c r="I361" s="109">
        <v>25</v>
      </c>
      <c r="J361" s="129" t="s">
        <v>193</v>
      </c>
      <c r="K361" s="127">
        <v>265</v>
      </c>
      <c r="L361" s="103">
        <v>469.38400000000001</v>
      </c>
      <c r="M361" s="128">
        <f t="shared" si="79"/>
        <v>-204.38400000000001</v>
      </c>
      <c r="N361" s="94">
        <f t="shared" si="80"/>
        <v>1.7712603773584905</v>
      </c>
    </row>
    <row r="362" spans="1:15" ht="15" customHeight="1">
      <c r="A362" s="129" t="s">
        <v>372</v>
      </c>
      <c r="B362" s="129" t="s">
        <v>293</v>
      </c>
      <c r="C362" s="91">
        <v>44273</v>
      </c>
      <c r="D362" s="129">
        <v>804</v>
      </c>
      <c r="E362" s="129" t="s">
        <v>294</v>
      </c>
      <c r="F362" s="129" t="s">
        <v>297</v>
      </c>
      <c r="G362" s="99" t="s">
        <v>470</v>
      </c>
      <c r="H362" s="99">
        <v>969074</v>
      </c>
      <c r="I362" s="109">
        <v>25</v>
      </c>
      <c r="J362" s="129" t="s">
        <v>192</v>
      </c>
      <c r="K362" s="127">
        <v>619</v>
      </c>
      <c r="L362" s="103">
        <v>331.70299999999997</v>
      </c>
      <c r="M362" s="128">
        <f t="shared" si="79"/>
        <v>287.29700000000003</v>
      </c>
      <c r="N362" s="94">
        <f t="shared" si="80"/>
        <v>0.53586914378029071</v>
      </c>
      <c r="O362" s="116">
        <f>M362+M363</f>
        <v>0</v>
      </c>
    </row>
    <row r="363" spans="1:15" ht="15" customHeight="1">
      <c r="A363" s="129" t="s">
        <v>372</v>
      </c>
      <c r="B363" s="129" t="s">
        <v>293</v>
      </c>
      <c r="C363" s="91">
        <v>44273</v>
      </c>
      <c r="D363" s="129">
        <v>804</v>
      </c>
      <c r="E363" s="129" t="s">
        <v>294</v>
      </c>
      <c r="F363" s="129" t="s">
        <v>297</v>
      </c>
      <c r="G363" s="129" t="s">
        <v>470</v>
      </c>
      <c r="H363" s="129">
        <v>969074</v>
      </c>
      <c r="I363" s="109">
        <v>25</v>
      </c>
      <c r="J363" s="129" t="s">
        <v>193</v>
      </c>
      <c r="K363" s="127">
        <v>265</v>
      </c>
      <c r="L363" s="103">
        <v>552.29700000000003</v>
      </c>
      <c r="M363" s="128">
        <f t="shared" si="79"/>
        <v>-287.29700000000003</v>
      </c>
      <c r="N363" s="94">
        <f t="shared" si="80"/>
        <v>2.0841396226415094</v>
      </c>
    </row>
    <row r="364" spans="1:15" ht="15" customHeight="1">
      <c r="A364" s="129" t="s">
        <v>372</v>
      </c>
      <c r="B364" s="129" t="s">
        <v>293</v>
      </c>
      <c r="C364" s="91">
        <v>44273</v>
      </c>
      <c r="D364" s="129">
        <v>804</v>
      </c>
      <c r="E364" s="129" t="s">
        <v>294</v>
      </c>
      <c r="F364" s="129" t="s">
        <v>297</v>
      </c>
      <c r="G364" s="99" t="s">
        <v>471</v>
      </c>
      <c r="H364" s="99">
        <v>968132</v>
      </c>
      <c r="I364" s="109">
        <v>25</v>
      </c>
      <c r="J364" s="129" t="s">
        <v>192</v>
      </c>
      <c r="K364" s="127">
        <v>619</v>
      </c>
      <c r="L364" s="103">
        <v>339.88</v>
      </c>
      <c r="M364" s="128">
        <f t="shared" si="79"/>
        <v>279.12</v>
      </c>
      <c r="N364" s="94">
        <f t="shared" si="80"/>
        <v>0.54907915993537959</v>
      </c>
      <c r="O364" s="116">
        <f>M364+M365</f>
        <v>0</v>
      </c>
    </row>
    <row r="365" spans="1:15" ht="15" customHeight="1">
      <c r="A365" s="129" t="s">
        <v>372</v>
      </c>
      <c r="B365" s="129" t="s">
        <v>293</v>
      </c>
      <c r="C365" s="91">
        <v>44273</v>
      </c>
      <c r="D365" s="129">
        <v>804</v>
      </c>
      <c r="E365" s="129" t="s">
        <v>294</v>
      </c>
      <c r="F365" s="129" t="s">
        <v>297</v>
      </c>
      <c r="G365" s="129" t="s">
        <v>471</v>
      </c>
      <c r="H365" s="129">
        <v>968132</v>
      </c>
      <c r="I365" s="109">
        <v>25</v>
      </c>
      <c r="J365" s="129" t="s">
        <v>193</v>
      </c>
      <c r="K365" s="127">
        <v>265</v>
      </c>
      <c r="L365" s="103">
        <v>544.12</v>
      </c>
      <c r="M365" s="128">
        <f t="shared" si="79"/>
        <v>-279.12</v>
      </c>
      <c r="N365" s="94">
        <f t="shared" si="80"/>
        <v>2.0532830188679245</v>
      </c>
    </row>
    <row r="366" spans="1:15" ht="15" customHeight="1">
      <c r="A366" s="129" t="s">
        <v>722</v>
      </c>
      <c r="B366" s="129" t="s">
        <v>293</v>
      </c>
      <c r="C366" s="91">
        <v>44273</v>
      </c>
      <c r="D366" s="129">
        <v>842</v>
      </c>
      <c r="E366" s="129" t="s">
        <v>294</v>
      </c>
      <c r="F366" s="129" t="s">
        <v>297</v>
      </c>
      <c r="G366" s="129" t="s">
        <v>466</v>
      </c>
      <c r="H366" s="129">
        <v>960538</v>
      </c>
      <c r="I366" s="109">
        <v>74</v>
      </c>
      <c r="J366" s="129" t="s">
        <v>192</v>
      </c>
      <c r="K366" s="127">
        <v>226.39500000000001</v>
      </c>
      <c r="L366" s="103">
        <v>226.39500000000001</v>
      </c>
      <c r="M366" s="128">
        <f t="shared" ref="M366" si="81">K366-L366</f>
        <v>0</v>
      </c>
      <c r="N366" s="186">
        <f t="shared" ref="N366" si="82">L366/K366</f>
        <v>1</v>
      </c>
    </row>
    <row r="367" spans="1:15" ht="15" customHeight="1">
      <c r="A367" s="99" t="s">
        <v>473</v>
      </c>
      <c r="B367" s="99" t="s">
        <v>288</v>
      </c>
      <c r="C367" s="91">
        <v>44274</v>
      </c>
      <c r="D367" s="99">
        <v>857</v>
      </c>
      <c r="E367" s="129" t="s">
        <v>294</v>
      </c>
      <c r="F367" s="129" t="s">
        <v>297</v>
      </c>
      <c r="G367" s="99" t="s">
        <v>474</v>
      </c>
      <c r="H367" s="99">
        <v>924718</v>
      </c>
      <c r="I367" s="109">
        <v>24</v>
      </c>
      <c r="J367" s="129" t="s">
        <v>192</v>
      </c>
      <c r="K367" s="282">
        <v>452.79199999999997</v>
      </c>
      <c r="L367" s="103">
        <v>200</v>
      </c>
      <c r="M367" s="285">
        <f>K367-(L367+L368+L369+L370)</f>
        <v>0</v>
      </c>
      <c r="N367" s="288">
        <f>(L367+L368+L369+L370)/K367</f>
        <v>1.0000000000000002</v>
      </c>
    </row>
    <row r="368" spans="1:15" ht="15" customHeight="1">
      <c r="A368" s="129" t="s">
        <v>473</v>
      </c>
      <c r="B368" s="129" t="s">
        <v>288</v>
      </c>
      <c r="C368" s="91">
        <v>44274</v>
      </c>
      <c r="D368" s="129">
        <v>857</v>
      </c>
      <c r="E368" s="129" t="s">
        <v>294</v>
      </c>
      <c r="F368" s="129" t="s">
        <v>297</v>
      </c>
      <c r="G368" s="99" t="s">
        <v>343</v>
      </c>
      <c r="H368" s="99">
        <v>962853</v>
      </c>
      <c r="I368" s="109">
        <v>24</v>
      </c>
      <c r="J368" s="129" t="s">
        <v>192</v>
      </c>
      <c r="K368" s="283"/>
      <c r="L368" s="103"/>
      <c r="M368" s="286"/>
      <c r="N368" s="289"/>
    </row>
    <row r="369" spans="1:16" ht="15" customHeight="1">
      <c r="A369" s="129" t="s">
        <v>473</v>
      </c>
      <c r="B369" s="129" t="s">
        <v>288</v>
      </c>
      <c r="C369" s="91">
        <v>44274</v>
      </c>
      <c r="D369" s="129">
        <v>857</v>
      </c>
      <c r="E369" s="129" t="s">
        <v>294</v>
      </c>
      <c r="F369" s="129" t="s">
        <v>297</v>
      </c>
      <c r="G369" s="99" t="s">
        <v>475</v>
      </c>
      <c r="H369" s="99">
        <v>959987</v>
      </c>
      <c r="I369" s="109">
        <v>24</v>
      </c>
      <c r="J369" s="129" t="s">
        <v>192</v>
      </c>
      <c r="K369" s="283"/>
      <c r="L369" s="103">
        <v>252.792</v>
      </c>
      <c r="M369" s="286"/>
      <c r="N369" s="289"/>
    </row>
    <row r="370" spans="1:16" ht="15" customHeight="1">
      <c r="A370" s="129" t="s">
        <v>473</v>
      </c>
      <c r="B370" s="129" t="s">
        <v>288</v>
      </c>
      <c r="C370" s="91">
        <v>44274</v>
      </c>
      <c r="D370" s="129">
        <v>857</v>
      </c>
      <c r="E370" s="129" t="s">
        <v>294</v>
      </c>
      <c r="F370" s="129" t="s">
        <v>297</v>
      </c>
      <c r="G370" s="99" t="s">
        <v>476</v>
      </c>
      <c r="H370" s="99">
        <v>967393</v>
      </c>
      <c r="I370" s="109">
        <v>24</v>
      </c>
      <c r="J370" s="129" t="s">
        <v>192</v>
      </c>
      <c r="K370" s="284"/>
      <c r="L370" s="103"/>
      <c r="M370" s="287"/>
      <c r="N370" s="290"/>
    </row>
    <row r="371" spans="1:16" ht="15" customHeight="1">
      <c r="A371" s="99" t="s">
        <v>478</v>
      </c>
      <c r="B371" s="99" t="s">
        <v>293</v>
      </c>
      <c r="C371" s="91">
        <v>44274</v>
      </c>
      <c r="D371" s="99">
        <v>859</v>
      </c>
      <c r="E371" s="129" t="s">
        <v>294</v>
      </c>
      <c r="F371" s="99" t="s">
        <v>287</v>
      </c>
      <c r="G371" s="99" t="s">
        <v>479</v>
      </c>
      <c r="H371" s="99">
        <v>951136</v>
      </c>
      <c r="I371" s="109">
        <v>55</v>
      </c>
      <c r="J371" s="129" t="s">
        <v>192</v>
      </c>
      <c r="K371" s="127">
        <v>170.41159999999999</v>
      </c>
      <c r="L371" s="103">
        <v>61.548999999999999</v>
      </c>
      <c r="M371" s="128">
        <f t="shared" ref="M371:M406" si="83">K371-L371</f>
        <v>108.86259999999999</v>
      </c>
      <c r="N371" s="94">
        <f t="shared" ref="N371:N406" si="84">L371/K371</f>
        <v>0.3611784643768382</v>
      </c>
      <c r="O371" s="116">
        <f>M371+M372</f>
        <v>4.759999999998854E-2</v>
      </c>
    </row>
    <row r="372" spans="1:16" ht="15" customHeight="1">
      <c r="A372" s="129" t="s">
        <v>478</v>
      </c>
      <c r="B372" s="129" t="s">
        <v>293</v>
      </c>
      <c r="C372" s="91">
        <v>44274</v>
      </c>
      <c r="D372" s="129">
        <v>859</v>
      </c>
      <c r="E372" s="129" t="s">
        <v>294</v>
      </c>
      <c r="F372" s="129" t="s">
        <v>287</v>
      </c>
      <c r="G372" s="129" t="s">
        <v>479</v>
      </c>
      <c r="H372" s="129">
        <v>951136</v>
      </c>
      <c r="I372" s="109">
        <v>55</v>
      </c>
      <c r="J372" s="129" t="s">
        <v>193</v>
      </c>
      <c r="K372" s="127">
        <v>350.63600000000002</v>
      </c>
      <c r="L372" s="103">
        <v>459.45100000000002</v>
      </c>
      <c r="M372" s="128">
        <f t="shared" si="83"/>
        <v>-108.815</v>
      </c>
      <c r="N372" s="94">
        <f t="shared" si="84"/>
        <v>1.3103360750179673</v>
      </c>
    </row>
    <row r="373" spans="1:16" ht="15" customHeight="1">
      <c r="A373" s="99" t="s">
        <v>480</v>
      </c>
      <c r="B373" s="99" t="s">
        <v>293</v>
      </c>
      <c r="C373" s="91">
        <v>44274</v>
      </c>
      <c r="D373" s="99">
        <v>858</v>
      </c>
      <c r="E373" s="129" t="s">
        <v>294</v>
      </c>
      <c r="F373" s="129" t="s">
        <v>287</v>
      </c>
      <c r="G373" s="99" t="s">
        <v>481</v>
      </c>
      <c r="H373" s="99">
        <v>924603</v>
      </c>
      <c r="I373" s="109">
        <v>8</v>
      </c>
      <c r="J373" s="129" t="s">
        <v>192</v>
      </c>
      <c r="K373" s="127">
        <v>200</v>
      </c>
      <c r="L373" s="103">
        <v>58.472999999999999</v>
      </c>
      <c r="M373" s="128">
        <f t="shared" si="83"/>
        <v>141.52699999999999</v>
      </c>
      <c r="N373" s="94">
        <f t="shared" si="84"/>
        <v>0.29236499999999999</v>
      </c>
      <c r="O373" s="116">
        <f>M373+M374</f>
        <v>0.43999999999999773</v>
      </c>
    </row>
    <row r="374" spans="1:16" ht="15" customHeight="1">
      <c r="A374" s="129" t="s">
        <v>480</v>
      </c>
      <c r="B374" s="129" t="s">
        <v>293</v>
      </c>
      <c r="C374" s="91">
        <v>44274</v>
      </c>
      <c r="D374" s="129">
        <v>858</v>
      </c>
      <c r="E374" s="129" t="s">
        <v>294</v>
      </c>
      <c r="F374" s="129" t="s">
        <v>287</v>
      </c>
      <c r="G374" s="129" t="s">
        <v>481</v>
      </c>
      <c r="H374" s="129">
        <v>924603</v>
      </c>
      <c r="I374" s="109">
        <v>8</v>
      </c>
      <c r="J374" s="129" t="s">
        <v>193</v>
      </c>
      <c r="K374" s="127">
        <v>100</v>
      </c>
      <c r="L374" s="103">
        <v>241.08699999999999</v>
      </c>
      <c r="M374" s="128">
        <f t="shared" si="83"/>
        <v>-141.08699999999999</v>
      </c>
      <c r="N374" s="94">
        <f t="shared" si="84"/>
        <v>2.4108700000000001</v>
      </c>
    </row>
    <row r="375" spans="1:16" ht="15" customHeight="1">
      <c r="A375" s="129" t="s">
        <v>480</v>
      </c>
      <c r="B375" s="129" t="s">
        <v>293</v>
      </c>
      <c r="C375" s="91">
        <v>44274</v>
      </c>
      <c r="D375" s="129">
        <v>858</v>
      </c>
      <c r="E375" s="129" t="s">
        <v>294</v>
      </c>
      <c r="F375" s="129" t="s">
        <v>287</v>
      </c>
      <c r="G375" s="99" t="s">
        <v>482</v>
      </c>
      <c r="H375" s="130">
        <v>964441</v>
      </c>
      <c r="I375" s="109">
        <v>7</v>
      </c>
      <c r="J375" s="129" t="s">
        <v>192</v>
      </c>
      <c r="K375" s="127">
        <v>200</v>
      </c>
      <c r="L375" s="103">
        <v>89.614000000000004</v>
      </c>
      <c r="M375" s="128">
        <f t="shared" si="83"/>
        <v>110.386</v>
      </c>
      <c r="N375" s="94">
        <f t="shared" si="84"/>
        <v>0.44807000000000002</v>
      </c>
      <c r="O375" s="116">
        <f t="shared" ref="O375" si="85">M375+M376</f>
        <v>0</v>
      </c>
    </row>
    <row r="376" spans="1:16" ht="15" customHeight="1">
      <c r="A376" s="129" t="s">
        <v>480</v>
      </c>
      <c r="B376" s="129" t="s">
        <v>293</v>
      </c>
      <c r="C376" s="91">
        <v>44274</v>
      </c>
      <c r="D376" s="129">
        <v>858</v>
      </c>
      <c r="E376" s="129" t="s">
        <v>294</v>
      </c>
      <c r="F376" s="129" t="s">
        <v>287</v>
      </c>
      <c r="G376" s="129" t="s">
        <v>482</v>
      </c>
      <c r="H376" s="130">
        <v>964441</v>
      </c>
      <c r="I376" s="109">
        <v>7</v>
      </c>
      <c r="J376" s="129" t="s">
        <v>193</v>
      </c>
      <c r="K376" s="127">
        <v>100</v>
      </c>
      <c r="L376" s="103">
        <v>210.386</v>
      </c>
      <c r="M376" s="128">
        <f t="shared" si="83"/>
        <v>-110.386</v>
      </c>
      <c r="N376" s="94">
        <f t="shared" si="84"/>
        <v>2.1038600000000001</v>
      </c>
    </row>
    <row r="377" spans="1:16" ht="15" customHeight="1">
      <c r="A377" s="129" t="s">
        <v>480</v>
      </c>
      <c r="B377" s="129" t="s">
        <v>293</v>
      </c>
      <c r="C377" s="91">
        <v>44274</v>
      </c>
      <c r="D377" s="129">
        <v>858</v>
      </c>
      <c r="E377" s="129" t="s">
        <v>294</v>
      </c>
      <c r="F377" s="129" t="s">
        <v>287</v>
      </c>
      <c r="G377" s="99" t="s">
        <v>483</v>
      </c>
      <c r="H377" s="99">
        <v>967596</v>
      </c>
      <c r="I377" s="109">
        <v>7</v>
      </c>
      <c r="J377" s="129" t="s">
        <v>192</v>
      </c>
      <c r="K377" s="127">
        <v>200</v>
      </c>
      <c r="L377" s="103">
        <v>100.52200000000001</v>
      </c>
      <c r="M377" s="128">
        <f t="shared" si="83"/>
        <v>99.477999999999994</v>
      </c>
      <c r="N377" s="94">
        <f t="shared" si="84"/>
        <v>0.50261</v>
      </c>
      <c r="O377" s="116">
        <f t="shared" ref="O377" si="86">M377+M378</f>
        <v>1.0539999999999878</v>
      </c>
    </row>
    <row r="378" spans="1:16" ht="15" customHeight="1">
      <c r="A378" s="129" t="s">
        <v>480</v>
      </c>
      <c r="B378" s="129" t="s">
        <v>293</v>
      </c>
      <c r="C378" s="91">
        <v>44274</v>
      </c>
      <c r="D378" s="129">
        <v>858</v>
      </c>
      <c r="E378" s="129" t="s">
        <v>294</v>
      </c>
      <c r="F378" s="129" t="s">
        <v>287</v>
      </c>
      <c r="G378" s="129" t="s">
        <v>483</v>
      </c>
      <c r="H378" s="129">
        <v>967596</v>
      </c>
      <c r="I378" s="109">
        <v>7</v>
      </c>
      <c r="J378" s="129" t="s">
        <v>193</v>
      </c>
      <c r="K378" s="127">
        <v>100</v>
      </c>
      <c r="L378" s="103">
        <v>198.42400000000001</v>
      </c>
      <c r="M378" s="128">
        <f t="shared" si="83"/>
        <v>-98.424000000000007</v>
      </c>
      <c r="N378" s="94">
        <f t="shared" si="84"/>
        <v>1.98424</v>
      </c>
    </row>
    <row r="379" spans="1:16" ht="15" customHeight="1">
      <c r="A379" s="129" t="s">
        <v>480</v>
      </c>
      <c r="B379" s="129" t="s">
        <v>293</v>
      </c>
      <c r="C379" s="91">
        <v>44274</v>
      </c>
      <c r="D379" s="129">
        <v>858</v>
      </c>
      <c r="E379" s="129" t="s">
        <v>294</v>
      </c>
      <c r="F379" s="129" t="s">
        <v>287</v>
      </c>
      <c r="G379" s="99" t="s">
        <v>484</v>
      </c>
      <c r="H379" s="99">
        <v>969257</v>
      </c>
      <c r="I379" s="109">
        <v>7</v>
      </c>
      <c r="J379" s="129" t="s">
        <v>192</v>
      </c>
      <c r="K379" s="127">
        <v>200</v>
      </c>
      <c r="L379" s="103">
        <v>97.709000000000003</v>
      </c>
      <c r="M379" s="128">
        <f t="shared" si="83"/>
        <v>102.291</v>
      </c>
      <c r="N379" s="94">
        <f t="shared" si="84"/>
        <v>0.48854500000000001</v>
      </c>
      <c r="O379" s="116">
        <f t="shared" ref="O379" si="87">M379+M380</f>
        <v>0</v>
      </c>
    </row>
    <row r="380" spans="1:16" ht="15" customHeight="1">
      <c r="A380" s="129" t="s">
        <v>480</v>
      </c>
      <c r="B380" s="129" t="s">
        <v>293</v>
      </c>
      <c r="C380" s="91">
        <v>44274</v>
      </c>
      <c r="D380" s="129">
        <v>858</v>
      </c>
      <c r="E380" s="129" t="s">
        <v>294</v>
      </c>
      <c r="F380" s="129" t="s">
        <v>287</v>
      </c>
      <c r="G380" s="129" t="s">
        <v>484</v>
      </c>
      <c r="H380" s="129">
        <v>969257</v>
      </c>
      <c r="I380" s="109">
        <v>7</v>
      </c>
      <c r="J380" s="129" t="s">
        <v>193</v>
      </c>
      <c r="K380" s="127">
        <v>100</v>
      </c>
      <c r="L380" s="103">
        <v>202.291</v>
      </c>
      <c r="M380" s="128">
        <f t="shared" si="83"/>
        <v>-102.291</v>
      </c>
      <c r="N380" s="94">
        <f t="shared" si="84"/>
        <v>2.02291</v>
      </c>
    </row>
    <row r="381" spans="1:16" ht="15" customHeight="1">
      <c r="A381" s="129" t="s">
        <v>480</v>
      </c>
      <c r="B381" s="129" t="s">
        <v>293</v>
      </c>
      <c r="C381" s="91">
        <v>44274</v>
      </c>
      <c r="D381" s="129">
        <v>858</v>
      </c>
      <c r="E381" s="129" t="s">
        <v>294</v>
      </c>
      <c r="F381" s="129" t="s">
        <v>287</v>
      </c>
      <c r="G381" s="99" t="s">
        <v>485</v>
      </c>
      <c r="H381" s="99">
        <v>924619</v>
      </c>
      <c r="I381" s="109">
        <v>8</v>
      </c>
      <c r="J381" s="129" t="s">
        <v>192</v>
      </c>
      <c r="K381" s="127">
        <v>200</v>
      </c>
      <c r="L381" s="103">
        <v>223.803</v>
      </c>
      <c r="M381" s="128">
        <f t="shared" si="83"/>
        <v>-23.802999999999997</v>
      </c>
      <c r="N381" s="94">
        <f t="shared" si="84"/>
        <v>1.1190150000000001</v>
      </c>
      <c r="O381" s="209">
        <f t="shared" ref="O381" si="88">M381+M382</f>
        <v>-61.569999999999993</v>
      </c>
      <c r="P381" s="90" t="s">
        <v>750</v>
      </c>
    </row>
    <row r="382" spans="1:16" ht="15" customHeight="1">
      <c r="A382" s="129" t="s">
        <v>480</v>
      </c>
      <c r="B382" s="129" t="s">
        <v>293</v>
      </c>
      <c r="C382" s="91">
        <v>44274</v>
      </c>
      <c r="D382" s="129">
        <v>858</v>
      </c>
      <c r="E382" s="129" t="s">
        <v>294</v>
      </c>
      <c r="F382" s="129" t="s">
        <v>287</v>
      </c>
      <c r="G382" s="129" t="s">
        <v>485</v>
      </c>
      <c r="H382" s="129">
        <v>924619</v>
      </c>
      <c r="I382" s="109">
        <v>8</v>
      </c>
      <c r="J382" s="129" t="s">
        <v>193</v>
      </c>
      <c r="K382" s="127">
        <v>100</v>
      </c>
      <c r="L382" s="103">
        <v>137.767</v>
      </c>
      <c r="M382" s="128">
        <f t="shared" si="83"/>
        <v>-37.766999999999996</v>
      </c>
      <c r="N382" s="94">
        <f t="shared" si="84"/>
        <v>1.37767</v>
      </c>
      <c r="O382" s="215">
        <v>-18.074999999999999</v>
      </c>
      <c r="P382" s="213" t="s">
        <v>759</v>
      </c>
    </row>
    <row r="383" spans="1:16" ht="15" customHeight="1">
      <c r="A383" s="129" t="s">
        <v>480</v>
      </c>
      <c r="B383" s="129" t="s">
        <v>293</v>
      </c>
      <c r="C383" s="91">
        <v>44274</v>
      </c>
      <c r="D383" s="129">
        <v>858</v>
      </c>
      <c r="E383" s="129" t="s">
        <v>294</v>
      </c>
      <c r="F383" s="129" t="s">
        <v>287</v>
      </c>
      <c r="G383" s="99" t="s">
        <v>295</v>
      </c>
      <c r="H383" s="99">
        <v>962795</v>
      </c>
      <c r="I383" s="109">
        <v>11</v>
      </c>
      <c r="J383" s="129" t="s">
        <v>192</v>
      </c>
      <c r="K383" s="127">
        <v>500</v>
      </c>
      <c r="L383" s="103">
        <v>199.35300000000001</v>
      </c>
      <c r="M383" s="128">
        <f t="shared" si="83"/>
        <v>300.64699999999999</v>
      </c>
      <c r="N383" s="94">
        <f t="shared" si="84"/>
        <v>0.398706</v>
      </c>
      <c r="O383" s="116">
        <f t="shared" ref="O383" si="89">M383+M384</f>
        <v>0</v>
      </c>
    </row>
    <row r="384" spans="1:16" ht="15" customHeight="1">
      <c r="A384" s="129" t="s">
        <v>480</v>
      </c>
      <c r="B384" s="129" t="s">
        <v>293</v>
      </c>
      <c r="C384" s="91">
        <v>44274</v>
      </c>
      <c r="D384" s="129">
        <v>858</v>
      </c>
      <c r="E384" s="129" t="s">
        <v>294</v>
      </c>
      <c r="F384" s="129" t="s">
        <v>287</v>
      </c>
      <c r="G384" s="129" t="s">
        <v>295</v>
      </c>
      <c r="H384" s="129">
        <v>962795</v>
      </c>
      <c r="I384" s="109">
        <v>11</v>
      </c>
      <c r="J384" s="129" t="s">
        <v>193</v>
      </c>
      <c r="K384" s="127">
        <v>100</v>
      </c>
      <c r="L384" s="103">
        <v>400.64699999999999</v>
      </c>
      <c r="M384" s="128">
        <f t="shared" si="83"/>
        <v>-300.64699999999999</v>
      </c>
      <c r="N384" s="94">
        <f t="shared" si="84"/>
        <v>4.0064700000000002</v>
      </c>
    </row>
    <row r="385" spans="1:15" ht="15" customHeight="1">
      <c r="A385" s="129" t="s">
        <v>480</v>
      </c>
      <c r="B385" s="129" t="s">
        <v>293</v>
      </c>
      <c r="C385" s="91">
        <v>44274</v>
      </c>
      <c r="D385" s="129">
        <v>858</v>
      </c>
      <c r="E385" s="129" t="s">
        <v>294</v>
      </c>
      <c r="F385" s="129" t="s">
        <v>287</v>
      </c>
      <c r="G385" s="99" t="s">
        <v>479</v>
      </c>
      <c r="H385" s="99">
        <v>951136</v>
      </c>
      <c r="I385" s="109">
        <v>55</v>
      </c>
      <c r="J385" s="129" t="s">
        <v>192</v>
      </c>
      <c r="K385" s="127">
        <v>200</v>
      </c>
      <c r="L385" s="103">
        <v>86.628</v>
      </c>
      <c r="M385" s="128">
        <f t="shared" si="83"/>
        <v>113.372</v>
      </c>
      <c r="N385" s="94">
        <f t="shared" si="84"/>
        <v>0.43314000000000002</v>
      </c>
      <c r="O385" s="116">
        <f t="shared" ref="O385" si="90">M385+M386</f>
        <v>0</v>
      </c>
    </row>
    <row r="386" spans="1:15" ht="15" customHeight="1">
      <c r="A386" s="129" t="s">
        <v>480</v>
      </c>
      <c r="B386" s="129" t="s">
        <v>293</v>
      </c>
      <c r="C386" s="91">
        <v>44274</v>
      </c>
      <c r="D386" s="129">
        <v>858</v>
      </c>
      <c r="E386" s="129" t="s">
        <v>294</v>
      </c>
      <c r="F386" s="129" t="s">
        <v>287</v>
      </c>
      <c r="G386" s="129" t="s">
        <v>479</v>
      </c>
      <c r="H386" s="129">
        <v>951136</v>
      </c>
      <c r="I386" s="109">
        <v>55</v>
      </c>
      <c r="J386" s="129" t="s">
        <v>193</v>
      </c>
      <c r="K386" s="127">
        <v>100</v>
      </c>
      <c r="L386" s="103">
        <v>213.37200000000001</v>
      </c>
      <c r="M386" s="128">
        <f t="shared" si="83"/>
        <v>-113.37200000000001</v>
      </c>
      <c r="N386" s="94">
        <f t="shared" si="84"/>
        <v>2.1337200000000003</v>
      </c>
    </row>
    <row r="387" spans="1:15" ht="15" customHeight="1">
      <c r="A387" s="129" t="s">
        <v>480</v>
      </c>
      <c r="B387" s="129" t="s">
        <v>293</v>
      </c>
      <c r="C387" s="91">
        <v>44274</v>
      </c>
      <c r="D387" s="129">
        <v>858</v>
      </c>
      <c r="E387" s="129" t="s">
        <v>294</v>
      </c>
      <c r="F387" s="129" t="s">
        <v>287</v>
      </c>
      <c r="G387" s="99" t="s">
        <v>486</v>
      </c>
      <c r="H387" s="99">
        <v>960054</v>
      </c>
      <c r="I387" s="109">
        <v>26</v>
      </c>
      <c r="J387" s="129" t="s">
        <v>192</v>
      </c>
      <c r="K387" s="127">
        <v>0</v>
      </c>
      <c r="L387" s="103"/>
      <c r="M387" s="128">
        <f t="shared" si="83"/>
        <v>0</v>
      </c>
      <c r="N387" s="94" t="e">
        <f t="shared" si="84"/>
        <v>#DIV/0!</v>
      </c>
      <c r="O387" s="116">
        <f t="shared" ref="O387" si="91">M387+M388</f>
        <v>0</v>
      </c>
    </row>
    <row r="388" spans="1:15" ht="15" customHeight="1">
      <c r="A388" s="129" t="s">
        <v>480</v>
      </c>
      <c r="B388" s="129" t="s">
        <v>293</v>
      </c>
      <c r="C388" s="91">
        <v>44274</v>
      </c>
      <c r="D388" s="129">
        <v>858</v>
      </c>
      <c r="E388" s="129" t="s">
        <v>294</v>
      </c>
      <c r="F388" s="129" t="s">
        <v>287</v>
      </c>
      <c r="G388" s="129" t="s">
        <v>486</v>
      </c>
      <c r="H388" s="129">
        <v>960054</v>
      </c>
      <c r="I388" s="109">
        <v>26</v>
      </c>
      <c r="J388" s="129" t="s">
        <v>193</v>
      </c>
      <c r="K388" s="127">
        <v>0</v>
      </c>
      <c r="L388" s="103"/>
      <c r="M388" s="128">
        <f t="shared" si="83"/>
        <v>0</v>
      </c>
      <c r="N388" s="94" t="e">
        <f t="shared" si="84"/>
        <v>#DIV/0!</v>
      </c>
    </row>
    <row r="389" spans="1:15" ht="15" customHeight="1">
      <c r="A389" s="129" t="s">
        <v>480</v>
      </c>
      <c r="B389" s="129" t="s">
        <v>293</v>
      </c>
      <c r="C389" s="91">
        <v>44274</v>
      </c>
      <c r="D389" s="129">
        <v>858</v>
      </c>
      <c r="E389" s="129" t="s">
        <v>294</v>
      </c>
      <c r="F389" s="129" t="s">
        <v>287</v>
      </c>
      <c r="G389" s="99" t="s">
        <v>340</v>
      </c>
      <c r="H389" s="99">
        <v>966342</v>
      </c>
      <c r="I389" s="109">
        <v>55</v>
      </c>
      <c r="J389" s="129" t="s">
        <v>192</v>
      </c>
      <c r="K389" s="127">
        <v>400</v>
      </c>
      <c r="L389" s="103">
        <v>187.87899999999999</v>
      </c>
      <c r="M389" s="128">
        <f t="shared" si="83"/>
        <v>212.12100000000001</v>
      </c>
      <c r="N389" s="94">
        <f t="shared" si="84"/>
        <v>0.46969749999999999</v>
      </c>
      <c r="O389" s="116">
        <f t="shared" ref="O389" si="92">M389+M390</f>
        <v>0</v>
      </c>
    </row>
    <row r="390" spans="1:15" ht="15" customHeight="1">
      <c r="A390" s="129" t="s">
        <v>480</v>
      </c>
      <c r="B390" s="129" t="s">
        <v>293</v>
      </c>
      <c r="C390" s="91">
        <v>44274</v>
      </c>
      <c r="D390" s="129">
        <v>858</v>
      </c>
      <c r="E390" s="129" t="s">
        <v>294</v>
      </c>
      <c r="F390" s="129" t="s">
        <v>287</v>
      </c>
      <c r="G390" s="129" t="s">
        <v>340</v>
      </c>
      <c r="H390" s="129">
        <v>966342</v>
      </c>
      <c r="I390" s="109">
        <v>55</v>
      </c>
      <c r="J390" s="129" t="s">
        <v>193</v>
      </c>
      <c r="K390" s="127">
        <v>100</v>
      </c>
      <c r="L390" s="103">
        <v>312.12099999999998</v>
      </c>
      <c r="M390" s="128">
        <f t="shared" si="83"/>
        <v>-212.12099999999998</v>
      </c>
      <c r="N390" s="94">
        <f t="shared" si="84"/>
        <v>3.1212099999999996</v>
      </c>
    </row>
    <row r="391" spans="1:15" ht="15" customHeight="1">
      <c r="A391" s="129" t="s">
        <v>480</v>
      </c>
      <c r="B391" s="129" t="s">
        <v>293</v>
      </c>
      <c r="C391" s="91">
        <v>44274</v>
      </c>
      <c r="D391" s="129">
        <v>858</v>
      </c>
      <c r="E391" s="129" t="s">
        <v>294</v>
      </c>
      <c r="F391" s="129" t="s">
        <v>287</v>
      </c>
      <c r="G391" s="99" t="s">
        <v>487</v>
      </c>
      <c r="H391" s="99">
        <v>697261</v>
      </c>
      <c r="I391" s="109">
        <v>55</v>
      </c>
      <c r="J391" s="129" t="s">
        <v>192</v>
      </c>
      <c r="K391" s="127">
        <v>400</v>
      </c>
      <c r="L391" s="103">
        <v>120.077</v>
      </c>
      <c r="M391" s="128">
        <f t="shared" si="83"/>
        <v>279.923</v>
      </c>
      <c r="N391" s="94">
        <f t="shared" si="84"/>
        <v>0.30019249999999997</v>
      </c>
      <c r="O391" s="116">
        <f t="shared" ref="O391" si="93">M391+M392</f>
        <v>0</v>
      </c>
    </row>
    <row r="392" spans="1:15" ht="15" customHeight="1">
      <c r="A392" s="129" t="s">
        <v>480</v>
      </c>
      <c r="B392" s="129" t="s">
        <v>293</v>
      </c>
      <c r="C392" s="91">
        <v>44274</v>
      </c>
      <c r="D392" s="129">
        <v>858</v>
      </c>
      <c r="E392" s="129" t="s">
        <v>294</v>
      </c>
      <c r="F392" s="129" t="s">
        <v>287</v>
      </c>
      <c r="G392" s="129" t="s">
        <v>487</v>
      </c>
      <c r="H392" s="129">
        <v>697261</v>
      </c>
      <c r="I392" s="109">
        <v>55</v>
      </c>
      <c r="J392" s="129" t="s">
        <v>193</v>
      </c>
      <c r="K392" s="127">
        <v>100</v>
      </c>
      <c r="L392" s="103">
        <v>379.923</v>
      </c>
      <c r="M392" s="128">
        <f t="shared" si="83"/>
        <v>-279.923</v>
      </c>
      <c r="N392" s="94">
        <f t="shared" si="84"/>
        <v>3.7992300000000001</v>
      </c>
    </row>
    <row r="393" spans="1:15" ht="15" customHeight="1">
      <c r="A393" s="99" t="s">
        <v>488</v>
      </c>
      <c r="B393" s="99" t="s">
        <v>293</v>
      </c>
      <c r="C393" s="91">
        <v>44278</v>
      </c>
      <c r="D393" s="99">
        <v>35</v>
      </c>
      <c r="E393" s="99" t="s">
        <v>289</v>
      </c>
      <c r="F393" s="99" t="s">
        <v>287</v>
      </c>
      <c r="G393" s="99" t="s">
        <v>489</v>
      </c>
      <c r="H393" s="99">
        <v>960818</v>
      </c>
      <c r="I393" s="109">
        <v>23</v>
      </c>
      <c r="J393" s="129" t="s">
        <v>192</v>
      </c>
      <c r="K393" s="127">
        <v>235</v>
      </c>
      <c r="L393" s="103">
        <v>235</v>
      </c>
      <c r="M393" s="128">
        <f t="shared" si="83"/>
        <v>0</v>
      </c>
      <c r="N393" s="94">
        <f t="shared" si="84"/>
        <v>1</v>
      </c>
      <c r="O393" s="116">
        <f t="shared" ref="O393" si="94">M393+M394</f>
        <v>0</v>
      </c>
    </row>
    <row r="394" spans="1:15" ht="15" customHeight="1">
      <c r="A394" s="129" t="s">
        <v>488</v>
      </c>
      <c r="B394" s="129" t="s">
        <v>293</v>
      </c>
      <c r="C394" s="91">
        <v>44278</v>
      </c>
      <c r="D394" s="129">
        <v>35</v>
      </c>
      <c r="E394" s="129" t="s">
        <v>289</v>
      </c>
      <c r="F394" s="129" t="s">
        <v>287</v>
      </c>
      <c r="G394" s="129" t="s">
        <v>489</v>
      </c>
      <c r="H394" s="129">
        <v>960818</v>
      </c>
      <c r="I394" s="109">
        <v>23</v>
      </c>
      <c r="J394" s="129" t="s">
        <v>193</v>
      </c>
      <c r="K394" s="127">
        <v>226</v>
      </c>
      <c r="L394" s="103">
        <v>226</v>
      </c>
      <c r="M394" s="128">
        <f t="shared" si="83"/>
        <v>0</v>
      </c>
      <c r="N394" s="94">
        <f t="shared" si="84"/>
        <v>1</v>
      </c>
    </row>
    <row r="395" spans="1:15" ht="15" customHeight="1">
      <c r="A395" s="99" t="s">
        <v>491</v>
      </c>
      <c r="B395" s="99" t="s">
        <v>293</v>
      </c>
      <c r="C395" s="91">
        <v>44281</v>
      </c>
      <c r="D395" s="99">
        <v>38</v>
      </c>
      <c r="E395" s="99" t="s">
        <v>289</v>
      </c>
      <c r="F395" s="99" t="s">
        <v>287</v>
      </c>
      <c r="G395" s="99" t="s">
        <v>418</v>
      </c>
      <c r="H395" s="99">
        <v>953832</v>
      </c>
      <c r="I395" s="109">
        <v>19</v>
      </c>
      <c r="J395" s="129" t="s">
        <v>192</v>
      </c>
      <c r="K395" s="127">
        <v>1.7</v>
      </c>
      <c r="L395" s="103"/>
      <c r="M395" s="128">
        <f t="shared" si="83"/>
        <v>1.7</v>
      </c>
      <c r="N395" s="94">
        <f t="shared" si="84"/>
        <v>0</v>
      </c>
      <c r="O395" s="116">
        <f t="shared" ref="O395" si="95">M395+M396</f>
        <v>3.3</v>
      </c>
    </row>
    <row r="396" spans="1:15" ht="15" customHeight="1">
      <c r="A396" s="129" t="s">
        <v>491</v>
      </c>
      <c r="B396" s="129" t="s">
        <v>293</v>
      </c>
      <c r="C396" s="91">
        <v>44281</v>
      </c>
      <c r="D396" s="129">
        <v>38</v>
      </c>
      <c r="E396" s="129" t="s">
        <v>289</v>
      </c>
      <c r="F396" s="129" t="s">
        <v>287</v>
      </c>
      <c r="G396" s="129" t="s">
        <v>418</v>
      </c>
      <c r="H396" s="129">
        <v>953832</v>
      </c>
      <c r="I396" s="109">
        <v>19</v>
      </c>
      <c r="J396" s="129" t="s">
        <v>193</v>
      </c>
      <c r="K396" s="127">
        <v>1.6</v>
      </c>
      <c r="L396" s="103"/>
      <c r="M396" s="128">
        <f t="shared" si="83"/>
        <v>1.6</v>
      </c>
      <c r="N396" s="94">
        <f t="shared" si="84"/>
        <v>0</v>
      </c>
    </row>
    <row r="397" spans="1:15" ht="15" customHeight="1">
      <c r="A397" s="99" t="s">
        <v>423</v>
      </c>
      <c r="B397" s="99" t="s">
        <v>293</v>
      </c>
      <c r="C397" s="91">
        <v>44281</v>
      </c>
      <c r="D397" s="99">
        <v>918</v>
      </c>
      <c r="E397" s="99" t="s">
        <v>294</v>
      </c>
      <c r="F397" s="99" t="s">
        <v>297</v>
      </c>
      <c r="G397" s="99" t="s">
        <v>280</v>
      </c>
      <c r="H397" s="99">
        <v>697288</v>
      </c>
      <c r="I397" s="109">
        <v>31</v>
      </c>
      <c r="J397" s="129" t="s">
        <v>192</v>
      </c>
      <c r="K397" s="127">
        <v>286</v>
      </c>
      <c r="L397" s="103">
        <v>124.94499999999999</v>
      </c>
      <c r="M397" s="128">
        <f t="shared" si="83"/>
        <v>161.05500000000001</v>
      </c>
      <c r="N397" s="94">
        <f t="shared" si="84"/>
        <v>0.43687062937062937</v>
      </c>
      <c r="O397" s="116">
        <f t="shared" ref="O397" si="96">M397+M398</f>
        <v>0</v>
      </c>
    </row>
    <row r="398" spans="1:15" ht="15" customHeight="1">
      <c r="A398" s="129" t="s">
        <v>423</v>
      </c>
      <c r="B398" s="129" t="s">
        <v>293</v>
      </c>
      <c r="C398" s="91">
        <v>44281</v>
      </c>
      <c r="D398" s="129">
        <v>918</v>
      </c>
      <c r="E398" s="129" t="s">
        <v>294</v>
      </c>
      <c r="F398" s="129" t="s">
        <v>297</v>
      </c>
      <c r="G398" s="129" t="s">
        <v>280</v>
      </c>
      <c r="H398" s="129">
        <v>697288</v>
      </c>
      <c r="I398" s="109">
        <v>31</v>
      </c>
      <c r="J398" s="129" t="s">
        <v>193</v>
      </c>
      <c r="K398" s="127">
        <v>364</v>
      </c>
      <c r="L398" s="103">
        <v>525.05499999999995</v>
      </c>
      <c r="M398" s="128">
        <f t="shared" si="83"/>
        <v>-161.05499999999995</v>
      </c>
      <c r="N398" s="94">
        <f t="shared" si="84"/>
        <v>1.4424587912087912</v>
      </c>
    </row>
    <row r="399" spans="1:15" ht="15" customHeight="1">
      <c r="A399" s="129" t="s">
        <v>423</v>
      </c>
      <c r="B399" s="129" t="s">
        <v>293</v>
      </c>
      <c r="C399" s="91">
        <v>44281</v>
      </c>
      <c r="D399" s="129">
        <v>918</v>
      </c>
      <c r="E399" s="129" t="s">
        <v>294</v>
      </c>
      <c r="F399" s="129" t="s">
        <v>297</v>
      </c>
      <c r="G399" s="99" t="s">
        <v>492</v>
      </c>
      <c r="H399" s="99">
        <v>697487</v>
      </c>
      <c r="I399" s="109">
        <v>55</v>
      </c>
      <c r="J399" s="129" t="s">
        <v>192</v>
      </c>
      <c r="K399" s="127">
        <v>53</v>
      </c>
      <c r="L399" s="103">
        <v>17.003</v>
      </c>
      <c r="M399" s="128">
        <f t="shared" si="83"/>
        <v>35.997</v>
      </c>
      <c r="N399" s="94">
        <f t="shared" si="84"/>
        <v>0.32081132075471697</v>
      </c>
      <c r="O399" s="116">
        <f t="shared" ref="O399" si="97">M399+M400</f>
        <v>29.828000000000003</v>
      </c>
    </row>
    <row r="400" spans="1:15" ht="15" customHeight="1">
      <c r="A400" s="129" t="s">
        <v>423</v>
      </c>
      <c r="B400" s="129" t="s">
        <v>293</v>
      </c>
      <c r="C400" s="91">
        <v>44281</v>
      </c>
      <c r="D400" s="129">
        <v>918</v>
      </c>
      <c r="E400" s="129" t="s">
        <v>294</v>
      </c>
      <c r="F400" s="129" t="s">
        <v>297</v>
      </c>
      <c r="G400" s="129" t="s">
        <v>492</v>
      </c>
      <c r="H400" s="129">
        <v>697487</v>
      </c>
      <c r="I400" s="109">
        <v>55</v>
      </c>
      <c r="J400" s="129" t="s">
        <v>193</v>
      </c>
      <c r="K400" s="127">
        <v>67</v>
      </c>
      <c r="L400" s="103">
        <v>73.168999999999997</v>
      </c>
      <c r="M400" s="128">
        <f t="shared" si="83"/>
        <v>-6.1689999999999969</v>
      </c>
      <c r="N400" s="94">
        <f t="shared" si="84"/>
        <v>1.0920746268656716</v>
      </c>
    </row>
    <row r="401" spans="1:16" ht="15" customHeight="1">
      <c r="A401" s="129" t="s">
        <v>423</v>
      </c>
      <c r="B401" s="129" t="s">
        <v>293</v>
      </c>
      <c r="C401" s="91">
        <v>44281</v>
      </c>
      <c r="D401" s="129">
        <v>918</v>
      </c>
      <c r="E401" s="129" t="s">
        <v>294</v>
      </c>
      <c r="F401" s="129" t="s">
        <v>297</v>
      </c>
      <c r="G401" s="99" t="s">
        <v>406</v>
      </c>
      <c r="H401" s="99">
        <v>923199</v>
      </c>
      <c r="I401" s="109">
        <v>44</v>
      </c>
      <c r="J401" s="129" t="s">
        <v>192</v>
      </c>
      <c r="K401" s="127">
        <v>264</v>
      </c>
      <c r="L401" s="103">
        <v>68.125</v>
      </c>
      <c r="M401" s="128">
        <f t="shared" si="83"/>
        <v>195.875</v>
      </c>
      <c r="N401" s="94">
        <f t="shared" si="84"/>
        <v>0.25804924242424243</v>
      </c>
      <c r="O401" s="116">
        <f t="shared" ref="O401" si="98">M401+M402</f>
        <v>0</v>
      </c>
    </row>
    <row r="402" spans="1:16" ht="15" customHeight="1">
      <c r="A402" s="129" t="s">
        <v>423</v>
      </c>
      <c r="B402" s="129" t="s">
        <v>293</v>
      </c>
      <c r="C402" s="91">
        <v>44281</v>
      </c>
      <c r="D402" s="129">
        <v>918</v>
      </c>
      <c r="E402" s="129" t="s">
        <v>294</v>
      </c>
      <c r="F402" s="129" t="s">
        <v>297</v>
      </c>
      <c r="G402" s="129" t="s">
        <v>406</v>
      </c>
      <c r="H402" s="129">
        <v>923199</v>
      </c>
      <c r="I402" s="109">
        <v>44</v>
      </c>
      <c r="J402" s="129" t="s">
        <v>193</v>
      </c>
      <c r="K402" s="127">
        <v>336</v>
      </c>
      <c r="L402" s="103">
        <v>531.875</v>
      </c>
      <c r="M402" s="128">
        <f t="shared" si="83"/>
        <v>-195.875</v>
      </c>
      <c r="N402" s="94">
        <f t="shared" si="84"/>
        <v>1.5829613095238095</v>
      </c>
    </row>
    <row r="403" spans="1:16" ht="15" customHeight="1">
      <c r="A403" s="129" t="s">
        <v>423</v>
      </c>
      <c r="B403" s="129" t="s">
        <v>293</v>
      </c>
      <c r="C403" s="91">
        <v>44281</v>
      </c>
      <c r="D403" s="129">
        <v>918</v>
      </c>
      <c r="E403" s="129" t="s">
        <v>294</v>
      </c>
      <c r="F403" s="129" t="s">
        <v>297</v>
      </c>
      <c r="G403" s="99" t="s">
        <v>295</v>
      </c>
      <c r="H403" s="99">
        <v>962795</v>
      </c>
      <c r="I403" s="109">
        <v>11</v>
      </c>
      <c r="J403" s="129" t="s">
        <v>192</v>
      </c>
      <c r="K403" s="127">
        <v>110</v>
      </c>
      <c r="L403" s="103">
        <v>141.185</v>
      </c>
      <c r="M403" s="128">
        <f t="shared" si="83"/>
        <v>-31.185000000000002</v>
      </c>
      <c r="N403" s="94">
        <f t="shared" si="84"/>
        <v>1.2835000000000001</v>
      </c>
      <c r="O403" s="116">
        <f t="shared" ref="O403" si="99">M403+M404</f>
        <v>3.0000000000001137E-3</v>
      </c>
    </row>
    <row r="404" spans="1:16" ht="15" customHeight="1">
      <c r="A404" s="129" t="s">
        <v>423</v>
      </c>
      <c r="B404" s="129" t="s">
        <v>293</v>
      </c>
      <c r="C404" s="91">
        <v>44281</v>
      </c>
      <c r="D404" s="129">
        <v>918</v>
      </c>
      <c r="E404" s="129" t="s">
        <v>294</v>
      </c>
      <c r="F404" s="129" t="s">
        <v>297</v>
      </c>
      <c r="G404" s="129" t="s">
        <v>295</v>
      </c>
      <c r="H404" s="129">
        <v>962795</v>
      </c>
      <c r="I404" s="109">
        <v>11</v>
      </c>
      <c r="J404" s="129" t="s">
        <v>193</v>
      </c>
      <c r="K404" s="127">
        <v>140</v>
      </c>
      <c r="L404" s="103">
        <v>108.812</v>
      </c>
      <c r="M404" s="128">
        <f t="shared" si="83"/>
        <v>31.188000000000002</v>
      </c>
      <c r="N404" s="94">
        <f t="shared" si="84"/>
        <v>0.77722857142857138</v>
      </c>
    </row>
    <row r="405" spans="1:16" ht="15" customHeight="1">
      <c r="A405" s="129" t="s">
        <v>423</v>
      </c>
      <c r="B405" s="129" t="s">
        <v>293</v>
      </c>
      <c r="C405" s="91">
        <v>44281</v>
      </c>
      <c r="D405" s="129">
        <v>918</v>
      </c>
      <c r="E405" s="129" t="s">
        <v>294</v>
      </c>
      <c r="F405" s="129" t="s">
        <v>297</v>
      </c>
      <c r="G405" s="99" t="s">
        <v>440</v>
      </c>
      <c r="H405" s="99">
        <v>968805</v>
      </c>
      <c r="I405" s="109">
        <v>29</v>
      </c>
      <c r="J405" s="129" t="s">
        <v>192</v>
      </c>
      <c r="K405" s="127">
        <v>110</v>
      </c>
      <c r="L405" s="103">
        <v>61.66</v>
      </c>
      <c r="M405" s="128">
        <f t="shared" si="83"/>
        <v>48.34</v>
      </c>
      <c r="N405" s="94">
        <f t="shared" si="84"/>
        <v>0.56054545454545457</v>
      </c>
      <c r="O405" s="116">
        <f t="shared" ref="O405" si="100">M405+M406</f>
        <v>4.2000000000001592E-2</v>
      </c>
    </row>
    <row r="406" spans="1:16" ht="15" customHeight="1">
      <c r="A406" s="129" t="s">
        <v>423</v>
      </c>
      <c r="B406" s="129" t="s">
        <v>293</v>
      </c>
      <c r="C406" s="91">
        <v>44281</v>
      </c>
      <c r="D406" s="129">
        <v>918</v>
      </c>
      <c r="E406" s="129" t="s">
        <v>294</v>
      </c>
      <c r="F406" s="129" t="s">
        <v>297</v>
      </c>
      <c r="G406" s="129" t="s">
        <v>440</v>
      </c>
      <c r="H406" s="129">
        <v>968805</v>
      </c>
      <c r="I406" s="109">
        <v>29</v>
      </c>
      <c r="J406" s="129" t="s">
        <v>193</v>
      </c>
      <c r="K406" s="127">
        <v>140</v>
      </c>
      <c r="L406" s="103">
        <v>188.298</v>
      </c>
      <c r="M406" s="128">
        <f t="shared" si="83"/>
        <v>-48.298000000000002</v>
      </c>
      <c r="N406" s="94">
        <f t="shared" si="84"/>
        <v>1.3449857142857142</v>
      </c>
    </row>
    <row r="407" spans="1:16" ht="15" customHeight="1">
      <c r="A407" s="129" t="s">
        <v>423</v>
      </c>
      <c r="B407" s="129" t="s">
        <v>288</v>
      </c>
      <c r="C407" s="91">
        <v>44281</v>
      </c>
      <c r="D407" s="129">
        <v>918</v>
      </c>
      <c r="E407" s="129" t="s">
        <v>294</v>
      </c>
      <c r="F407" s="129" t="s">
        <v>297</v>
      </c>
      <c r="G407" s="99" t="s">
        <v>402</v>
      </c>
      <c r="H407" s="99">
        <v>963960</v>
      </c>
      <c r="I407" s="109">
        <v>55</v>
      </c>
      <c r="J407" s="129" t="s">
        <v>192</v>
      </c>
      <c r="K407" s="282">
        <v>110</v>
      </c>
      <c r="L407" s="103">
        <v>27.841999999999999</v>
      </c>
      <c r="M407" s="285">
        <f>K407-(L407+L408+L409+L410)</f>
        <v>20.043999999999997</v>
      </c>
      <c r="N407" s="288">
        <f>(L407+L408+L409+L410)/K407</f>
        <v>0.81778181818181817</v>
      </c>
      <c r="O407" s="116">
        <f>M407+M411</f>
        <v>6.5360000000000156</v>
      </c>
    </row>
    <row r="408" spans="1:16" ht="15" customHeight="1">
      <c r="A408" s="129" t="s">
        <v>423</v>
      </c>
      <c r="B408" s="129" t="s">
        <v>288</v>
      </c>
      <c r="C408" s="91">
        <v>44281</v>
      </c>
      <c r="D408" s="129">
        <v>918</v>
      </c>
      <c r="E408" s="129" t="s">
        <v>294</v>
      </c>
      <c r="F408" s="129" t="s">
        <v>297</v>
      </c>
      <c r="G408" s="99" t="s">
        <v>403</v>
      </c>
      <c r="H408" s="99">
        <v>697475</v>
      </c>
      <c r="I408" s="109">
        <v>55</v>
      </c>
      <c r="J408" s="129" t="s">
        <v>192</v>
      </c>
      <c r="K408" s="283"/>
      <c r="L408" s="103"/>
      <c r="M408" s="286"/>
      <c r="N408" s="289"/>
    </row>
    <row r="409" spans="1:16" ht="15" customHeight="1">
      <c r="A409" s="129" t="s">
        <v>423</v>
      </c>
      <c r="B409" s="129" t="s">
        <v>288</v>
      </c>
      <c r="C409" s="91">
        <v>44281</v>
      </c>
      <c r="D409" s="129">
        <v>918</v>
      </c>
      <c r="E409" s="129" t="s">
        <v>294</v>
      </c>
      <c r="F409" s="129" t="s">
        <v>297</v>
      </c>
      <c r="G409" s="99" t="s">
        <v>401</v>
      </c>
      <c r="H409" s="99">
        <v>968817</v>
      </c>
      <c r="I409" s="109">
        <v>55</v>
      </c>
      <c r="J409" s="129" t="s">
        <v>192</v>
      </c>
      <c r="K409" s="283"/>
      <c r="L409" s="103">
        <v>29.664000000000001</v>
      </c>
      <c r="M409" s="286"/>
      <c r="N409" s="289"/>
    </row>
    <row r="410" spans="1:16" ht="15" customHeight="1">
      <c r="A410" s="129" t="s">
        <v>423</v>
      </c>
      <c r="B410" s="129" t="s">
        <v>288</v>
      </c>
      <c r="C410" s="91">
        <v>44281</v>
      </c>
      <c r="D410" s="129">
        <v>918</v>
      </c>
      <c r="E410" s="129" t="s">
        <v>294</v>
      </c>
      <c r="F410" s="129" t="s">
        <v>297</v>
      </c>
      <c r="G410" s="99" t="s">
        <v>472</v>
      </c>
      <c r="H410" s="99">
        <v>697489</v>
      </c>
      <c r="I410" s="109">
        <v>55</v>
      </c>
      <c r="J410" s="129" t="s">
        <v>192</v>
      </c>
      <c r="K410" s="284"/>
      <c r="L410" s="103">
        <v>32.450000000000003</v>
      </c>
      <c r="M410" s="287"/>
      <c r="N410" s="290"/>
    </row>
    <row r="411" spans="1:16" ht="15" customHeight="1">
      <c r="A411" s="129" t="s">
        <v>423</v>
      </c>
      <c r="B411" s="129" t="s">
        <v>288</v>
      </c>
      <c r="C411" s="91">
        <v>44281</v>
      </c>
      <c r="D411" s="129">
        <v>918</v>
      </c>
      <c r="E411" s="129" t="s">
        <v>294</v>
      </c>
      <c r="F411" s="129" t="s">
        <v>297</v>
      </c>
      <c r="G411" s="129" t="s">
        <v>402</v>
      </c>
      <c r="H411" s="129">
        <v>963960</v>
      </c>
      <c r="I411" s="109">
        <v>55</v>
      </c>
      <c r="J411" s="129" t="s">
        <v>193</v>
      </c>
      <c r="K411" s="282">
        <v>140</v>
      </c>
      <c r="L411" s="103">
        <v>74.082999999999998</v>
      </c>
      <c r="M411" s="285">
        <f>K411-(L411+L412+L413+L414)</f>
        <v>-13.507999999999981</v>
      </c>
      <c r="N411" s="288">
        <f>(L411+L412+L413+L414)/K411</f>
        <v>1.0964857142857141</v>
      </c>
    </row>
    <row r="412" spans="1:16" ht="15" customHeight="1">
      <c r="A412" s="129" t="s">
        <v>423</v>
      </c>
      <c r="B412" s="129" t="s">
        <v>288</v>
      </c>
      <c r="C412" s="91">
        <v>44281</v>
      </c>
      <c r="D412" s="129">
        <v>918</v>
      </c>
      <c r="E412" s="129" t="s">
        <v>294</v>
      </c>
      <c r="F412" s="129" t="s">
        <v>297</v>
      </c>
      <c r="G412" s="129" t="s">
        <v>403</v>
      </c>
      <c r="H412" s="129">
        <v>697475</v>
      </c>
      <c r="I412" s="109">
        <v>55</v>
      </c>
      <c r="J412" s="129" t="s">
        <v>193</v>
      </c>
      <c r="K412" s="283"/>
      <c r="L412" s="103"/>
      <c r="M412" s="286"/>
      <c r="N412" s="289"/>
    </row>
    <row r="413" spans="1:16" ht="15" customHeight="1">
      <c r="A413" s="129" t="s">
        <v>423</v>
      </c>
      <c r="B413" s="129" t="s">
        <v>288</v>
      </c>
      <c r="C413" s="91">
        <v>44281</v>
      </c>
      <c r="D413" s="129">
        <v>918</v>
      </c>
      <c r="E413" s="129" t="s">
        <v>294</v>
      </c>
      <c r="F413" s="129" t="s">
        <v>297</v>
      </c>
      <c r="G413" s="129" t="s">
        <v>401</v>
      </c>
      <c r="H413" s="129">
        <v>968817</v>
      </c>
      <c r="I413" s="109">
        <v>55</v>
      </c>
      <c r="J413" s="129" t="s">
        <v>193</v>
      </c>
      <c r="K413" s="283"/>
      <c r="L413" s="103">
        <v>14.645</v>
      </c>
      <c r="M413" s="286"/>
      <c r="N413" s="289"/>
    </row>
    <row r="414" spans="1:16" ht="15" customHeight="1">
      <c r="A414" s="129" t="s">
        <v>423</v>
      </c>
      <c r="B414" s="129" t="s">
        <v>288</v>
      </c>
      <c r="C414" s="91">
        <v>44281</v>
      </c>
      <c r="D414" s="129">
        <v>918</v>
      </c>
      <c r="E414" s="129" t="s">
        <v>294</v>
      </c>
      <c r="F414" s="129" t="s">
        <v>297</v>
      </c>
      <c r="G414" s="129" t="s">
        <v>472</v>
      </c>
      <c r="H414" s="129">
        <v>697489</v>
      </c>
      <c r="I414" s="109">
        <v>55</v>
      </c>
      <c r="J414" s="129" t="s">
        <v>193</v>
      </c>
      <c r="K414" s="284"/>
      <c r="L414" s="103">
        <v>64.78</v>
      </c>
      <c r="M414" s="287"/>
      <c r="N414" s="290"/>
    </row>
    <row r="415" spans="1:16" ht="15" customHeight="1">
      <c r="A415" s="129" t="s">
        <v>480</v>
      </c>
      <c r="B415" s="99" t="s">
        <v>293</v>
      </c>
      <c r="C415" s="91">
        <v>44281</v>
      </c>
      <c r="D415" s="99">
        <v>916</v>
      </c>
      <c r="E415" s="99" t="s">
        <v>294</v>
      </c>
      <c r="F415" s="99" t="s">
        <v>287</v>
      </c>
      <c r="G415" s="99" t="s">
        <v>295</v>
      </c>
      <c r="H415" s="99">
        <v>962795</v>
      </c>
      <c r="I415" s="109">
        <v>11</v>
      </c>
      <c r="J415" s="129" t="s">
        <v>192</v>
      </c>
      <c r="K415" s="127">
        <v>852</v>
      </c>
      <c r="L415" s="103">
        <v>412.80900000000003</v>
      </c>
      <c r="M415" s="128">
        <f>K415-L415</f>
        <v>439.19099999999997</v>
      </c>
      <c r="N415" s="94">
        <f>L415/K415</f>
        <v>0.48451760563380286</v>
      </c>
      <c r="O415" s="209">
        <f>M415+M416</f>
        <v>-2.0000000000095497E-3</v>
      </c>
      <c r="P415" s="90" t="s">
        <v>743</v>
      </c>
    </row>
    <row r="416" spans="1:16" ht="15" customHeight="1">
      <c r="A416" s="129" t="s">
        <v>480</v>
      </c>
      <c r="B416" s="129" t="s">
        <v>293</v>
      </c>
      <c r="C416" s="91">
        <v>44281</v>
      </c>
      <c r="D416" s="129">
        <v>916</v>
      </c>
      <c r="E416" s="129" t="s">
        <v>294</v>
      </c>
      <c r="F416" s="129" t="s">
        <v>287</v>
      </c>
      <c r="G416" s="129" t="s">
        <v>295</v>
      </c>
      <c r="H416" s="129">
        <v>962795</v>
      </c>
      <c r="I416" s="109">
        <v>11</v>
      </c>
      <c r="J416" s="129" t="s">
        <v>193</v>
      </c>
      <c r="K416" s="127">
        <v>148</v>
      </c>
      <c r="L416" s="103">
        <v>587.19299999999998</v>
      </c>
      <c r="M416" s="128">
        <f>K416-L416</f>
        <v>-439.19299999999998</v>
      </c>
      <c r="N416" s="94">
        <f>L416/K416</f>
        <v>3.9675202702702701</v>
      </c>
    </row>
    <row r="417" spans="1:16" ht="15" customHeight="1">
      <c r="A417" s="99" t="s">
        <v>497</v>
      </c>
      <c r="B417" s="129" t="s">
        <v>293</v>
      </c>
      <c r="C417" s="91">
        <v>44281</v>
      </c>
      <c r="D417" s="99">
        <v>919</v>
      </c>
      <c r="E417" s="129" t="s">
        <v>294</v>
      </c>
      <c r="F417" s="99" t="s">
        <v>297</v>
      </c>
      <c r="G417" s="99" t="s">
        <v>498</v>
      </c>
      <c r="H417" s="99">
        <v>960769</v>
      </c>
      <c r="I417" s="109">
        <v>11</v>
      </c>
      <c r="J417" s="129" t="s">
        <v>192</v>
      </c>
      <c r="K417" s="127">
        <v>181.11699999999999</v>
      </c>
      <c r="L417" s="103">
        <v>181.11699999999999</v>
      </c>
      <c r="M417" s="128">
        <f>K417-L417</f>
        <v>0</v>
      </c>
      <c r="N417" s="94">
        <f>L417/K417</f>
        <v>1</v>
      </c>
    </row>
    <row r="418" spans="1:16" ht="15" customHeight="1">
      <c r="A418" s="99" t="s">
        <v>500</v>
      </c>
      <c r="B418" s="99" t="s">
        <v>293</v>
      </c>
      <c r="C418" s="91">
        <v>44284</v>
      </c>
      <c r="D418" s="99">
        <v>41</v>
      </c>
      <c r="E418" s="99" t="s">
        <v>289</v>
      </c>
      <c r="F418" s="99" t="s">
        <v>287</v>
      </c>
      <c r="G418" s="130" t="s">
        <v>290</v>
      </c>
      <c r="H418" s="130">
        <v>969106</v>
      </c>
      <c r="I418" s="109">
        <v>14</v>
      </c>
      <c r="J418" s="129" t="s">
        <v>192</v>
      </c>
      <c r="K418" s="127">
        <v>100</v>
      </c>
      <c r="L418" s="103">
        <v>107.672</v>
      </c>
      <c r="M418" s="128">
        <f>K418-L418</f>
        <v>-7.671999999999997</v>
      </c>
      <c r="N418" s="94">
        <f>L418/K418</f>
        <v>1.0767199999999999</v>
      </c>
      <c r="O418" s="214">
        <f>M418</f>
        <v>-7.671999999999997</v>
      </c>
      <c r="P418" s="213" t="s">
        <v>757</v>
      </c>
    </row>
    <row r="419" spans="1:16" ht="15" customHeight="1">
      <c r="A419" s="99" t="s">
        <v>296</v>
      </c>
      <c r="B419" s="99" t="s">
        <v>288</v>
      </c>
      <c r="C419" s="91">
        <v>44291</v>
      </c>
      <c r="D419" s="99">
        <v>976</v>
      </c>
      <c r="E419" s="99" t="s">
        <v>294</v>
      </c>
      <c r="F419" s="99" t="s">
        <v>297</v>
      </c>
      <c r="G419" s="99" t="s">
        <v>504</v>
      </c>
      <c r="H419" s="99">
        <v>968423</v>
      </c>
      <c r="I419" s="109">
        <v>77</v>
      </c>
      <c r="J419" s="129" t="s">
        <v>192</v>
      </c>
      <c r="K419" s="282">
        <v>600</v>
      </c>
      <c r="L419" s="103">
        <v>479.50700000000001</v>
      </c>
      <c r="M419" s="285">
        <f>K419-(L419+L420+L421)</f>
        <v>-76.879000000000019</v>
      </c>
      <c r="N419" s="288">
        <f>(L419+L420+L421)/K419</f>
        <v>1.1281316666666668</v>
      </c>
      <c r="O419" s="116">
        <f>M419+M422</f>
        <v>0</v>
      </c>
    </row>
    <row r="420" spans="1:16" ht="15" customHeight="1">
      <c r="A420" s="129" t="s">
        <v>296</v>
      </c>
      <c r="B420" s="129" t="s">
        <v>288</v>
      </c>
      <c r="C420" s="91">
        <v>44291</v>
      </c>
      <c r="D420" s="129">
        <v>976</v>
      </c>
      <c r="E420" s="129" t="s">
        <v>294</v>
      </c>
      <c r="F420" s="129" t="s">
        <v>297</v>
      </c>
      <c r="G420" s="99" t="s">
        <v>505</v>
      </c>
      <c r="H420" s="99">
        <v>969431</v>
      </c>
      <c r="I420" s="109">
        <v>77</v>
      </c>
      <c r="J420" s="129" t="s">
        <v>192</v>
      </c>
      <c r="K420" s="283"/>
      <c r="L420" s="103"/>
      <c r="M420" s="286"/>
      <c r="N420" s="289"/>
    </row>
    <row r="421" spans="1:16" ht="15" customHeight="1">
      <c r="A421" s="129" t="s">
        <v>296</v>
      </c>
      <c r="B421" s="129" t="s">
        <v>288</v>
      </c>
      <c r="C421" s="91">
        <v>44291</v>
      </c>
      <c r="D421" s="129">
        <v>976</v>
      </c>
      <c r="E421" s="129" t="s">
        <v>294</v>
      </c>
      <c r="F421" s="129" t="s">
        <v>297</v>
      </c>
      <c r="G421" s="129" t="s">
        <v>506</v>
      </c>
      <c r="H421" s="129">
        <v>967692</v>
      </c>
      <c r="I421" s="109">
        <v>77</v>
      </c>
      <c r="J421" s="129" t="s">
        <v>192</v>
      </c>
      <c r="K421" s="284"/>
      <c r="L421" s="103">
        <v>197.37200000000001</v>
      </c>
      <c r="M421" s="287"/>
      <c r="N421" s="290"/>
    </row>
    <row r="422" spans="1:16" ht="15" customHeight="1">
      <c r="A422" s="129" t="s">
        <v>296</v>
      </c>
      <c r="B422" s="129" t="s">
        <v>288</v>
      </c>
      <c r="C422" s="91">
        <v>44291</v>
      </c>
      <c r="D422" s="129">
        <v>976</v>
      </c>
      <c r="E422" s="129" t="s">
        <v>294</v>
      </c>
      <c r="F422" s="129" t="s">
        <v>297</v>
      </c>
      <c r="G422" s="129" t="s">
        <v>504</v>
      </c>
      <c r="H422" s="129">
        <v>968423</v>
      </c>
      <c r="I422" s="109">
        <v>77</v>
      </c>
      <c r="J422" s="129" t="s">
        <v>193</v>
      </c>
      <c r="K422" s="282">
        <v>400</v>
      </c>
      <c r="L422" s="103">
        <v>164.44800000000001</v>
      </c>
      <c r="M422" s="285">
        <f>K422-(L422+L423+L424)</f>
        <v>76.879000000000019</v>
      </c>
      <c r="N422" s="288">
        <f>(L422+L423+L424)/K422</f>
        <v>0.80780249999999998</v>
      </c>
    </row>
    <row r="423" spans="1:16" ht="15" customHeight="1">
      <c r="A423" s="129" t="s">
        <v>296</v>
      </c>
      <c r="B423" s="129" t="s">
        <v>288</v>
      </c>
      <c r="C423" s="91">
        <v>44291</v>
      </c>
      <c r="D423" s="129">
        <v>976</v>
      </c>
      <c r="E423" s="129" t="s">
        <v>294</v>
      </c>
      <c r="F423" s="129" t="s">
        <v>297</v>
      </c>
      <c r="G423" s="129" t="s">
        <v>505</v>
      </c>
      <c r="H423" s="129">
        <v>969431</v>
      </c>
      <c r="I423" s="109">
        <v>77</v>
      </c>
      <c r="J423" s="129" t="s">
        <v>193</v>
      </c>
      <c r="K423" s="283"/>
      <c r="L423" s="103"/>
      <c r="M423" s="286"/>
      <c r="N423" s="289"/>
    </row>
    <row r="424" spans="1:16" ht="15" customHeight="1">
      <c r="A424" s="129" t="s">
        <v>296</v>
      </c>
      <c r="B424" s="129" t="s">
        <v>288</v>
      </c>
      <c r="C424" s="91">
        <v>44291</v>
      </c>
      <c r="D424" s="129">
        <v>976</v>
      </c>
      <c r="E424" s="129" t="s">
        <v>294</v>
      </c>
      <c r="F424" s="129" t="s">
        <v>297</v>
      </c>
      <c r="G424" s="129" t="s">
        <v>506</v>
      </c>
      <c r="H424" s="129">
        <v>967692</v>
      </c>
      <c r="I424" s="109">
        <v>77</v>
      </c>
      <c r="J424" s="129" t="s">
        <v>193</v>
      </c>
      <c r="K424" s="284"/>
      <c r="L424" s="103">
        <v>158.673</v>
      </c>
      <c r="M424" s="287"/>
      <c r="N424" s="290"/>
    </row>
    <row r="425" spans="1:16" ht="15" customHeight="1">
      <c r="A425" s="129" t="s">
        <v>296</v>
      </c>
      <c r="B425" s="129" t="s">
        <v>288</v>
      </c>
      <c r="C425" s="91">
        <v>44293</v>
      </c>
      <c r="D425" s="129">
        <v>996</v>
      </c>
      <c r="E425" s="129" t="s">
        <v>294</v>
      </c>
      <c r="F425" s="129" t="s">
        <v>297</v>
      </c>
      <c r="G425" s="129" t="s">
        <v>507</v>
      </c>
      <c r="H425" s="129">
        <v>697362</v>
      </c>
      <c r="I425" s="109">
        <v>55</v>
      </c>
      <c r="J425" s="129" t="s">
        <v>192</v>
      </c>
      <c r="K425" s="282">
        <v>120</v>
      </c>
      <c r="L425" s="103">
        <v>34.039000000000001</v>
      </c>
      <c r="M425" s="285">
        <f>K425-(L425+L426+L427)</f>
        <v>12.045999999999992</v>
      </c>
      <c r="N425" s="288">
        <f>(L425+L426+L427)/K425</f>
        <v>0.89961666666666673</v>
      </c>
    </row>
    <row r="426" spans="1:16" ht="15" customHeight="1">
      <c r="A426" s="129" t="s">
        <v>296</v>
      </c>
      <c r="B426" s="129" t="s">
        <v>288</v>
      </c>
      <c r="C426" s="91">
        <v>44293</v>
      </c>
      <c r="D426" s="129">
        <v>996</v>
      </c>
      <c r="E426" s="129" t="s">
        <v>294</v>
      </c>
      <c r="F426" s="129" t="s">
        <v>297</v>
      </c>
      <c r="G426" s="129" t="s">
        <v>508</v>
      </c>
      <c r="H426" s="129">
        <v>967851</v>
      </c>
      <c r="I426" s="109">
        <v>10</v>
      </c>
      <c r="J426" s="129" t="s">
        <v>192</v>
      </c>
      <c r="K426" s="283"/>
      <c r="L426" s="103">
        <v>27.341000000000001</v>
      </c>
      <c r="M426" s="286"/>
      <c r="N426" s="289"/>
    </row>
    <row r="427" spans="1:16" ht="15" customHeight="1">
      <c r="A427" s="129" t="s">
        <v>296</v>
      </c>
      <c r="B427" s="129" t="s">
        <v>288</v>
      </c>
      <c r="C427" s="91">
        <v>44293</v>
      </c>
      <c r="D427" s="129">
        <v>996</v>
      </c>
      <c r="E427" s="129" t="s">
        <v>294</v>
      </c>
      <c r="F427" s="129" t="s">
        <v>297</v>
      </c>
      <c r="G427" s="129" t="s">
        <v>509</v>
      </c>
      <c r="H427" s="129">
        <v>951498</v>
      </c>
      <c r="I427" s="109">
        <v>61</v>
      </c>
      <c r="J427" s="129" t="s">
        <v>192</v>
      </c>
      <c r="K427" s="284"/>
      <c r="L427" s="103">
        <v>46.573999999999998</v>
      </c>
      <c r="M427" s="287"/>
      <c r="N427" s="290"/>
    </row>
    <row r="428" spans="1:16" ht="15" customHeight="1">
      <c r="A428" s="129" t="s">
        <v>296</v>
      </c>
      <c r="B428" s="129" t="s">
        <v>288</v>
      </c>
      <c r="C428" s="91">
        <v>44293</v>
      </c>
      <c r="D428" s="129">
        <v>996</v>
      </c>
      <c r="E428" s="129" t="s">
        <v>294</v>
      </c>
      <c r="F428" s="129" t="s">
        <v>297</v>
      </c>
      <c r="G428" s="129" t="s">
        <v>507</v>
      </c>
      <c r="H428" s="129">
        <v>697362</v>
      </c>
      <c r="I428" s="109">
        <v>55</v>
      </c>
      <c r="J428" s="129" t="s">
        <v>193</v>
      </c>
      <c r="K428" s="282">
        <v>180</v>
      </c>
      <c r="L428" s="103">
        <v>40.31</v>
      </c>
      <c r="M428" s="285">
        <f>K428-(L428+L429+L430)</f>
        <v>20.98399999999998</v>
      </c>
      <c r="N428" s="288">
        <f>(L428+L429+L430)/K428</f>
        <v>0.88342222222222233</v>
      </c>
    </row>
    <row r="429" spans="1:16" ht="15" customHeight="1">
      <c r="A429" s="129" t="s">
        <v>296</v>
      </c>
      <c r="B429" s="129" t="s">
        <v>288</v>
      </c>
      <c r="C429" s="91">
        <v>44293</v>
      </c>
      <c r="D429" s="129">
        <v>996</v>
      </c>
      <c r="E429" s="129" t="s">
        <v>294</v>
      </c>
      <c r="F429" s="129" t="s">
        <v>297</v>
      </c>
      <c r="G429" s="129" t="s">
        <v>508</v>
      </c>
      <c r="H429" s="129">
        <v>967851</v>
      </c>
      <c r="I429" s="109">
        <v>10</v>
      </c>
      <c r="J429" s="129" t="s">
        <v>193</v>
      </c>
      <c r="K429" s="283"/>
      <c r="L429" s="103">
        <v>65.28</v>
      </c>
      <c r="M429" s="286"/>
      <c r="N429" s="289"/>
    </row>
    <row r="430" spans="1:16" ht="15" customHeight="1">
      <c r="A430" s="129" t="s">
        <v>296</v>
      </c>
      <c r="B430" s="129" t="s">
        <v>288</v>
      </c>
      <c r="C430" s="91">
        <v>44293</v>
      </c>
      <c r="D430" s="129">
        <v>996</v>
      </c>
      <c r="E430" s="129" t="s">
        <v>294</v>
      </c>
      <c r="F430" s="129" t="s">
        <v>297</v>
      </c>
      <c r="G430" s="129" t="s">
        <v>509</v>
      </c>
      <c r="H430" s="129">
        <v>951498</v>
      </c>
      <c r="I430" s="109">
        <v>61</v>
      </c>
      <c r="J430" s="129" t="s">
        <v>193</v>
      </c>
      <c r="K430" s="284"/>
      <c r="L430" s="103">
        <v>53.426000000000002</v>
      </c>
      <c r="M430" s="287"/>
      <c r="N430" s="290"/>
    </row>
    <row r="431" spans="1:16" ht="15" customHeight="1">
      <c r="A431" s="129" t="s">
        <v>296</v>
      </c>
      <c r="B431" s="129" t="s">
        <v>288</v>
      </c>
      <c r="C431" s="91">
        <v>44293</v>
      </c>
      <c r="D431" s="129">
        <v>997</v>
      </c>
      <c r="E431" s="129" t="s">
        <v>294</v>
      </c>
      <c r="F431" s="129" t="s">
        <v>297</v>
      </c>
      <c r="G431" s="129" t="s">
        <v>510</v>
      </c>
      <c r="H431" s="129">
        <v>964980</v>
      </c>
      <c r="I431" s="109">
        <v>19</v>
      </c>
      <c r="J431" s="129" t="s">
        <v>192</v>
      </c>
      <c r="K431" s="282">
        <v>305</v>
      </c>
      <c r="L431" s="103">
        <v>204.85</v>
      </c>
      <c r="M431" s="285">
        <f>K431-(L431+L432)</f>
        <v>86.431000000000012</v>
      </c>
      <c r="N431" s="288">
        <f>(L431+L432)/K431</f>
        <v>0.71661967213114752</v>
      </c>
      <c r="O431" s="116">
        <f>M431+M433</f>
        <v>0</v>
      </c>
    </row>
    <row r="432" spans="1:16" ht="15" customHeight="1">
      <c r="A432" s="129" t="s">
        <v>296</v>
      </c>
      <c r="B432" s="129" t="s">
        <v>288</v>
      </c>
      <c r="C432" s="91">
        <v>44293</v>
      </c>
      <c r="D432" s="129">
        <v>997</v>
      </c>
      <c r="E432" s="129" t="s">
        <v>294</v>
      </c>
      <c r="F432" s="129" t="s">
        <v>297</v>
      </c>
      <c r="G432" s="129" t="s">
        <v>511</v>
      </c>
      <c r="H432" s="129">
        <v>923959</v>
      </c>
      <c r="I432" s="109">
        <v>19</v>
      </c>
      <c r="J432" s="129" t="s">
        <v>192</v>
      </c>
      <c r="K432" s="284"/>
      <c r="L432" s="103">
        <v>13.718999999999999</v>
      </c>
      <c r="M432" s="287"/>
      <c r="N432" s="290"/>
    </row>
    <row r="433" spans="1:15" ht="15" customHeight="1">
      <c r="A433" s="129" t="s">
        <v>296</v>
      </c>
      <c r="B433" s="129" t="s">
        <v>288</v>
      </c>
      <c r="C433" s="91">
        <v>44293</v>
      </c>
      <c r="D433" s="129">
        <v>997</v>
      </c>
      <c r="E433" s="129" t="s">
        <v>294</v>
      </c>
      <c r="F433" s="129" t="s">
        <v>297</v>
      </c>
      <c r="G433" s="129" t="s">
        <v>510</v>
      </c>
      <c r="H433" s="129">
        <v>964980</v>
      </c>
      <c r="I433" s="109">
        <v>19</v>
      </c>
      <c r="J433" s="129" t="s">
        <v>193</v>
      </c>
      <c r="K433" s="282">
        <v>305</v>
      </c>
      <c r="L433" s="103">
        <v>283.98399999999998</v>
      </c>
      <c r="M433" s="285">
        <f>K433-(L433+L434)</f>
        <v>-86.430999999999983</v>
      </c>
      <c r="N433" s="288">
        <f>(L433+L434)/K433</f>
        <v>1.2833803278688525</v>
      </c>
    </row>
    <row r="434" spans="1:15" ht="15" customHeight="1">
      <c r="A434" s="129" t="s">
        <v>296</v>
      </c>
      <c r="B434" s="129" t="s">
        <v>288</v>
      </c>
      <c r="C434" s="91">
        <v>44293</v>
      </c>
      <c r="D434" s="129">
        <v>997</v>
      </c>
      <c r="E434" s="129" t="s">
        <v>294</v>
      </c>
      <c r="F434" s="129" t="s">
        <v>297</v>
      </c>
      <c r="G434" s="129" t="s">
        <v>511</v>
      </c>
      <c r="H434" s="129">
        <v>923959</v>
      </c>
      <c r="I434" s="109">
        <v>19</v>
      </c>
      <c r="J434" s="129" t="s">
        <v>193</v>
      </c>
      <c r="K434" s="284"/>
      <c r="L434" s="103">
        <v>107.447</v>
      </c>
      <c r="M434" s="287"/>
      <c r="N434" s="290"/>
    </row>
    <row r="435" spans="1:15" ht="15" customHeight="1">
      <c r="A435" s="129" t="s">
        <v>296</v>
      </c>
      <c r="B435" s="129" t="s">
        <v>288</v>
      </c>
      <c r="C435" s="91">
        <v>44293</v>
      </c>
      <c r="D435" s="129">
        <v>998</v>
      </c>
      <c r="E435" s="129" t="s">
        <v>294</v>
      </c>
      <c r="F435" s="129" t="s">
        <v>297</v>
      </c>
      <c r="G435" s="129" t="s">
        <v>512</v>
      </c>
      <c r="H435" s="129">
        <v>953756</v>
      </c>
      <c r="I435" s="109">
        <v>58</v>
      </c>
      <c r="J435" s="129" t="s">
        <v>192</v>
      </c>
      <c r="K435" s="282">
        <v>170</v>
      </c>
      <c r="L435" s="103">
        <v>82.381</v>
      </c>
      <c r="M435" s="285">
        <f>K435-(L435+L436)</f>
        <v>55.609000000000009</v>
      </c>
      <c r="N435" s="288">
        <f>(L435+L436)/K435</f>
        <v>0.67288823529411756</v>
      </c>
      <c r="O435" s="116">
        <f>M435+M437</f>
        <v>0</v>
      </c>
    </row>
    <row r="436" spans="1:15" ht="15" customHeight="1">
      <c r="A436" s="129" t="s">
        <v>296</v>
      </c>
      <c r="B436" s="129" t="s">
        <v>288</v>
      </c>
      <c r="C436" s="91">
        <v>44293</v>
      </c>
      <c r="D436" s="129">
        <v>998</v>
      </c>
      <c r="E436" s="129" t="s">
        <v>294</v>
      </c>
      <c r="F436" s="129" t="s">
        <v>297</v>
      </c>
      <c r="G436" s="129" t="s">
        <v>513</v>
      </c>
      <c r="H436" s="129">
        <v>697300</v>
      </c>
      <c r="I436" s="109">
        <v>58</v>
      </c>
      <c r="J436" s="129" t="s">
        <v>192</v>
      </c>
      <c r="K436" s="284"/>
      <c r="L436" s="103">
        <v>32.01</v>
      </c>
      <c r="M436" s="287"/>
      <c r="N436" s="290"/>
    </row>
    <row r="437" spans="1:15" ht="15" customHeight="1">
      <c r="A437" s="129" t="s">
        <v>296</v>
      </c>
      <c r="B437" s="129" t="s">
        <v>288</v>
      </c>
      <c r="C437" s="91">
        <v>44293</v>
      </c>
      <c r="D437" s="129">
        <v>998</v>
      </c>
      <c r="E437" s="129" t="s">
        <v>294</v>
      </c>
      <c r="F437" s="129" t="s">
        <v>297</v>
      </c>
      <c r="G437" s="129" t="s">
        <v>512</v>
      </c>
      <c r="H437" s="129">
        <v>953756</v>
      </c>
      <c r="I437" s="109">
        <v>58</v>
      </c>
      <c r="J437" s="129" t="s">
        <v>193</v>
      </c>
      <c r="K437" s="282">
        <v>170</v>
      </c>
      <c r="L437" s="103">
        <v>116.45699999999999</v>
      </c>
      <c r="M437" s="285">
        <f>K437-(L437+L438)</f>
        <v>-55.60899999999998</v>
      </c>
      <c r="N437" s="288">
        <f>(L437+L438)/K437</f>
        <v>1.3271117647058823</v>
      </c>
    </row>
    <row r="438" spans="1:15" ht="15" customHeight="1">
      <c r="A438" s="129" t="s">
        <v>296</v>
      </c>
      <c r="B438" s="129" t="s">
        <v>288</v>
      </c>
      <c r="C438" s="91">
        <v>44293</v>
      </c>
      <c r="D438" s="129">
        <v>998</v>
      </c>
      <c r="E438" s="129" t="s">
        <v>294</v>
      </c>
      <c r="F438" s="129" t="s">
        <v>297</v>
      </c>
      <c r="G438" s="129" t="s">
        <v>513</v>
      </c>
      <c r="H438" s="129">
        <v>697300</v>
      </c>
      <c r="I438" s="109">
        <v>58</v>
      </c>
      <c r="J438" s="129" t="s">
        <v>193</v>
      </c>
      <c r="K438" s="284"/>
      <c r="L438" s="103">
        <v>109.152</v>
      </c>
      <c r="M438" s="287"/>
      <c r="N438" s="290"/>
    </row>
    <row r="439" spans="1:15" ht="15" customHeight="1">
      <c r="A439" s="129" t="s">
        <v>296</v>
      </c>
      <c r="B439" s="129" t="s">
        <v>288</v>
      </c>
      <c r="C439" s="91">
        <v>44299</v>
      </c>
      <c r="D439" s="129">
        <v>1081</v>
      </c>
      <c r="E439" s="129" t="s">
        <v>294</v>
      </c>
      <c r="F439" s="129" t="s">
        <v>297</v>
      </c>
      <c r="G439" s="129" t="s">
        <v>527</v>
      </c>
      <c r="H439" s="129">
        <v>910612</v>
      </c>
      <c r="I439" s="109">
        <v>4</v>
      </c>
      <c r="J439" s="129" t="s">
        <v>192</v>
      </c>
      <c r="K439" s="282">
        <v>243</v>
      </c>
      <c r="L439" s="103">
        <v>168.93899999999999</v>
      </c>
      <c r="M439" s="285">
        <f>K439-(L439+L440+L441)</f>
        <v>-24.805999999999983</v>
      </c>
      <c r="N439" s="288">
        <f>(L439+L440+L441)/K439</f>
        <v>1.1020823045267489</v>
      </c>
      <c r="O439" s="116">
        <f>M439+M442</f>
        <v>2.8421709430404007E-14</v>
      </c>
    </row>
    <row r="440" spans="1:15" ht="15" customHeight="1">
      <c r="A440" s="129" t="s">
        <v>296</v>
      </c>
      <c r="B440" s="129" t="s">
        <v>288</v>
      </c>
      <c r="C440" s="91">
        <v>44299</v>
      </c>
      <c r="D440" s="129">
        <v>1081</v>
      </c>
      <c r="E440" s="129" t="s">
        <v>294</v>
      </c>
      <c r="F440" s="129" t="s">
        <v>297</v>
      </c>
      <c r="G440" s="129" t="s">
        <v>528</v>
      </c>
      <c r="H440" s="129">
        <v>968718</v>
      </c>
      <c r="I440" s="109">
        <v>4</v>
      </c>
      <c r="J440" s="129" t="s">
        <v>192</v>
      </c>
      <c r="K440" s="283"/>
      <c r="L440" s="103"/>
      <c r="M440" s="286"/>
      <c r="N440" s="289"/>
    </row>
    <row r="441" spans="1:15" ht="15" customHeight="1">
      <c r="A441" s="129" t="s">
        <v>296</v>
      </c>
      <c r="B441" s="129" t="s">
        <v>288</v>
      </c>
      <c r="C441" s="91">
        <v>44299</v>
      </c>
      <c r="D441" s="129">
        <v>1081</v>
      </c>
      <c r="E441" s="129" t="s">
        <v>294</v>
      </c>
      <c r="F441" s="129" t="s">
        <v>297</v>
      </c>
      <c r="G441" s="129" t="s">
        <v>529</v>
      </c>
      <c r="H441" s="129">
        <v>697433</v>
      </c>
      <c r="I441" s="109">
        <v>4</v>
      </c>
      <c r="J441" s="129" t="s">
        <v>192</v>
      </c>
      <c r="K441" s="284"/>
      <c r="L441" s="103">
        <v>98.867000000000004</v>
      </c>
      <c r="M441" s="287"/>
      <c r="N441" s="290"/>
    </row>
    <row r="442" spans="1:15" ht="15" customHeight="1">
      <c r="A442" s="129" t="s">
        <v>296</v>
      </c>
      <c r="B442" s="129" t="s">
        <v>288</v>
      </c>
      <c r="C442" s="91">
        <v>44299</v>
      </c>
      <c r="D442" s="129">
        <v>1081</v>
      </c>
      <c r="E442" s="129" t="s">
        <v>294</v>
      </c>
      <c r="F442" s="129" t="s">
        <v>297</v>
      </c>
      <c r="G442" s="129" t="s">
        <v>527</v>
      </c>
      <c r="H442" s="129">
        <v>910612</v>
      </c>
      <c r="I442" s="109">
        <v>4</v>
      </c>
      <c r="J442" s="129" t="s">
        <v>193</v>
      </c>
      <c r="K442" s="282">
        <v>243</v>
      </c>
      <c r="L442" s="103">
        <v>139.04499999999999</v>
      </c>
      <c r="M442" s="285">
        <f>K442-(L442+L443+L444)</f>
        <v>24.806000000000012</v>
      </c>
      <c r="N442" s="288">
        <f>(L442+L443+L444)/K442</f>
        <v>0.89791769547325095</v>
      </c>
    </row>
    <row r="443" spans="1:15" ht="15" customHeight="1">
      <c r="A443" s="129" t="s">
        <v>296</v>
      </c>
      <c r="B443" s="129" t="s">
        <v>288</v>
      </c>
      <c r="C443" s="91">
        <v>44299</v>
      </c>
      <c r="D443" s="129">
        <v>1081</v>
      </c>
      <c r="E443" s="129" t="s">
        <v>294</v>
      </c>
      <c r="F443" s="129" t="s">
        <v>297</v>
      </c>
      <c r="G443" s="129" t="s">
        <v>528</v>
      </c>
      <c r="H443" s="129">
        <v>968718</v>
      </c>
      <c r="I443" s="109">
        <v>4</v>
      </c>
      <c r="J443" s="129" t="s">
        <v>193</v>
      </c>
      <c r="K443" s="283"/>
      <c r="L443" s="103"/>
      <c r="M443" s="286"/>
      <c r="N443" s="289"/>
    </row>
    <row r="444" spans="1:15" ht="15" customHeight="1">
      <c r="A444" s="129" t="s">
        <v>296</v>
      </c>
      <c r="B444" s="129" t="s">
        <v>288</v>
      </c>
      <c r="C444" s="91">
        <v>44299</v>
      </c>
      <c r="D444" s="129">
        <v>1081</v>
      </c>
      <c r="E444" s="129" t="s">
        <v>294</v>
      </c>
      <c r="F444" s="129" t="s">
        <v>297</v>
      </c>
      <c r="G444" s="129" t="s">
        <v>529</v>
      </c>
      <c r="H444" s="129">
        <v>697433</v>
      </c>
      <c r="I444" s="109">
        <v>4</v>
      </c>
      <c r="J444" s="129" t="s">
        <v>193</v>
      </c>
      <c r="K444" s="284"/>
      <c r="L444" s="103">
        <v>79.149000000000001</v>
      </c>
      <c r="M444" s="287"/>
      <c r="N444" s="290"/>
    </row>
    <row r="445" spans="1:15" ht="15" customHeight="1">
      <c r="A445" s="129" t="s">
        <v>296</v>
      </c>
      <c r="B445" s="129" t="s">
        <v>288</v>
      </c>
      <c r="C445" s="91">
        <v>44299</v>
      </c>
      <c r="D445" s="129">
        <v>1082</v>
      </c>
      <c r="E445" s="129" t="s">
        <v>294</v>
      </c>
      <c r="F445" s="129" t="s">
        <v>297</v>
      </c>
      <c r="G445" s="129" t="s">
        <v>530</v>
      </c>
      <c r="H445" s="129">
        <v>965098</v>
      </c>
      <c r="I445" s="109">
        <v>55</v>
      </c>
      <c r="J445" s="129" t="s">
        <v>192</v>
      </c>
      <c r="K445" s="282">
        <v>305</v>
      </c>
      <c r="L445" s="103">
        <v>169.96600000000001</v>
      </c>
      <c r="M445" s="285">
        <f>K445-(L445+L446)</f>
        <v>21.793999999999983</v>
      </c>
      <c r="N445" s="288">
        <f>(L445+L446)/K445</f>
        <v>0.92854426229508202</v>
      </c>
      <c r="O445" s="116">
        <f>M445+M447</f>
        <v>0</v>
      </c>
    </row>
    <row r="446" spans="1:15" ht="15" customHeight="1">
      <c r="A446" s="129" t="s">
        <v>296</v>
      </c>
      <c r="B446" s="129" t="s">
        <v>288</v>
      </c>
      <c r="C446" s="91">
        <v>44299</v>
      </c>
      <c r="D446" s="129">
        <v>1082</v>
      </c>
      <c r="E446" s="129" t="s">
        <v>294</v>
      </c>
      <c r="F446" s="129" t="s">
        <v>297</v>
      </c>
      <c r="G446" s="129" t="s">
        <v>531</v>
      </c>
      <c r="H446" s="129">
        <v>968712</v>
      </c>
      <c r="I446" s="109">
        <v>55</v>
      </c>
      <c r="J446" s="129" t="s">
        <v>192</v>
      </c>
      <c r="K446" s="284"/>
      <c r="L446" s="103">
        <v>113.24</v>
      </c>
      <c r="M446" s="287"/>
      <c r="N446" s="290"/>
    </row>
    <row r="447" spans="1:15" ht="15" customHeight="1">
      <c r="A447" s="129" t="s">
        <v>296</v>
      </c>
      <c r="B447" s="129" t="s">
        <v>288</v>
      </c>
      <c r="C447" s="91">
        <v>44299</v>
      </c>
      <c r="D447" s="129">
        <v>1082</v>
      </c>
      <c r="E447" s="129" t="s">
        <v>294</v>
      </c>
      <c r="F447" s="129" t="s">
        <v>297</v>
      </c>
      <c r="G447" s="129" t="s">
        <v>530</v>
      </c>
      <c r="H447" s="129">
        <v>965098</v>
      </c>
      <c r="I447" s="109">
        <v>55</v>
      </c>
      <c r="J447" s="129" t="s">
        <v>193</v>
      </c>
      <c r="K447" s="282">
        <v>305</v>
      </c>
      <c r="L447" s="103">
        <v>141.505</v>
      </c>
      <c r="M447" s="285">
        <f>K447-(L447+L448)</f>
        <v>-21.793999999999983</v>
      </c>
      <c r="N447" s="288">
        <f>(L447+L448)/K447</f>
        <v>1.0714557377049179</v>
      </c>
    </row>
    <row r="448" spans="1:15" ht="15" customHeight="1">
      <c r="A448" s="129" t="s">
        <v>296</v>
      </c>
      <c r="B448" s="129" t="s">
        <v>288</v>
      </c>
      <c r="C448" s="91">
        <v>44299</v>
      </c>
      <c r="D448" s="129">
        <v>1082</v>
      </c>
      <c r="E448" s="129" t="s">
        <v>294</v>
      </c>
      <c r="F448" s="129" t="s">
        <v>297</v>
      </c>
      <c r="G448" s="129" t="s">
        <v>531</v>
      </c>
      <c r="H448" s="129">
        <v>968712</v>
      </c>
      <c r="I448" s="109">
        <v>55</v>
      </c>
      <c r="J448" s="129" t="s">
        <v>193</v>
      </c>
      <c r="K448" s="284"/>
      <c r="L448" s="103">
        <v>185.28899999999999</v>
      </c>
      <c r="M448" s="287"/>
      <c r="N448" s="290"/>
    </row>
    <row r="449" spans="1:16" ht="15" customHeight="1">
      <c r="A449" s="129" t="s">
        <v>532</v>
      </c>
      <c r="B449" s="129" t="s">
        <v>288</v>
      </c>
      <c r="C449" s="91">
        <v>44299</v>
      </c>
      <c r="D449" s="129">
        <v>1083</v>
      </c>
      <c r="E449" s="129" t="s">
        <v>294</v>
      </c>
      <c r="F449" s="129" t="s">
        <v>297</v>
      </c>
      <c r="G449" s="129" t="s">
        <v>533</v>
      </c>
      <c r="H449" s="129">
        <v>954241</v>
      </c>
      <c r="I449" s="109">
        <v>32</v>
      </c>
      <c r="J449" s="129" t="s">
        <v>192</v>
      </c>
      <c r="K449" s="282">
        <v>306</v>
      </c>
      <c r="L449" s="103">
        <v>146.05799999999999</v>
      </c>
      <c r="M449" s="285">
        <f>K449-(L449+L450)</f>
        <v>-217.69200000000001</v>
      </c>
      <c r="N449" s="288">
        <f>(L449+L450)/K449</f>
        <v>1.7114117647058824</v>
      </c>
      <c r="O449" s="209">
        <f>M449+M451</f>
        <v>-126.00100000000003</v>
      </c>
      <c r="P449" s="90" t="s">
        <v>760</v>
      </c>
    </row>
    <row r="450" spans="1:16" ht="15" customHeight="1">
      <c r="A450" s="129" t="s">
        <v>532</v>
      </c>
      <c r="B450" s="129" t="s">
        <v>288</v>
      </c>
      <c r="C450" s="91">
        <v>44299</v>
      </c>
      <c r="D450" s="129">
        <v>1083</v>
      </c>
      <c r="E450" s="129" t="s">
        <v>294</v>
      </c>
      <c r="F450" s="129" t="s">
        <v>297</v>
      </c>
      <c r="G450" s="129" t="s">
        <v>534</v>
      </c>
      <c r="H450" s="129">
        <v>969511</v>
      </c>
      <c r="I450" s="109">
        <v>32</v>
      </c>
      <c r="J450" s="129" t="s">
        <v>192</v>
      </c>
      <c r="K450" s="284"/>
      <c r="L450" s="103">
        <v>377.63400000000001</v>
      </c>
      <c r="M450" s="287"/>
      <c r="N450" s="290"/>
    </row>
    <row r="451" spans="1:16" ht="15" customHeight="1">
      <c r="A451" s="129" t="s">
        <v>532</v>
      </c>
      <c r="B451" s="129" t="s">
        <v>288</v>
      </c>
      <c r="C451" s="91">
        <v>44299</v>
      </c>
      <c r="D451" s="129">
        <v>1083</v>
      </c>
      <c r="E451" s="129" t="s">
        <v>294</v>
      </c>
      <c r="F451" s="129" t="s">
        <v>297</v>
      </c>
      <c r="G451" s="129" t="s">
        <v>533</v>
      </c>
      <c r="H451" s="129">
        <v>954241</v>
      </c>
      <c r="I451" s="109">
        <v>32</v>
      </c>
      <c r="J451" s="129" t="s">
        <v>193</v>
      </c>
      <c r="K451" s="282">
        <v>384</v>
      </c>
      <c r="L451" s="103">
        <v>163.69300000000001</v>
      </c>
      <c r="M451" s="285">
        <f>K451-(L451+L452)</f>
        <v>91.690999999999974</v>
      </c>
      <c r="N451" s="288">
        <f>(L451+L452)/K451</f>
        <v>0.7612213541666667</v>
      </c>
    </row>
    <row r="452" spans="1:16" ht="15" customHeight="1">
      <c r="A452" s="129" t="s">
        <v>532</v>
      </c>
      <c r="B452" s="129" t="s">
        <v>288</v>
      </c>
      <c r="C452" s="91">
        <v>44299</v>
      </c>
      <c r="D452" s="129">
        <v>1083</v>
      </c>
      <c r="E452" s="129" t="s">
        <v>294</v>
      </c>
      <c r="F452" s="129" t="s">
        <v>297</v>
      </c>
      <c r="G452" s="129" t="s">
        <v>534</v>
      </c>
      <c r="H452" s="129">
        <v>969511</v>
      </c>
      <c r="I452" s="109">
        <v>32</v>
      </c>
      <c r="J452" s="129" t="s">
        <v>193</v>
      </c>
      <c r="K452" s="284"/>
      <c r="L452" s="103">
        <v>128.61600000000001</v>
      </c>
      <c r="M452" s="287"/>
      <c r="N452" s="290"/>
    </row>
    <row r="453" spans="1:16" ht="15" customHeight="1">
      <c r="A453" s="129" t="s">
        <v>532</v>
      </c>
      <c r="B453" s="129" t="s">
        <v>288</v>
      </c>
      <c r="C453" s="91">
        <v>44299</v>
      </c>
      <c r="D453" s="129">
        <v>1084</v>
      </c>
      <c r="E453" s="129" t="s">
        <v>294</v>
      </c>
      <c r="F453" s="129" t="s">
        <v>297</v>
      </c>
      <c r="G453" s="187" t="s">
        <v>608</v>
      </c>
      <c r="H453" s="187">
        <v>960952</v>
      </c>
      <c r="I453" s="145">
        <v>73</v>
      </c>
      <c r="J453" s="129" t="s">
        <v>192</v>
      </c>
      <c r="K453" s="282">
        <v>333</v>
      </c>
      <c r="L453" s="103">
        <v>407.57799999999997</v>
      </c>
      <c r="M453" s="285">
        <f>K453-(L453+L454)</f>
        <v>-75.152999999999963</v>
      </c>
      <c r="N453" s="288">
        <f>(L453+L454)/K453</f>
        <v>1.2256846846846845</v>
      </c>
      <c r="O453" s="209">
        <f>M453+M455</f>
        <v>-1.8559999999999945</v>
      </c>
      <c r="P453" s="90" t="s">
        <v>760</v>
      </c>
    </row>
    <row r="454" spans="1:16" ht="15" customHeight="1">
      <c r="A454" s="129" t="s">
        <v>532</v>
      </c>
      <c r="B454" s="129" t="s">
        <v>288</v>
      </c>
      <c r="C454" s="91">
        <v>44299</v>
      </c>
      <c r="D454" s="129">
        <v>1084</v>
      </c>
      <c r="E454" s="129" t="s">
        <v>294</v>
      </c>
      <c r="F454" s="129" t="s">
        <v>297</v>
      </c>
      <c r="G454" s="187" t="s">
        <v>658</v>
      </c>
      <c r="H454" s="187">
        <v>968671</v>
      </c>
      <c r="I454" s="145">
        <v>73</v>
      </c>
      <c r="J454" s="129" t="s">
        <v>192</v>
      </c>
      <c r="K454" s="284"/>
      <c r="L454" s="103">
        <v>0.57499999999999996</v>
      </c>
      <c r="M454" s="287"/>
      <c r="N454" s="290"/>
    </row>
    <row r="455" spans="1:16">
      <c r="A455" s="129" t="s">
        <v>532</v>
      </c>
      <c r="B455" s="129" t="s">
        <v>288</v>
      </c>
      <c r="C455" s="91">
        <v>44299</v>
      </c>
      <c r="D455" s="129">
        <v>1084</v>
      </c>
      <c r="E455" s="129" t="s">
        <v>294</v>
      </c>
      <c r="F455" s="129" t="s">
        <v>297</v>
      </c>
      <c r="G455" s="187" t="s">
        <v>608</v>
      </c>
      <c r="H455" s="187">
        <v>960952</v>
      </c>
      <c r="I455" s="145">
        <v>73</v>
      </c>
      <c r="J455" s="129" t="s">
        <v>193</v>
      </c>
      <c r="K455" s="282">
        <v>417</v>
      </c>
      <c r="L455" s="103">
        <v>342.42200000000003</v>
      </c>
      <c r="M455" s="285">
        <f>K455-(L455+L456)</f>
        <v>73.296999999999969</v>
      </c>
      <c r="N455" s="288">
        <f>(L455+L456)/K455</f>
        <v>0.82422781774580345</v>
      </c>
    </row>
    <row r="456" spans="1:16">
      <c r="A456" s="129" t="s">
        <v>532</v>
      </c>
      <c r="B456" s="129" t="s">
        <v>288</v>
      </c>
      <c r="C456" s="91">
        <v>44299</v>
      </c>
      <c r="D456" s="129">
        <v>1084</v>
      </c>
      <c r="E456" s="129" t="s">
        <v>294</v>
      </c>
      <c r="F456" s="129" t="s">
        <v>297</v>
      </c>
      <c r="G456" s="187" t="s">
        <v>658</v>
      </c>
      <c r="H456" s="187">
        <v>968671</v>
      </c>
      <c r="I456" s="145">
        <v>73</v>
      </c>
      <c r="J456" s="129" t="s">
        <v>193</v>
      </c>
      <c r="K456" s="284"/>
      <c r="L456" s="103">
        <v>1.2809999999999999</v>
      </c>
      <c r="M456" s="287"/>
      <c r="N456" s="290"/>
    </row>
    <row r="457" spans="1:16" ht="15" customHeight="1">
      <c r="A457" s="129" t="s">
        <v>532</v>
      </c>
      <c r="B457" s="129" t="s">
        <v>293</v>
      </c>
      <c r="C457" s="91">
        <v>44299</v>
      </c>
      <c r="D457" s="129">
        <v>1091</v>
      </c>
      <c r="E457" s="129" t="s">
        <v>294</v>
      </c>
      <c r="F457" s="129" t="s">
        <v>297</v>
      </c>
      <c r="G457" s="129" t="s">
        <v>536</v>
      </c>
      <c r="H457" s="129">
        <v>953992</v>
      </c>
      <c r="I457" s="109">
        <v>50</v>
      </c>
      <c r="J457" s="129" t="s">
        <v>192</v>
      </c>
      <c r="K457" s="127">
        <v>115</v>
      </c>
      <c r="L457" s="103">
        <v>251.50700000000001</v>
      </c>
      <c r="M457" s="128">
        <f t="shared" ref="M457:M458" si="101">K457-L457</f>
        <v>-136.50700000000001</v>
      </c>
      <c r="N457" s="94">
        <f t="shared" ref="N457:N458" si="102">L457/K457</f>
        <v>2.187017391304348</v>
      </c>
      <c r="O457" s="116">
        <f>M457+M458</f>
        <v>1.8199999999999932</v>
      </c>
    </row>
    <row r="458" spans="1:16" ht="15" customHeight="1">
      <c r="A458" s="129" t="s">
        <v>532</v>
      </c>
      <c r="B458" s="129" t="s">
        <v>293</v>
      </c>
      <c r="C458" s="91">
        <v>44299</v>
      </c>
      <c r="D458" s="129">
        <v>1091</v>
      </c>
      <c r="E458" s="129" t="s">
        <v>294</v>
      </c>
      <c r="F458" s="129" t="s">
        <v>297</v>
      </c>
      <c r="G458" s="129" t="s">
        <v>536</v>
      </c>
      <c r="H458" s="129">
        <v>953992</v>
      </c>
      <c r="I458" s="109">
        <v>50</v>
      </c>
      <c r="J458" s="129" t="s">
        <v>193</v>
      </c>
      <c r="K458" s="127">
        <v>145</v>
      </c>
      <c r="L458" s="103">
        <v>6.673</v>
      </c>
      <c r="M458" s="128">
        <f t="shared" si="101"/>
        <v>138.327</v>
      </c>
      <c r="N458" s="94">
        <f t="shared" si="102"/>
        <v>4.6020689655172413E-2</v>
      </c>
    </row>
    <row r="459" spans="1:16" ht="15" customHeight="1">
      <c r="A459" s="129" t="s">
        <v>532</v>
      </c>
      <c r="B459" s="129" t="s">
        <v>288</v>
      </c>
      <c r="C459" s="91">
        <v>44299</v>
      </c>
      <c r="D459" s="129">
        <v>1095</v>
      </c>
      <c r="E459" s="129" t="s">
        <v>294</v>
      </c>
      <c r="F459" s="129" t="s">
        <v>297</v>
      </c>
      <c r="G459" s="129" t="s">
        <v>537</v>
      </c>
      <c r="H459" s="129">
        <v>922492</v>
      </c>
      <c r="I459" s="109">
        <v>43</v>
      </c>
      <c r="J459" s="129" t="s">
        <v>192</v>
      </c>
      <c r="K459" s="282">
        <v>460</v>
      </c>
      <c r="L459" s="103"/>
      <c r="M459" s="285">
        <f>K459-(L459+L460+L461+L462)</f>
        <v>-475.89700000000005</v>
      </c>
      <c r="N459" s="288">
        <f>(L459+L460+L461+L462)/K459</f>
        <v>2.0345586956521742</v>
      </c>
      <c r="O459" s="214">
        <f>M459+M463</f>
        <v>-1.7540000000000759</v>
      </c>
      <c r="P459" s="213" t="s">
        <v>761</v>
      </c>
    </row>
    <row r="460" spans="1:16" ht="15" customHeight="1">
      <c r="A460" s="129" t="s">
        <v>532</v>
      </c>
      <c r="B460" s="129" t="s">
        <v>288</v>
      </c>
      <c r="C460" s="91">
        <v>44299</v>
      </c>
      <c r="D460" s="129">
        <v>1095</v>
      </c>
      <c r="E460" s="129" t="s">
        <v>294</v>
      </c>
      <c r="F460" s="129" t="s">
        <v>297</v>
      </c>
      <c r="G460" s="129" t="s">
        <v>384</v>
      </c>
      <c r="H460" s="129">
        <v>31015</v>
      </c>
      <c r="I460" s="109">
        <v>43</v>
      </c>
      <c r="J460" s="129" t="s">
        <v>192</v>
      </c>
      <c r="K460" s="283"/>
      <c r="L460" s="103">
        <v>182.31200000000001</v>
      </c>
      <c r="M460" s="286"/>
      <c r="N460" s="289"/>
    </row>
    <row r="461" spans="1:16" ht="15" customHeight="1">
      <c r="A461" s="129" t="s">
        <v>532</v>
      </c>
      <c r="B461" s="129" t="s">
        <v>288</v>
      </c>
      <c r="C461" s="91">
        <v>44299</v>
      </c>
      <c r="D461" s="129">
        <v>1095</v>
      </c>
      <c r="E461" s="129" t="s">
        <v>294</v>
      </c>
      <c r="F461" s="129" t="s">
        <v>297</v>
      </c>
      <c r="G461" s="129" t="s">
        <v>383</v>
      </c>
      <c r="H461" s="129">
        <v>968938</v>
      </c>
      <c r="I461" s="109">
        <v>43</v>
      </c>
      <c r="J461" s="129" t="s">
        <v>192</v>
      </c>
      <c r="K461" s="283"/>
      <c r="L461" s="103">
        <v>545.06100000000004</v>
      </c>
      <c r="M461" s="286"/>
      <c r="N461" s="289"/>
    </row>
    <row r="462" spans="1:16" ht="15" customHeight="1">
      <c r="A462" s="129" t="s">
        <v>532</v>
      </c>
      <c r="B462" s="129" t="s">
        <v>288</v>
      </c>
      <c r="C462" s="91">
        <v>44299</v>
      </c>
      <c r="D462" s="129">
        <v>1095</v>
      </c>
      <c r="E462" s="129" t="s">
        <v>294</v>
      </c>
      <c r="F462" s="129" t="s">
        <v>297</v>
      </c>
      <c r="G462" s="129" t="s">
        <v>387</v>
      </c>
      <c r="H462" s="129">
        <v>966410</v>
      </c>
      <c r="I462" s="109">
        <v>43</v>
      </c>
      <c r="J462" s="129" t="s">
        <v>192</v>
      </c>
      <c r="K462" s="284"/>
      <c r="L462" s="103">
        <v>208.524</v>
      </c>
      <c r="M462" s="287"/>
      <c r="N462" s="290"/>
    </row>
    <row r="463" spans="1:16" ht="15" customHeight="1">
      <c r="A463" s="129" t="s">
        <v>532</v>
      </c>
      <c r="B463" s="129" t="s">
        <v>288</v>
      </c>
      <c r="C463" s="91">
        <v>44299</v>
      </c>
      <c r="D463" s="129">
        <v>1095</v>
      </c>
      <c r="E463" s="129" t="s">
        <v>294</v>
      </c>
      <c r="F463" s="129" t="s">
        <v>297</v>
      </c>
      <c r="G463" s="129" t="s">
        <v>537</v>
      </c>
      <c r="H463" s="129">
        <v>922492</v>
      </c>
      <c r="I463" s="109">
        <v>43</v>
      </c>
      <c r="J463" s="129" t="s">
        <v>193</v>
      </c>
      <c r="K463" s="282">
        <v>580</v>
      </c>
      <c r="L463" s="103"/>
      <c r="M463" s="285">
        <f>K463-(L463+L464+L465+L466)</f>
        <v>474.14299999999997</v>
      </c>
      <c r="N463" s="288">
        <f>(L463+L464+L465+L466)/K463</f>
        <v>0.18251206896551728</v>
      </c>
    </row>
    <row r="464" spans="1:16" ht="15" customHeight="1">
      <c r="A464" s="129" t="s">
        <v>532</v>
      </c>
      <c r="B464" s="129" t="s">
        <v>288</v>
      </c>
      <c r="C464" s="91">
        <v>44299</v>
      </c>
      <c r="D464" s="129">
        <v>1095</v>
      </c>
      <c r="E464" s="129" t="s">
        <v>294</v>
      </c>
      <c r="F464" s="129" t="s">
        <v>297</v>
      </c>
      <c r="G464" s="129" t="s">
        <v>384</v>
      </c>
      <c r="H464" s="129">
        <v>31015</v>
      </c>
      <c r="I464" s="109">
        <v>43</v>
      </c>
      <c r="J464" s="129" t="s">
        <v>193</v>
      </c>
      <c r="K464" s="283"/>
      <c r="L464" s="103">
        <v>2.391</v>
      </c>
      <c r="M464" s="286"/>
      <c r="N464" s="289"/>
    </row>
    <row r="465" spans="1:16" ht="15" customHeight="1">
      <c r="A465" s="129" t="s">
        <v>532</v>
      </c>
      <c r="B465" s="129" t="s">
        <v>288</v>
      </c>
      <c r="C465" s="91">
        <v>44299</v>
      </c>
      <c r="D465" s="129">
        <v>1095</v>
      </c>
      <c r="E465" s="129" t="s">
        <v>294</v>
      </c>
      <c r="F465" s="129" t="s">
        <v>297</v>
      </c>
      <c r="G465" s="129" t="s">
        <v>383</v>
      </c>
      <c r="H465" s="129">
        <v>968938</v>
      </c>
      <c r="I465" s="109">
        <v>43</v>
      </c>
      <c r="J465" s="129" t="s">
        <v>193</v>
      </c>
      <c r="K465" s="283"/>
      <c r="L465" s="103">
        <v>83.34</v>
      </c>
      <c r="M465" s="286"/>
      <c r="N465" s="289"/>
    </row>
    <row r="466" spans="1:16" ht="15" customHeight="1">
      <c r="A466" s="129" t="s">
        <v>532</v>
      </c>
      <c r="B466" s="129" t="s">
        <v>288</v>
      </c>
      <c r="C466" s="91">
        <v>44299</v>
      </c>
      <c r="D466" s="129">
        <v>1095</v>
      </c>
      <c r="E466" s="129" t="s">
        <v>294</v>
      </c>
      <c r="F466" s="129" t="s">
        <v>297</v>
      </c>
      <c r="G466" s="129" t="s">
        <v>387</v>
      </c>
      <c r="H466" s="129">
        <v>966410</v>
      </c>
      <c r="I466" s="109">
        <v>43</v>
      </c>
      <c r="J466" s="129" t="s">
        <v>193</v>
      </c>
      <c r="K466" s="284"/>
      <c r="L466" s="103">
        <v>20.126000000000001</v>
      </c>
      <c r="M466" s="287"/>
      <c r="N466" s="290"/>
    </row>
    <row r="467" spans="1:16" s="61" customFormat="1" ht="15" customHeight="1">
      <c r="A467" s="129" t="s">
        <v>532</v>
      </c>
      <c r="B467" s="129" t="s">
        <v>293</v>
      </c>
      <c r="C467" s="91">
        <v>44299</v>
      </c>
      <c r="D467" s="129">
        <v>1098</v>
      </c>
      <c r="E467" s="129" t="s">
        <v>294</v>
      </c>
      <c r="F467" s="129" t="s">
        <v>297</v>
      </c>
      <c r="G467" s="129" t="s">
        <v>538</v>
      </c>
      <c r="H467" s="129">
        <v>953641</v>
      </c>
      <c r="I467" s="109">
        <v>61</v>
      </c>
      <c r="J467" s="129" t="s">
        <v>192</v>
      </c>
      <c r="K467" s="127">
        <v>116</v>
      </c>
      <c r="L467" s="103">
        <v>125.193</v>
      </c>
      <c r="M467" s="128">
        <f t="shared" ref="M467:M468" si="103">K467-L467</f>
        <v>-9.1929999999999978</v>
      </c>
      <c r="N467" s="94">
        <f t="shared" ref="N467:N468" si="104">L467/K467</f>
        <v>1.07925</v>
      </c>
      <c r="O467" s="207">
        <f>M467+M468</f>
        <v>3.1000000000005912E-2</v>
      </c>
    </row>
    <row r="468" spans="1:16" s="61" customFormat="1" ht="15" customHeight="1">
      <c r="A468" s="129" t="s">
        <v>532</v>
      </c>
      <c r="B468" s="129" t="s">
        <v>293</v>
      </c>
      <c r="C468" s="91">
        <v>44299</v>
      </c>
      <c r="D468" s="129">
        <v>1098</v>
      </c>
      <c r="E468" s="129" t="s">
        <v>294</v>
      </c>
      <c r="F468" s="129" t="s">
        <v>297</v>
      </c>
      <c r="G468" s="129" t="s">
        <v>538</v>
      </c>
      <c r="H468" s="129">
        <v>953641</v>
      </c>
      <c r="I468" s="109">
        <v>61</v>
      </c>
      <c r="J468" s="129" t="s">
        <v>193</v>
      </c>
      <c r="K468" s="127">
        <v>84</v>
      </c>
      <c r="L468" s="103">
        <v>74.775999999999996</v>
      </c>
      <c r="M468" s="128">
        <f t="shared" si="103"/>
        <v>9.2240000000000038</v>
      </c>
      <c r="N468" s="94">
        <f t="shared" si="104"/>
        <v>0.8901904761904762</v>
      </c>
    </row>
    <row r="469" spans="1:16" s="61" customFormat="1" ht="15" customHeight="1">
      <c r="A469" s="129" t="s">
        <v>617</v>
      </c>
      <c r="B469" s="129" t="s">
        <v>293</v>
      </c>
      <c r="C469" s="91">
        <v>44306</v>
      </c>
      <c r="D469" s="129">
        <v>46</v>
      </c>
      <c r="E469" s="129" t="s">
        <v>289</v>
      </c>
      <c r="F469" s="129" t="s">
        <v>287</v>
      </c>
      <c r="G469" s="129" t="s">
        <v>563</v>
      </c>
      <c r="H469" s="129">
        <v>950918</v>
      </c>
      <c r="I469" s="109">
        <v>31</v>
      </c>
      <c r="J469" s="129" t="s">
        <v>192</v>
      </c>
      <c r="K469" s="127">
        <v>108.7</v>
      </c>
      <c r="L469" s="103">
        <v>3.5880000000000001</v>
      </c>
      <c r="M469" s="128">
        <f t="shared" ref="M469:M470" si="105">K469-L469</f>
        <v>105.11200000000001</v>
      </c>
      <c r="N469" s="94">
        <f t="shared" ref="N469:N470" si="106">L469/K469</f>
        <v>3.3008279668813249E-2</v>
      </c>
    </row>
    <row r="470" spans="1:16" s="61" customFormat="1" ht="15" customHeight="1">
      <c r="A470" s="129" t="s">
        <v>617</v>
      </c>
      <c r="B470" s="129" t="s">
        <v>293</v>
      </c>
      <c r="C470" s="91">
        <v>44306</v>
      </c>
      <c r="D470" s="129">
        <v>46</v>
      </c>
      <c r="E470" s="129" t="s">
        <v>289</v>
      </c>
      <c r="F470" s="129" t="s">
        <v>287</v>
      </c>
      <c r="G470" s="129" t="s">
        <v>563</v>
      </c>
      <c r="H470" s="129">
        <v>950918</v>
      </c>
      <c r="I470" s="109">
        <v>31</v>
      </c>
      <c r="J470" s="129" t="s">
        <v>193</v>
      </c>
      <c r="K470" s="127">
        <v>79.3</v>
      </c>
      <c r="L470" s="103">
        <v>1.6060000000000001</v>
      </c>
      <c r="M470" s="128">
        <f t="shared" si="105"/>
        <v>77.694000000000003</v>
      </c>
      <c r="N470" s="94">
        <f t="shared" si="106"/>
        <v>2.025220680958386E-2</v>
      </c>
    </row>
    <row r="471" spans="1:16" s="61" customFormat="1" ht="15" customHeight="1">
      <c r="A471" s="129" t="s">
        <v>305</v>
      </c>
      <c r="B471" s="129" t="s">
        <v>293</v>
      </c>
      <c r="C471" s="91">
        <v>44306</v>
      </c>
      <c r="D471" s="129">
        <v>48</v>
      </c>
      <c r="E471" s="129" t="s">
        <v>289</v>
      </c>
      <c r="F471" s="129" t="s">
        <v>287</v>
      </c>
      <c r="G471" s="129" t="s">
        <v>313</v>
      </c>
      <c r="H471" s="129">
        <v>697391</v>
      </c>
      <c r="I471" s="109">
        <v>53</v>
      </c>
      <c r="J471" s="129" t="s">
        <v>193</v>
      </c>
      <c r="K471" s="127">
        <v>140</v>
      </c>
      <c r="L471" s="103">
        <v>138.874</v>
      </c>
      <c r="M471" s="128">
        <f t="shared" ref="M471:M473" si="107">K471-L471</f>
        <v>1.1260000000000048</v>
      </c>
      <c r="N471" s="94">
        <f t="shared" ref="N471:N473" si="108">L471/K471</f>
        <v>0.99195714285714287</v>
      </c>
    </row>
    <row r="472" spans="1:16" ht="15" customHeight="1">
      <c r="A472" s="129" t="s">
        <v>532</v>
      </c>
      <c r="B472" s="129" t="s">
        <v>293</v>
      </c>
      <c r="C472" s="91">
        <v>44306</v>
      </c>
      <c r="D472" s="129">
        <v>1158</v>
      </c>
      <c r="E472" s="129" t="s">
        <v>294</v>
      </c>
      <c r="F472" s="129" t="s">
        <v>297</v>
      </c>
      <c r="G472" s="129" t="s">
        <v>386</v>
      </c>
      <c r="H472" s="129">
        <v>955516</v>
      </c>
      <c r="I472" s="109">
        <v>37</v>
      </c>
      <c r="J472" s="129" t="s">
        <v>192</v>
      </c>
      <c r="K472" s="127">
        <v>115</v>
      </c>
      <c r="L472" s="103">
        <v>115</v>
      </c>
      <c r="M472" s="128">
        <f t="shared" si="107"/>
        <v>0</v>
      </c>
      <c r="N472" s="94">
        <f t="shared" si="108"/>
        <v>1</v>
      </c>
    </row>
    <row r="473" spans="1:16" ht="15" customHeight="1">
      <c r="A473" s="129" t="s">
        <v>532</v>
      </c>
      <c r="B473" s="129" t="s">
        <v>293</v>
      </c>
      <c r="C473" s="91">
        <v>44306</v>
      </c>
      <c r="D473" s="129">
        <v>1158</v>
      </c>
      <c r="E473" s="129" t="s">
        <v>294</v>
      </c>
      <c r="F473" s="129" t="s">
        <v>297</v>
      </c>
      <c r="G473" s="129" t="s">
        <v>386</v>
      </c>
      <c r="H473" s="129">
        <v>955516</v>
      </c>
      <c r="I473" s="109">
        <v>37</v>
      </c>
      <c r="J473" s="129" t="s">
        <v>193</v>
      </c>
      <c r="K473" s="127">
        <v>145</v>
      </c>
      <c r="L473" s="103">
        <v>145</v>
      </c>
      <c r="M473" s="128">
        <f t="shared" si="107"/>
        <v>0</v>
      </c>
      <c r="N473" s="94">
        <f t="shared" si="108"/>
        <v>1</v>
      </c>
    </row>
    <row r="474" spans="1:16" ht="15" customHeight="1">
      <c r="A474" s="129" t="s">
        <v>532</v>
      </c>
      <c r="B474" s="129" t="s">
        <v>288</v>
      </c>
      <c r="C474" s="91">
        <v>44306</v>
      </c>
      <c r="D474" s="129">
        <v>1159</v>
      </c>
      <c r="E474" s="129" t="s">
        <v>294</v>
      </c>
      <c r="F474" s="129" t="s">
        <v>297</v>
      </c>
      <c r="G474" s="129" t="s">
        <v>595</v>
      </c>
      <c r="H474" s="129">
        <v>954609</v>
      </c>
      <c r="I474" s="109">
        <v>50</v>
      </c>
      <c r="J474" s="129" t="s">
        <v>192</v>
      </c>
      <c r="K474" s="282">
        <v>230</v>
      </c>
      <c r="L474" s="103">
        <v>195.52</v>
      </c>
      <c r="M474" s="285">
        <f>K474-(L474+L475)</f>
        <v>-211.976</v>
      </c>
      <c r="N474" s="288">
        <f>(L474+L475)/K474</f>
        <v>1.9216347826086957</v>
      </c>
      <c r="O474" s="116">
        <f>M474+M476</f>
        <v>0</v>
      </c>
    </row>
    <row r="475" spans="1:16" ht="15" customHeight="1">
      <c r="A475" s="129" t="s">
        <v>532</v>
      </c>
      <c r="B475" s="129" t="s">
        <v>288</v>
      </c>
      <c r="C475" s="91">
        <v>44306</v>
      </c>
      <c r="D475" s="129">
        <v>1159</v>
      </c>
      <c r="E475" s="129" t="s">
        <v>294</v>
      </c>
      <c r="F475" s="129" t="s">
        <v>297</v>
      </c>
      <c r="G475" s="129" t="s">
        <v>430</v>
      </c>
      <c r="H475" s="129">
        <v>955330</v>
      </c>
      <c r="I475" s="109">
        <v>50</v>
      </c>
      <c r="J475" s="129" t="s">
        <v>192</v>
      </c>
      <c r="K475" s="284"/>
      <c r="L475" s="103">
        <v>246.45599999999999</v>
      </c>
      <c r="M475" s="287"/>
      <c r="N475" s="290"/>
    </row>
    <row r="476" spans="1:16" ht="15" customHeight="1">
      <c r="A476" s="129" t="s">
        <v>532</v>
      </c>
      <c r="B476" s="129" t="s">
        <v>288</v>
      </c>
      <c r="C476" s="91">
        <v>44306</v>
      </c>
      <c r="D476" s="129">
        <v>1159</v>
      </c>
      <c r="E476" s="129" t="s">
        <v>294</v>
      </c>
      <c r="F476" s="129" t="s">
        <v>297</v>
      </c>
      <c r="G476" s="129" t="s">
        <v>595</v>
      </c>
      <c r="H476" s="129">
        <v>954609</v>
      </c>
      <c r="I476" s="109">
        <v>50</v>
      </c>
      <c r="J476" s="129" t="s">
        <v>193</v>
      </c>
      <c r="K476" s="282">
        <v>290</v>
      </c>
      <c r="L476" s="103">
        <v>64.48</v>
      </c>
      <c r="M476" s="285">
        <f>K476-(L476+L477)</f>
        <v>211.976</v>
      </c>
      <c r="N476" s="288">
        <f>(L476+L477)/K476</f>
        <v>0.26904827586206898</v>
      </c>
    </row>
    <row r="477" spans="1:16" ht="15" customHeight="1">
      <c r="A477" s="129" t="s">
        <v>532</v>
      </c>
      <c r="B477" s="129" t="s">
        <v>288</v>
      </c>
      <c r="C477" s="91">
        <v>44306</v>
      </c>
      <c r="D477" s="129">
        <v>1159</v>
      </c>
      <c r="E477" s="129" t="s">
        <v>294</v>
      </c>
      <c r="F477" s="129" t="s">
        <v>297</v>
      </c>
      <c r="G477" s="129" t="s">
        <v>430</v>
      </c>
      <c r="H477" s="129">
        <v>955330</v>
      </c>
      <c r="I477" s="109">
        <v>50</v>
      </c>
      <c r="J477" s="129" t="s">
        <v>193</v>
      </c>
      <c r="K477" s="284"/>
      <c r="L477" s="103">
        <v>13.544</v>
      </c>
      <c r="M477" s="287"/>
      <c r="N477" s="290"/>
    </row>
    <row r="478" spans="1:16" ht="15" customHeight="1">
      <c r="A478" s="129" t="s">
        <v>532</v>
      </c>
      <c r="B478" s="129" t="s">
        <v>293</v>
      </c>
      <c r="C478" s="91">
        <v>44306</v>
      </c>
      <c r="D478" s="129">
        <v>1160</v>
      </c>
      <c r="E478" s="129" t="s">
        <v>294</v>
      </c>
      <c r="F478" s="129" t="s">
        <v>297</v>
      </c>
      <c r="G478" s="129" t="s">
        <v>618</v>
      </c>
      <c r="H478" s="129">
        <v>955404</v>
      </c>
      <c r="I478" s="109">
        <v>50</v>
      </c>
      <c r="J478" s="129" t="s">
        <v>192</v>
      </c>
      <c r="K478" s="127">
        <v>115</v>
      </c>
      <c r="L478" s="103">
        <v>170.73099999999999</v>
      </c>
      <c r="M478" s="128">
        <f t="shared" ref="M478:M479" si="109">K478-L478</f>
        <v>-55.730999999999995</v>
      </c>
      <c r="N478" s="94">
        <f t="shared" ref="N478:N479" si="110">L478/K478</f>
        <v>1.4846173913043479</v>
      </c>
      <c r="O478" s="209">
        <f>M478+M479</f>
        <v>-6.9999999999907914E-3</v>
      </c>
      <c r="P478" s="90" t="s">
        <v>760</v>
      </c>
    </row>
    <row r="479" spans="1:16" ht="15" customHeight="1">
      <c r="A479" s="129" t="s">
        <v>532</v>
      </c>
      <c r="B479" s="129" t="s">
        <v>293</v>
      </c>
      <c r="C479" s="91">
        <v>44306</v>
      </c>
      <c r="D479" s="129">
        <v>1160</v>
      </c>
      <c r="E479" s="129" t="s">
        <v>294</v>
      </c>
      <c r="F479" s="129" t="s">
        <v>297</v>
      </c>
      <c r="G479" s="129" t="s">
        <v>618</v>
      </c>
      <c r="H479" s="129">
        <v>955404</v>
      </c>
      <c r="I479" s="109">
        <v>50</v>
      </c>
      <c r="J479" s="129" t="s">
        <v>193</v>
      </c>
      <c r="K479" s="127">
        <v>145</v>
      </c>
      <c r="L479" s="103">
        <v>89.275999999999996</v>
      </c>
      <c r="M479" s="128">
        <f t="shared" si="109"/>
        <v>55.724000000000004</v>
      </c>
      <c r="N479" s="94">
        <f t="shared" si="110"/>
        <v>0.61569655172413795</v>
      </c>
    </row>
    <row r="480" spans="1:16" ht="15" customHeight="1">
      <c r="A480" s="129" t="s">
        <v>532</v>
      </c>
      <c r="B480" s="129" t="s">
        <v>288</v>
      </c>
      <c r="C480" s="91">
        <v>44306</v>
      </c>
      <c r="D480" s="129">
        <v>1161</v>
      </c>
      <c r="E480" s="129" t="s">
        <v>294</v>
      </c>
      <c r="F480" s="129" t="s">
        <v>297</v>
      </c>
      <c r="G480" s="129" t="s">
        <v>466</v>
      </c>
      <c r="H480" s="129">
        <v>960538</v>
      </c>
      <c r="I480" s="109">
        <v>74</v>
      </c>
      <c r="J480" s="129" t="s">
        <v>192</v>
      </c>
      <c r="K480" s="282">
        <v>460</v>
      </c>
      <c r="L480" s="103">
        <v>253.71299999999999</v>
      </c>
      <c r="M480" s="285">
        <f>K480-(L480+L481+L482+L483)</f>
        <v>-167.98000000000002</v>
      </c>
      <c r="N480" s="288">
        <f>(L480+L481+L482+L483)/K480</f>
        <v>1.3651739130434783</v>
      </c>
      <c r="O480" s="116">
        <f>M480+M484</f>
        <v>0</v>
      </c>
    </row>
    <row r="481" spans="1:16" ht="15" customHeight="1">
      <c r="A481" s="129" t="s">
        <v>532</v>
      </c>
      <c r="B481" s="129" t="s">
        <v>288</v>
      </c>
      <c r="C481" s="91">
        <v>44306</v>
      </c>
      <c r="D481" s="129">
        <v>1161</v>
      </c>
      <c r="E481" s="129" t="s">
        <v>294</v>
      </c>
      <c r="F481" s="129" t="s">
        <v>297</v>
      </c>
      <c r="G481" s="130" t="s">
        <v>468</v>
      </c>
      <c r="H481" s="130">
        <v>967898</v>
      </c>
      <c r="I481" s="145">
        <v>74</v>
      </c>
      <c r="J481" s="129" t="s">
        <v>192</v>
      </c>
      <c r="K481" s="283"/>
      <c r="L481" s="103">
        <v>236.13</v>
      </c>
      <c r="M481" s="286"/>
      <c r="N481" s="289"/>
    </row>
    <row r="482" spans="1:16" ht="15" customHeight="1">
      <c r="A482" s="129" t="s">
        <v>532</v>
      </c>
      <c r="B482" s="129" t="s">
        <v>288</v>
      </c>
      <c r="C482" s="91">
        <v>44306</v>
      </c>
      <c r="D482" s="129">
        <v>1161</v>
      </c>
      <c r="E482" s="129" t="s">
        <v>294</v>
      </c>
      <c r="F482" s="129" t="s">
        <v>297</v>
      </c>
      <c r="G482" s="130" t="s">
        <v>467</v>
      </c>
      <c r="H482" s="130">
        <v>960539</v>
      </c>
      <c r="I482" s="145">
        <v>74</v>
      </c>
      <c r="J482" s="129" t="s">
        <v>192</v>
      </c>
      <c r="K482" s="283"/>
      <c r="L482" s="103">
        <v>138.137</v>
      </c>
      <c r="M482" s="286"/>
      <c r="N482" s="289"/>
    </row>
    <row r="483" spans="1:16" ht="15" customHeight="1">
      <c r="A483" s="129" t="s">
        <v>532</v>
      </c>
      <c r="B483" s="129" t="s">
        <v>288</v>
      </c>
      <c r="C483" s="91">
        <v>44306</v>
      </c>
      <c r="D483" s="129">
        <v>1161</v>
      </c>
      <c r="E483" s="129" t="s">
        <v>294</v>
      </c>
      <c r="F483" s="129" t="s">
        <v>297</v>
      </c>
      <c r="G483" s="130" t="s">
        <v>619</v>
      </c>
      <c r="H483" s="130">
        <v>969352</v>
      </c>
      <c r="I483" s="145">
        <v>74</v>
      </c>
      <c r="J483" s="129" t="s">
        <v>192</v>
      </c>
      <c r="K483" s="284"/>
      <c r="L483" s="103"/>
      <c r="M483" s="287"/>
      <c r="N483" s="290"/>
    </row>
    <row r="484" spans="1:16" ht="15" customHeight="1">
      <c r="A484" s="129" t="s">
        <v>532</v>
      </c>
      <c r="B484" s="129" t="s">
        <v>288</v>
      </c>
      <c r="C484" s="91">
        <v>44306</v>
      </c>
      <c r="D484" s="129">
        <v>1161</v>
      </c>
      <c r="E484" s="129" t="s">
        <v>294</v>
      </c>
      <c r="F484" s="129" t="s">
        <v>297</v>
      </c>
      <c r="G484" s="129" t="s">
        <v>466</v>
      </c>
      <c r="H484" s="129">
        <v>960538</v>
      </c>
      <c r="I484" s="145">
        <v>74</v>
      </c>
      <c r="J484" s="129" t="s">
        <v>193</v>
      </c>
      <c r="K484" s="282">
        <v>580</v>
      </c>
      <c r="L484" s="103">
        <v>149.62700000000001</v>
      </c>
      <c r="M484" s="285">
        <f>K484-(L484+L485+L486+L487)</f>
        <v>167.98000000000002</v>
      </c>
      <c r="N484" s="288">
        <f>(L484+L485+L486+L487)/K484</f>
        <v>0.7103793103448276</v>
      </c>
    </row>
    <row r="485" spans="1:16" ht="15" customHeight="1">
      <c r="A485" s="129" t="s">
        <v>532</v>
      </c>
      <c r="B485" s="129" t="s">
        <v>288</v>
      </c>
      <c r="C485" s="91">
        <v>44306</v>
      </c>
      <c r="D485" s="129">
        <v>1161</v>
      </c>
      <c r="E485" s="129" t="s">
        <v>294</v>
      </c>
      <c r="F485" s="129" t="s">
        <v>297</v>
      </c>
      <c r="G485" s="130" t="s">
        <v>468</v>
      </c>
      <c r="H485" s="130">
        <v>967898</v>
      </c>
      <c r="I485" s="145">
        <v>74</v>
      </c>
      <c r="J485" s="129" t="s">
        <v>193</v>
      </c>
      <c r="K485" s="283"/>
      <c r="L485" s="103">
        <v>132.755</v>
      </c>
      <c r="M485" s="286"/>
      <c r="N485" s="289"/>
    </row>
    <row r="486" spans="1:16" ht="15" customHeight="1">
      <c r="A486" s="129" t="s">
        <v>532</v>
      </c>
      <c r="B486" s="129" t="s">
        <v>288</v>
      </c>
      <c r="C486" s="91">
        <v>44306</v>
      </c>
      <c r="D486" s="129">
        <v>1161</v>
      </c>
      <c r="E486" s="129" t="s">
        <v>294</v>
      </c>
      <c r="F486" s="129" t="s">
        <v>297</v>
      </c>
      <c r="G486" s="130" t="s">
        <v>467</v>
      </c>
      <c r="H486" s="130">
        <v>960539</v>
      </c>
      <c r="I486" s="145">
        <v>74</v>
      </c>
      <c r="J486" s="129" t="s">
        <v>193</v>
      </c>
      <c r="K486" s="283"/>
      <c r="L486" s="103">
        <v>129.63800000000001</v>
      </c>
      <c r="M486" s="286"/>
      <c r="N486" s="289"/>
    </row>
    <row r="487" spans="1:16" ht="15" customHeight="1">
      <c r="A487" s="129" t="s">
        <v>532</v>
      </c>
      <c r="B487" s="129" t="s">
        <v>288</v>
      </c>
      <c r="C487" s="91">
        <v>44306</v>
      </c>
      <c r="D487" s="129">
        <v>1161</v>
      </c>
      <c r="E487" s="129" t="s">
        <v>294</v>
      </c>
      <c r="F487" s="129" t="s">
        <v>297</v>
      </c>
      <c r="G487" s="130" t="s">
        <v>619</v>
      </c>
      <c r="H487" s="130">
        <v>969352</v>
      </c>
      <c r="I487" s="145">
        <v>74</v>
      </c>
      <c r="J487" s="129" t="s">
        <v>193</v>
      </c>
      <c r="K487" s="284"/>
      <c r="L487" s="103"/>
      <c r="M487" s="287"/>
      <c r="N487" s="290"/>
    </row>
    <row r="488" spans="1:16" ht="15" customHeight="1">
      <c r="A488" s="129" t="s">
        <v>532</v>
      </c>
      <c r="B488" s="129" t="s">
        <v>288</v>
      </c>
      <c r="C488" s="91">
        <v>44306</v>
      </c>
      <c r="D488" s="130">
        <v>1162</v>
      </c>
      <c r="E488" s="129" t="s">
        <v>294</v>
      </c>
      <c r="F488" s="129" t="s">
        <v>297</v>
      </c>
      <c r="G488" s="130" t="s">
        <v>570</v>
      </c>
      <c r="H488" s="130">
        <v>31043</v>
      </c>
      <c r="I488" s="145">
        <v>49</v>
      </c>
      <c r="J488" s="129" t="s">
        <v>192</v>
      </c>
      <c r="K488" s="282">
        <v>176</v>
      </c>
      <c r="L488" s="103">
        <v>52.442999999999998</v>
      </c>
      <c r="M488" s="285">
        <f>K488-(L488+L489+L490)</f>
        <v>-51.495000000000005</v>
      </c>
      <c r="N488" s="288">
        <f>(L488+L489+L490)/K488</f>
        <v>1.2925852272727274</v>
      </c>
      <c r="O488" s="116">
        <f>M488+M491</f>
        <v>67.675999999999988</v>
      </c>
    </row>
    <row r="489" spans="1:16" ht="15" customHeight="1">
      <c r="A489" s="129" t="s">
        <v>532</v>
      </c>
      <c r="B489" s="129" t="s">
        <v>288</v>
      </c>
      <c r="C489" s="91">
        <v>44306</v>
      </c>
      <c r="D489" s="130">
        <v>1162</v>
      </c>
      <c r="E489" s="129" t="s">
        <v>294</v>
      </c>
      <c r="F489" s="129" t="s">
        <v>297</v>
      </c>
      <c r="G489" s="130" t="s">
        <v>571</v>
      </c>
      <c r="H489" s="130">
        <v>923223</v>
      </c>
      <c r="I489" s="145">
        <v>49</v>
      </c>
      <c r="J489" s="129" t="s">
        <v>192</v>
      </c>
      <c r="K489" s="283"/>
      <c r="L489" s="103">
        <v>19.190000000000001</v>
      </c>
      <c r="M489" s="286"/>
      <c r="N489" s="289"/>
    </row>
    <row r="490" spans="1:16" ht="15" customHeight="1">
      <c r="A490" s="129" t="s">
        <v>532</v>
      </c>
      <c r="B490" s="129" t="s">
        <v>288</v>
      </c>
      <c r="C490" s="91">
        <v>44306</v>
      </c>
      <c r="D490" s="130">
        <v>1162</v>
      </c>
      <c r="E490" s="129" t="s">
        <v>294</v>
      </c>
      <c r="F490" s="129" t="s">
        <v>297</v>
      </c>
      <c r="G490" s="130" t="s">
        <v>312</v>
      </c>
      <c r="H490" s="130">
        <v>968579</v>
      </c>
      <c r="I490" s="145">
        <v>78</v>
      </c>
      <c r="J490" s="129" t="s">
        <v>192</v>
      </c>
      <c r="K490" s="284"/>
      <c r="L490" s="103">
        <v>155.86199999999999</v>
      </c>
      <c r="M490" s="287"/>
      <c r="N490" s="290"/>
    </row>
    <row r="491" spans="1:16" ht="15" customHeight="1">
      <c r="A491" s="129" t="s">
        <v>532</v>
      </c>
      <c r="B491" s="129" t="s">
        <v>288</v>
      </c>
      <c r="C491" s="91">
        <v>44306</v>
      </c>
      <c r="D491" s="130">
        <v>1162</v>
      </c>
      <c r="E491" s="129" t="s">
        <v>294</v>
      </c>
      <c r="F491" s="129" t="s">
        <v>297</v>
      </c>
      <c r="G491" s="130" t="s">
        <v>570</v>
      </c>
      <c r="H491" s="130">
        <v>31043</v>
      </c>
      <c r="I491" s="145">
        <v>49</v>
      </c>
      <c r="J491" s="129" t="s">
        <v>193</v>
      </c>
      <c r="K491" s="282">
        <v>224</v>
      </c>
      <c r="L491" s="103">
        <v>11.667</v>
      </c>
      <c r="M491" s="285">
        <f>K491-(L491+L492+L493)</f>
        <v>119.17099999999999</v>
      </c>
      <c r="N491" s="288">
        <f>(L491+L492+L493)/K491</f>
        <v>0.46798660714285717</v>
      </c>
    </row>
    <row r="492" spans="1:16" ht="15" customHeight="1">
      <c r="A492" s="129" t="s">
        <v>532</v>
      </c>
      <c r="B492" s="129" t="s">
        <v>288</v>
      </c>
      <c r="C492" s="91">
        <v>44306</v>
      </c>
      <c r="D492" s="130">
        <v>1162</v>
      </c>
      <c r="E492" s="129" t="s">
        <v>294</v>
      </c>
      <c r="F492" s="129" t="s">
        <v>297</v>
      </c>
      <c r="G492" s="130" t="s">
        <v>571</v>
      </c>
      <c r="H492" s="130">
        <v>923223</v>
      </c>
      <c r="I492" s="145">
        <v>49</v>
      </c>
      <c r="J492" s="129" t="s">
        <v>193</v>
      </c>
      <c r="K492" s="283"/>
      <c r="L492" s="103">
        <v>35.64</v>
      </c>
      <c r="M492" s="286"/>
      <c r="N492" s="289"/>
    </row>
    <row r="493" spans="1:16" ht="15" customHeight="1">
      <c r="A493" s="129" t="s">
        <v>532</v>
      </c>
      <c r="B493" s="129" t="s">
        <v>288</v>
      </c>
      <c r="C493" s="91">
        <v>44306</v>
      </c>
      <c r="D493" s="130">
        <v>1162</v>
      </c>
      <c r="E493" s="129" t="s">
        <v>294</v>
      </c>
      <c r="F493" s="129" t="s">
        <v>297</v>
      </c>
      <c r="G493" s="130" t="s">
        <v>312</v>
      </c>
      <c r="H493" s="130">
        <v>968579</v>
      </c>
      <c r="I493" s="145">
        <v>78</v>
      </c>
      <c r="J493" s="129" t="s">
        <v>193</v>
      </c>
      <c r="K493" s="284"/>
      <c r="L493" s="103">
        <v>57.521999999999998</v>
      </c>
      <c r="M493" s="287"/>
      <c r="N493" s="290"/>
    </row>
    <row r="494" spans="1:16" ht="15" customHeight="1">
      <c r="A494" s="129" t="s">
        <v>532</v>
      </c>
      <c r="B494" s="129" t="s">
        <v>293</v>
      </c>
      <c r="C494" s="91">
        <v>44306</v>
      </c>
      <c r="D494" s="130">
        <v>1163</v>
      </c>
      <c r="E494" s="129" t="s">
        <v>294</v>
      </c>
      <c r="F494" s="129" t="s">
        <v>297</v>
      </c>
      <c r="G494" s="130" t="s">
        <v>620</v>
      </c>
      <c r="H494" s="130">
        <v>952323</v>
      </c>
      <c r="I494" s="145">
        <v>52</v>
      </c>
      <c r="J494" s="129" t="s">
        <v>192</v>
      </c>
      <c r="K494" s="127">
        <v>111</v>
      </c>
      <c r="L494" s="103">
        <v>233.14</v>
      </c>
      <c r="M494" s="128">
        <f t="shared" ref="M494:M495" si="111">K494-L494</f>
        <v>-122.13999999999999</v>
      </c>
      <c r="N494" s="94">
        <f t="shared" ref="N494:N495" si="112">L494/K494</f>
        <v>2.1003603603603604</v>
      </c>
      <c r="O494" s="214">
        <f>M494+M495</f>
        <v>-7.9819999999999851</v>
      </c>
      <c r="P494" s="213" t="s">
        <v>762</v>
      </c>
    </row>
    <row r="495" spans="1:16" ht="15" customHeight="1">
      <c r="A495" s="129" t="s">
        <v>532</v>
      </c>
      <c r="B495" s="129" t="s">
        <v>293</v>
      </c>
      <c r="C495" s="91">
        <v>44306</v>
      </c>
      <c r="D495" s="130">
        <v>1163</v>
      </c>
      <c r="E495" s="129" t="s">
        <v>294</v>
      </c>
      <c r="F495" s="129" t="s">
        <v>297</v>
      </c>
      <c r="G495" s="130" t="s">
        <v>620</v>
      </c>
      <c r="H495" s="130">
        <v>952323</v>
      </c>
      <c r="I495" s="145">
        <v>52</v>
      </c>
      <c r="J495" s="129" t="s">
        <v>193</v>
      </c>
      <c r="K495" s="127">
        <v>139</v>
      </c>
      <c r="L495" s="103">
        <v>24.841999999999999</v>
      </c>
      <c r="M495" s="128">
        <f t="shared" si="111"/>
        <v>114.158</v>
      </c>
      <c r="N495" s="94">
        <f t="shared" si="112"/>
        <v>0.17871942446043165</v>
      </c>
    </row>
    <row r="496" spans="1:16" ht="15" customHeight="1">
      <c r="A496" s="130" t="s">
        <v>296</v>
      </c>
      <c r="B496" s="130" t="s">
        <v>293</v>
      </c>
      <c r="C496" s="91">
        <v>44306</v>
      </c>
      <c r="D496" s="130">
        <v>1164</v>
      </c>
      <c r="E496" s="129" t="s">
        <v>294</v>
      </c>
      <c r="F496" s="129" t="s">
        <v>297</v>
      </c>
      <c r="G496" s="129" t="s">
        <v>563</v>
      </c>
      <c r="H496" s="129">
        <v>950918</v>
      </c>
      <c r="I496" s="145">
        <v>31</v>
      </c>
      <c r="J496" s="129" t="s">
        <v>192</v>
      </c>
      <c r="K496" s="127">
        <v>120</v>
      </c>
      <c r="L496" s="103">
        <v>191.84899999999999</v>
      </c>
      <c r="M496" s="128">
        <f t="shared" ref="M496:M501" si="113">K496-L496</f>
        <v>-71.84899999999999</v>
      </c>
      <c r="N496" s="94">
        <f t="shared" ref="N496:N501" si="114">L496/K496</f>
        <v>1.5987416666666665</v>
      </c>
      <c r="O496" s="116">
        <f>M496+M497</f>
        <v>0</v>
      </c>
    </row>
    <row r="497" spans="1:15" ht="15" customHeight="1">
      <c r="A497" s="130" t="s">
        <v>296</v>
      </c>
      <c r="B497" s="130" t="s">
        <v>293</v>
      </c>
      <c r="C497" s="91">
        <v>44306</v>
      </c>
      <c r="D497" s="130">
        <v>1164</v>
      </c>
      <c r="E497" s="129" t="s">
        <v>294</v>
      </c>
      <c r="F497" s="129" t="s">
        <v>297</v>
      </c>
      <c r="G497" s="129" t="s">
        <v>563</v>
      </c>
      <c r="H497" s="129">
        <v>950918</v>
      </c>
      <c r="I497" s="145">
        <v>31</v>
      </c>
      <c r="J497" s="129" t="s">
        <v>193</v>
      </c>
      <c r="K497" s="127">
        <v>120</v>
      </c>
      <c r="L497" s="103">
        <v>48.151000000000003</v>
      </c>
      <c r="M497" s="128">
        <f t="shared" si="113"/>
        <v>71.84899999999999</v>
      </c>
      <c r="N497" s="94">
        <f t="shared" si="114"/>
        <v>0.40125833333333338</v>
      </c>
    </row>
    <row r="498" spans="1:15" ht="15" customHeight="1">
      <c r="A498" s="130" t="s">
        <v>296</v>
      </c>
      <c r="B498" s="130" t="s">
        <v>293</v>
      </c>
      <c r="C498" s="91">
        <v>44306</v>
      </c>
      <c r="D498" s="130">
        <v>1164</v>
      </c>
      <c r="E498" s="129" t="s">
        <v>294</v>
      </c>
      <c r="F498" s="129" t="s">
        <v>297</v>
      </c>
      <c r="G498" s="130" t="s">
        <v>621</v>
      </c>
      <c r="H498" s="130">
        <v>922483</v>
      </c>
      <c r="I498" s="145">
        <v>23</v>
      </c>
      <c r="J498" s="129" t="s">
        <v>192</v>
      </c>
      <c r="K498" s="127">
        <v>100</v>
      </c>
      <c r="L498" s="103">
        <v>36.024999999999999</v>
      </c>
      <c r="M498" s="128">
        <f t="shared" si="113"/>
        <v>63.975000000000001</v>
      </c>
      <c r="N498" s="94">
        <f t="shared" si="114"/>
        <v>0.36024999999999996</v>
      </c>
      <c r="O498" s="116">
        <f t="shared" ref="O498" si="115">M498+M499</f>
        <v>109.02799999999999</v>
      </c>
    </row>
    <row r="499" spans="1:15" ht="15" customHeight="1">
      <c r="A499" s="130" t="s">
        <v>296</v>
      </c>
      <c r="B499" s="130" t="s">
        <v>293</v>
      </c>
      <c r="C499" s="91">
        <v>44306</v>
      </c>
      <c r="D499" s="130">
        <v>1164</v>
      </c>
      <c r="E499" s="129" t="s">
        <v>294</v>
      </c>
      <c r="F499" s="129" t="s">
        <v>297</v>
      </c>
      <c r="G499" s="130" t="s">
        <v>621</v>
      </c>
      <c r="H499" s="130">
        <v>922483</v>
      </c>
      <c r="I499" s="145">
        <v>23</v>
      </c>
      <c r="J499" s="129" t="s">
        <v>193</v>
      </c>
      <c r="K499" s="127">
        <v>100</v>
      </c>
      <c r="L499" s="103">
        <v>54.947000000000003</v>
      </c>
      <c r="M499" s="128">
        <f t="shared" si="113"/>
        <v>45.052999999999997</v>
      </c>
      <c r="N499" s="94">
        <f t="shared" si="114"/>
        <v>0.54947000000000001</v>
      </c>
    </row>
    <row r="500" spans="1:15" ht="15" customHeight="1">
      <c r="A500" s="130" t="s">
        <v>296</v>
      </c>
      <c r="B500" s="130" t="s">
        <v>293</v>
      </c>
      <c r="C500" s="91">
        <v>44306</v>
      </c>
      <c r="D500" s="130">
        <v>1164</v>
      </c>
      <c r="E500" s="129" t="s">
        <v>294</v>
      </c>
      <c r="F500" s="129" t="s">
        <v>297</v>
      </c>
      <c r="G500" s="130" t="s">
        <v>622</v>
      </c>
      <c r="H500" s="130">
        <v>923170</v>
      </c>
      <c r="I500" s="145">
        <v>32</v>
      </c>
      <c r="J500" s="129" t="s">
        <v>192</v>
      </c>
      <c r="K500" s="127">
        <v>90</v>
      </c>
      <c r="L500" s="103">
        <v>114.67100000000001</v>
      </c>
      <c r="M500" s="128">
        <f t="shared" si="113"/>
        <v>-24.671000000000006</v>
      </c>
      <c r="N500" s="94">
        <f t="shared" si="114"/>
        <v>1.2741222222222224</v>
      </c>
      <c r="O500" s="116">
        <f t="shared" ref="O500" si="116">M500+M501</f>
        <v>0</v>
      </c>
    </row>
    <row r="501" spans="1:15" ht="15" customHeight="1">
      <c r="A501" s="130" t="s">
        <v>296</v>
      </c>
      <c r="B501" s="130" t="s">
        <v>293</v>
      </c>
      <c r="C501" s="91">
        <v>44306</v>
      </c>
      <c r="D501" s="130">
        <v>1164</v>
      </c>
      <c r="E501" s="129" t="s">
        <v>294</v>
      </c>
      <c r="F501" s="129" t="s">
        <v>297</v>
      </c>
      <c r="G501" s="130" t="s">
        <v>622</v>
      </c>
      <c r="H501" s="130">
        <v>923170</v>
      </c>
      <c r="I501" s="145">
        <v>32</v>
      </c>
      <c r="J501" s="129" t="s">
        <v>193</v>
      </c>
      <c r="K501" s="127">
        <v>100</v>
      </c>
      <c r="L501" s="103">
        <v>75.328999999999994</v>
      </c>
      <c r="M501" s="128">
        <f t="shared" si="113"/>
        <v>24.671000000000006</v>
      </c>
      <c r="N501" s="94">
        <f t="shared" si="114"/>
        <v>0.7532899999999999</v>
      </c>
    </row>
    <row r="502" spans="1:15" ht="15" customHeight="1">
      <c r="A502" s="130" t="s">
        <v>296</v>
      </c>
      <c r="B502" s="130" t="s">
        <v>293</v>
      </c>
      <c r="C502" s="91">
        <v>44306</v>
      </c>
      <c r="D502" s="130">
        <v>1165</v>
      </c>
      <c r="E502" s="129" t="s">
        <v>294</v>
      </c>
      <c r="F502" s="129" t="s">
        <v>297</v>
      </c>
      <c r="G502" s="130" t="s">
        <v>594</v>
      </c>
      <c r="H502" s="130">
        <v>955587</v>
      </c>
      <c r="I502" s="145">
        <v>58</v>
      </c>
      <c r="J502" s="129" t="s">
        <v>192</v>
      </c>
      <c r="K502" s="127">
        <v>75</v>
      </c>
      <c r="L502" s="103"/>
      <c r="M502" s="128">
        <f t="shared" ref="M502:M503" si="117">K502-L502</f>
        <v>75</v>
      </c>
      <c r="N502" s="94">
        <f t="shared" ref="N502:N503" si="118">L502/K502</f>
        <v>0</v>
      </c>
      <c r="O502" s="116">
        <f t="shared" ref="O502" si="119">M502+M503</f>
        <v>150</v>
      </c>
    </row>
    <row r="503" spans="1:15" ht="15" customHeight="1">
      <c r="A503" s="130" t="s">
        <v>296</v>
      </c>
      <c r="B503" s="130" t="s">
        <v>293</v>
      </c>
      <c r="C503" s="91">
        <v>44306</v>
      </c>
      <c r="D503" s="130">
        <v>1165</v>
      </c>
      <c r="E503" s="129" t="s">
        <v>294</v>
      </c>
      <c r="F503" s="129" t="s">
        <v>297</v>
      </c>
      <c r="G503" s="130" t="s">
        <v>594</v>
      </c>
      <c r="H503" s="130">
        <v>955587</v>
      </c>
      <c r="I503" s="145">
        <v>58</v>
      </c>
      <c r="J503" s="129" t="s">
        <v>193</v>
      </c>
      <c r="K503" s="127">
        <v>75</v>
      </c>
      <c r="L503" s="103"/>
      <c r="M503" s="128">
        <f t="shared" si="117"/>
        <v>75</v>
      </c>
      <c r="N503" s="94">
        <f t="shared" si="118"/>
        <v>0</v>
      </c>
    </row>
    <row r="504" spans="1:15" ht="15" customHeight="1">
      <c r="A504" s="130" t="s">
        <v>296</v>
      </c>
      <c r="B504" s="130" t="s">
        <v>293</v>
      </c>
      <c r="C504" s="91">
        <v>44306</v>
      </c>
      <c r="D504" s="130">
        <v>1165</v>
      </c>
      <c r="E504" s="129" t="s">
        <v>294</v>
      </c>
      <c r="F504" s="129" t="s">
        <v>297</v>
      </c>
      <c r="G504" s="130" t="s">
        <v>548</v>
      </c>
      <c r="H504" s="130">
        <v>910367</v>
      </c>
      <c r="I504" s="145">
        <v>52</v>
      </c>
      <c r="J504" s="129" t="s">
        <v>192</v>
      </c>
      <c r="K504" s="127">
        <v>75</v>
      </c>
      <c r="L504" s="103">
        <v>111.69199999999999</v>
      </c>
      <c r="M504" s="128">
        <f t="shared" ref="M504:M521" si="120">K504-L504</f>
        <v>-36.691999999999993</v>
      </c>
      <c r="N504" s="94">
        <f t="shared" ref="N504:N521" si="121">L504/K504</f>
        <v>1.4892266666666665</v>
      </c>
      <c r="O504" s="116">
        <f t="shared" ref="O504" si="122">M504+M505</f>
        <v>7.000000000000739E-2</v>
      </c>
    </row>
    <row r="505" spans="1:15" ht="15" customHeight="1">
      <c r="A505" s="130" t="s">
        <v>296</v>
      </c>
      <c r="B505" s="130" t="s">
        <v>293</v>
      </c>
      <c r="C505" s="91">
        <v>44306</v>
      </c>
      <c r="D505" s="130">
        <v>1165</v>
      </c>
      <c r="E505" s="129" t="s">
        <v>294</v>
      </c>
      <c r="F505" s="129" t="s">
        <v>297</v>
      </c>
      <c r="G505" s="130" t="s">
        <v>548</v>
      </c>
      <c r="H505" s="130">
        <v>910367</v>
      </c>
      <c r="I505" s="145">
        <v>52</v>
      </c>
      <c r="J505" s="129" t="s">
        <v>193</v>
      </c>
      <c r="K505" s="127">
        <v>75</v>
      </c>
      <c r="L505" s="103">
        <v>38.238</v>
      </c>
      <c r="M505" s="128">
        <f t="shared" si="120"/>
        <v>36.762</v>
      </c>
      <c r="N505" s="94">
        <f t="shared" si="121"/>
        <v>0.50983999999999996</v>
      </c>
    </row>
    <row r="506" spans="1:15" ht="15" customHeight="1">
      <c r="A506" s="130" t="s">
        <v>296</v>
      </c>
      <c r="B506" s="130" t="s">
        <v>293</v>
      </c>
      <c r="C506" s="91">
        <v>44306</v>
      </c>
      <c r="D506" s="130">
        <v>1165</v>
      </c>
      <c r="E506" s="129" t="s">
        <v>294</v>
      </c>
      <c r="F506" s="129" t="s">
        <v>297</v>
      </c>
      <c r="G506" s="130" t="s">
        <v>623</v>
      </c>
      <c r="H506" s="130">
        <v>969166</v>
      </c>
      <c r="I506" s="145">
        <v>67</v>
      </c>
      <c r="J506" s="129" t="s">
        <v>192</v>
      </c>
      <c r="K506" s="127">
        <v>75</v>
      </c>
      <c r="L506" s="103">
        <v>12.986000000000001</v>
      </c>
      <c r="M506" s="128">
        <f t="shared" si="120"/>
        <v>62.013999999999996</v>
      </c>
      <c r="N506" s="94">
        <f t="shared" si="121"/>
        <v>0.17314666666666667</v>
      </c>
      <c r="O506" s="116">
        <f t="shared" ref="O506" si="123">M506+M507</f>
        <v>111.97499999999999</v>
      </c>
    </row>
    <row r="507" spans="1:15" ht="15" customHeight="1">
      <c r="A507" s="130" t="s">
        <v>296</v>
      </c>
      <c r="B507" s="130" t="s">
        <v>293</v>
      </c>
      <c r="C507" s="91">
        <v>44306</v>
      </c>
      <c r="D507" s="130">
        <v>1165</v>
      </c>
      <c r="E507" s="129" t="s">
        <v>294</v>
      </c>
      <c r="F507" s="129" t="s">
        <v>297</v>
      </c>
      <c r="G507" s="130" t="s">
        <v>623</v>
      </c>
      <c r="H507" s="130">
        <v>969166</v>
      </c>
      <c r="I507" s="145">
        <v>67</v>
      </c>
      <c r="J507" s="129" t="s">
        <v>193</v>
      </c>
      <c r="K507" s="127">
        <v>75</v>
      </c>
      <c r="L507" s="103">
        <v>25.039000000000001</v>
      </c>
      <c r="M507" s="128">
        <f t="shared" si="120"/>
        <v>49.960999999999999</v>
      </c>
      <c r="N507" s="94">
        <f t="shared" si="121"/>
        <v>0.33385333333333334</v>
      </c>
    </row>
    <row r="508" spans="1:15" ht="15" customHeight="1">
      <c r="A508" s="130" t="s">
        <v>296</v>
      </c>
      <c r="B508" s="130" t="s">
        <v>293</v>
      </c>
      <c r="C508" s="91">
        <v>44306</v>
      </c>
      <c r="D508" s="130">
        <v>1165</v>
      </c>
      <c r="E508" s="129" t="s">
        <v>294</v>
      </c>
      <c r="F508" s="129" t="s">
        <v>297</v>
      </c>
      <c r="G508" s="130" t="s">
        <v>498</v>
      </c>
      <c r="H508" s="130">
        <v>960769</v>
      </c>
      <c r="I508" s="145">
        <v>11</v>
      </c>
      <c r="J508" s="129" t="s">
        <v>192</v>
      </c>
      <c r="K508" s="127">
        <v>75</v>
      </c>
      <c r="L508" s="103">
        <v>119.714</v>
      </c>
      <c r="M508" s="128">
        <f t="shared" si="120"/>
        <v>-44.713999999999999</v>
      </c>
      <c r="N508" s="94">
        <f t="shared" si="121"/>
        <v>1.5961866666666666</v>
      </c>
      <c r="O508" s="116">
        <f t="shared" ref="O508" si="124">M508+M509</f>
        <v>0</v>
      </c>
    </row>
    <row r="509" spans="1:15" ht="15" customHeight="1">
      <c r="A509" s="130" t="s">
        <v>296</v>
      </c>
      <c r="B509" s="130" t="s">
        <v>293</v>
      </c>
      <c r="C509" s="91">
        <v>44306</v>
      </c>
      <c r="D509" s="130">
        <v>1165</v>
      </c>
      <c r="E509" s="129" t="s">
        <v>294</v>
      </c>
      <c r="F509" s="129" t="s">
        <v>297</v>
      </c>
      <c r="G509" s="130" t="s">
        <v>498</v>
      </c>
      <c r="H509" s="130">
        <v>960769</v>
      </c>
      <c r="I509" s="145">
        <v>11</v>
      </c>
      <c r="J509" s="129" t="s">
        <v>193</v>
      </c>
      <c r="K509" s="127">
        <v>75</v>
      </c>
      <c r="L509" s="103">
        <v>30.286000000000001</v>
      </c>
      <c r="M509" s="128">
        <f t="shared" si="120"/>
        <v>44.713999999999999</v>
      </c>
      <c r="N509" s="94">
        <f t="shared" si="121"/>
        <v>0.40381333333333336</v>
      </c>
    </row>
    <row r="510" spans="1:15" ht="15" customHeight="1">
      <c r="A510" s="130" t="s">
        <v>296</v>
      </c>
      <c r="B510" s="130" t="s">
        <v>293</v>
      </c>
      <c r="C510" s="91">
        <v>44306</v>
      </c>
      <c r="D510" s="130">
        <v>1165</v>
      </c>
      <c r="E510" s="129" t="s">
        <v>294</v>
      </c>
      <c r="F510" s="129" t="s">
        <v>297</v>
      </c>
      <c r="G510" s="130" t="s">
        <v>624</v>
      </c>
      <c r="H510" s="130">
        <v>25153</v>
      </c>
      <c r="I510" s="145">
        <v>50</v>
      </c>
      <c r="J510" s="129" t="s">
        <v>192</v>
      </c>
      <c r="K510" s="127">
        <v>75</v>
      </c>
      <c r="L510" s="103">
        <v>114.098</v>
      </c>
      <c r="M510" s="128">
        <f t="shared" si="120"/>
        <v>-39.097999999999999</v>
      </c>
      <c r="N510" s="94">
        <f t="shared" si="121"/>
        <v>1.5213066666666666</v>
      </c>
      <c r="O510" s="116">
        <f t="shared" ref="O510" si="125">M510+M511</f>
        <v>0</v>
      </c>
    </row>
    <row r="511" spans="1:15" ht="15" customHeight="1">
      <c r="A511" s="130" t="s">
        <v>296</v>
      </c>
      <c r="B511" s="130" t="s">
        <v>293</v>
      </c>
      <c r="C511" s="91">
        <v>44306</v>
      </c>
      <c r="D511" s="130">
        <v>1165</v>
      </c>
      <c r="E511" s="129" t="s">
        <v>294</v>
      </c>
      <c r="F511" s="129" t="s">
        <v>297</v>
      </c>
      <c r="G511" s="130" t="s">
        <v>624</v>
      </c>
      <c r="H511" s="130">
        <v>25153</v>
      </c>
      <c r="I511" s="145">
        <v>50</v>
      </c>
      <c r="J511" s="129" t="s">
        <v>193</v>
      </c>
      <c r="K511" s="127">
        <v>75</v>
      </c>
      <c r="L511" s="103">
        <v>35.902000000000001</v>
      </c>
      <c r="M511" s="128">
        <f t="shared" si="120"/>
        <v>39.097999999999999</v>
      </c>
      <c r="N511" s="94">
        <f t="shared" si="121"/>
        <v>0.47869333333333336</v>
      </c>
    </row>
    <row r="512" spans="1:15" ht="15" customHeight="1">
      <c r="A512" s="130" t="s">
        <v>296</v>
      </c>
      <c r="B512" s="130" t="s">
        <v>293</v>
      </c>
      <c r="C512" s="91">
        <v>44306</v>
      </c>
      <c r="D512" s="130">
        <v>1165</v>
      </c>
      <c r="E512" s="129" t="s">
        <v>294</v>
      </c>
      <c r="F512" s="129" t="s">
        <v>297</v>
      </c>
      <c r="G512" s="130" t="s">
        <v>625</v>
      </c>
      <c r="H512" s="130">
        <v>957812</v>
      </c>
      <c r="I512" s="145">
        <v>31</v>
      </c>
      <c r="J512" s="129" t="s">
        <v>192</v>
      </c>
      <c r="K512" s="127">
        <v>75</v>
      </c>
      <c r="L512" s="103">
        <v>60.429000000000002</v>
      </c>
      <c r="M512" s="128">
        <f t="shared" si="120"/>
        <v>14.570999999999998</v>
      </c>
      <c r="N512" s="94">
        <f t="shared" si="121"/>
        <v>0.80571999999999999</v>
      </c>
      <c r="O512" s="116">
        <f t="shared" ref="O512" si="126">M512+M513</f>
        <v>0</v>
      </c>
    </row>
    <row r="513" spans="1:15" ht="15" customHeight="1">
      <c r="A513" s="130" t="s">
        <v>296</v>
      </c>
      <c r="B513" s="130" t="s">
        <v>293</v>
      </c>
      <c r="C513" s="91">
        <v>44306</v>
      </c>
      <c r="D513" s="130">
        <v>1165</v>
      </c>
      <c r="E513" s="129" t="s">
        <v>294</v>
      </c>
      <c r="F513" s="129" t="s">
        <v>297</v>
      </c>
      <c r="G513" s="130" t="s">
        <v>625</v>
      </c>
      <c r="H513" s="130">
        <v>957812</v>
      </c>
      <c r="I513" s="145">
        <v>31</v>
      </c>
      <c r="J513" s="129" t="s">
        <v>193</v>
      </c>
      <c r="K513" s="127">
        <v>75</v>
      </c>
      <c r="L513" s="103">
        <v>89.570999999999998</v>
      </c>
      <c r="M513" s="128">
        <f t="shared" si="120"/>
        <v>-14.570999999999998</v>
      </c>
      <c r="N513" s="94">
        <f t="shared" si="121"/>
        <v>1.19428</v>
      </c>
    </row>
    <row r="514" spans="1:15" ht="15" customHeight="1">
      <c r="A514" s="130" t="s">
        <v>296</v>
      </c>
      <c r="B514" s="130" t="s">
        <v>293</v>
      </c>
      <c r="C514" s="91">
        <v>44306</v>
      </c>
      <c r="D514" s="130">
        <v>1165</v>
      </c>
      <c r="E514" s="129" t="s">
        <v>294</v>
      </c>
      <c r="F514" s="129" t="s">
        <v>297</v>
      </c>
      <c r="G514" s="130" t="s">
        <v>626</v>
      </c>
      <c r="H514" s="130">
        <v>6485</v>
      </c>
      <c r="I514" s="145">
        <v>19</v>
      </c>
      <c r="J514" s="129" t="s">
        <v>192</v>
      </c>
      <c r="K514" s="127">
        <v>75</v>
      </c>
      <c r="L514" s="103">
        <v>35.505000000000003</v>
      </c>
      <c r="M514" s="128">
        <f t="shared" si="120"/>
        <v>39.494999999999997</v>
      </c>
      <c r="N514" s="94">
        <f t="shared" si="121"/>
        <v>0.47340000000000004</v>
      </c>
      <c r="O514" s="116">
        <f t="shared" ref="O514" si="127">M514+M515</f>
        <v>2.3999999999999986</v>
      </c>
    </row>
    <row r="515" spans="1:15" ht="15" customHeight="1">
      <c r="A515" s="130" t="s">
        <v>296</v>
      </c>
      <c r="B515" s="130" t="s">
        <v>293</v>
      </c>
      <c r="C515" s="91">
        <v>44306</v>
      </c>
      <c r="D515" s="130">
        <v>1165</v>
      </c>
      <c r="E515" s="129" t="s">
        <v>294</v>
      </c>
      <c r="F515" s="129" t="s">
        <v>297</v>
      </c>
      <c r="G515" s="130" t="s">
        <v>626</v>
      </c>
      <c r="H515" s="130">
        <v>6485</v>
      </c>
      <c r="I515" s="145">
        <v>19</v>
      </c>
      <c r="J515" s="129" t="s">
        <v>193</v>
      </c>
      <c r="K515" s="127">
        <v>75</v>
      </c>
      <c r="L515" s="103">
        <v>112.095</v>
      </c>
      <c r="M515" s="128">
        <f t="shared" si="120"/>
        <v>-37.094999999999999</v>
      </c>
      <c r="N515" s="94">
        <f t="shared" si="121"/>
        <v>1.4945999999999999</v>
      </c>
    </row>
    <row r="516" spans="1:15" ht="15" customHeight="1">
      <c r="A516" s="130" t="s">
        <v>296</v>
      </c>
      <c r="B516" s="130" t="s">
        <v>293</v>
      </c>
      <c r="C516" s="91">
        <v>44306</v>
      </c>
      <c r="D516" s="130">
        <v>1165</v>
      </c>
      <c r="E516" s="129" t="s">
        <v>294</v>
      </c>
      <c r="F516" s="129" t="s">
        <v>297</v>
      </c>
      <c r="G516" s="130" t="s">
        <v>627</v>
      </c>
      <c r="H516" s="130">
        <v>969305</v>
      </c>
      <c r="I516" s="145">
        <v>48</v>
      </c>
      <c r="J516" s="129" t="s">
        <v>192</v>
      </c>
      <c r="K516" s="127">
        <v>75</v>
      </c>
      <c r="L516" s="103">
        <v>19.652000000000001</v>
      </c>
      <c r="M516" s="128">
        <f t="shared" si="120"/>
        <v>55.347999999999999</v>
      </c>
      <c r="N516" s="94">
        <f t="shared" si="121"/>
        <v>0.26202666666666669</v>
      </c>
      <c r="O516" s="116">
        <f t="shared" ref="O516" si="128">M516+M517</f>
        <v>0</v>
      </c>
    </row>
    <row r="517" spans="1:15" ht="15" customHeight="1">
      <c r="A517" s="130" t="s">
        <v>296</v>
      </c>
      <c r="B517" s="130" t="s">
        <v>293</v>
      </c>
      <c r="C517" s="91">
        <v>44306</v>
      </c>
      <c r="D517" s="130">
        <v>1165</v>
      </c>
      <c r="E517" s="129" t="s">
        <v>294</v>
      </c>
      <c r="F517" s="129" t="s">
        <v>297</v>
      </c>
      <c r="G517" s="130" t="s">
        <v>627</v>
      </c>
      <c r="H517" s="130">
        <v>969305</v>
      </c>
      <c r="I517" s="145">
        <v>48</v>
      </c>
      <c r="J517" s="129" t="s">
        <v>193</v>
      </c>
      <c r="K517" s="127">
        <v>75</v>
      </c>
      <c r="L517" s="103">
        <v>130.34800000000001</v>
      </c>
      <c r="M517" s="128">
        <f t="shared" si="120"/>
        <v>-55.348000000000013</v>
      </c>
      <c r="N517" s="94">
        <f t="shared" si="121"/>
        <v>1.7379733333333336</v>
      </c>
    </row>
    <row r="518" spans="1:15" ht="15" customHeight="1">
      <c r="A518" s="130" t="s">
        <v>296</v>
      </c>
      <c r="B518" s="130" t="s">
        <v>293</v>
      </c>
      <c r="C518" s="91">
        <v>44306</v>
      </c>
      <c r="D518" s="130">
        <v>1165</v>
      </c>
      <c r="E518" s="129" t="s">
        <v>294</v>
      </c>
      <c r="F518" s="129" t="s">
        <v>297</v>
      </c>
      <c r="G518" s="130" t="s">
        <v>628</v>
      </c>
      <c r="H518" s="130">
        <v>968779</v>
      </c>
      <c r="I518" s="145">
        <v>58</v>
      </c>
      <c r="J518" s="129" t="s">
        <v>192</v>
      </c>
      <c r="K518" s="127">
        <v>75</v>
      </c>
      <c r="L518" s="103">
        <v>61.103999999999999</v>
      </c>
      <c r="M518" s="128">
        <f t="shared" si="120"/>
        <v>13.896000000000001</v>
      </c>
      <c r="N518" s="94">
        <f t="shared" si="121"/>
        <v>0.81472</v>
      </c>
      <c r="O518" s="116">
        <f t="shared" ref="O518" si="129">M518+M519</f>
        <v>26.545999999999999</v>
      </c>
    </row>
    <row r="519" spans="1:15" ht="15" customHeight="1">
      <c r="A519" s="130" t="s">
        <v>296</v>
      </c>
      <c r="B519" s="130" t="s">
        <v>293</v>
      </c>
      <c r="C519" s="91">
        <v>44306</v>
      </c>
      <c r="D519" s="130">
        <v>1165</v>
      </c>
      <c r="E519" s="129" t="s">
        <v>294</v>
      </c>
      <c r="F519" s="129" t="s">
        <v>297</v>
      </c>
      <c r="G519" s="130" t="s">
        <v>628</v>
      </c>
      <c r="H519" s="130">
        <v>968779</v>
      </c>
      <c r="I519" s="145">
        <v>58</v>
      </c>
      <c r="J519" s="129" t="s">
        <v>193</v>
      </c>
      <c r="K519" s="127">
        <v>75</v>
      </c>
      <c r="L519" s="103">
        <v>62.35</v>
      </c>
      <c r="M519" s="128">
        <f t="shared" si="120"/>
        <v>12.649999999999999</v>
      </c>
      <c r="N519" s="94">
        <f t="shared" si="121"/>
        <v>0.83133333333333337</v>
      </c>
    </row>
    <row r="520" spans="1:15" ht="15" customHeight="1">
      <c r="A520" s="130" t="s">
        <v>296</v>
      </c>
      <c r="B520" s="130" t="s">
        <v>293</v>
      </c>
      <c r="C520" s="91">
        <v>44306</v>
      </c>
      <c r="D520" s="130">
        <v>1165</v>
      </c>
      <c r="E520" s="129" t="s">
        <v>294</v>
      </c>
      <c r="F520" s="129" t="s">
        <v>297</v>
      </c>
      <c r="G520" s="130" t="s">
        <v>307</v>
      </c>
      <c r="H520" s="130">
        <v>954793</v>
      </c>
      <c r="I520" s="145">
        <v>16</v>
      </c>
      <c r="J520" s="129" t="s">
        <v>192</v>
      </c>
      <c r="K520" s="127">
        <v>75</v>
      </c>
      <c r="L520" s="103">
        <v>130.02000000000001</v>
      </c>
      <c r="M520" s="128">
        <f t="shared" si="120"/>
        <v>-55.02000000000001</v>
      </c>
      <c r="N520" s="94">
        <f t="shared" si="121"/>
        <v>1.7336</v>
      </c>
      <c r="O520" s="116">
        <f t="shared" ref="O520" si="130">M520+M521</f>
        <v>19.97999999999999</v>
      </c>
    </row>
    <row r="521" spans="1:15" ht="15" customHeight="1">
      <c r="A521" s="130" t="s">
        <v>296</v>
      </c>
      <c r="B521" s="130" t="s">
        <v>293</v>
      </c>
      <c r="C521" s="91">
        <v>44306</v>
      </c>
      <c r="D521" s="130">
        <v>1165</v>
      </c>
      <c r="E521" s="129" t="s">
        <v>294</v>
      </c>
      <c r="F521" s="129" t="s">
        <v>297</v>
      </c>
      <c r="G521" s="130" t="s">
        <v>307</v>
      </c>
      <c r="H521" s="130">
        <v>954793</v>
      </c>
      <c r="I521" s="145">
        <v>16</v>
      </c>
      <c r="J521" s="129" t="s">
        <v>193</v>
      </c>
      <c r="K521" s="127">
        <v>75</v>
      </c>
      <c r="L521" s="103"/>
      <c r="M521" s="128">
        <f t="shared" si="120"/>
        <v>75</v>
      </c>
      <c r="N521" s="94">
        <f t="shared" si="121"/>
        <v>0</v>
      </c>
    </row>
    <row r="522" spans="1:15" ht="15" customHeight="1">
      <c r="A522" s="130" t="s">
        <v>296</v>
      </c>
      <c r="B522" s="130" t="s">
        <v>288</v>
      </c>
      <c r="C522" s="155">
        <v>44299</v>
      </c>
      <c r="D522" s="130">
        <v>1078</v>
      </c>
      <c r="E522" s="130" t="s">
        <v>294</v>
      </c>
      <c r="F522" s="130" t="s">
        <v>297</v>
      </c>
      <c r="G522" s="130" t="s">
        <v>606</v>
      </c>
      <c r="H522" s="130">
        <v>959209</v>
      </c>
      <c r="I522" s="145">
        <v>47</v>
      </c>
      <c r="J522" s="129" t="s">
        <v>192</v>
      </c>
      <c r="K522" s="282">
        <v>498</v>
      </c>
      <c r="L522" s="103">
        <v>239.17099999999999</v>
      </c>
      <c r="M522" s="285">
        <f>K522-(L522+L523+L524+L525)</f>
        <v>-151.90899999999999</v>
      </c>
      <c r="N522" s="288">
        <f>(L522+L523+L524+L525)/K522</f>
        <v>1.3050381526104418</v>
      </c>
      <c r="O522" s="116">
        <f>M522+M526</f>
        <v>0</v>
      </c>
    </row>
    <row r="523" spans="1:15" ht="15" customHeight="1">
      <c r="A523" s="130" t="s">
        <v>296</v>
      </c>
      <c r="B523" s="130" t="s">
        <v>288</v>
      </c>
      <c r="C523" s="155">
        <v>44299</v>
      </c>
      <c r="D523" s="130">
        <v>1078</v>
      </c>
      <c r="E523" s="130" t="s">
        <v>294</v>
      </c>
      <c r="F523" s="130" t="s">
        <v>297</v>
      </c>
      <c r="G523" s="130" t="s">
        <v>601</v>
      </c>
      <c r="H523" s="130">
        <v>968857</v>
      </c>
      <c r="I523" s="145">
        <v>47</v>
      </c>
      <c r="J523" s="129" t="s">
        <v>192</v>
      </c>
      <c r="K523" s="283"/>
      <c r="L523" s="103">
        <v>38.996000000000002</v>
      </c>
      <c r="M523" s="286"/>
      <c r="N523" s="289"/>
    </row>
    <row r="524" spans="1:15" ht="15" customHeight="1">
      <c r="A524" s="130" t="s">
        <v>296</v>
      </c>
      <c r="B524" s="130" t="s">
        <v>288</v>
      </c>
      <c r="C524" s="155">
        <v>44299</v>
      </c>
      <c r="D524" s="130">
        <v>1078</v>
      </c>
      <c r="E524" s="130" t="s">
        <v>294</v>
      </c>
      <c r="F524" s="130" t="s">
        <v>297</v>
      </c>
      <c r="G524" s="130" t="s">
        <v>633</v>
      </c>
      <c r="H524" s="130">
        <v>697454</v>
      </c>
      <c r="I524" s="145">
        <v>47</v>
      </c>
      <c r="J524" s="129" t="s">
        <v>192</v>
      </c>
      <c r="K524" s="283"/>
      <c r="L524" s="103">
        <v>183.886</v>
      </c>
      <c r="M524" s="286"/>
      <c r="N524" s="289"/>
    </row>
    <row r="525" spans="1:15" ht="15" customHeight="1">
      <c r="A525" s="130" t="s">
        <v>296</v>
      </c>
      <c r="B525" s="130" t="s">
        <v>288</v>
      </c>
      <c r="C525" s="155">
        <v>44299</v>
      </c>
      <c r="D525" s="130">
        <v>1078</v>
      </c>
      <c r="E525" s="130" t="s">
        <v>294</v>
      </c>
      <c r="F525" s="130" t="s">
        <v>297</v>
      </c>
      <c r="G525" s="130" t="s">
        <v>634</v>
      </c>
      <c r="H525" s="130">
        <v>957536</v>
      </c>
      <c r="I525" s="145">
        <v>47</v>
      </c>
      <c r="J525" s="129" t="s">
        <v>192</v>
      </c>
      <c r="K525" s="284"/>
      <c r="L525" s="103">
        <v>187.85599999999999</v>
      </c>
      <c r="M525" s="287"/>
      <c r="N525" s="290"/>
    </row>
    <row r="526" spans="1:15" ht="15" customHeight="1">
      <c r="A526" s="130" t="s">
        <v>296</v>
      </c>
      <c r="B526" s="130" t="s">
        <v>288</v>
      </c>
      <c r="C526" s="155">
        <v>44299</v>
      </c>
      <c r="D526" s="130">
        <v>1078</v>
      </c>
      <c r="E526" s="130" t="s">
        <v>294</v>
      </c>
      <c r="F526" s="130" t="s">
        <v>297</v>
      </c>
      <c r="G526" s="130" t="s">
        <v>606</v>
      </c>
      <c r="H526" s="130">
        <v>959209</v>
      </c>
      <c r="I526" s="145">
        <v>47</v>
      </c>
      <c r="J526" s="129" t="s">
        <v>193</v>
      </c>
      <c r="K526" s="282">
        <v>498</v>
      </c>
      <c r="L526" s="103">
        <v>9.8290000000000006</v>
      </c>
      <c r="M526" s="285">
        <f>K526-(L526+L527+L528+L529)</f>
        <v>151.90899999999999</v>
      </c>
      <c r="N526" s="288">
        <f>(L526+L527+L528+L529)/K526</f>
        <v>0.69496184738955824</v>
      </c>
    </row>
    <row r="527" spans="1:15" ht="15" customHeight="1">
      <c r="A527" s="130" t="s">
        <v>296</v>
      </c>
      <c r="B527" s="130" t="s">
        <v>288</v>
      </c>
      <c r="C527" s="155">
        <v>44299</v>
      </c>
      <c r="D527" s="130">
        <v>1078</v>
      </c>
      <c r="E527" s="130" t="s">
        <v>294</v>
      </c>
      <c r="F527" s="130" t="s">
        <v>297</v>
      </c>
      <c r="G527" s="130" t="s">
        <v>601</v>
      </c>
      <c r="H527" s="130">
        <v>968857</v>
      </c>
      <c r="I527" s="145">
        <v>47</v>
      </c>
      <c r="J527" s="129" t="s">
        <v>193</v>
      </c>
      <c r="K527" s="283"/>
      <c r="L527" s="103">
        <v>210.00399999999999</v>
      </c>
      <c r="M527" s="286"/>
      <c r="N527" s="289"/>
    </row>
    <row r="528" spans="1:15" ht="15" customHeight="1">
      <c r="A528" s="130" t="s">
        <v>296</v>
      </c>
      <c r="B528" s="130" t="s">
        <v>288</v>
      </c>
      <c r="C528" s="155">
        <v>44299</v>
      </c>
      <c r="D528" s="130">
        <v>1078</v>
      </c>
      <c r="E528" s="130" t="s">
        <v>294</v>
      </c>
      <c r="F528" s="130" t="s">
        <v>297</v>
      </c>
      <c r="G528" s="130" t="s">
        <v>633</v>
      </c>
      <c r="H528" s="130">
        <v>697454</v>
      </c>
      <c r="I528" s="145">
        <v>47</v>
      </c>
      <c r="J528" s="129" t="s">
        <v>193</v>
      </c>
      <c r="K528" s="283"/>
      <c r="L528" s="103">
        <v>65.114000000000004</v>
      </c>
      <c r="M528" s="286"/>
      <c r="N528" s="289"/>
    </row>
    <row r="529" spans="1:15" ht="15" customHeight="1">
      <c r="A529" s="130" t="s">
        <v>296</v>
      </c>
      <c r="B529" s="130" t="s">
        <v>288</v>
      </c>
      <c r="C529" s="155">
        <v>44299</v>
      </c>
      <c r="D529" s="130">
        <v>1078</v>
      </c>
      <c r="E529" s="130" t="s">
        <v>294</v>
      </c>
      <c r="F529" s="130" t="s">
        <v>297</v>
      </c>
      <c r="G529" s="130" t="s">
        <v>634</v>
      </c>
      <c r="H529" s="130">
        <v>957536</v>
      </c>
      <c r="I529" s="145">
        <v>47</v>
      </c>
      <c r="J529" s="129" t="s">
        <v>193</v>
      </c>
      <c r="K529" s="284"/>
      <c r="L529" s="103">
        <v>61.143999999999998</v>
      </c>
      <c r="M529" s="287"/>
      <c r="N529" s="290"/>
    </row>
    <row r="530" spans="1:15" ht="15" customHeight="1">
      <c r="A530" s="130" t="s">
        <v>316</v>
      </c>
      <c r="B530" s="130" t="s">
        <v>293</v>
      </c>
      <c r="C530" s="155">
        <v>44314</v>
      </c>
      <c r="D530" s="130">
        <v>1240</v>
      </c>
      <c r="E530" s="130" t="s">
        <v>294</v>
      </c>
      <c r="F530" s="130" t="s">
        <v>297</v>
      </c>
      <c r="G530" s="130" t="s">
        <v>600</v>
      </c>
      <c r="H530" s="130">
        <v>955448</v>
      </c>
      <c r="I530" s="145">
        <v>6</v>
      </c>
      <c r="J530" s="129" t="s">
        <v>192</v>
      </c>
      <c r="K530" s="127">
        <v>160</v>
      </c>
      <c r="L530" s="103">
        <v>252.31700000000001</v>
      </c>
      <c r="M530" s="128">
        <f t="shared" ref="M530:M531" si="131">K530-L530</f>
        <v>-92.317000000000007</v>
      </c>
      <c r="N530" s="94">
        <f t="shared" ref="N530:N531" si="132">L530/K530</f>
        <v>1.57698125</v>
      </c>
      <c r="O530" s="116">
        <f>M530+M531</f>
        <v>0</v>
      </c>
    </row>
    <row r="531" spans="1:15" ht="15" customHeight="1">
      <c r="A531" s="130" t="s">
        <v>316</v>
      </c>
      <c r="B531" s="130" t="s">
        <v>293</v>
      </c>
      <c r="C531" s="155">
        <v>44314</v>
      </c>
      <c r="D531" s="130">
        <v>1240</v>
      </c>
      <c r="E531" s="130" t="s">
        <v>294</v>
      </c>
      <c r="F531" s="130" t="s">
        <v>297</v>
      </c>
      <c r="G531" s="130" t="s">
        <v>600</v>
      </c>
      <c r="H531" s="130">
        <v>955448</v>
      </c>
      <c r="I531" s="145">
        <v>6</v>
      </c>
      <c r="J531" s="129" t="s">
        <v>193</v>
      </c>
      <c r="K531" s="127">
        <v>134</v>
      </c>
      <c r="L531" s="103">
        <v>41.683</v>
      </c>
      <c r="M531" s="128">
        <f t="shared" si="131"/>
        <v>92.317000000000007</v>
      </c>
      <c r="N531" s="94">
        <f t="shared" si="132"/>
        <v>0.31106716417910446</v>
      </c>
    </row>
    <row r="532" spans="1:15" ht="15" customHeight="1">
      <c r="A532" s="130" t="s">
        <v>316</v>
      </c>
      <c r="B532" s="130" t="s">
        <v>293</v>
      </c>
      <c r="C532" s="155">
        <v>44314</v>
      </c>
      <c r="D532" s="130">
        <v>1240</v>
      </c>
      <c r="E532" s="130" t="s">
        <v>294</v>
      </c>
      <c r="F532" s="130" t="s">
        <v>297</v>
      </c>
      <c r="G532" s="130" t="s">
        <v>635</v>
      </c>
      <c r="H532" s="130">
        <v>961126</v>
      </c>
      <c r="I532" s="145">
        <v>6</v>
      </c>
      <c r="J532" s="129" t="s">
        <v>192</v>
      </c>
      <c r="K532" s="127">
        <v>215</v>
      </c>
      <c r="L532" s="103">
        <v>349.70800000000003</v>
      </c>
      <c r="M532" s="128">
        <f t="shared" ref="M532:M573" si="133">K532-L532</f>
        <v>-134.70800000000003</v>
      </c>
      <c r="N532" s="94">
        <f t="shared" ref="N532:N573" si="134">L532/K532</f>
        <v>1.6265488372093024</v>
      </c>
      <c r="O532" s="116">
        <f>M532+M533</f>
        <v>3.9029999999999632</v>
      </c>
    </row>
    <row r="533" spans="1:15" ht="15" customHeight="1">
      <c r="A533" s="130" t="s">
        <v>316</v>
      </c>
      <c r="B533" s="130" t="s">
        <v>293</v>
      </c>
      <c r="C533" s="155">
        <v>44314</v>
      </c>
      <c r="D533" s="130">
        <v>1240</v>
      </c>
      <c r="E533" s="130" t="s">
        <v>294</v>
      </c>
      <c r="F533" s="130" t="s">
        <v>297</v>
      </c>
      <c r="G533" s="130" t="s">
        <v>635</v>
      </c>
      <c r="H533" s="130">
        <v>961126</v>
      </c>
      <c r="I533" s="145">
        <v>6</v>
      </c>
      <c r="J533" s="129" t="s">
        <v>193</v>
      </c>
      <c r="K533" s="127">
        <v>182</v>
      </c>
      <c r="L533" s="103">
        <v>43.389000000000003</v>
      </c>
      <c r="M533" s="128">
        <f t="shared" si="133"/>
        <v>138.61099999999999</v>
      </c>
      <c r="N533" s="94">
        <f t="shared" si="134"/>
        <v>0.23840109890109892</v>
      </c>
    </row>
    <row r="534" spans="1:15" ht="15" customHeight="1">
      <c r="A534" s="130" t="s">
        <v>316</v>
      </c>
      <c r="B534" s="130" t="s">
        <v>293</v>
      </c>
      <c r="C534" s="155">
        <v>44314</v>
      </c>
      <c r="D534" s="130">
        <v>1240</v>
      </c>
      <c r="E534" s="130" t="s">
        <v>294</v>
      </c>
      <c r="F534" s="130" t="s">
        <v>297</v>
      </c>
      <c r="G534" s="130" t="s">
        <v>636</v>
      </c>
      <c r="H534" s="130">
        <v>951944</v>
      </c>
      <c r="I534" s="145">
        <v>9</v>
      </c>
      <c r="J534" s="129" t="s">
        <v>192</v>
      </c>
      <c r="K534" s="127">
        <v>129</v>
      </c>
      <c r="L534" s="103">
        <v>194.81</v>
      </c>
      <c r="M534" s="128">
        <f t="shared" si="133"/>
        <v>-65.81</v>
      </c>
      <c r="N534" s="94">
        <f t="shared" si="134"/>
        <v>1.51015503875969</v>
      </c>
      <c r="O534" s="116">
        <f t="shared" ref="O534" si="135">M534+M535</f>
        <v>0</v>
      </c>
    </row>
    <row r="535" spans="1:15" ht="15" customHeight="1">
      <c r="A535" s="130" t="s">
        <v>316</v>
      </c>
      <c r="B535" s="130" t="s">
        <v>293</v>
      </c>
      <c r="C535" s="155">
        <v>44314</v>
      </c>
      <c r="D535" s="130">
        <v>1240</v>
      </c>
      <c r="E535" s="130" t="s">
        <v>294</v>
      </c>
      <c r="F535" s="130" t="s">
        <v>297</v>
      </c>
      <c r="G535" s="130" t="s">
        <v>636</v>
      </c>
      <c r="H535" s="130">
        <v>951944</v>
      </c>
      <c r="I535" s="145">
        <v>9</v>
      </c>
      <c r="J535" s="129" t="s">
        <v>193</v>
      </c>
      <c r="K535" s="127">
        <v>110</v>
      </c>
      <c r="L535" s="103">
        <v>44.19</v>
      </c>
      <c r="M535" s="128">
        <f t="shared" si="133"/>
        <v>65.81</v>
      </c>
      <c r="N535" s="94">
        <f t="shared" si="134"/>
        <v>0.40172727272727271</v>
      </c>
    </row>
    <row r="536" spans="1:15" ht="15" customHeight="1">
      <c r="A536" s="130" t="s">
        <v>316</v>
      </c>
      <c r="B536" s="130" t="s">
        <v>293</v>
      </c>
      <c r="C536" s="155">
        <v>44314</v>
      </c>
      <c r="D536" s="130">
        <v>1240</v>
      </c>
      <c r="E536" s="130" t="s">
        <v>294</v>
      </c>
      <c r="F536" s="130" t="s">
        <v>297</v>
      </c>
      <c r="G536" s="130" t="s">
        <v>637</v>
      </c>
      <c r="H536" s="130">
        <v>922965</v>
      </c>
      <c r="I536" s="145">
        <v>50</v>
      </c>
      <c r="J536" s="129" t="s">
        <v>192</v>
      </c>
      <c r="K536" s="127">
        <v>103</v>
      </c>
      <c r="L536" s="103">
        <v>128.31399999999999</v>
      </c>
      <c r="M536" s="128">
        <f t="shared" si="133"/>
        <v>-25.313999999999993</v>
      </c>
      <c r="N536" s="94">
        <f t="shared" si="134"/>
        <v>1.245766990291262</v>
      </c>
      <c r="O536" s="116">
        <f t="shared" ref="O536" si="136">M536+M537</f>
        <v>0</v>
      </c>
    </row>
    <row r="537" spans="1:15" ht="15" customHeight="1">
      <c r="A537" s="130" t="s">
        <v>316</v>
      </c>
      <c r="B537" s="130" t="s">
        <v>293</v>
      </c>
      <c r="C537" s="155">
        <v>44314</v>
      </c>
      <c r="D537" s="130">
        <v>1240</v>
      </c>
      <c r="E537" s="130" t="s">
        <v>294</v>
      </c>
      <c r="F537" s="130" t="s">
        <v>297</v>
      </c>
      <c r="G537" s="130" t="s">
        <v>637</v>
      </c>
      <c r="H537" s="130">
        <v>922965</v>
      </c>
      <c r="I537" s="145">
        <v>50</v>
      </c>
      <c r="J537" s="129" t="s">
        <v>193</v>
      </c>
      <c r="K537" s="127">
        <v>87</v>
      </c>
      <c r="L537" s="103">
        <v>61.686</v>
      </c>
      <c r="M537" s="128">
        <f t="shared" si="133"/>
        <v>25.314</v>
      </c>
      <c r="N537" s="94">
        <f t="shared" si="134"/>
        <v>0.70903448275862069</v>
      </c>
    </row>
    <row r="538" spans="1:15" ht="15" customHeight="1">
      <c r="A538" s="130" t="s">
        <v>316</v>
      </c>
      <c r="B538" s="130" t="s">
        <v>293</v>
      </c>
      <c r="C538" s="155">
        <v>44314</v>
      </c>
      <c r="D538" s="130">
        <v>1240</v>
      </c>
      <c r="E538" s="130" t="s">
        <v>294</v>
      </c>
      <c r="F538" s="130" t="s">
        <v>297</v>
      </c>
      <c r="G538" s="130" t="s">
        <v>604</v>
      </c>
      <c r="H538" s="130">
        <v>967435</v>
      </c>
      <c r="I538" s="145">
        <v>74</v>
      </c>
      <c r="J538" s="129" t="s">
        <v>192</v>
      </c>
      <c r="K538" s="127">
        <v>349</v>
      </c>
      <c r="L538" s="103">
        <v>227.239</v>
      </c>
      <c r="M538" s="128">
        <f t="shared" si="133"/>
        <v>121.761</v>
      </c>
      <c r="N538" s="94">
        <f t="shared" si="134"/>
        <v>0.65111461318051578</v>
      </c>
      <c r="O538" s="116">
        <f t="shared" ref="O538" si="137">M538+M539</f>
        <v>0</v>
      </c>
    </row>
    <row r="539" spans="1:15" ht="15" customHeight="1">
      <c r="A539" s="130" t="s">
        <v>316</v>
      </c>
      <c r="B539" s="130" t="s">
        <v>293</v>
      </c>
      <c r="C539" s="155">
        <v>44314</v>
      </c>
      <c r="D539" s="130">
        <v>1240</v>
      </c>
      <c r="E539" s="130" t="s">
        <v>294</v>
      </c>
      <c r="F539" s="130" t="s">
        <v>297</v>
      </c>
      <c r="G539" s="130" t="s">
        <v>604</v>
      </c>
      <c r="H539" s="130">
        <v>967435</v>
      </c>
      <c r="I539" s="145">
        <v>74</v>
      </c>
      <c r="J539" s="129" t="s">
        <v>193</v>
      </c>
      <c r="K539" s="127">
        <v>296</v>
      </c>
      <c r="L539" s="103">
        <v>417.76100000000002</v>
      </c>
      <c r="M539" s="128">
        <f t="shared" si="133"/>
        <v>-121.76100000000002</v>
      </c>
      <c r="N539" s="94">
        <f t="shared" si="134"/>
        <v>1.4113547297297298</v>
      </c>
    </row>
    <row r="540" spans="1:15" ht="15" customHeight="1">
      <c r="A540" s="130" t="s">
        <v>316</v>
      </c>
      <c r="B540" s="130" t="s">
        <v>293</v>
      </c>
      <c r="C540" s="155">
        <v>44314</v>
      </c>
      <c r="D540" s="130">
        <v>1240</v>
      </c>
      <c r="E540" s="130" t="s">
        <v>294</v>
      </c>
      <c r="F540" s="130" t="s">
        <v>297</v>
      </c>
      <c r="G540" s="130" t="s">
        <v>638</v>
      </c>
      <c r="H540" s="130">
        <v>969525</v>
      </c>
      <c r="I540" s="145">
        <v>58</v>
      </c>
      <c r="J540" s="129" t="s">
        <v>192</v>
      </c>
      <c r="K540" s="127">
        <v>184</v>
      </c>
      <c r="L540" s="103">
        <v>296.43299999999999</v>
      </c>
      <c r="M540" s="128">
        <f t="shared" si="133"/>
        <v>-112.43299999999999</v>
      </c>
      <c r="N540" s="94">
        <f t="shared" si="134"/>
        <v>1.6110489130434782</v>
      </c>
      <c r="O540" s="116">
        <f t="shared" ref="O540" si="138">M540+M541</f>
        <v>0</v>
      </c>
    </row>
    <row r="541" spans="1:15" ht="15" customHeight="1">
      <c r="A541" s="130" t="s">
        <v>316</v>
      </c>
      <c r="B541" s="130" t="s">
        <v>293</v>
      </c>
      <c r="C541" s="155">
        <v>44314</v>
      </c>
      <c r="D541" s="130">
        <v>1240</v>
      </c>
      <c r="E541" s="130" t="s">
        <v>294</v>
      </c>
      <c r="F541" s="130" t="s">
        <v>297</v>
      </c>
      <c r="G541" s="130" t="s">
        <v>638</v>
      </c>
      <c r="H541" s="130">
        <v>969525</v>
      </c>
      <c r="I541" s="145">
        <v>58</v>
      </c>
      <c r="J541" s="129" t="s">
        <v>193</v>
      </c>
      <c r="K541" s="127">
        <v>156</v>
      </c>
      <c r="L541" s="103">
        <v>43.567</v>
      </c>
      <c r="M541" s="128">
        <f t="shared" si="133"/>
        <v>112.43299999999999</v>
      </c>
      <c r="N541" s="94">
        <f t="shared" si="134"/>
        <v>0.27927564102564101</v>
      </c>
    </row>
    <row r="542" spans="1:15" ht="15" customHeight="1">
      <c r="A542" s="130" t="s">
        <v>316</v>
      </c>
      <c r="B542" s="130" t="s">
        <v>293</v>
      </c>
      <c r="C542" s="155">
        <v>44314</v>
      </c>
      <c r="D542" s="130">
        <v>1240</v>
      </c>
      <c r="E542" s="130" t="s">
        <v>294</v>
      </c>
      <c r="F542" s="130" t="s">
        <v>297</v>
      </c>
      <c r="G542" s="130" t="s">
        <v>639</v>
      </c>
      <c r="H542" s="130">
        <v>951974</v>
      </c>
      <c r="I542" s="145">
        <v>9</v>
      </c>
      <c r="J542" s="129" t="s">
        <v>192</v>
      </c>
      <c r="K542" s="127">
        <v>215</v>
      </c>
      <c r="L542" s="103">
        <v>382.85300000000001</v>
      </c>
      <c r="M542" s="128">
        <f t="shared" si="133"/>
        <v>-167.85300000000001</v>
      </c>
      <c r="N542" s="94">
        <f t="shared" si="134"/>
        <v>1.7807116279069768</v>
      </c>
      <c r="O542" s="116">
        <f t="shared" ref="O542" si="139">M542+M543</f>
        <v>0</v>
      </c>
    </row>
    <row r="543" spans="1:15" ht="15" customHeight="1">
      <c r="A543" s="130" t="s">
        <v>316</v>
      </c>
      <c r="B543" s="130" t="s">
        <v>293</v>
      </c>
      <c r="C543" s="155">
        <v>44314</v>
      </c>
      <c r="D543" s="130">
        <v>1240</v>
      </c>
      <c r="E543" s="130" t="s">
        <v>294</v>
      </c>
      <c r="F543" s="130" t="s">
        <v>297</v>
      </c>
      <c r="G543" s="130" t="s">
        <v>639</v>
      </c>
      <c r="H543" s="130">
        <v>951974</v>
      </c>
      <c r="I543" s="145">
        <v>9</v>
      </c>
      <c r="J543" s="129" t="s">
        <v>193</v>
      </c>
      <c r="K543" s="127">
        <v>182</v>
      </c>
      <c r="L543" s="103">
        <v>14.147</v>
      </c>
      <c r="M543" s="128">
        <f t="shared" si="133"/>
        <v>167.85300000000001</v>
      </c>
      <c r="N543" s="94">
        <f t="shared" si="134"/>
        <v>7.7730769230769228E-2</v>
      </c>
    </row>
    <row r="544" spans="1:15" ht="15" customHeight="1">
      <c r="A544" s="130" t="s">
        <v>316</v>
      </c>
      <c r="B544" s="130" t="s">
        <v>293</v>
      </c>
      <c r="C544" s="155">
        <v>44314</v>
      </c>
      <c r="D544" s="130">
        <v>1240</v>
      </c>
      <c r="E544" s="130" t="s">
        <v>294</v>
      </c>
      <c r="F544" s="130" t="s">
        <v>297</v>
      </c>
      <c r="G544" s="130" t="s">
        <v>640</v>
      </c>
      <c r="H544" s="130">
        <v>958573</v>
      </c>
      <c r="I544" s="145">
        <v>58</v>
      </c>
      <c r="J544" s="129" t="s">
        <v>192</v>
      </c>
      <c r="K544" s="127">
        <v>159</v>
      </c>
      <c r="L544" s="103">
        <v>290.22500000000002</v>
      </c>
      <c r="M544" s="128">
        <f t="shared" si="133"/>
        <v>-131.22500000000002</v>
      </c>
      <c r="N544" s="94">
        <f t="shared" si="134"/>
        <v>1.8253144654088052</v>
      </c>
      <c r="O544" s="116">
        <f t="shared" ref="O544" si="140">M544+M545</f>
        <v>0</v>
      </c>
    </row>
    <row r="545" spans="1:15" ht="15" customHeight="1">
      <c r="A545" s="130" t="s">
        <v>316</v>
      </c>
      <c r="B545" s="130" t="s">
        <v>293</v>
      </c>
      <c r="C545" s="155">
        <v>44314</v>
      </c>
      <c r="D545" s="130">
        <v>1240</v>
      </c>
      <c r="E545" s="130" t="s">
        <v>294</v>
      </c>
      <c r="F545" s="130" t="s">
        <v>297</v>
      </c>
      <c r="G545" s="130" t="s">
        <v>640</v>
      </c>
      <c r="H545" s="130">
        <v>958573</v>
      </c>
      <c r="I545" s="145">
        <v>58</v>
      </c>
      <c r="J545" s="129" t="s">
        <v>193</v>
      </c>
      <c r="K545" s="127">
        <v>135</v>
      </c>
      <c r="L545" s="103">
        <v>3.7749999999999999</v>
      </c>
      <c r="M545" s="128">
        <f t="shared" si="133"/>
        <v>131.22499999999999</v>
      </c>
      <c r="N545" s="94">
        <f t="shared" si="134"/>
        <v>2.7962962962962964E-2</v>
      </c>
    </row>
    <row r="546" spans="1:15" ht="15" customHeight="1">
      <c r="A546" s="130" t="s">
        <v>316</v>
      </c>
      <c r="B546" s="130" t="s">
        <v>293</v>
      </c>
      <c r="C546" s="155">
        <v>44314</v>
      </c>
      <c r="D546" s="130">
        <v>1240</v>
      </c>
      <c r="E546" s="130" t="s">
        <v>294</v>
      </c>
      <c r="F546" s="130" t="s">
        <v>297</v>
      </c>
      <c r="G546" s="130" t="s">
        <v>632</v>
      </c>
      <c r="H546" s="130">
        <v>958078</v>
      </c>
      <c r="I546" s="145">
        <v>58</v>
      </c>
      <c r="J546" s="129" t="s">
        <v>192</v>
      </c>
      <c r="K546" s="127">
        <v>145</v>
      </c>
      <c r="L546" s="103">
        <v>263.464</v>
      </c>
      <c r="M546" s="128">
        <f t="shared" si="133"/>
        <v>-118.464</v>
      </c>
      <c r="N546" s="94">
        <f t="shared" si="134"/>
        <v>1.8169931034482758</v>
      </c>
      <c r="O546" s="116">
        <f t="shared" ref="O546" si="141">M546+M547</f>
        <v>0</v>
      </c>
    </row>
    <row r="547" spans="1:15" ht="15" customHeight="1">
      <c r="A547" s="130" t="s">
        <v>316</v>
      </c>
      <c r="B547" s="130" t="s">
        <v>293</v>
      </c>
      <c r="C547" s="155">
        <v>44314</v>
      </c>
      <c r="D547" s="130">
        <v>1240</v>
      </c>
      <c r="E547" s="130" t="s">
        <v>294</v>
      </c>
      <c r="F547" s="130" t="s">
        <v>297</v>
      </c>
      <c r="G547" s="130" t="s">
        <v>632</v>
      </c>
      <c r="H547" s="130">
        <v>958078</v>
      </c>
      <c r="I547" s="145">
        <v>58</v>
      </c>
      <c r="J547" s="129" t="s">
        <v>193</v>
      </c>
      <c r="K547" s="127">
        <v>123</v>
      </c>
      <c r="L547" s="103">
        <v>4.5359999999999996</v>
      </c>
      <c r="M547" s="128">
        <f t="shared" si="133"/>
        <v>118.464</v>
      </c>
      <c r="N547" s="94">
        <f t="shared" si="134"/>
        <v>3.6878048780487803E-2</v>
      </c>
    </row>
    <row r="548" spans="1:15" ht="15" customHeight="1">
      <c r="A548" s="130" t="s">
        <v>316</v>
      </c>
      <c r="B548" s="130" t="s">
        <v>293</v>
      </c>
      <c r="C548" s="155">
        <v>44314</v>
      </c>
      <c r="D548" s="130">
        <v>1240</v>
      </c>
      <c r="E548" s="130" t="s">
        <v>294</v>
      </c>
      <c r="F548" s="130" t="s">
        <v>297</v>
      </c>
      <c r="G548" s="130" t="s">
        <v>641</v>
      </c>
      <c r="H548" s="130">
        <v>958713</v>
      </c>
      <c r="I548" s="145">
        <v>53</v>
      </c>
      <c r="J548" s="129" t="s">
        <v>192</v>
      </c>
      <c r="K548" s="127">
        <v>184</v>
      </c>
      <c r="L548" s="103">
        <v>312.57799999999997</v>
      </c>
      <c r="M548" s="128">
        <f t="shared" si="133"/>
        <v>-128.57799999999997</v>
      </c>
      <c r="N548" s="94">
        <f t="shared" si="134"/>
        <v>1.6987934782608693</v>
      </c>
      <c r="O548" s="116">
        <f t="shared" ref="O548" si="142">M548+M549</f>
        <v>0</v>
      </c>
    </row>
    <row r="549" spans="1:15" ht="15" customHeight="1">
      <c r="A549" s="130" t="s">
        <v>316</v>
      </c>
      <c r="B549" s="130" t="s">
        <v>293</v>
      </c>
      <c r="C549" s="155">
        <v>44314</v>
      </c>
      <c r="D549" s="130">
        <v>1240</v>
      </c>
      <c r="E549" s="130" t="s">
        <v>294</v>
      </c>
      <c r="F549" s="130" t="s">
        <v>297</v>
      </c>
      <c r="G549" s="130" t="s">
        <v>641</v>
      </c>
      <c r="H549" s="130">
        <v>958713</v>
      </c>
      <c r="I549" s="145">
        <v>53</v>
      </c>
      <c r="J549" s="129" t="s">
        <v>193</v>
      </c>
      <c r="K549" s="127">
        <v>156</v>
      </c>
      <c r="L549" s="103">
        <v>27.422000000000001</v>
      </c>
      <c r="M549" s="128">
        <f t="shared" si="133"/>
        <v>128.578</v>
      </c>
      <c r="N549" s="94">
        <f t="shared" si="134"/>
        <v>0.17578205128205129</v>
      </c>
    </row>
    <row r="550" spans="1:15" ht="15" customHeight="1">
      <c r="A550" s="130" t="s">
        <v>316</v>
      </c>
      <c r="B550" s="130" t="s">
        <v>293</v>
      </c>
      <c r="C550" s="155">
        <v>44314</v>
      </c>
      <c r="D550" s="130">
        <v>1240</v>
      </c>
      <c r="E550" s="130" t="s">
        <v>294</v>
      </c>
      <c r="F550" s="130" t="s">
        <v>297</v>
      </c>
      <c r="G550" s="130" t="s">
        <v>557</v>
      </c>
      <c r="H550" s="130">
        <v>923000</v>
      </c>
      <c r="I550" s="145">
        <v>9</v>
      </c>
      <c r="J550" s="129" t="s">
        <v>192</v>
      </c>
      <c r="K550" s="127">
        <v>112</v>
      </c>
      <c r="L550" s="103">
        <v>110.027</v>
      </c>
      <c r="M550" s="128">
        <f t="shared" si="133"/>
        <v>1.972999999999999</v>
      </c>
      <c r="N550" s="94">
        <f t="shared" si="134"/>
        <v>0.98238392857142853</v>
      </c>
      <c r="O550" s="116">
        <f t="shared" ref="O550" si="143">M550+M551</f>
        <v>0</v>
      </c>
    </row>
    <row r="551" spans="1:15" ht="15" customHeight="1">
      <c r="A551" s="130" t="s">
        <v>316</v>
      </c>
      <c r="B551" s="130" t="s">
        <v>293</v>
      </c>
      <c r="C551" s="155">
        <v>44314</v>
      </c>
      <c r="D551" s="130">
        <v>1240</v>
      </c>
      <c r="E551" s="130" t="s">
        <v>294</v>
      </c>
      <c r="F551" s="130" t="s">
        <v>297</v>
      </c>
      <c r="G551" s="130" t="s">
        <v>557</v>
      </c>
      <c r="H551" s="130">
        <v>923000</v>
      </c>
      <c r="I551" s="145">
        <v>9</v>
      </c>
      <c r="J551" s="129" t="s">
        <v>193</v>
      </c>
      <c r="K551" s="127">
        <v>95</v>
      </c>
      <c r="L551" s="103">
        <v>96.972999999999999</v>
      </c>
      <c r="M551" s="128">
        <f t="shared" si="133"/>
        <v>-1.972999999999999</v>
      </c>
      <c r="N551" s="94">
        <f t="shared" si="134"/>
        <v>1.0207684210526315</v>
      </c>
    </row>
    <row r="552" spans="1:15" ht="15" customHeight="1">
      <c r="A552" s="130" t="s">
        <v>316</v>
      </c>
      <c r="B552" s="130" t="s">
        <v>293</v>
      </c>
      <c r="C552" s="155">
        <v>44314</v>
      </c>
      <c r="D552" s="130">
        <v>1240</v>
      </c>
      <c r="E552" s="130" t="s">
        <v>294</v>
      </c>
      <c r="F552" s="130" t="s">
        <v>297</v>
      </c>
      <c r="G552" s="130" t="s">
        <v>474</v>
      </c>
      <c r="H552" s="130">
        <v>924718</v>
      </c>
      <c r="I552" s="145">
        <v>24</v>
      </c>
      <c r="J552" s="129" t="s">
        <v>192</v>
      </c>
      <c r="K552" s="127">
        <v>135</v>
      </c>
      <c r="L552" s="103">
        <v>212.21299999999999</v>
      </c>
      <c r="M552" s="128">
        <f t="shared" si="133"/>
        <v>-77.212999999999994</v>
      </c>
      <c r="N552" s="94">
        <f t="shared" si="134"/>
        <v>1.5719481481481481</v>
      </c>
      <c r="O552" s="116">
        <f t="shared" ref="O552" si="144">M552+M553</f>
        <v>0</v>
      </c>
    </row>
    <row r="553" spans="1:15" ht="15" customHeight="1">
      <c r="A553" s="130" t="s">
        <v>316</v>
      </c>
      <c r="B553" s="130" t="s">
        <v>293</v>
      </c>
      <c r="C553" s="155">
        <v>44314</v>
      </c>
      <c r="D553" s="130">
        <v>1240</v>
      </c>
      <c r="E553" s="130" t="s">
        <v>294</v>
      </c>
      <c r="F553" s="130" t="s">
        <v>297</v>
      </c>
      <c r="G553" s="130" t="s">
        <v>474</v>
      </c>
      <c r="H553" s="130">
        <v>924718</v>
      </c>
      <c r="I553" s="145">
        <v>24</v>
      </c>
      <c r="J553" s="129" t="s">
        <v>193</v>
      </c>
      <c r="K553" s="127">
        <v>114</v>
      </c>
      <c r="L553" s="103">
        <v>36.786999999999999</v>
      </c>
      <c r="M553" s="128">
        <f t="shared" si="133"/>
        <v>77.212999999999994</v>
      </c>
      <c r="N553" s="94">
        <f t="shared" si="134"/>
        <v>0.32269298245614036</v>
      </c>
    </row>
    <row r="554" spans="1:15" ht="15" customHeight="1">
      <c r="A554" s="130" t="s">
        <v>316</v>
      </c>
      <c r="B554" s="130" t="s">
        <v>293</v>
      </c>
      <c r="C554" s="155">
        <v>44314</v>
      </c>
      <c r="D554" s="130">
        <v>1240</v>
      </c>
      <c r="E554" s="130" t="s">
        <v>294</v>
      </c>
      <c r="F554" s="130" t="s">
        <v>297</v>
      </c>
      <c r="G554" s="130" t="s">
        <v>642</v>
      </c>
      <c r="H554" s="130">
        <v>951497</v>
      </c>
      <c r="I554" s="145">
        <v>7</v>
      </c>
      <c r="J554" s="129" t="s">
        <v>192</v>
      </c>
      <c r="K554" s="127">
        <v>137</v>
      </c>
      <c r="L554" s="103">
        <v>30.789000000000001</v>
      </c>
      <c r="M554" s="128">
        <f t="shared" si="133"/>
        <v>106.211</v>
      </c>
      <c r="N554" s="94">
        <f t="shared" si="134"/>
        <v>0.22473722627737228</v>
      </c>
      <c r="O554" s="116">
        <f t="shared" ref="O554" si="145">M554+M555</f>
        <v>0</v>
      </c>
    </row>
    <row r="555" spans="1:15" ht="15" customHeight="1">
      <c r="A555" s="130" t="s">
        <v>316</v>
      </c>
      <c r="B555" s="130" t="s">
        <v>293</v>
      </c>
      <c r="C555" s="155">
        <v>44314</v>
      </c>
      <c r="D555" s="130">
        <v>1240</v>
      </c>
      <c r="E555" s="130" t="s">
        <v>294</v>
      </c>
      <c r="F555" s="130" t="s">
        <v>297</v>
      </c>
      <c r="G555" s="130" t="s">
        <v>642</v>
      </c>
      <c r="H555" s="130">
        <v>951497</v>
      </c>
      <c r="I555" s="145">
        <v>7</v>
      </c>
      <c r="J555" s="129" t="s">
        <v>193</v>
      </c>
      <c r="K555" s="127">
        <v>116</v>
      </c>
      <c r="L555" s="103">
        <v>222.21100000000001</v>
      </c>
      <c r="M555" s="128">
        <f t="shared" si="133"/>
        <v>-106.21100000000001</v>
      </c>
      <c r="N555" s="94">
        <f t="shared" si="134"/>
        <v>1.9156120689655174</v>
      </c>
    </row>
    <row r="556" spans="1:15" ht="15" customHeight="1">
      <c r="A556" s="130" t="s">
        <v>316</v>
      </c>
      <c r="B556" s="130" t="s">
        <v>293</v>
      </c>
      <c r="C556" s="155">
        <v>44314</v>
      </c>
      <c r="D556" s="130">
        <v>1240</v>
      </c>
      <c r="E556" s="130" t="s">
        <v>294</v>
      </c>
      <c r="F556" s="130" t="s">
        <v>297</v>
      </c>
      <c r="G556" s="130" t="s">
        <v>692</v>
      </c>
      <c r="H556" s="130">
        <v>697538</v>
      </c>
      <c r="I556" s="145">
        <v>58</v>
      </c>
      <c r="J556" s="129" t="s">
        <v>192</v>
      </c>
      <c r="K556" s="127">
        <v>54</v>
      </c>
      <c r="L556" s="103">
        <v>63.368000000000002</v>
      </c>
      <c r="M556" s="128">
        <f t="shared" si="133"/>
        <v>-9.3680000000000021</v>
      </c>
      <c r="N556" s="94">
        <f t="shared" si="134"/>
        <v>1.1734814814814816</v>
      </c>
      <c r="O556" s="116">
        <f t="shared" ref="O556" si="146">M556+M557</f>
        <v>0</v>
      </c>
    </row>
    <row r="557" spans="1:15" ht="15" customHeight="1">
      <c r="A557" s="130" t="s">
        <v>316</v>
      </c>
      <c r="B557" s="130" t="s">
        <v>293</v>
      </c>
      <c r="C557" s="155">
        <v>44314</v>
      </c>
      <c r="D557" s="130">
        <v>1240</v>
      </c>
      <c r="E557" s="130" t="s">
        <v>294</v>
      </c>
      <c r="F557" s="130" t="s">
        <v>297</v>
      </c>
      <c r="G557" s="130" t="s">
        <v>692</v>
      </c>
      <c r="H557" s="130">
        <v>697538</v>
      </c>
      <c r="I557" s="145">
        <v>58</v>
      </c>
      <c r="J557" s="129" t="s">
        <v>193</v>
      </c>
      <c r="K557" s="127">
        <v>46</v>
      </c>
      <c r="L557" s="103">
        <v>36.631999999999998</v>
      </c>
      <c r="M557" s="128">
        <f t="shared" si="133"/>
        <v>9.3680000000000021</v>
      </c>
      <c r="N557" s="94">
        <f t="shared" si="134"/>
        <v>0.79634782608695642</v>
      </c>
    </row>
    <row r="558" spans="1:15" ht="15" customHeight="1">
      <c r="A558" s="130" t="s">
        <v>316</v>
      </c>
      <c r="B558" s="130" t="s">
        <v>293</v>
      </c>
      <c r="C558" s="155">
        <v>44314</v>
      </c>
      <c r="D558" s="130">
        <v>1240</v>
      </c>
      <c r="E558" s="130" t="s">
        <v>294</v>
      </c>
      <c r="F558" s="130" t="s">
        <v>297</v>
      </c>
      <c r="G558" s="130" t="s">
        <v>326</v>
      </c>
      <c r="H558" s="130">
        <v>966025</v>
      </c>
      <c r="I558" s="145">
        <v>29</v>
      </c>
      <c r="J558" s="129" t="s">
        <v>192</v>
      </c>
      <c r="K558" s="127">
        <v>38</v>
      </c>
      <c r="L558" s="103">
        <v>55.054000000000002</v>
      </c>
      <c r="M558" s="128">
        <f t="shared" si="133"/>
        <v>-17.054000000000002</v>
      </c>
      <c r="N558" s="94">
        <f t="shared" si="134"/>
        <v>1.4487894736842106</v>
      </c>
      <c r="O558" s="116">
        <f t="shared" ref="O558" si="147">M558+M559</f>
        <v>0</v>
      </c>
    </row>
    <row r="559" spans="1:15" ht="15" customHeight="1">
      <c r="A559" s="130" t="s">
        <v>316</v>
      </c>
      <c r="B559" s="130" t="s">
        <v>293</v>
      </c>
      <c r="C559" s="155">
        <v>44314</v>
      </c>
      <c r="D559" s="130">
        <v>1240</v>
      </c>
      <c r="E559" s="130" t="s">
        <v>294</v>
      </c>
      <c r="F559" s="130" t="s">
        <v>297</v>
      </c>
      <c r="G559" s="130" t="s">
        <v>326</v>
      </c>
      <c r="H559" s="130">
        <v>966025</v>
      </c>
      <c r="I559" s="145">
        <v>29</v>
      </c>
      <c r="J559" s="129" t="s">
        <v>193</v>
      </c>
      <c r="K559" s="127">
        <v>33</v>
      </c>
      <c r="L559" s="103">
        <v>15.946</v>
      </c>
      <c r="M559" s="128">
        <f t="shared" si="133"/>
        <v>17.054000000000002</v>
      </c>
      <c r="N559" s="94">
        <f t="shared" si="134"/>
        <v>0.4832121212121212</v>
      </c>
    </row>
    <row r="560" spans="1:15" ht="15" customHeight="1">
      <c r="A560" s="130" t="s">
        <v>316</v>
      </c>
      <c r="B560" s="130" t="s">
        <v>293</v>
      </c>
      <c r="C560" s="155">
        <v>44314</v>
      </c>
      <c r="D560" s="130">
        <v>1240</v>
      </c>
      <c r="E560" s="130" t="s">
        <v>294</v>
      </c>
      <c r="F560" s="130" t="s">
        <v>297</v>
      </c>
      <c r="G560" s="130" t="s">
        <v>489</v>
      </c>
      <c r="H560" s="130">
        <v>950818</v>
      </c>
      <c r="I560" s="145">
        <v>23</v>
      </c>
      <c r="J560" s="129" t="s">
        <v>192</v>
      </c>
      <c r="K560" s="127">
        <v>183</v>
      </c>
      <c r="L560" s="103">
        <v>278.803</v>
      </c>
      <c r="M560" s="128">
        <f t="shared" si="133"/>
        <v>-95.802999999999997</v>
      </c>
      <c r="N560" s="94">
        <f t="shared" si="134"/>
        <v>1.5235136612021858</v>
      </c>
      <c r="O560" s="116">
        <f t="shared" ref="O560" si="148">M560+M561</f>
        <v>0</v>
      </c>
    </row>
    <row r="561" spans="1:15" ht="15" customHeight="1">
      <c r="A561" s="130" t="s">
        <v>316</v>
      </c>
      <c r="B561" s="130" t="s">
        <v>293</v>
      </c>
      <c r="C561" s="155">
        <v>44314</v>
      </c>
      <c r="D561" s="130">
        <v>1240</v>
      </c>
      <c r="E561" s="130" t="s">
        <v>294</v>
      </c>
      <c r="F561" s="130" t="s">
        <v>297</v>
      </c>
      <c r="G561" s="130" t="s">
        <v>489</v>
      </c>
      <c r="H561" s="130">
        <v>950818</v>
      </c>
      <c r="I561" s="145">
        <v>23</v>
      </c>
      <c r="J561" s="129" t="s">
        <v>193</v>
      </c>
      <c r="K561" s="127">
        <v>155</v>
      </c>
      <c r="L561" s="103">
        <v>59.197000000000003</v>
      </c>
      <c r="M561" s="128">
        <f t="shared" si="133"/>
        <v>95.802999999999997</v>
      </c>
      <c r="N561" s="94">
        <f t="shared" si="134"/>
        <v>0.38191612903225808</v>
      </c>
    </row>
    <row r="562" spans="1:15" ht="15" customHeight="1">
      <c r="A562" s="130" t="s">
        <v>316</v>
      </c>
      <c r="B562" s="130" t="s">
        <v>293</v>
      </c>
      <c r="C562" s="155">
        <v>44314</v>
      </c>
      <c r="D562" s="130">
        <v>1240</v>
      </c>
      <c r="E562" s="130" t="s">
        <v>294</v>
      </c>
      <c r="F562" s="130" t="s">
        <v>297</v>
      </c>
      <c r="G562" s="130" t="s">
        <v>551</v>
      </c>
      <c r="H562" s="130">
        <v>959954</v>
      </c>
      <c r="I562" s="145">
        <v>19</v>
      </c>
      <c r="J562" s="129" t="s">
        <v>192</v>
      </c>
      <c r="K562" s="127">
        <v>215</v>
      </c>
      <c r="L562" s="103">
        <v>243.67400000000001</v>
      </c>
      <c r="M562" s="128">
        <f t="shared" si="133"/>
        <v>-28.674000000000007</v>
      </c>
      <c r="N562" s="94">
        <f t="shared" si="134"/>
        <v>1.1333674418604651</v>
      </c>
      <c r="O562" s="116">
        <f t="shared" ref="O562" si="149">M562+M563</f>
        <v>21.542000000000002</v>
      </c>
    </row>
    <row r="563" spans="1:15" ht="15" customHeight="1">
      <c r="A563" s="130" t="s">
        <v>316</v>
      </c>
      <c r="B563" s="130" t="s">
        <v>293</v>
      </c>
      <c r="C563" s="155">
        <v>44314</v>
      </c>
      <c r="D563" s="130">
        <v>1240</v>
      </c>
      <c r="E563" s="130" t="s">
        <v>294</v>
      </c>
      <c r="F563" s="130" t="s">
        <v>297</v>
      </c>
      <c r="G563" s="130" t="s">
        <v>551</v>
      </c>
      <c r="H563" s="130">
        <v>959954</v>
      </c>
      <c r="I563" s="145">
        <v>19</v>
      </c>
      <c r="J563" s="129" t="s">
        <v>193</v>
      </c>
      <c r="K563" s="127">
        <v>182</v>
      </c>
      <c r="L563" s="103">
        <v>131.78399999999999</v>
      </c>
      <c r="M563" s="128">
        <f t="shared" si="133"/>
        <v>50.216000000000008</v>
      </c>
      <c r="N563" s="94">
        <f t="shared" si="134"/>
        <v>0.72408791208791201</v>
      </c>
    </row>
    <row r="564" spans="1:15" ht="15" customHeight="1">
      <c r="A564" s="130" t="s">
        <v>316</v>
      </c>
      <c r="B564" s="130" t="s">
        <v>293</v>
      </c>
      <c r="C564" s="155">
        <v>44314</v>
      </c>
      <c r="D564" s="130">
        <v>1240</v>
      </c>
      <c r="E564" s="130" t="s">
        <v>294</v>
      </c>
      <c r="F564" s="130" t="s">
        <v>297</v>
      </c>
      <c r="G564" s="130" t="s">
        <v>542</v>
      </c>
      <c r="H564" s="130">
        <v>952452</v>
      </c>
      <c r="I564" s="145">
        <v>74</v>
      </c>
      <c r="J564" s="129" t="s">
        <v>192</v>
      </c>
      <c r="K564" s="127">
        <v>215</v>
      </c>
      <c r="L564" s="103">
        <v>120.554</v>
      </c>
      <c r="M564" s="128">
        <f t="shared" si="133"/>
        <v>94.445999999999998</v>
      </c>
      <c r="N564" s="94">
        <f t="shared" si="134"/>
        <v>0.5607162790697674</v>
      </c>
      <c r="O564" s="116">
        <f t="shared" ref="O564" si="150">M564+M565</f>
        <v>0</v>
      </c>
    </row>
    <row r="565" spans="1:15" ht="15" customHeight="1">
      <c r="A565" s="130" t="s">
        <v>316</v>
      </c>
      <c r="B565" s="130" t="s">
        <v>293</v>
      </c>
      <c r="C565" s="155">
        <v>44314</v>
      </c>
      <c r="D565" s="130">
        <v>1240</v>
      </c>
      <c r="E565" s="130" t="s">
        <v>294</v>
      </c>
      <c r="F565" s="130" t="s">
        <v>297</v>
      </c>
      <c r="G565" s="130" t="s">
        <v>542</v>
      </c>
      <c r="H565" s="130">
        <v>952452</v>
      </c>
      <c r="I565" s="145">
        <v>74</v>
      </c>
      <c r="J565" s="129" t="s">
        <v>193</v>
      </c>
      <c r="K565" s="127">
        <v>182</v>
      </c>
      <c r="L565" s="103">
        <v>276.44600000000003</v>
      </c>
      <c r="M565" s="128">
        <f t="shared" si="133"/>
        <v>-94.446000000000026</v>
      </c>
      <c r="N565" s="94">
        <f t="shared" si="134"/>
        <v>1.518934065934066</v>
      </c>
    </row>
    <row r="566" spans="1:15" ht="15" customHeight="1">
      <c r="A566" s="130" t="s">
        <v>316</v>
      </c>
      <c r="B566" s="130" t="s">
        <v>293</v>
      </c>
      <c r="C566" s="155">
        <v>44314</v>
      </c>
      <c r="D566" s="130">
        <v>1240</v>
      </c>
      <c r="E566" s="130" t="s">
        <v>294</v>
      </c>
      <c r="F566" s="130" t="s">
        <v>297</v>
      </c>
      <c r="G566" s="130" t="s">
        <v>596</v>
      </c>
      <c r="H566" s="130">
        <v>951916</v>
      </c>
      <c r="I566" s="145">
        <v>21</v>
      </c>
      <c r="J566" s="129" t="s">
        <v>192</v>
      </c>
      <c r="K566" s="127">
        <v>62</v>
      </c>
      <c r="L566" s="103">
        <v>108</v>
      </c>
      <c r="M566" s="128">
        <f t="shared" si="133"/>
        <v>-46</v>
      </c>
      <c r="N566" s="94">
        <f t="shared" si="134"/>
        <v>1.7419354838709677</v>
      </c>
      <c r="O566" s="116">
        <f t="shared" ref="O566" si="151">M566+M567</f>
        <v>1.2849999999999966</v>
      </c>
    </row>
    <row r="567" spans="1:15" ht="15" customHeight="1">
      <c r="A567" s="130" t="s">
        <v>316</v>
      </c>
      <c r="B567" s="130" t="s">
        <v>293</v>
      </c>
      <c r="C567" s="155">
        <v>44314</v>
      </c>
      <c r="D567" s="130">
        <v>1240</v>
      </c>
      <c r="E567" s="130" t="s">
        <v>294</v>
      </c>
      <c r="F567" s="130" t="s">
        <v>297</v>
      </c>
      <c r="G567" s="130" t="s">
        <v>596</v>
      </c>
      <c r="H567" s="130">
        <v>951916</v>
      </c>
      <c r="I567" s="145">
        <v>21</v>
      </c>
      <c r="J567" s="129" t="s">
        <v>193</v>
      </c>
      <c r="K567" s="127">
        <v>53</v>
      </c>
      <c r="L567" s="103">
        <v>5.7149999999999999</v>
      </c>
      <c r="M567" s="128">
        <f t="shared" si="133"/>
        <v>47.284999999999997</v>
      </c>
      <c r="N567" s="94">
        <f t="shared" si="134"/>
        <v>0.10783018867924528</v>
      </c>
    </row>
    <row r="568" spans="1:15" ht="15" customHeight="1">
      <c r="A568" s="130" t="s">
        <v>316</v>
      </c>
      <c r="B568" s="130" t="s">
        <v>293</v>
      </c>
      <c r="C568" s="155">
        <v>44314</v>
      </c>
      <c r="D568" s="130">
        <v>1240</v>
      </c>
      <c r="E568" s="130" t="s">
        <v>294</v>
      </c>
      <c r="F568" s="130" t="s">
        <v>297</v>
      </c>
      <c r="G568" s="130" t="s">
        <v>562</v>
      </c>
      <c r="H568" s="130">
        <v>966129</v>
      </c>
      <c r="I568" s="145">
        <v>35</v>
      </c>
      <c r="J568" s="129" t="s">
        <v>192</v>
      </c>
      <c r="K568" s="127">
        <v>276</v>
      </c>
      <c r="L568" s="103">
        <v>410.15100000000001</v>
      </c>
      <c r="M568" s="128">
        <f t="shared" si="133"/>
        <v>-134.15100000000001</v>
      </c>
      <c r="N568" s="94">
        <f t="shared" si="134"/>
        <v>1.486054347826087</v>
      </c>
      <c r="O568" s="116">
        <f t="shared" ref="O568" si="152">M568+M569</f>
        <v>0.42300000000000182</v>
      </c>
    </row>
    <row r="569" spans="1:15" ht="15" customHeight="1">
      <c r="A569" s="130" t="s">
        <v>316</v>
      </c>
      <c r="B569" s="130" t="s">
        <v>293</v>
      </c>
      <c r="C569" s="155">
        <v>44314</v>
      </c>
      <c r="D569" s="130">
        <v>1240</v>
      </c>
      <c r="E569" s="130" t="s">
        <v>294</v>
      </c>
      <c r="F569" s="130" t="s">
        <v>297</v>
      </c>
      <c r="G569" s="130" t="s">
        <v>562</v>
      </c>
      <c r="H569" s="130">
        <v>966129</v>
      </c>
      <c r="I569" s="145">
        <v>35</v>
      </c>
      <c r="J569" s="129" t="s">
        <v>193</v>
      </c>
      <c r="K569" s="127">
        <v>234</v>
      </c>
      <c r="L569" s="103">
        <v>99.426000000000002</v>
      </c>
      <c r="M569" s="128">
        <f t="shared" si="133"/>
        <v>134.57400000000001</v>
      </c>
      <c r="N569" s="94">
        <f t="shared" si="134"/>
        <v>0.42489743589743589</v>
      </c>
    </row>
    <row r="570" spans="1:15" ht="15" customHeight="1">
      <c r="A570" s="130" t="s">
        <v>316</v>
      </c>
      <c r="B570" s="130" t="s">
        <v>293</v>
      </c>
      <c r="C570" s="155">
        <v>44314</v>
      </c>
      <c r="D570" s="130">
        <v>1240</v>
      </c>
      <c r="E570" s="130" t="s">
        <v>294</v>
      </c>
      <c r="F570" s="130" t="s">
        <v>297</v>
      </c>
      <c r="G570" s="130" t="s">
        <v>643</v>
      </c>
      <c r="H570" s="130">
        <v>959062</v>
      </c>
      <c r="I570" s="145">
        <v>58</v>
      </c>
      <c r="J570" s="129" t="s">
        <v>192</v>
      </c>
      <c r="K570" s="127">
        <v>155</v>
      </c>
      <c r="L570" s="103">
        <v>271.53399999999999</v>
      </c>
      <c r="M570" s="128">
        <f t="shared" si="133"/>
        <v>-116.53399999999999</v>
      </c>
      <c r="N570" s="94">
        <f t="shared" si="134"/>
        <v>1.751832258064516</v>
      </c>
      <c r="O570" s="116">
        <f t="shared" ref="O570" si="153">M570+M571</f>
        <v>0</v>
      </c>
    </row>
    <row r="571" spans="1:15" ht="15" customHeight="1">
      <c r="A571" s="130" t="s">
        <v>316</v>
      </c>
      <c r="B571" s="130" t="s">
        <v>293</v>
      </c>
      <c r="C571" s="155">
        <v>44314</v>
      </c>
      <c r="D571" s="130">
        <v>1240</v>
      </c>
      <c r="E571" s="130" t="s">
        <v>294</v>
      </c>
      <c r="F571" s="130" t="s">
        <v>297</v>
      </c>
      <c r="G571" s="130" t="s">
        <v>643</v>
      </c>
      <c r="H571" s="130">
        <v>959062</v>
      </c>
      <c r="I571" s="145">
        <v>58</v>
      </c>
      <c r="J571" s="129" t="s">
        <v>193</v>
      </c>
      <c r="K571" s="127">
        <v>132</v>
      </c>
      <c r="L571" s="103">
        <v>15.465999999999999</v>
      </c>
      <c r="M571" s="128">
        <f t="shared" si="133"/>
        <v>116.53400000000001</v>
      </c>
      <c r="N571" s="94">
        <f t="shared" si="134"/>
        <v>0.11716666666666666</v>
      </c>
    </row>
    <row r="572" spans="1:15" ht="15" customHeight="1">
      <c r="A572" s="130" t="s">
        <v>316</v>
      </c>
      <c r="B572" s="130" t="s">
        <v>293</v>
      </c>
      <c r="C572" s="155">
        <v>44314</v>
      </c>
      <c r="D572" s="130">
        <v>1240</v>
      </c>
      <c r="E572" s="130" t="s">
        <v>294</v>
      </c>
      <c r="F572" s="130" t="s">
        <v>297</v>
      </c>
      <c r="G572" s="130" t="s">
        <v>644</v>
      </c>
      <c r="H572" s="130">
        <v>968864</v>
      </c>
      <c r="I572" s="145">
        <v>58</v>
      </c>
      <c r="J572" s="129" t="s">
        <v>192</v>
      </c>
      <c r="K572" s="127">
        <v>150</v>
      </c>
      <c r="L572" s="103">
        <v>74.63</v>
      </c>
      <c r="M572" s="128">
        <f t="shared" si="133"/>
        <v>75.37</v>
      </c>
      <c r="N572" s="94">
        <f t="shared" si="134"/>
        <v>0.49753333333333333</v>
      </c>
      <c r="O572" s="116">
        <f t="shared" ref="O572" si="154">M572+M573</f>
        <v>0</v>
      </c>
    </row>
    <row r="573" spans="1:15" ht="15" customHeight="1">
      <c r="A573" s="130" t="s">
        <v>316</v>
      </c>
      <c r="B573" s="130" t="s">
        <v>293</v>
      </c>
      <c r="C573" s="155">
        <v>44314</v>
      </c>
      <c r="D573" s="130">
        <v>1240</v>
      </c>
      <c r="E573" s="130" t="s">
        <v>294</v>
      </c>
      <c r="F573" s="130" t="s">
        <v>297</v>
      </c>
      <c r="G573" s="130" t="s">
        <v>644</v>
      </c>
      <c r="H573" s="130">
        <v>968864</v>
      </c>
      <c r="I573" s="145">
        <v>58</v>
      </c>
      <c r="J573" s="129" t="s">
        <v>193</v>
      </c>
      <c r="K573" s="127">
        <v>128</v>
      </c>
      <c r="L573" s="103">
        <v>203.37</v>
      </c>
      <c r="M573" s="128">
        <f t="shared" si="133"/>
        <v>-75.37</v>
      </c>
      <c r="N573" s="94">
        <f t="shared" si="134"/>
        <v>1.588828125</v>
      </c>
    </row>
    <row r="574" spans="1:15" ht="15" customHeight="1">
      <c r="A574" s="130" t="s">
        <v>316</v>
      </c>
      <c r="B574" s="130" t="s">
        <v>293</v>
      </c>
      <c r="C574" s="155">
        <v>44314</v>
      </c>
      <c r="D574" s="130">
        <v>1240</v>
      </c>
      <c r="E574" s="130" t="s">
        <v>294</v>
      </c>
      <c r="F574" s="130" t="s">
        <v>297</v>
      </c>
      <c r="G574" s="130" t="s">
        <v>598</v>
      </c>
      <c r="H574" s="130">
        <v>958085</v>
      </c>
      <c r="I574" s="145">
        <v>50</v>
      </c>
      <c r="J574" s="129" t="s">
        <v>192</v>
      </c>
      <c r="K574" s="127">
        <v>132</v>
      </c>
      <c r="L574" s="103">
        <v>199.14400000000001</v>
      </c>
      <c r="M574" s="128">
        <f t="shared" ref="M574:M575" si="155">K574-L574</f>
        <v>-67.144000000000005</v>
      </c>
      <c r="N574" s="94">
        <f t="shared" ref="N574:N575" si="156">L574/K574</f>
        <v>1.5086666666666666</v>
      </c>
      <c r="O574" s="116">
        <f t="shared" ref="O574" si="157">M574+M575</f>
        <v>0</v>
      </c>
    </row>
    <row r="575" spans="1:15" ht="15" customHeight="1">
      <c r="A575" s="130" t="s">
        <v>316</v>
      </c>
      <c r="B575" s="130" t="s">
        <v>293</v>
      </c>
      <c r="C575" s="155">
        <v>44314</v>
      </c>
      <c r="D575" s="130">
        <v>1240</v>
      </c>
      <c r="E575" s="130" t="s">
        <v>294</v>
      </c>
      <c r="F575" s="130" t="s">
        <v>297</v>
      </c>
      <c r="G575" s="130" t="s">
        <v>598</v>
      </c>
      <c r="H575" s="130">
        <v>958085</v>
      </c>
      <c r="I575" s="145">
        <v>50</v>
      </c>
      <c r="J575" s="129" t="s">
        <v>193</v>
      </c>
      <c r="K575" s="127">
        <v>112</v>
      </c>
      <c r="L575" s="103">
        <v>44.856000000000002</v>
      </c>
      <c r="M575" s="128">
        <f t="shared" si="155"/>
        <v>67.144000000000005</v>
      </c>
      <c r="N575" s="94">
        <f t="shared" si="156"/>
        <v>0.40050000000000002</v>
      </c>
    </row>
    <row r="576" spans="1:15" ht="15" customHeight="1">
      <c r="A576" s="130" t="s">
        <v>316</v>
      </c>
      <c r="B576" s="130" t="s">
        <v>293</v>
      </c>
      <c r="C576" s="155">
        <v>44314</v>
      </c>
      <c r="D576" s="130">
        <v>1240</v>
      </c>
      <c r="E576" s="130" t="s">
        <v>294</v>
      </c>
      <c r="F576" s="130" t="s">
        <v>297</v>
      </c>
      <c r="G576" s="130" t="s">
        <v>609</v>
      </c>
      <c r="H576" s="130">
        <v>960959</v>
      </c>
      <c r="I576" s="145">
        <v>9</v>
      </c>
      <c r="J576" s="129" t="s">
        <v>192</v>
      </c>
      <c r="K576" s="127">
        <v>133</v>
      </c>
      <c r="L576" s="103">
        <v>216.179</v>
      </c>
      <c r="M576" s="128">
        <f t="shared" ref="M576:M595" si="158">K576-L576</f>
        <v>-83.179000000000002</v>
      </c>
      <c r="N576" s="94">
        <f t="shared" ref="N576:N595" si="159">L576/K576</f>
        <v>1.625406015037594</v>
      </c>
      <c r="O576" s="116">
        <f t="shared" ref="O576" si="160">M576+M577</f>
        <v>0</v>
      </c>
    </row>
    <row r="577" spans="1:15" ht="15" customHeight="1">
      <c r="A577" s="130" t="s">
        <v>316</v>
      </c>
      <c r="B577" s="130" t="s">
        <v>293</v>
      </c>
      <c r="C577" s="155">
        <v>44314</v>
      </c>
      <c r="D577" s="130">
        <v>1240</v>
      </c>
      <c r="E577" s="130" t="s">
        <v>294</v>
      </c>
      <c r="F577" s="130" t="s">
        <v>297</v>
      </c>
      <c r="G577" s="130" t="s">
        <v>609</v>
      </c>
      <c r="H577" s="130">
        <v>960959</v>
      </c>
      <c r="I577" s="145">
        <v>9</v>
      </c>
      <c r="J577" s="129" t="s">
        <v>193</v>
      </c>
      <c r="K577" s="127">
        <v>112</v>
      </c>
      <c r="L577" s="103">
        <v>28.821000000000002</v>
      </c>
      <c r="M577" s="128">
        <f t="shared" si="158"/>
        <v>83.179000000000002</v>
      </c>
      <c r="N577" s="94">
        <f t="shared" si="159"/>
        <v>0.25733035714285718</v>
      </c>
    </row>
    <row r="578" spans="1:15" ht="15" customHeight="1">
      <c r="A578" s="130" t="s">
        <v>316</v>
      </c>
      <c r="B578" s="130" t="s">
        <v>293</v>
      </c>
      <c r="C578" s="155">
        <v>44314</v>
      </c>
      <c r="D578" s="130">
        <v>1240</v>
      </c>
      <c r="E578" s="130" t="s">
        <v>294</v>
      </c>
      <c r="F578" s="130" t="s">
        <v>297</v>
      </c>
      <c r="G578" s="130" t="s">
        <v>547</v>
      </c>
      <c r="H578" s="130">
        <v>957939</v>
      </c>
      <c r="I578" s="145">
        <v>6</v>
      </c>
      <c r="J578" s="129" t="s">
        <v>192</v>
      </c>
      <c r="K578" s="127">
        <v>168</v>
      </c>
      <c r="L578" s="103">
        <v>270.04199999999997</v>
      </c>
      <c r="M578" s="128">
        <f t="shared" si="158"/>
        <v>-102.04199999999997</v>
      </c>
      <c r="N578" s="94">
        <f t="shared" si="159"/>
        <v>1.6073928571428571</v>
      </c>
      <c r="O578" s="116">
        <f t="shared" ref="O578" si="161">M578+M579</f>
        <v>0</v>
      </c>
    </row>
    <row r="579" spans="1:15" ht="15" customHeight="1">
      <c r="A579" s="130" t="s">
        <v>316</v>
      </c>
      <c r="B579" s="130" t="s">
        <v>293</v>
      </c>
      <c r="C579" s="155">
        <v>44314</v>
      </c>
      <c r="D579" s="130">
        <v>1240</v>
      </c>
      <c r="E579" s="130" t="s">
        <v>294</v>
      </c>
      <c r="F579" s="130" t="s">
        <v>297</v>
      </c>
      <c r="G579" s="130" t="s">
        <v>547</v>
      </c>
      <c r="H579" s="130">
        <v>957939</v>
      </c>
      <c r="I579" s="145">
        <v>6</v>
      </c>
      <c r="J579" s="129" t="s">
        <v>193</v>
      </c>
      <c r="K579" s="127">
        <v>142</v>
      </c>
      <c r="L579" s="103">
        <v>39.957999999999998</v>
      </c>
      <c r="M579" s="128">
        <f t="shared" si="158"/>
        <v>102.042</v>
      </c>
      <c r="N579" s="94">
        <f t="shared" si="159"/>
        <v>0.28139436619718311</v>
      </c>
    </row>
    <row r="580" spans="1:15" ht="15" customHeight="1">
      <c r="A580" s="130" t="s">
        <v>316</v>
      </c>
      <c r="B580" s="130" t="s">
        <v>293</v>
      </c>
      <c r="C580" s="155">
        <v>44314</v>
      </c>
      <c r="D580" s="130">
        <v>1240</v>
      </c>
      <c r="E580" s="130" t="s">
        <v>294</v>
      </c>
      <c r="F580" s="130" t="s">
        <v>297</v>
      </c>
      <c r="G580" s="130" t="s">
        <v>645</v>
      </c>
      <c r="H580" s="130">
        <v>966577</v>
      </c>
      <c r="I580" s="145">
        <v>6</v>
      </c>
      <c r="J580" s="129" t="s">
        <v>192</v>
      </c>
      <c r="K580" s="127">
        <v>160</v>
      </c>
      <c r="L580" s="103">
        <v>239.49799999999999</v>
      </c>
      <c r="M580" s="128">
        <f t="shared" si="158"/>
        <v>-79.49799999999999</v>
      </c>
      <c r="N580" s="94">
        <f t="shared" si="159"/>
        <v>1.4968625</v>
      </c>
      <c r="O580" s="116">
        <f t="shared" ref="O580" si="162">M580+M581</f>
        <v>0</v>
      </c>
    </row>
    <row r="581" spans="1:15" ht="15" customHeight="1">
      <c r="A581" s="130" t="s">
        <v>316</v>
      </c>
      <c r="B581" s="130" t="s">
        <v>293</v>
      </c>
      <c r="C581" s="155">
        <v>44314</v>
      </c>
      <c r="D581" s="130">
        <v>1240</v>
      </c>
      <c r="E581" s="130" t="s">
        <v>294</v>
      </c>
      <c r="F581" s="130" t="s">
        <v>297</v>
      </c>
      <c r="G581" s="130" t="s">
        <v>645</v>
      </c>
      <c r="H581" s="130">
        <v>966577</v>
      </c>
      <c r="I581" s="145">
        <v>6</v>
      </c>
      <c r="J581" s="129" t="s">
        <v>193</v>
      </c>
      <c r="K581" s="127">
        <v>134</v>
      </c>
      <c r="L581" s="103">
        <v>54.502000000000002</v>
      </c>
      <c r="M581" s="128">
        <f t="shared" si="158"/>
        <v>79.49799999999999</v>
      </c>
      <c r="N581" s="94">
        <f t="shared" si="159"/>
        <v>0.40673134328358213</v>
      </c>
    </row>
    <row r="582" spans="1:15" ht="15" customHeight="1">
      <c r="A582" s="130" t="s">
        <v>316</v>
      </c>
      <c r="B582" s="130" t="s">
        <v>293</v>
      </c>
      <c r="C582" s="155">
        <v>44314</v>
      </c>
      <c r="D582" s="130">
        <v>1240</v>
      </c>
      <c r="E582" s="130" t="s">
        <v>294</v>
      </c>
      <c r="F582" s="130" t="s">
        <v>297</v>
      </c>
      <c r="G582" s="130" t="s">
        <v>599</v>
      </c>
      <c r="H582" s="130">
        <v>952296</v>
      </c>
      <c r="I582" s="145">
        <v>74</v>
      </c>
      <c r="J582" s="129" t="s">
        <v>192</v>
      </c>
      <c r="K582" s="127">
        <v>349</v>
      </c>
      <c r="L582" s="103">
        <v>164.083</v>
      </c>
      <c r="M582" s="128">
        <f t="shared" si="158"/>
        <v>184.917</v>
      </c>
      <c r="N582" s="94">
        <f t="shared" si="159"/>
        <v>0.47015186246418339</v>
      </c>
      <c r="O582" s="116">
        <f t="shared" ref="O582" si="163">M582+M583</f>
        <v>0</v>
      </c>
    </row>
    <row r="583" spans="1:15" ht="15" customHeight="1">
      <c r="A583" s="130" t="s">
        <v>316</v>
      </c>
      <c r="B583" s="130" t="s">
        <v>293</v>
      </c>
      <c r="C583" s="155">
        <v>44314</v>
      </c>
      <c r="D583" s="130">
        <v>1240</v>
      </c>
      <c r="E583" s="130" t="s">
        <v>294</v>
      </c>
      <c r="F583" s="130" t="s">
        <v>297</v>
      </c>
      <c r="G583" s="130" t="s">
        <v>599</v>
      </c>
      <c r="H583" s="130">
        <v>952296</v>
      </c>
      <c r="I583" s="145">
        <v>74</v>
      </c>
      <c r="J583" s="129" t="s">
        <v>193</v>
      </c>
      <c r="K583" s="127">
        <v>296</v>
      </c>
      <c r="L583" s="103">
        <v>480.91699999999997</v>
      </c>
      <c r="M583" s="128">
        <f t="shared" si="158"/>
        <v>-184.91699999999997</v>
      </c>
      <c r="N583" s="94">
        <f t="shared" si="159"/>
        <v>1.6247195945945945</v>
      </c>
    </row>
    <row r="584" spans="1:15" ht="15" customHeight="1">
      <c r="A584" s="130" t="s">
        <v>316</v>
      </c>
      <c r="B584" s="130" t="s">
        <v>293</v>
      </c>
      <c r="C584" s="155">
        <v>44314</v>
      </c>
      <c r="D584" s="130">
        <v>1240</v>
      </c>
      <c r="E584" s="130" t="s">
        <v>294</v>
      </c>
      <c r="F584" s="130" t="s">
        <v>297</v>
      </c>
      <c r="G584" s="130" t="s">
        <v>646</v>
      </c>
      <c r="H584" s="130">
        <v>30822</v>
      </c>
      <c r="I584" s="145">
        <v>74</v>
      </c>
      <c r="J584" s="129" t="s">
        <v>192</v>
      </c>
      <c r="K584" s="127">
        <v>215</v>
      </c>
      <c r="L584" s="103">
        <v>344.435</v>
      </c>
      <c r="M584" s="128">
        <f t="shared" si="158"/>
        <v>-129.435</v>
      </c>
      <c r="N584" s="94">
        <f t="shared" si="159"/>
        <v>1.6020232558139536</v>
      </c>
      <c r="O584" s="116">
        <f t="shared" ref="O584" si="164">M584+M585</f>
        <v>9.3870000000000005</v>
      </c>
    </row>
    <row r="585" spans="1:15" ht="15" customHeight="1">
      <c r="A585" s="130" t="s">
        <v>316</v>
      </c>
      <c r="B585" s="130" t="s">
        <v>293</v>
      </c>
      <c r="C585" s="155">
        <v>44314</v>
      </c>
      <c r="D585" s="130">
        <v>1240</v>
      </c>
      <c r="E585" s="130" t="s">
        <v>294</v>
      </c>
      <c r="F585" s="130" t="s">
        <v>297</v>
      </c>
      <c r="G585" s="130" t="s">
        <v>646</v>
      </c>
      <c r="H585" s="130">
        <v>30822</v>
      </c>
      <c r="I585" s="145">
        <v>74</v>
      </c>
      <c r="J585" s="129" t="s">
        <v>193</v>
      </c>
      <c r="K585" s="127">
        <v>182</v>
      </c>
      <c r="L585" s="103">
        <v>43.177999999999997</v>
      </c>
      <c r="M585" s="128">
        <f t="shared" si="158"/>
        <v>138.822</v>
      </c>
      <c r="N585" s="94">
        <f t="shared" si="159"/>
        <v>0.23724175824175822</v>
      </c>
    </row>
    <row r="586" spans="1:15" ht="15" customHeight="1">
      <c r="A586" s="130" t="s">
        <v>316</v>
      </c>
      <c r="B586" s="130" t="s">
        <v>293</v>
      </c>
      <c r="C586" s="155">
        <v>44314</v>
      </c>
      <c r="D586" s="130">
        <v>1240</v>
      </c>
      <c r="E586" s="130" t="s">
        <v>294</v>
      </c>
      <c r="F586" s="130" t="s">
        <v>297</v>
      </c>
      <c r="G586" s="130" t="s">
        <v>607</v>
      </c>
      <c r="H586" s="130">
        <v>959986</v>
      </c>
      <c r="I586" s="145">
        <v>6</v>
      </c>
      <c r="J586" s="129" t="s">
        <v>192</v>
      </c>
      <c r="K586" s="127">
        <v>161</v>
      </c>
      <c r="L586" s="103">
        <v>248.64599999999999</v>
      </c>
      <c r="M586" s="128">
        <f t="shared" si="158"/>
        <v>-87.645999999999987</v>
      </c>
      <c r="N586" s="94">
        <f t="shared" si="159"/>
        <v>1.5443850931677017</v>
      </c>
      <c r="O586" s="116">
        <f t="shared" ref="O586" si="165">M586+M587</f>
        <v>0</v>
      </c>
    </row>
    <row r="587" spans="1:15" ht="15" customHeight="1">
      <c r="A587" s="130" t="s">
        <v>316</v>
      </c>
      <c r="B587" s="130" t="s">
        <v>293</v>
      </c>
      <c r="C587" s="155">
        <v>44314</v>
      </c>
      <c r="D587" s="130">
        <v>1240</v>
      </c>
      <c r="E587" s="130" t="s">
        <v>294</v>
      </c>
      <c r="F587" s="130" t="s">
        <v>297</v>
      </c>
      <c r="G587" s="130" t="s">
        <v>607</v>
      </c>
      <c r="H587" s="130">
        <v>959986</v>
      </c>
      <c r="I587" s="145">
        <v>6</v>
      </c>
      <c r="J587" s="129" t="s">
        <v>193</v>
      </c>
      <c r="K587" s="127">
        <v>136</v>
      </c>
      <c r="L587" s="103">
        <v>48.353999999999999</v>
      </c>
      <c r="M587" s="128">
        <f t="shared" si="158"/>
        <v>87.646000000000001</v>
      </c>
      <c r="N587" s="94">
        <f t="shared" si="159"/>
        <v>0.35554411764705884</v>
      </c>
    </row>
    <row r="588" spans="1:15" ht="15" customHeight="1">
      <c r="A588" s="130" t="s">
        <v>316</v>
      </c>
      <c r="B588" s="130" t="s">
        <v>293</v>
      </c>
      <c r="C588" s="155">
        <v>44314</v>
      </c>
      <c r="D588" s="130">
        <v>1240</v>
      </c>
      <c r="E588" s="130" t="s">
        <v>294</v>
      </c>
      <c r="F588" s="130" t="s">
        <v>297</v>
      </c>
      <c r="G588" s="130" t="s">
        <v>560</v>
      </c>
      <c r="H588" s="130">
        <v>959366</v>
      </c>
      <c r="I588" s="145">
        <v>19</v>
      </c>
      <c r="J588" s="129" t="s">
        <v>192</v>
      </c>
      <c r="K588" s="127">
        <v>198</v>
      </c>
      <c r="L588" s="103">
        <v>274.69</v>
      </c>
      <c r="M588" s="128">
        <f t="shared" si="158"/>
        <v>-76.69</v>
      </c>
      <c r="N588" s="94">
        <f t="shared" si="159"/>
        <v>1.3873232323232323</v>
      </c>
      <c r="O588" s="116">
        <f t="shared" ref="O588" si="166">M588+M589</f>
        <v>0</v>
      </c>
    </row>
    <row r="589" spans="1:15" ht="15" customHeight="1">
      <c r="A589" s="130" t="s">
        <v>316</v>
      </c>
      <c r="B589" s="130" t="s">
        <v>293</v>
      </c>
      <c r="C589" s="155">
        <v>44314</v>
      </c>
      <c r="D589" s="130">
        <v>1240</v>
      </c>
      <c r="E589" s="130" t="s">
        <v>294</v>
      </c>
      <c r="F589" s="130" t="s">
        <v>297</v>
      </c>
      <c r="G589" s="130" t="s">
        <v>560</v>
      </c>
      <c r="H589" s="130">
        <v>959366</v>
      </c>
      <c r="I589" s="145">
        <v>19</v>
      </c>
      <c r="J589" s="129" t="s">
        <v>193</v>
      </c>
      <c r="K589" s="127">
        <v>168</v>
      </c>
      <c r="L589" s="103">
        <v>91.31</v>
      </c>
      <c r="M589" s="128">
        <f t="shared" si="158"/>
        <v>76.69</v>
      </c>
      <c r="N589" s="94">
        <f t="shared" si="159"/>
        <v>0.54351190476190481</v>
      </c>
    </row>
    <row r="590" spans="1:15" ht="15" customHeight="1">
      <c r="A590" s="130" t="s">
        <v>316</v>
      </c>
      <c r="B590" s="130" t="s">
        <v>293</v>
      </c>
      <c r="C590" s="155">
        <v>44314</v>
      </c>
      <c r="D590" s="130">
        <v>1240</v>
      </c>
      <c r="E590" s="130" t="s">
        <v>294</v>
      </c>
      <c r="F590" s="130" t="s">
        <v>297</v>
      </c>
      <c r="G590" s="130" t="s">
        <v>475</v>
      </c>
      <c r="H590" s="130">
        <v>959987</v>
      </c>
      <c r="I590" s="145">
        <v>24</v>
      </c>
      <c r="J590" s="129" t="s">
        <v>192</v>
      </c>
      <c r="K590" s="127">
        <v>197</v>
      </c>
      <c r="L590" s="103">
        <v>274.26499999999999</v>
      </c>
      <c r="M590" s="128">
        <f t="shared" si="158"/>
        <v>-77.264999999999986</v>
      </c>
      <c r="N590" s="94">
        <f t="shared" si="159"/>
        <v>1.3922081218274112</v>
      </c>
      <c r="O590" s="116">
        <f t="shared" ref="O590" si="167">M590+M591</f>
        <v>0</v>
      </c>
    </row>
    <row r="591" spans="1:15" ht="15" customHeight="1">
      <c r="A591" s="130" t="s">
        <v>316</v>
      </c>
      <c r="B591" s="130" t="s">
        <v>293</v>
      </c>
      <c r="C591" s="155">
        <v>44314</v>
      </c>
      <c r="D591" s="130">
        <v>1240</v>
      </c>
      <c r="E591" s="130" t="s">
        <v>294</v>
      </c>
      <c r="F591" s="130" t="s">
        <v>297</v>
      </c>
      <c r="G591" s="130" t="s">
        <v>475</v>
      </c>
      <c r="H591" s="130">
        <v>959987</v>
      </c>
      <c r="I591" s="145">
        <v>24</v>
      </c>
      <c r="J591" s="129" t="s">
        <v>193</v>
      </c>
      <c r="K591" s="127">
        <v>167</v>
      </c>
      <c r="L591" s="103">
        <v>89.734999999999999</v>
      </c>
      <c r="M591" s="128">
        <f t="shared" si="158"/>
        <v>77.265000000000001</v>
      </c>
      <c r="N591" s="94">
        <f t="shared" si="159"/>
        <v>0.53733532934131734</v>
      </c>
    </row>
    <row r="592" spans="1:15" ht="15" customHeight="1">
      <c r="A592" s="130" t="s">
        <v>316</v>
      </c>
      <c r="B592" s="130" t="s">
        <v>293</v>
      </c>
      <c r="C592" s="155">
        <v>44314</v>
      </c>
      <c r="D592" s="130">
        <v>1240</v>
      </c>
      <c r="E592" s="130" t="s">
        <v>294</v>
      </c>
      <c r="F592" s="130" t="s">
        <v>297</v>
      </c>
      <c r="G592" s="130" t="s">
        <v>476</v>
      </c>
      <c r="H592" s="130">
        <v>967393</v>
      </c>
      <c r="I592" s="145">
        <v>24</v>
      </c>
      <c r="J592" s="129" t="s">
        <v>192</v>
      </c>
      <c r="K592" s="127">
        <v>196</v>
      </c>
      <c r="L592" s="103">
        <v>328.82</v>
      </c>
      <c r="M592" s="128">
        <f t="shared" si="158"/>
        <v>-132.82</v>
      </c>
      <c r="N592" s="94">
        <f t="shared" si="159"/>
        <v>1.6776530612244898</v>
      </c>
      <c r="O592" s="116">
        <f t="shared" ref="O592" si="168">M592+M593</f>
        <v>0</v>
      </c>
    </row>
    <row r="593" spans="1:15" ht="15" customHeight="1">
      <c r="A593" s="130" t="s">
        <v>316</v>
      </c>
      <c r="B593" s="130" t="s">
        <v>293</v>
      </c>
      <c r="C593" s="155">
        <v>44314</v>
      </c>
      <c r="D593" s="130">
        <v>1240</v>
      </c>
      <c r="E593" s="130" t="s">
        <v>294</v>
      </c>
      <c r="F593" s="130" t="s">
        <v>297</v>
      </c>
      <c r="G593" s="130" t="s">
        <v>476</v>
      </c>
      <c r="H593" s="130">
        <v>967393</v>
      </c>
      <c r="I593" s="145">
        <v>24</v>
      </c>
      <c r="J593" s="129" t="s">
        <v>193</v>
      </c>
      <c r="K593" s="127">
        <v>167</v>
      </c>
      <c r="L593" s="103">
        <v>34.18</v>
      </c>
      <c r="M593" s="128">
        <f t="shared" si="158"/>
        <v>132.82</v>
      </c>
      <c r="N593" s="94">
        <f t="shared" si="159"/>
        <v>0.20467065868263473</v>
      </c>
    </row>
    <row r="594" spans="1:15" ht="15" customHeight="1">
      <c r="A594" s="130" t="s">
        <v>316</v>
      </c>
      <c r="B594" s="130" t="s">
        <v>293</v>
      </c>
      <c r="C594" s="155">
        <v>44314</v>
      </c>
      <c r="D594" s="130">
        <v>1240</v>
      </c>
      <c r="E594" s="130" t="s">
        <v>294</v>
      </c>
      <c r="F594" s="130" t="s">
        <v>297</v>
      </c>
      <c r="G594" s="130" t="s">
        <v>647</v>
      </c>
      <c r="H594" s="130">
        <v>968727</v>
      </c>
      <c r="I594" s="145">
        <v>6</v>
      </c>
      <c r="J594" s="129" t="s">
        <v>192</v>
      </c>
      <c r="K594" s="127">
        <v>188</v>
      </c>
      <c r="L594" s="103">
        <v>338.75299999999999</v>
      </c>
      <c r="M594" s="128">
        <f t="shared" si="158"/>
        <v>-150.75299999999999</v>
      </c>
      <c r="N594" s="94">
        <f t="shared" si="159"/>
        <v>1.8018776595744681</v>
      </c>
      <c r="O594" s="116">
        <f t="shared" ref="O594" si="169">M594+M595</f>
        <v>0</v>
      </c>
    </row>
    <row r="595" spans="1:15" ht="15" customHeight="1">
      <c r="A595" s="130" t="s">
        <v>316</v>
      </c>
      <c r="B595" s="130" t="s">
        <v>293</v>
      </c>
      <c r="C595" s="155">
        <v>44314</v>
      </c>
      <c r="D595" s="130">
        <v>1240</v>
      </c>
      <c r="E595" s="130" t="s">
        <v>294</v>
      </c>
      <c r="F595" s="130" t="s">
        <v>297</v>
      </c>
      <c r="G595" s="130" t="s">
        <v>647</v>
      </c>
      <c r="H595" s="130">
        <v>968727</v>
      </c>
      <c r="I595" s="145">
        <v>6</v>
      </c>
      <c r="J595" s="129" t="s">
        <v>193</v>
      </c>
      <c r="K595" s="127">
        <v>159</v>
      </c>
      <c r="L595" s="103">
        <v>8.2469999999999999</v>
      </c>
      <c r="M595" s="128">
        <f t="shared" si="158"/>
        <v>150.75299999999999</v>
      </c>
      <c r="N595" s="94">
        <f t="shared" si="159"/>
        <v>5.1867924528301884E-2</v>
      </c>
    </row>
    <row r="596" spans="1:15" ht="15" customHeight="1">
      <c r="A596" s="130" t="s">
        <v>532</v>
      </c>
      <c r="B596" s="130" t="s">
        <v>293</v>
      </c>
      <c r="C596" s="155">
        <v>44314</v>
      </c>
      <c r="D596" s="130">
        <v>1244</v>
      </c>
      <c r="E596" s="130" t="s">
        <v>294</v>
      </c>
      <c r="F596" s="130" t="s">
        <v>297</v>
      </c>
      <c r="G596" s="130" t="s">
        <v>649</v>
      </c>
      <c r="H596" s="130">
        <v>967469</v>
      </c>
      <c r="I596" s="145">
        <v>69</v>
      </c>
      <c r="J596" s="129" t="s">
        <v>192</v>
      </c>
      <c r="K596" s="127">
        <v>238</v>
      </c>
      <c r="L596" s="103">
        <v>532.69200000000001</v>
      </c>
      <c r="M596" s="128">
        <f t="shared" ref="M596:M597" si="170">K596-L596</f>
        <v>-294.69200000000001</v>
      </c>
      <c r="N596" s="94">
        <f t="shared" ref="N596:N597" si="171">L596/K596</f>
        <v>2.2382016806722689</v>
      </c>
      <c r="O596" s="116">
        <f t="shared" ref="O596" si="172">M596+M597</f>
        <v>0</v>
      </c>
    </row>
    <row r="597" spans="1:15" ht="15" customHeight="1">
      <c r="A597" s="130" t="s">
        <v>532</v>
      </c>
      <c r="B597" s="130" t="s">
        <v>293</v>
      </c>
      <c r="C597" s="155">
        <v>44314</v>
      </c>
      <c r="D597" s="130">
        <v>1244</v>
      </c>
      <c r="E597" s="130" t="s">
        <v>294</v>
      </c>
      <c r="F597" s="130" t="s">
        <v>297</v>
      </c>
      <c r="G597" s="130" t="s">
        <v>649</v>
      </c>
      <c r="H597" s="130">
        <v>967469</v>
      </c>
      <c r="I597" s="145">
        <v>69</v>
      </c>
      <c r="J597" s="129" t="s">
        <v>193</v>
      </c>
      <c r="K597" s="127">
        <v>480</v>
      </c>
      <c r="L597" s="103">
        <v>185.30799999999999</v>
      </c>
      <c r="M597" s="128">
        <f t="shared" si="170"/>
        <v>294.69200000000001</v>
      </c>
      <c r="N597" s="94">
        <f t="shared" si="171"/>
        <v>0.38605833333333334</v>
      </c>
    </row>
    <row r="598" spans="1:15" ht="15" customHeight="1">
      <c r="A598" s="130" t="s">
        <v>656</v>
      </c>
      <c r="B598" s="130" t="s">
        <v>288</v>
      </c>
      <c r="C598" s="155">
        <v>44316</v>
      </c>
      <c r="D598" s="130">
        <v>58</v>
      </c>
      <c r="E598" s="130" t="s">
        <v>289</v>
      </c>
      <c r="F598" s="130" t="s">
        <v>287</v>
      </c>
      <c r="G598" s="130" t="s">
        <v>302</v>
      </c>
      <c r="H598" s="130">
        <v>966875</v>
      </c>
      <c r="I598" s="145">
        <v>44</v>
      </c>
      <c r="J598" s="129" t="s">
        <v>192</v>
      </c>
      <c r="K598" s="282">
        <v>50</v>
      </c>
      <c r="L598" s="103">
        <v>28.199000000000002</v>
      </c>
      <c r="M598" s="285">
        <f>K598-(L598+L599)</f>
        <v>21.800999999999998</v>
      </c>
      <c r="N598" s="288">
        <f>(L598+L599)/K598</f>
        <v>0.56398000000000004</v>
      </c>
      <c r="O598" s="116">
        <f>M598+M600</f>
        <v>0</v>
      </c>
    </row>
    <row r="599" spans="1:15" ht="15" customHeight="1">
      <c r="A599" s="130" t="s">
        <v>656</v>
      </c>
      <c r="B599" s="130" t="s">
        <v>288</v>
      </c>
      <c r="C599" s="155">
        <v>44316</v>
      </c>
      <c r="D599" s="130">
        <v>58</v>
      </c>
      <c r="E599" s="130" t="s">
        <v>289</v>
      </c>
      <c r="F599" s="130" t="s">
        <v>287</v>
      </c>
      <c r="G599" s="130" t="s">
        <v>304</v>
      </c>
      <c r="H599" s="130">
        <v>958905</v>
      </c>
      <c r="I599" s="145">
        <v>44</v>
      </c>
      <c r="J599" s="129" t="s">
        <v>192</v>
      </c>
      <c r="K599" s="284"/>
      <c r="L599" s="103"/>
      <c r="M599" s="287"/>
      <c r="N599" s="290"/>
    </row>
    <row r="600" spans="1:15" ht="15" customHeight="1">
      <c r="A600" s="130" t="s">
        <v>656</v>
      </c>
      <c r="B600" s="130" t="s">
        <v>288</v>
      </c>
      <c r="C600" s="155">
        <v>44316</v>
      </c>
      <c r="D600" s="130">
        <v>58</v>
      </c>
      <c r="E600" s="130" t="s">
        <v>289</v>
      </c>
      <c r="F600" s="130" t="s">
        <v>287</v>
      </c>
      <c r="G600" s="130" t="s">
        <v>302</v>
      </c>
      <c r="H600" s="130">
        <v>966875</v>
      </c>
      <c r="I600" s="145">
        <v>44</v>
      </c>
      <c r="J600" s="129" t="s">
        <v>193</v>
      </c>
      <c r="K600" s="282">
        <v>50</v>
      </c>
      <c r="L600" s="103">
        <v>71.801000000000002</v>
      </c>
      <c r="M600" s="285">
        <f>K600-(L600+L601)</f>
        <v>-21.801000000000002</v>
      </c>
      <c r="N600" s="288">
        <f>(L600+L601)/K600</f>
        <v>1.4360200000000001</v>
      </c>
    </row>
    <row r="601" spans="1:15" ht="15" customHeight="1">
      <c r="A601" s="130" t="s">
        <v>656</v>
      </c>
      <c r="B601" s="130" t="s">
        <v>288</v>
      </c>
      <c r="C601" s="155">
        <v>44316</v>
      </c>
      <c r="D601" s="130">
        <v>58</v>
      </c>
      <c r="E601" s="130" t="s">
        <v>289</v>
      </c>
      <c r="F601" s="130" t="s">
        <v>287</v>
      </c>
      <c r="G601" s="130" t="s">
        <v>304</v>
      </c>
      <c r="H601" s="130">
        <v>958905</v>
      </c>
      <c r="I601" s="145">
        <v>44</v>
      </c>
      <c r="J601" s="129" t="s">
        <v>193</v>
      </c>
      <c r="K601" s="284"/>
      <c r="L601" s="103"/>
      <c r="M601" s="287"/>
      <c r="N601" s="290"/>
    </row>
    <row r="602" spans="1:15" ht="15" customHeight="1">
      <c r="A602" s="130" t="s">
        <v>532</v>
      </c>
      <c r="B602" s="130" t="s">
        <v>288</v>
      </c>
      <c r="C602" s="155">
        <v>44316</v>
      </c>
      <c r="D602" s="130">
        <v>1289</v>
      </c>
      <c r="E602" s="130" t="s">
        <v>294</v>
      </c>
      <c r="F602" s="130" t="s">
        <v>297</v>
      </c>
      <c r="G602" s="130" t="s">
        <v>608</v>
      </c>
      <c r="H602" s="130">
        <v>960952</v>
      </c>
      <c r="I602" s="145">
        <v>73</v>
      </c>
      <c r="J602" s="129" t="s">
        <v>192</v>
      </c>
      <c r="K602" s="282">
        <v>15</v>
      </c>
      <c r="L602" s="103">
        <v>162.67699999999999</v>
      </c>
      <c r="M602" s="285">
        <f>K602-(L602+L603)</f>
        <v>-147.67699999999999</v>
      </c>
      <c r="N602" s="288">
        <f>(L602+L603)/K602</f>
        <v>10.845133333333333</v>
      </c>
      <c r="O602" s="116">
        <f>M602+M604</f>
        <v>0.28999999999999204</v>
      </c>
    </row>
    <row r="603" spans="1:15" ht="15" customHeight="1">
      <c r="A603" s="130" t="s">
        <v>532</v>
      </c>
      <c r="B603" s="130" t="s">
        <v>288</v>
      </c>
      <c r="C603" s="155">
        <v>44316</v>
      </c>
      <c r="D603" s="130">
        <v>1289</v>
      </c>
      <c r="E603" s="130" t="s">
        <v>294</v>
      </c>
      <c r="F603" s="130" t="s">
        <v>297</v>
      </c>
      <c r="G603" s="130" t="s">
        <v>658</v>
      </c>
      <c r="H603" s="130">
        <v>968671</v>
      </c>
      <c r="I603" s="145">
        <v>73</v>
      </c>
      <c r="J603" s="129" t="s">
        <v>192</v>
      </c>
      <c r="K603" s="284"/>
      <c r="L603" s="103"/>
      <c r="M603" s="287"/>
      <c r="N603" s="290"/>
    </row>
    <row r="604" spans="1:15">
      <c r="A604" s="130" t="s">
        <v>532</v>
      </c>
      <c r="B604" s="130" t="s">
        <v>288</v>
      </c>
      <c r="C604" s="155">
        <v>44316</v>
      </c>
      <c r="D604" s="130">
        <v>1289</v>
      </c>
      <c r="E604" s="130" t="s">
        <v>294</v>
      </c>
      <c r="F604" s="130" t="s">
        <v>297</v>
      </c>
      <c r="G604" s="130" t="s">
        <v>608</v>
      </c>
      <c r="H604" s="130">
        <v>960952</v>
      </c>
      <c r="I604" s="145">
        <v>73</v>
      </c>
      <c r="J604" s="129" t="s">
        <v>193</v>
      </c>
      <c r="K604" s="282">
        <v>275</v>
      </c>
      <c r="L604" s="103">
        <v>127.033</v>
      </c>
      <c r="M604" s="285">
        <f>K604-(L604+L605)</f>
        <v>147.96699999999998</v>
      </c>
      <c r="N604" s="288">
        <f>(L604+L605)/K604</f>
        <v>0.4619381818181818</v>
      </c>
    </row>
    <row r="605" spans="1:15">
      <c r="A605" s="130" t="s">
        <v>532</v>
      </c>
      <c r="B605" s="130" t="s">
        <v>288</v>
      </c>
      <c r="C605" s="155">
        <v>44316</v>
      </c>
      <c r="D605" s="130">
        <v>1289</v>
      </c>
      <c r="E605" s="130" t="s">
        <v>294</v>
      </c>
      <c r="F605" s="130" t="s">
        <v>297</v>
      </c>
      <c r="G605" s="130" t="s">
        <v>658</v>
      </c>
      <c r="H605" s="130">
        <v>968671</v>
      </c>
      <c r="I605" s="145">
        <v>73</v>
      </c>
      <c r="J605" s="129" t="s">
        <v>193</v>
      </c>
      <c r="K605" s="284"/>
      <c r="L605" s="103"/>
      <c r="M605" s="287"/>
      <c r="N605" s="290"/>
    </row>
    <row r="606" spans="1:15" ht="15" customHeight="1">
      <c r="A606" s="130" t="s">
        <v>532</v>
      </c>
      <c r="B606" s="130" t="s">
        <v>288</v>
      </c>
      <c r="C606" s="155">
        <v>44316</v>
      </c>
      <c r="D606" s="130">
        <v>1289</v>
      </c>
      <c r="E606" s="130" t="s">
        <v>294</v>
      </c>
      <c r="F606" s="130" t="s">
        <v>297</v>
      </c>
      <c r="G606" s="130" t="s">
        <v>466</v>
      </c>
      <c r="H606" s="130">
        <v>960538</v>
      </c>
      <c r="I606" s="145">
        <v>74</v>
      </c>
      <c r="J606" s="129" t="s">
        <v>192</v>
      </c>
      <c r="K606" s="282">
        <v>16</v>
      </c>
      <c r="L606" s="103">
        <v>144.39400000000001</v>
      </c>
      <c r="M606" s="285">
        <f>K606-(L606+L607+L608)</f>
        <v>-252.32</v>
      </c>
      <c r="N606" s="288">
        <f>(L606+L607+L608)/K606</f>
        <v>16.77</v>
      </c>
      <c r="O606" s="116">
        <f>M606+M609</f>
        <v>0</v>
      </c>
    </row>
    <row r="607" spans="1:15" ht="15" customHeight="1">
      <c r="A607" s="130" t="s">
        <v>532</v>
      </c>
      <c r="B607" s="130" t="s">
        <v>288</v>
      </c>
      <c r="C607" s="155">
        <v>44316</v>
      </c>
      <c r="D607" s="130">
        <v>1289</v>
      </c>
      <c r="E607" s="130" t="s">
        <v>294</v>
      </c>
      <c r="F607" s="130" t="s">
        <v>297</v>
      </c>
      <c r="G607" s="130" t="s">
        <v>468</v>
      </c>
      <c r="H607" s="130">
        <v>967898</v>
      </c>
      <c r="I607" s="145">
        <v>74</v>
      </c>
      <c r="J607" s="129" t="s">
        <v>192</v>
      </c>
      <c r="K607" s="283"/>
      <c r="L607" s="103">
        <v>123.926</v>
      </c>
      <c r="M607" s="286"/>
      <c r="N607" s="289"/>
    </row>
    <row r="608" spans="1:15" ht="15" customHeight="1">
      <c r="A608" s="130" t="s">
        <v>532</v>
      </c>
      <c r="B608" s="130" t="s">
        <v>288</v>
      </c>
      <c r="C608" s="155">
        <v>44316</v>
      </c>
      <c r="D608" s="130">
        <v>1289</v>
      </c>
      <c r="E608" s="130" t="s">
        <v>294</v>
      </c>
      <c r="F608" s="130" t="s">
        <v>297</v>
      </c>
      <c r="G608" s="130" t="s">
        <v>467</v>
      </c>
      <c r="H608" s="130">
        <v>960539</v>
      </c>
      <c r="I608" s="145">
        <v>74</v>
      </c>
      <c r="J608" s="129" t="s">
        <v>192</v>
      </c>
      <c r="K608" s="284"/>
      <c r="L608" s="103"/>
      <c r="M608" s="287"/>
      <c r="N608" s="290"/>
    </row>
    <row r="609" spans="1:15" ht="15" customHeight="1">
      <c r="A609" s="130" t="s">
        <v>532</v>
      </c>
      <c r="B609" s="130" t="s">
        <v>288</v>
      </c>
      <c r="C609" s="155">
        <v>44316</v>
      </c>
      <c r="D609" s="130">
        <v>1289</v>
      </c>
      <c r="E609" s="130" t="s">
        <v>294</v>
      </c>
      <c r="F609" s="130" t="s">
        <v>297</v>
      </c>
      <c r="G609" s="130" t="s">
        <v>466</v>
      </c>
      <c r="H609" s="130">
        <v>960538</v>
      </c>
      <c r="I609" s="145">
        <v>74</v>
      </c>
      <c r="J609" s="129" t="s">
        <v>193</v>
      </c>
      <c r="K609" s="282">
        <v>284</v>
      </c>
      <c r="L609" s="103"/>
      <c r="M609" s="285">
        <f>K609-(L609+L610+L611)</f>
        <v>252.32</v>
      </c>
      <c r="N609" s="288">
        <f>(L609+L610+L611)/K609</f>
        <v>0.11154929577464788</v>
      </c>
    </row>
    <row r="610" spans="1:15" ht="15" customHeight="1">
      <c r="A610" s="130" t="s">
        <v>532</v>
      </c>
      <c r="B610" s="130" t="s">
        <v>288</v>
      </c>
      <c r="C610" s="155">
        <v>44316</v>
      </c>
      <c r="D610" s="130">
        <v>1289</v>
      </c>
      <c r="E610" s="130" t="s">
        <v>294</v>
      </c>
      <c r="F610" s="130" t="s">
        <v>297</v>
      </c>
      <c r="G610" s="130" t="s">
        <v>468</v>
      </c>
      <c r="H610" s="130">
        <v>967898</v>
      </c>
      <c r="I610" s="145">
        <v>74</v>
      </c>
      <c r="J610" s="129" t="s">
        <v>193</v>
      </c>
      <c r="K610" s="283"/>
      <c r="L610" s="103">
        <v>31.68</v>
      </c>
      <c r="M610" s="286"/>
      <c r="N610" s="289"/>
    </row>
    <row r="611" spans="1:15" ht="15" customHeight="1">
      <c r="A611" s="130" t="s">
        <v>532</v>
      </c>
      <c r="B611" s="130" t="s">
        <v>288</v>
      </c>
      <c r="C611" s="155">
        <v>44316</v>
      </c>
      <c r="D611" s="130">
        <v>1289</v>
      </c>
      <c r="E611" s="130" t="s">
        <v>294</v>
      </c>
      <c r="F611" s="130" t="s">
        <v>297</v>
      </c>
      <c r="G611" s="130" t="s">
        <v>467</v>
      </c>
      <c r="H611" s="130">
        <v>960539</v>
      </c>
      <c r="I611" s="145">
        <v>74</v>
      </c>
      <c r="J611" s="129" t="s">
        <v>193</v>
      </c>
      <c r="K611" s="284"/>
      <c r="L611" s="103"/>
      <c r="M611" s="287"/>
      <c r="N611" s="290"/>
    </row>
    <row r="612" spans="1:15" ht="15" customHeight="1">
      <c r="A612" s="130" t="s">
        <v>532</v>
      </c>
      <c r="B612" s="130" t="s">
        <v>288</v>
      </c>
      <c r="C612" s="155">
        <v>44316</v>
      </c>
      <c r="D612" s="130">
        <v>1289</v>
      </c>
      <c r="E612" s="130" t="s">
        <v>294</v>
      </c>
      <c r="F612" s="130" t="s">
        <v>297</v>
      </c>
      <c r="G612" s="130" t="s">
        <v>384</v>
      </c>
      <c r="H612" s="130">
        <v>31015</v>
      </c>
      <c r="I612" s="145">
        <v>43</v>
      </c>
      <c r="J612" s="129" t="s">
        <v>192</v>
      </c>
      <c r="K612" s="282">
        <v>16</v>
      </c>
      <c r="L612" s="103"/>
      <c r="M612" s="285">
        <f>K612-(L612+L613+L614)</f>
        <v>16</v>
      </c>
      <c r="N612" s="288">
        <f>(L612+L613+L614)/K612</f>
        <v>0</v>
      </c>
    </row>
    <row r="613" spans="1:15" ht="15" customHeight="1">
      <c r="A613" s="130" t="s">
        <v>532</v>
      </c>
      <c r="B613" s="130" t="s">
        <v>288</v>
      </c>
      <c r="C613" s="155">
        <v>44316</v>
      </c>
      <c r="D613" s="130">
        <v>1289</v>
      </c>
      <c r="E613" s="130" t="s">
        <v>294</v>
      </c>
      <c r="F613" s="130" t="s">
        <v>297</v>
      </c>
      <c r="G613" s="130" t="s">
        <v>383</v>
      </c>
      <c r="H613" s="130">
        <v>968938</v>
      </c>
      <c r="I613" s="145">
        <v>43</v>
      </c>
      <c r="J613" s="129" t="s">
        <v>192</v>
      </c>
      <c r="K613" s="283"/>
      <c r="L613" s="103"/>
      <c r="M613" s="286"/>
      <c r="N613" s="289"/>
    </row>
    <row r="614" spans="1:15" ht="15" customHeight="1">
      <c r="A614" s="130" t="s">
        <v>532</v>
      </c>
      <c r="B614" s="130" t="s">
        <v>288</v>
      </c>
      <c r="C614" s="155">
        <v>44316</v>
      </c>
      <c r="D614" s="130">
        <v>1289</v>
      </c>
      <c r="E614" s="130" t="s">
        <v>294</v>
      </c>
      <c r="F614" s="130" t="s">
        <v>297</v>
      </c>
      <c r="G614" s="130" t="s">
        <v>387</v>
      </c>
      <c r="H614" s="130">
        <v>966410</v>
      </c>
      <c r="I614" s="145">
        <v>43</v>
      </c>
      <c r="J614" s="129" t="s">
        <v>192</v>
      </c>
      <c r="K614" s="284"/>
      <c r="L614" s="103"/>
      <c r="M614" s="287"/>
      <c r="N614" s="290"/>
    </row>
    <row r="615" spans="1:15" ht="15" customHeight="1">
      <c r="A615" s="130" t="s">
        <v>532</v>
      </c>
      <c r="B615" s="130" t="s">
        <v>288</v>
      </c>
      <c r="C615" s="155">
        <v>44316</v>
      </c>
      <c r="D615" s="130">
        <v>1289</v>
      </c>
      <c r="E615" s="130" t="s">
        <v>294</v>
      </c>
      <c r="F615" s="130" t="s">
        <v>297</v>
      </c>
      <c r="G615" s="130" t="s">
        <v>384</v>
      </c>
      <c r="H615" s="130">
        <v>31015</v>
      </c>
      <c r="I615" s="145">
        <v>43</v>
      </c>
      <c r="J615" s="129" t="s">
        <v>193</v>
      </c>
      <c r="K615" s="282">
        <v>284</v>
      </c>
      <c r="L615" s="103"/>
      <c r="M615" s="285">
        <f>K615-(L615+L616+L617)</f>
        <v>284</v>
      </c>
      <c r="N615" s="288">
        <f>(L615+L616+L617)/K615</f>
        <v>0</v>
      </c>
    </row>
    <row r="616" spans="1:15" ht="15" customHeight="1">
      <c r="A616" s="130" t="s">
        <v>532</v>
      </c>
      <c r="B616" s="130" t="s">
        <v>288</v>
      </c>
      <c r="C616" s="155">
        <v>44316</v>
      </c>
      <c r="D616" s="130">
        <v>1289</v>
      </c>
      <c r="E616" s="130" t="s">
        <v>294</v>
      </c>
      <c r="F616" s="130" t="s">
        <v>297</v>
      </c>
      <c r="G616" s="130" t="s">
        <v>383</v>
      </c>
      <c r="H616" s="130">
        <v>968938</v>
      </c>
      <c r="I616" s="145">
        <v>43</v>
      </c>
      <c r="J616" s="129" t="s">
        <v>193</v>
      </c>
      <c r="K616" s="283"/>
      <c r="L616" s="103"/>
      <c r="M616" s="286"/>
      <c r="N616" s="289"/>
    </row>
    <row r="617" spans="1:15" ht="15" customHeight="1">
      <c r="A617" s="130" t="s">
        <v>532</v>
      </c>
      <c r="B617" s="130" t="s">
        <v>288</v>
      </c>
      <c r="C617" s="155">
        <v>44316</v>
      </c>
      <c r="D617" s="130">
        <v>1289</v>
      </c>
      <c r="E617" s="130" t="s">
        <v>294</v>
      </c>
      <c r="F617" s="130" t="s">
        <v>297</v>
      </c>
      <c r="G617" s="130" t="s">
        <v>387</v>
      </c>
      <c r="H617" s="130">
        <v>966410</v>
      </c>
      <c r="I617" s="145">
        <v>43</v>
      </c>
      <c r="J617" s="129" t="s">
        <v>193</v>
      </c>
      <c r="K617" s="284"/>
      <c r="L617" s="103"/>
      <c r="M617" s="287"/>
      <c r="N617" s="290"/>
    </row>
    <row r="618" spans="1:15" ht="15" customHeight="1">
      <c r="A618" s="129" t="s">
        <v>372</v>
      </c>
      <c r="B618" s="129" t="s">
        <v>293</v>
      </c>
      <c r="C618" s="155">
        <v>44316</v>
      </c>
      <c r="D618" s="130">
        <v>1292</v>
      </c>
      <c r="E618" s="130" t="s">
        <v>294</v>
      </c>
      <c r="F618" s="130" t="s">
        <v>297</v>
      </c>
      <c r="G618" s="130" t="s">
        <v>371</v>
      </c>
      <c r="H618" s="130">
        <v>969173</v>
      </c>
      <c r="I618" s="145">
        <v>25</v>
      </c>
      <c r="J618" s="129" t="s">
        <v>192</v>
      </c>
      <c r="K618" s="127">
        <v>0</v>
      </c>
      <c r="L618" s="103">
        <v>39</v>
      </c>
      <c r="M618" s="128">
        <f t="shared" ref="M618:M619" si="173">K618-L618</f>
        <v>-39</v>
      </c>
      <c r="N618" s="94" t="e">
        <f t="shared" ref="N618:N619" si="174">L618/K618</f>
        <v>#DIV/0!</v>
      </c>
      <c r="O618" s="116">
        <f>M618+M619</f>
        <v>0</v>
      </c>
    </row>
    <row r="619" spans="1:15" ht="15" customHeight="1">
      <c r="A619" s="129" t="s">
        <v>372</v>
      </c>
      <c r="B619" s="129" t="s">
        <v>293</v>
      </c>
      <c r="C619" s="155">
        <v>44316</v>
      </c>
      <c r="D619" s="130">
        <v>1292</v>
      </c>
      <c r="E619" s="130" t="s">
        <v>294</v>
      </c>
      <c r="F619" s="130" t="s">
        <v>297</v>
      </c>
      <c r="G619" s="130" t="s">
        <v>371</v>
      </c>
      <c r="H619" s="130">
        <v>969173</v>
      </c>
      <c r="I619" s="145">
        <v>25</v>
      </c>
      <c r="J619" s="129" t="s">
        <v>193</v>
      </c>
      <c r="K619" s="127">
        <v>65.156999999999996</v>
      </c>
      <c r="L619" s="103">
        <v>26.157</v>
      </c>
      <c r="M619" s="128">
        <f t="shared" si="173"/>
        <v>39</v>
      </c>
      <c r="N619" s="94">
        <f t="shared" si="174"/>
        <v>0.40144573875408629</v>
      </c>
    </row>
    <row r="620" spans="1:15" ht="15" customHeight="1">
      <c r="A620" s="129" t="s">
        <v>372</v>
      </c>
      <c r="B620" s="129" t="s">
        <v>293</v>
      </c>
      <c r="C620" s="155">
        <v>44316</v>
      </c>
      <c r="D620" s="130">
        <v>1292</v>
      </c>
      <c r="E620" s="130" t="s">
        <v>294</v>
      </c>
      <c r="F620" s="130" t="s">
        <v>297</v>
      </c>
      <c r="G620" s="130" t="s">
        <v>469</v>
      </c>
      <c r="H620" s="130">
        <v>969362</v>
      </c>
      <c r="I620" s="145">
        <v>25</v>
      </c>
      <c r="J620" s="129" t="s">
        <v>192</v>
      </c>
      <c r="K620" s="127">
        <v>0</v>
      </c>
      <c r="L620" s="103">
        <v>39</v>
      </c>
      <c r="M620" s="128">
        <f t="shared" ref="M620:M645" si="175">K620-L620</f>
        <v>-39</v>
      </c>
      <c r="N620" s="94" t="e">
        <f t="shared" ref="N620:N645" si="176">L620/K620</f>
        <v>#DIV/0!</v>
      </c>
      <c r="O620" s="116">
        <f>M620+M621</f>
        <v>0</v>
      </c>
    </row>
    <row r="621" spans="1:15" ht="15" customHeight="1">
      <c r="A621" s="129" t="s">
        <v>372</v>
      </c>
      <c r="B621" s="129" t="s">
        <v>293</v>
      </c>
      <c r="C621" s="155">
        <v>44316</v>
      </c>
      <c r="D621" s="130">
        <v>1292</v>
      </c>
      <c r="E621" s="130" t="s">
        <v>294</v>
      </c>
      <c r="F621" s="130" t="s">
        <v>297</v>
      </c>
      <c r="G621" s="130" t="s">
        <v>469</v>
      </c>
      <c r="H621" s="130">
        <v>969362</v>
      </c>
      <c r="I621" s="145">
        <v>25</v>
      </c>
      <c r="J621" s="129" t="s">
        <v>193</v>
      </c>
      <c r="K621" s="127">
        <v>65.156999999999996</v>
      </c>
      <c r="L621" s="103">
        <v>26.157</v>
      </c>
      <c r="M621" s="128">
        <f t="shared" si="175"/>
        <v>39</v>
      </c>
      <c r="N621" s="94">
        <f t="shared" si="176"/>
        <v>0.40144573875408629</v>
      </c>
    </row>
    <row r="622" spans="1:15" ht="15" customHeight="1">
      <c r="A622" s="129" t="s">
        <v>372</v>
      </c>
      <c r="B622" s="129" t="s">
        <v>293</v>
      </c>
      <c r="C622" s="155">
        <v>44316</v>
      </c>
      <c r="D622" s="130">
        <v>1292</v>
      </c>
      <c r="E622" s="130" t="s">
        <v>294</v>
      </c>
      <c r="F622" s="130" t="s">
        <v>297</v>
      </c>
      <c r="G622" s="130" t="s">
        <v>471</v>
      </c>
      <c r="H622" s="130">
        <v>968132</v>
      </c>
      <c r="I622" s="145">
        <v>25</v>
      </c>
      <c r="J622" s="129" t="s">
        <v>192</v>
      </c>
      <c r="K622" s="127">
        <v>0</v>
      </c>
      <c r="L622" s="103">
        <v>39</v>
      </c>
      <c r="M622" s="128">
        <f t="shared" si="175"/>
        <v>-39</v>
      </c>
      <c r="N622" s="94" t="e">
        <f t="shared" si="176"/>
        <v>#DIV/0!</v>
      </c>
      <c r="O622" s="116">
        <f t="shared" ref="O622" si="177">M622+M623</f>
        <v>0</v>
      </c>
    </row>
    <row r="623" spans="1:15" ht="15" customHeight="1">
      <c r="A623" s="129" t="s">
        <v>372</v>
      </c>
      <c r="B623" s="129" t="s">
        <v>293</v>
      </c>
      <c r="C623" s="155">
        <v>44316</v>
      </c>
      <c r="D623" s="130">
        <v>1292</v>
      </c>
      <c r="E623" s="130" t="s">
        <v>294</v>
      </c>
      <c r="F623" s="130" t="s">
        <v>297</v>
      </c>
      <c r="G623" s="130" t="s">
        <v>471</v>
      </c>
      <c r="H623" s="130">
        <v>968132</v>
      </c>
      <c r="I623" s="145">
        <v>25</v>
      </c>
      <c r="J623" s="129" t="s">
        <v>193</v>
      </c>
      <c r="K623" s="127">
        <v>65.156999999999996</v>
      </c>
      <c r="L623" s="103">
        <v>26.157</v>
      </c>
      <c r="M623" s="128">
        <f t="shared" si="175"/>
        <v>39</v>
      </c>
      <c r="N623" s="94">
        <f t="shared" si="176"/>
        <v>0.40144573875408629</v>
      </c>
    </row>
    <row r="624" spans="1:15" ht="15" customHeight="1">
      <c r="A624" s="129" t="s">
        <v>372</v>
      </c>
      <c r="B624" s="129" t="s">
        <v>293</v>
      </c>
      <c r="C624" s="155">
        <v>44316</v>
      </c>
      <c r="D624" s="130">
        <v>1292</v>
      </c>
      <c r="E624" s="130" t="s">
        <v>294</v>
      </c>
      <c r="F624" s="130" t="s">
        <v>297</v>
      </c>
      <c r="G624" s="130" t="s">
        <v>470</v>
      </c>
      <c r="H624" s="130">
        <v>969074</v>
      </c>
      <c r="I624" s="145">
        <v>25</v>
      </c>
      <c r="J624" s="129" t="s">
        <v>192</v>
      </c>
      <c r="K624" s="127">
        <v>0</v>
      </c>
      <c r="L624" s="103">
        <v>39</v>
      </c>
      <c r="M624" s="128">
        <f t="shared" si="175"/>
        <v>-39</v>
      </c>
      <c r="N624" s="94" t="e">
        <f t="shared" si="176"/>
        <v>#DIV/0!</v>
      </c>
      <c r="O624" s="116">
        <f t="shared" ref="O624" si="178">M624+M625</f>
        <v>0</v>
      </c>
    </row>
    <row r="625" spans="1:15" ht="15" customHeight="1">
      <c r="A625" s="129" t="s">
        <v>372</v>
      </c>
      <c r="B625" s="129" t="s">
        <v>293</v>
      </c>
      <c r="C625" s="155">
        <v>44316</v>
      </c>
      <c r="D625" s="130">
        <v>1292</v>
      </c>
      <c r="E625" s="130" t="s">
        <v>294</v>
      </c>
      <c r="F625" s="130" t="s">
        <v>297</v>
      </c>
      <c r="G625" s="130" t="s">
        <v>470</v>
      </c>
      <c r="H625" s="130">
        <v>969074</v>
      </c>
      <c r="I625" s="145">
        <v>25</v>
      </c>
      <c r="J625" s="129" t="s">
        <v>193</v>
      </c>
      <c r="K625" s="127">
        <v>65.156999999999996</v>
      </c>
      <c r="L625" s="103">
        <v>26.157</v>
      </c>
      <c r="M625" s="128">
        <f t="shared" si="175"/>
        <v>39</v>
      </c>
      <c r="N625" s="94">
        <f t="shared" si="176"/>
        <v>0.40144573875408629</v>
      </c>
    </row>
    <row r="626" spans="1:15" ht="15" customHeight="1">
      <c r="A626" s="129" t="s">
        <v>372</v>
      </c>
      <c r="B626" s="129" t="s">
        <v>293</v>
      </c>
      <c r="C626" s="155">
        <v>44316</v>
      </c>
      <c r="D626" s="130">
        <v>1292</v>
      </c>
      <c r="E626" s="130" t="s">
        <v>294</v>
      </c>
      <c r="F626" s="130" t="s">
        <v>297</v>
      </c>
      <c r="G626" s="130" t="s">
        <v>385</v>
      </c>
      <c r="H626" s="130">
        <v>952004</v>
      </c>
      <c r="I626" s="145">
        <v>21</v>
      </c>
      <c r="J626" s="129" t="s">
        <v>192</v>
      </c>
      <c r="K626" s="127">
        <v>20</v>
      </c>
      <c r="L626" s="103"/>
      <c r="M626" s="128">
        <f t="shared" si="175"/>
        <v>20</v>
      </c>
      <c r="N626" s="94">
        <f t="shared" si="176"/>
        <v>0</v>
      </c>
      <c r="O626" s="116">
        <f t="shared" ref="O626" si="179">M626+M627</f>
        <v>50</v>
      </c>
    </row>
    <row r="627" spans="1:15" ht="15" customHeight="1">
      <c r="A627" s="129" t="s">
        <v>372</v>
      </c>
      <c r="B627" s="129" t="s">
        <v>293</v>
      </c>
      <c r="C627" s="155">
        <v>44316</v>
      </c>
      <c r="D627" s="130">
        <v>1292</v>
      </c>
      <c r="E627" s="130" t="s">
        <v>294</v>
      </c>
      <c r="F627" s="130" t="s">
        <v>297</v>
      </c>
      <c r="G627" s="130" t="s">
        <v>385</v>
      </c>
      <c r="H627" s="130">
        <v>952004</v>
      </c>
      <c r="I627" s="145">
        <v>21</v>
      </c>
      <c r="J627" s="129" t="s">
        <v>193</v>
      </c>
      <c r="K627" s="127">
        <v>30</v>
      </c>
      <c r="L627" s="103"/>
      <c r="M627" s="128">
        <f t="shared" si="175"/>
        <v>30</v>
      </c>
      <c r="N627" s="94">
        <f t="shared" si="176"/>
        <v>0</v>
      </c>
    </row>
    <row r="628" spans="1:15" ht="15" customHeight="1">
      <c r="A628" s="129" t="s">
        <v>372</v>
      </c>
      <c r="B628" s="129" t="s">
        <v>293</v>
      </c>
      <c r="C628" s="155">
        <v>44316</v>
      </c>
      <c r="D628" s="130">
        <v>1292</v>
      </c>
      <c r="E628" s="130" t="s">
        <v>294</v>
      </c>
      <c r="F628" s="130" t="s">
        <v>297</v>
      </c>
      <c r="G628" s="130" t="s">
        <v>374</v>
      </c>
      <c r="H628" s="130">
        <v>964054</v>
      </c>
      <c r="I628" s="145">
        <v>19</v>
      </c>
      <c r="J628" s="129" t="s">
        <v>192</v>
      </c>
      <c r="K628" s="127">
        <v>20</v>
      </c>
      <c r="L628" s="103"/>
      <c r="M628" s="128">
        <f t="shared" si="175"/>
        <v>20</v>
      </c>
      <c r="N628" s="94">
        <f t="shared" si="176"/>
        <v>0</v>
      </c>
      <c r="O628" s="116">
        <f t="shared" ref="O628" si="180">M628+M629</f>
        <v>50</v>
      </c>
    </row>
    <row r="629" spans="1:15" ht="15" customHeight="1">
      <c r="A629" s="129" t="s">
        <v>372</v>
      </c>
      <c r="B629" s="129" t="s">
        <v>293</v>
      </c>
      <c r="C629" s="155">
        <v>44316</v>
      </c>
      <c r="D629" s="130">
        <v>1292</v>
      </c>
      <c r="E629" s="130" t="s">
        <v>294</v>
      </c>
      <c r="F629" s="130" t="s">
        <v>297</v>
      </c>
      <c r="G629" s="130" t="s">
        <v>374</v>
      </c>
      <c r="H629" s="130">
        <v>964054</v>
      </c>
      <c r="I629" s="145">
        <v>19</v>
      </c>
      <c r="J629" s="129" t="s">
        <v>193</v>
      </c>
      <c r="K629" s="127">
        <v>30</v>
      </c>
      <c r="L629" s="103"/>
      <c r="M629" s="128">
        <f t="shared" si="175"/>
        <v>30</v>
      </c>
      <c r="N629" s="94">
        <f t="shared" si="176"/>
        <v>0</v>
      </c>
    </row>
    <row r="630" spans="1:15" ht="15" customHeight="1">
      <c r="A630" s="129" t="s">
        <v>372</v>
      </c>
      <c r="B630" s="129" t="s">
        <v>293</v>
      </c>
      <c r="C630" s="155">
        <v>44316</v>
      </c>
      <c r="D630" s="130">
        <v>1292</v>
      </c>
      <c r="E630" s="130" t="s">
        <v>294</v>
      </c>
      <c r="F630" s="130" t="s">
        <v>297</v>
      </c>
      <c r="G630" s="130" t="s">
        <v>387</v>
      </c>
      <c r="H630" s="130">
        <v>966410</v>
      </c>
      <c r="I630" s="145">
        <v>43</v>
      </c>
      <c r="J630" s="129" t="s">
        <v>192</v>
      </c>
      <c r="K630" s="127">
        <v>0</v>
      </c>
      <c r="L630" s="103"/>
      <c r="M630" s="128">
        <f t="shared" si="175"/>
        <v>0</v>
      </c>
      <c r="N630" s="94" t="e">
        <f t="shared" si="176"/>
        <v>#DIV/0!</v>
      </c>
      <c r="O630" s="116">
        <f t="shared" ref="O630" si="181">M630+M631</f>
        <v>34.088999999999999</v>
      </c>
    </row>
    <row r="631" spans="1:15" ht="15" customHeight="1">
      <c r="A631" s="129" t="s">
        <v>372</v>
      </c>
      <c r="B631" s="129" t="s">
        <v>293</v>
      </c>
      <c r="C631" s="155">
        <v>44316</v>
      </c>
      <c r="D631" s="130">
        <v>1292</v>
      </c>
      <c r="E631" s="130" t="s">
        <v>294</v>
      </c>
      <c r="F631" s="130" t="s">
        <v>297</v>
      </c>
      <c r="G631" s="130" t="s">
        <v>387</v>
      </c>
      <c r="H631" s="130">
        <v>966410</v>
      </c>
      <c r="I631" s="145">
        <v>43</v>
      </c>
      <c r="J631" s="129" t="s">
        <v>193</v>
      </c>
      <c r="K631" s="127">
        <v>56.311</v>
      </c>
      <c r="L631" s="103">
        <v>22.222000000000001</v>
      </c>
      <c r="M631" s="128">
        <f t="shared" si="175"/>
        <v>34.088999999999999</v>
      </c>
      <c r="N631" s="94">
        <f t="shared" si="176"/>
        <v>0.39462982365789989</v>
      </c>
    </row>
    <row r="632" spans="1:15" ht="15" customHeight="1">
      <c r="A632" s="129" t="s">
        <v>372</v>
      </c>
      <c r="B632" s="129" t="s">
        <v>293</v>
      </c>
      <c r="C632" s="155">
        <v>44316</v>
      </c>
      <c r="D632" s="130">
        <v>1292</v>
      </c>
      <c r="E632" s="130" t="s">
        <v>294</v>
      </c>
      <c r="F632" s="130" t="s">
        <v>297</v>
      </c>
      <c r="G632" s="130" t="s">
        <v>383</v>
      </c>
      <c r="H632" s="130">
        <v>968938</v>
      </c>
      <c r="I632" s="145">
        <v>43</v>
      </c>
      <c r="J632" s="129" t="s">
        <v>192</v>
      </c>
      <c r="K632" s="127">
        <v>0</v>
      </c>
      <c r="L632" s="103"/>
      <c r="M632" s="128">
        <f t="shared" si="175"/>
        <v>0</v>
      </c>
      <c r="N632" s="94" t="e">
        <f t="shared" si="176"/>
        <v>#DIV/0!</v>
      </c>
      <c r="O632" s="116">
        <f t="shared" ref="O632" si="182">M632+M633</f>
        <v>56.311</v>
      </c>
    </row>
    <row r="633" spans="1:15" ht="15" customHeight="1">
      <c r="A633" s="129" t="s">
        <v>372</v>
      </c>
      <c r="B633" s="129" t="s">
        <v>293</v>
      </c>
      <c r="C633" s="155">
        <v>44316</v>
      </c>
      <c r="D633" s="130">
        <v>1292</v>
      </c>
      <c r="E633" s="130" t="s">
        <v>294</v>
      </c>
      <c r="F633" s="130" t="s">
        <v>297</v>
      </c>
      <c r="G633" s="130" t="s">
        <v>383</v>
      </c>
      <c r="H633" s="130">
        <v>968938</v>
      </c>
      <c r="I633" s="145">
        <v>43</v>
      </c>
      <c r="J633" s="129" t="s">
        <v>193</v>
      </c>
      <c r="K633" s="127">
        <v>56.311</v>
      </c>
      <c r="L633" s="103"/>
      <c r="M633" s="128">
        <f t="shared" si="175"/>
        <v>56.311</v>
      </c>
      <c r="N633" s="94">
        <f t="shared" si="176"/>
        <v>0</v>
      </c>
    </row>
    <row r="634" spans="1:15" ht="15" customHeight="1">
      <c r="A634" s="129" t="s">
        <v>372</v>
      </c>
      <c r="B634" s="129" t="s">
        <v>293</v>
      </c>
      <c r="C634" s="155">
        <v>44316</v>
      </c>
      <c r="D634" s="130">
        <v>1292</v>
      </c>
      <c r="E634" s="130" t="s">
        <v>294</v>
      </c>
      <c r="F634" s="130" t="s">
        <v>297</v>
      </c>
      <c r="G634" s="130" t="s">
        <v>659</v>
      </c>
      <c r="H634" s="130">
        <v>697391</v>
      </c>
      <c r="I634" s="145">
        <v>53</v>
      </c>
      <c r="J634" s="129" t="s">
        <v>192</v>
      </c>
      <c r="K634" s="127">
        <v>20</v>
      </c>
      <c r="L634" s="103">
        <v>20</v>
      </c>
      <c r="M634" s="128">
        <f t="shared" si="175"/>
        <v>0</v>
      </c>
      <c r="N634" s="94">
        <f t="shared" si="176"/>
        <v>1</v>
      </c>
      <c r="O634" s="116">
        <f t="shared" ref="O634" si="183">M634+M635</f>
        <v>0</v>
      </c>
    </row>
    <row r="635" spans="1:15" ht="15" customHeight="1">
      <c r="A635" s="129" t="s">
        <v>372</v>
      </c>
      <c r="B635" s="129" t="s">
        <v>293</v>
      </c>
      <c r="C635" s="155">
        <v>44316</v>
      </c>
      <c r="D635" s="130">
        <v>1292</v>
      </c>
      <c r="E635" s="130" t="s">
        <v>294</v>
      </c>
      <c r="F635" s="130" t="s">
        <v>297</v>
      </c>
      <c r="G635" s="130" t="s">
        <v>659</v>
      </c>
      <c r="H635" s="130">
        <v>697391</v>
      </c>
      <c r="I635" s="145">
        <v>53</v>
      </c>
      <c r="J635" s="129" t="s">
        <v>193</v>
      </c>
      <c r="K635" s="127">
        <v>20</v>
      </c>
      <c r="L635" s="103">
        <v>20</v>
      </c>
      <c r="M635" s="128">
        <f t="shared" si="175"/>
        <v>0</v>
      </c>
      <c r="N635" s="94">
        <f t="shared" si="176"/>
        <v>1</v>
      </c>
    </row>
    <row r="636" spans="1:15" ht="15" customHeight="1">
      <c r="A636" s="129" t="s">
        <v>372</v>
      </c>
      <c r="B636" s="129" t="s">
        <v>293</v>
      </c>
      <c r="C636" s="155">
        <v>44316</v>
      </c>
      <c r="D636" s="130">
        <v>1292</v>
      </c>
      <c r="E636" s="130" t="s">
        <v>294</v>
      </c>
      <c r="F636" s="130" t="s">
        <v>297</v>
      </c>
      <c r="G636" s="130" t="s">
        <v>400</v>
      </c>
      <c r="H636" s="130">
        <v>967746</v>
      </c>
      <c r="I636" s="145">
        <v>69</v>
      </c>
      <c r="J636" s="129" t="s">
        <v>192</v>
      </c>
      <c r="K636" s="127">
        <v>25</v>
      </c>
      <c r="L636" s="103">
        <v>12.233000000000001</v>
      </c>
      <c r="M636" s="128">
        <f t="shared" si="175"/>
        <v>12.766999999999999</v>
      </c>
      <c r="N636" s="94">
        <f t="shared" si="176"/>
        <v>0.48932000000000003</v>
      </c>
      <c r="O636" s="116">
        <f t="shared" ref="O636" si="184">M636+M637</f>
        <v>0</v>
      </c>
    </row>
    <row r="637" spans="1:15" ht="15" customHeight="1">
      <c r="A637" s="129" t="s">
        <v>372</v>
      </c>
      <c r="B637" s="129" t="s">
        <v>293</v>
      </c>
      <c r="C637" s="155">
        <v>44316</v>
      </c>
      <c r="D637" s="130">
        <v>1292</v>
      </c>
      <c r="E637" s="130" t="s">
        <v>294</v>
      </c>
      <c r="F637" s="130" t="s">
        <v>297</v>
      </c>
      <c r="G637" s="130" t="s">
        <v>400</v>
      </c>
      <c r="H637" s="130">
        <v>967746</v>
      </c>
      <c r="I637" s="145">
        <v>69</v>
      </c>
      <c r="J637" s="129" t="s">
        <v>193</v>
      </c>
      <c r="K637" s="127">
        <v>48</v>
      </c>
      <c r="L637" s="103">
        <v>60.767000000000003</v>
      </c>
      <c r="M637" s="128">
        <f t="shared" si="175"/>
        <v>-12.767000000000003</v>
      </c>
      <c r="N637" s="94">
        <f t="shared" si="176"/>
        <v>1.2659791666666667</v>
      </c>
    </row>
    <row r="638" spans="1:15" ht="15" customHeight="1">
      <c r="A638" s="129" t="s">
        <v>372</v>
      </c>
      <c r="B638" s="129" t="s">
        <v>293</v>
      </c>
      <c r="C638" s="155">
        <v>44316</v>
      </c>
      <c r="D638" s="130">
        <v>1292</v>
      </c>
      <c r="E638" s="130" t="s">
        <v>294</v>
      </c>
      <c r="F638" s="130" t="s">
        <v>297</v>
      </c>
      <c r="G638" s="130" t="s">
        <v>382</v>
      </c>
      <c r="H638" s="130">
        <v>968281</v>
      </c>
      <c r="I638" s="145">
        <v>59</v>
      </c>
      <c r="J638" s="129" t="s">
        <v>192</v>
      </c>
      <c r="K638" s="127">
        <v>1</v>
      </c>
      <c r="L638" s="103"/>
      <c r="M638" s="128">
        <f t="shared" si="175"/>
        <v>1</v>
      </c>
      <c r="N638" s="94">
        <f t="shared" si="176"/>
        <v>0</v>
      </c>
      <c r="O638" s="116">
        <f t="shared" ref="O638" si="185">M638+M639</f>
        <v>23</v>
      </c>
    </row>
    <row r="639" spans="1:15" ht="15" customHeight="1">
      <c r="A639" s="129" t="s">
        <v>372</v>
      </c>
      <c r="B639" s="129" t="s">
        <v>293</v>
      </c>
      <c r="C639" s="155">
        <v>44316</v>
      </c>
      <c r="D639" s="130">
        <v>1292</v>
      </c>
      <c r="E639" s="130" t="s">
        <v>294</v>
      </c>
      <c r="F639" s="130" t="s">
        <v>297</v>
      </c>
      <c r="G639" s="130" t="s">
        <v>382</v>
      </c>
      <c r="H639" s="130">
        <v>968281</v>
      </c>
      <c r="I639" s="145">
        <v>59</v>
      </c>
      <c r="J639" s="129" t="s">
        <v>193</v>
      </c>
      <c r="K639" s="127">
        <v>22</v>
      </c>
      <c r="L639" s="103"/>
      <c r="M639" s="128">
        <f t="shared" si="175"/>
        <v>22</v>
      </c>
      <c r="N639" s="94">
        <f t="shared" si="176"/>
        <v>0</v>
      </c>
    </row>
    <row r="640" spans="1:15" ht="15" customHeight="1">
      <c r="A640" s="129" t="s">
        <v>372</v>
      </c>
      <c r="B640" s="129" t="s">
        <v>293</v>
      </c>
      <c r="C640" s="155">
        <v>44316</v>
      </c>
      <c r="D640" s="130">
        <v>1292</v>
      </c>
      <c r="E640" s="130" t="s">
        <v>294</v>
      </c>
      <c r="F640" s="130" t="s">
        <v>297</v>
      </c>
      <c r="G640" s="130" t="s">
        <v>388</v>
      </c>
      <c r="H640" s="130">
        <v>962641</v>
      </c>
      <c r="I640" s="145">
        <v>11</v>
      </c>
      <c r="J640" s="129" t="s">
        <v>192</v>
      </c>
      <c r="K640" s="127">
        <v>0</v>
      </c>
      <c r="L640" s="103"/>
      <c r="M640" s="128">
        <f t="shared" si="175"/>
        <v>0</v>
      </c>
      <c r="N640" s="94" t="e">
        <f t="shared" si="176"/>
        <v>#DIV/0!</v>
      </c>
      <c r="O640" s="116">
        <f t="shared" ref="O640" si="186">M640+M641</f>
        <v>22.85</v>
      </c>
    </row>
    <row r="641" spans="1:16" ht="15" customHeight="1">
      <c r="A641" s="129" t="s">
        <v>372</v>
      </c>
      <c r="B641" s="129" t="s">
        <v>293</v>
      </c>
      <c r="C641" s="155">
        <v>44316</v>
      </c>
      <c r="D641" s="130">
        <v>1292</v>
      </c>
      <c r="E641" s="130" t="s">
        <v>294</v>
      </c>
      <c r="F641" s="130" t="s">
        <v>297</v>
      </c>
      <c r="G641" s="130" t="s">
        <v>388</v>
      </c>
      <c r="H641" s="130">
        <v>962641</v>
      </c>
      <c r="I641" s="145">
        <v>11</v>
      </c>
      <c r="J641" s="129" t="s">
        <v>193</v>
      </c>
      <c r="K641" s="127">
        <v>40</v>
      </c>
      <c r="L641" s="103">
        <v>17.149999999999999</v>
      </c>
      <c r="M641" s="128">
        <f t="shared" si="175"/>
        <v>22.85</v>
      </c>
      <c r="N641" s="94">
        <f t="shared" si="176"/>
        <v>0.42874999999999996</v>
      </c>
    </row>
    <row r="642" spans="1:16" ht="15" customHeight="1">
      <c r="A642" s="129" t="s">
        <v>372</v>
      </c>
      <c r="B642" s="129" t="s">
        <v>293</v>
      </c>
      <c r="C642" s="155">
        <v>44316</v>
      </c>
      <c r="D642" s="130">
        <v>1292</v>
      </c>
      <c r="E642" s="130" t="s">
        <v>294</v>
      </c>
      <c r="F642" s="130" t="s">
        <v>297</v>
      </c>
      <c r="G642" s="130" t="s">
        <v>378</v>
      </c>
      <c r="H642" s="130">
        <v>962102</v>
      </c>
      <c r="I642" s="145">
        <v>68</v>
      </c>
      <c r="J642" s="129" t="s">
        <v>192</v>
      </c>
      <c r="K642" s="127">
        <v>0</v>
      </c>
      <c r="L642" s="103"/>
      <c r="M642" s="128">
        <f t="shared" si="175"/>
        <v>0</v>
      </c>
      <c r="N642" s="94" t="e">
        <f t="shared" si="176"/>
        <v>#DIV/0!</v>
      </c>
      <c r="O642" s="116">
        <f t="shared" ref="O642" si="187">M642+M643</f>
        <v>81.931000000000012</v>
      </c>
    </row>
    <row r="643" spans="1:16" ht="15" customHeight="1">
      <c r="A643" s="129" t="s">
        <v>372</v>
      </c>
      <c r="B643" s="129" t="s">
        <v>293</v>
      </c>
      <c r="C643" s="155">
        <v>44316</v>
      </c>
      <c r="D643" s="130">
        <v>1292</v>
      </c>
      <c r="E643" s="130" t="s">
        <v>294</v>
      </c>
      <c r="F643" s="130" t="s">
        <v>297</v>
      </c>
      <c r="G643" s="130" t="s">
        <v>378</v>
      </c>
      <c r="H643" s="130">
        <v>962102</v>
      </c>
      <c r="I643" s="145">
        <v>68</v>
      </c>
      <c r="J643" s="129" t="s">
        <v>193</v>
      </c>
      <c r="K643" s="127">
        <v>97.272000000000006</v>
      </c>
      <c r="L643" s="103">
        <v>15.340999999999999</v>
      </c>
      <c r="M643" s="128">
        <f t="shared" si="175"/>
        <v>81.931000000000012</v>
      </c>
      <c r="N643" s="94">
        <f t="shared" si="176"/>
        <v>0.15771239411135782</v>
      </c>
    </row>
    <row r="644" spans="1:16" ht="15" customHeight="1">
      <c r="A644" s="129" t="s">
        <v>372</v>
      </c>
      <c r="B644" s="129" t="s">
        <v>293</v>
      </c>
      <c r="C644" s="155">
        <v>44316</v>
      </c>
      <c r="D644" s="130">
        <v>1292</v>
      </c>
      <c r="E644" s="130" t="s">
        <v>294</v>
      </c>
      <c r="F644" s="130" t="s">
        <v>297</v>
      </c>
      <c r="G644" s="130" t="s">
        <v>373</v>
      </c>
      <c r="H644" s="130">
        <v>963875</v>
      </c>
      <c r="I644" s="145">
        <v>68</v>
      </c>
      <c r="J644" s="129" t="s">
        <v>192</v>
      </c>
      <c r="K644" s="127">
        <v>0</v>
      </c>
      <c r="L644" s="103"/>
      <c r="M644" s="128">
        <f t="shared" si="175"/>
        <v>0</v>
      </c>
      <c r="N644" s="94" t="e">
        <f t="shared" si="176"/>
        <v>#DIV/0!</v>
      </c>
      <c r="O644" s="116">
        <f t="shared" ref="O644" si="188">M644+M645</f>
        <v>97.272000000000006</v>
      </c>
    </row>
    <row r="645" spans="1:16" ht="15" customHeight="1">
      <c r="A645" s="129" t="s">
        <v>372</v>
      </c>
      <c r="B645" s="129" t="s">
        <v>293</v>
      </c>
      <c r="C645" s="155">
        <v>44316</v>
      </c>
      <c r="D645" s="130">
        <v>1292</v>
      </c>
      <c r="E645" s="130" t="s">
        <v>294</v>
      </c>
      <c r="F645" s="130" t="s">
        <v>297</v>
      </c>
      <c r="G645" s="130" t="s">
        <v>373</v>
      </c>
      <c r="H645" s="130">
        <v>963875</v>
      </c>
      <c r="I645" s="145">
        <v>68</v>
      </c>
      <c r="J645" s="129" t="s">
        <v>193</v>
      </c>
      <c r="K645" s="127">
        <v>97.272000000000006</v>
      </c>
      <c r="L645" s="103"/>
      <c r="M645" s="128">
        <f t="shared" si="175"/>
        <v>97.272000000000006</v>
      </c>
      <c r="N645" s="94">
        <f t="shared" si="176"/>
        <v>0</v>
      </c>
    </row>
    <row r="646" spans="1:16" ht="15" customHeight="1">
      <c r="A646" s="129" t="s">
        <v>408</v>
      </c>
      <c r="B646" s="129" t="s">
        <v>293</v>
      </c>
      <c r="C646" s="155">
        <v>44319</v>
      </c>
      <c r="D646" s="130">
        <v>1325</v>
      </c>
      <c r="E646" s="130" t="s">
        <v>294</v>
      </c>
      <c r="F646" s="130" t="s">
        <v>297</v>
      </c>
      <c r="G646" s="130" t="s">
        <v>660</v>
      </c>
      <c r="H646" s="130">
        <v>697641</v>
      </c>
      <c r="I646" s="145">
        <v>64</v>
      </c>
      <c r="J646" s="129" t="s">
        <v>193</v>
      </c>
      <c r="K646" s="127">
        <v>72.63</v>
      </c>
      <c r="L646" s="103">
        <v>83.301000000000002</v>
      </c>
      <c r="M646" s="128">
        <f t="shared" ref="M646" si="189">K646-L646</f>
        <v>-10.671000000000006</v>
      </c>
      <c r="N646" s="94">
        <f t="shared" ref="N646" si="190">L646/K646</f>
        <v>1.1469227591904172</v>
      </c>
      <c r="O646" s="214">
        <f>M646</f>
        <v>-10.671000000000006</v>
      </c>
      <c r="P646" s="213" t="s">
        <v>763</v>
      </c>
    </row>
    <row r="647" spans="1:16" ht="15" customHeight="1">
      <c r="A647" s="130" t="s">
        <v>296</v>
      </c>
      <c r="B647" s="130" t="s">
        <v>288</v>
      </c>
      <c r="C647" s="155">
        <v>44319</v>
      </c>
      <c r="D647" s="130">
        <v>1314</v>
      </c>
      <c r="E647" s="130" t="s">
        <v>294</v>
      </c>
      <c r="F647" s="130" t="s">
        <v>297</v>
      </c>
      <c r="G647" s="130" t="s">
        <v>661</v>
      </c>
      <c r="H647" s="130">
        <v>926064</v>
      </c>
      <c r="I647" s="145">
        <v>17</v>
      </c>
      <c r="J647" s="129" t="s">
        <v>192</v>
      </c>
      <c r="K647" s="282">
        <v>550</v>
      </c>
      <c r="L647" s="103"/>
      <c r="M647" s="285">
        <f>K647-(L647+L648)</f>
        <v>550</v>
      </c>
      <c r="N647" s="288">
        <f>(L647+L648)/K647</f>
        <v>0</v>
      </c>
    </row>
    <row r="648" spans="1:16" ht="15" customHeight="1">
      <c r="A648" s="130" t="s">
        <v>296</v>
      </c>
      <c r="B648" s="130" t="s">
        <v>288</v>
      </c>
      <c r="C648" s="155">
        <v>44319</v>
      </c>
      <c r="D648" s="130">
        <v>1314</v>
      </c>
      <c r="E648" s="130" t="s">
        <v>294</v>
      </c>
      <c r="F648" s="130" t="s">
        <v>297</v>
      </c>
      <c r="G648" s="130" t="s">
        <v>662</v>
      </c>
      <c r="H648" s="130">
        <v>913373</v>
      </c>
      <c r="I648" s="145">
        <v>17</v>
      </c>
      <c r="J648" s="129" t="s">
        <v>192</v>
      </c>
      <c r="K648" s="284"/>
      <c r="L648" s="103"/>
      <c r="M648" s="287"/>
      <c r="N648" s="290"/>
    </row>
    <row r="649" spans="1:16" ht="15" customHeight="1">
      <c r="A649" s="130" t="s">
        <v>296</v>
      </c>
      <c r="B649" s="130" t="s">
        <v>288</v>
      </c>
      <c r="C649" s="155">
        <v>44319</v>
      </c>
      <c r="D649" s="130">
        <v>1314</v>
      </c>
      <c r="E649" s="130" t="s">
        <v>294</v>
      </c>
      <c r="F649" s="130" t="s">
        <v>297</v>
      </c>
      <c r="G649" s="130" t="s">
        <v>661</v>
      </c>
      <c r="H649" s="130">
        <v>926064</v>
      </c>
      <c r="I649" s="145">
        <v>17</v>
      </c>
      <c r="J649" s="129" t="s">
        <v>193</v>
      </c>
      <c r="K649" s="282">
        <v>450</v>
      </c>
      <c r="L649" s="103"/>
      <c r="M649" s="285">
        <f>K649-(L649+L650)</f>
        <v>450</v>
      </c>
      <c r="N649" s="288">
        <f>(L649+L650)/K649</f>
        <v>0</v>
      </c>
    </row>
    <row r="650" spans="1:16" ht="15" customHeight="1">
      <c r="A650" s="130" t="s">
        <v>296</v>
      </c>
      <c r="B650" s="130" t="s">
        <v>288</v>
      </c>
      <c r="C650" s="155">
        <v>44319</v>
      </c>
      <c r="D650" s="130">
        <v>1314</v>
      </c>
      <c r="E650" s="130" t="s">
        <v>294</v>
      </c>
      <c r="F650" s="130" t="s">
        <v>297</v>
      </c>
      <c r="G650" s="130" t="s">
        <v>662</v>
      </c>
      <c r="H650" s="130">
        <v>913373</v>
      </c>
      <c r="I650" s="145">
        <v>17</v>
      </c>
      <c r="J650" s="129" t="s">
        <v>193</v>
      </c>
      <c r="K650" s="284"/>
      <c r="L650" s="103"/>
      <c r="M650" s="287"/>
      <c r="N650" s="290"/>
    </row>
    <row r="651" spans="1:16" ht="15" customHeight="1">
      <c r="A651" s="130" t="s">
        <v>296</v>
      </c>
      <c r="B651" s="130" t="s">
        <v>288</v>
      </c>
      <c r="C651" s="155">
        <v>44319</v>
      </c>
      <c r="D651" s="130">
        <v>1315</v>
      </c>
      <c r="E651" s="130" t="s">
        <v>294</v>
      </c>
      <c r="F651" s="130" t="s">
        <v>297</v>
      </c>
      <c r="G651" s="129" t="s">
        <v>504</v>
      </c>
      <c r="H651" s="129">
        <v>968423</v>
      </c>
      <c r="I651" s="109">
        <v>77</v>
      </c>
      <c r="J651" s="129" t="s">
        <v>192</v>
      </c>
      <c r="K651" s="282">
        <v>290</v>
      </c>
      <c r="L651" s="103">
        <v>200.66200000000001</v>
      </c>
      <c r="M651" s="285">
        <f>K651-(L651+L652+L653)</f>
        <v>-80.096000000000004</v>
      </c>
      <c r="N651" s="288">
        <f>(L651+L652+L653)/K651</f>
        <v>1.2761931034482759</v>
      </c>
      <c r="O651" s="214">
        <f>M651+M654</f>
        <v>-2.0000000000095497E-3</v>
      </c>
      <c r="P651" s="213" t="s">
        <v>764</v>
      </c>
    </row>
    <row r="652" spans="1:16" ht="15" customHeight="1">
      <c r="A652" s="130" t="s">
        <v>296</v>
      </c>
      <c r="B652" s="130" t="s">
        <v>288</v>
      </c>
      <c r="C652" s="155">
        <v>44319</v>
      </c>
      <c r="D652" s="130">
        <v>1315</v>
      </c>
      <c r="E652" s="130" t="s">
        <v>294</v>
      </c>
      <c r="F652" s="130" t="s">
        <v>297</v>
      </c>
      <c r="G652" s="129" t="s">
        <v>505</v>
      </c>
      <c r="H652" s="129">
        <v>969431</v>
      </c>
      <c r="I652" s="109">
        <v>77</v>
      </c>
      <c r="J652" s="129" t="s">
        <v>192</v>
      </c>
      <c r="K652" s="283"/>
      <c r="L652" s="103"/>
      <c r="M652" s="286"/>
      <c r="N652" s="289"/>
    </row>
    <row r="653" spans="1:16" ht="15" customHeight="1">
      <c r="A653" s="130" t="s">
        <v>296</v>
      </c>
      <c r="B653" s="130" t="s">
        <v>288</v>
      </c>
      <c r="C653" s="155">
        <v>44319</v>
      </c>
      <c r="D653" s="130">
        <v>1315</v>
      </c>
      <c r="E653" s="130" t="s">
        <v>294</v>
      </c>
      <c r="F653" s="130" t="s">
        <v>297</v>
      </c>
      <c r="G653" s="129" t="s">
        <v>506</v>
      </c>
      <c r="H653" s="129">
        <v>967692</v>
      </c>
      <c r="I653" s="109">
        <v>77</v>
      </c>
      <c r="J653" s="129" t="s">
        <v>192</v>
      </c>
      <c r="K653" s="284"/>
      <c r="L653" s="103">
        <v>169.434</v>
      </c>
      <c r="M653" s="287"/>
      <c r="N653" s="290"/>
    </row>
    <row r="654" spans="1:16" ht="15" customHeight="1">
      <c r="A654" s="130" t="s">
        <v>296</v>
      </c>
      <c r="B654" s="130" t="s">
        <v>288</v>
      </c>
      <c r="C654" s="155">
        <v>44319</v>
      </c>
      <c r="D654" s="130">
        <v>1315</v>
      </c>
      <c r="E654" s="130" t="s">
        <v>294</v>
      </c>
      <c r="F654" s="130" t="s">
        <v>297</v>
      </c>
      <c r="G654" s="129" t="s">
        <v>504</v>
      </c>
      <c r="H654" s="129">
        <v>968423</v>
      </c>
      <c r="I654" s="109">
        <v>77</v>
      </c>
      <c r="J654" s="129" t="s">
        <v>193</v>
      </c>
      <c r="K654" s="282">
        <v>200</v>
      </c>
      <c r="L654" s="103">
        <v>46.819000000000003</v>
      </c>
      <c r="M654" s="285">
        <f>K654-(L654+L655+L656)</f>
        <v>80.093999999999994</v>
      </c>
      <c r="N654" s="288">
        <f>(L654+L655+L656)/K654</f>
        <v>0.59953000000000001</v>
      </c>
    </row>
    <row r="655" spans="1:16" ht="15" customHeight="1">
      <c r="A655" s="130" t="s">
        <v>296</v>
      </c>
      <c r="B655" s="130" t="s">
        <v>288</v>
      </c>
      <c r="C655" s="155">
        <v>44319</v>
      </c>
      <c r="D655" s="130">
        <v>1315</v>
      </c>
      <c r="E655" s="130" t="s">
        <v>294</v>
      </c>
      <c r="F655" s="130" t="s">
        <v>297</v>
      </c>
      <c r="G655" s="129" t="s">
        <v>505</v>
      </c>
      <c r="H655" s="129">
        <v>969431</v>
      </c>
      <c r="I655" s="109">
        <v>77</v>
      </c>
      <c r="J655" s="129" t="s">
        <v>193</v>
      </c>
      <c r="K655" s="283"/>
      <c r="L655" s="103"/>
      <c r="M655" s="286"/>
      <c r="N655" s="289"/>
    </row>
    <row r="656" spans="1:16" ht="15" customHeight="1">
      <c r="A656" s="130" t="s">
        <v>296</v>
      </c>
      <c r="B656" s="130" t="s">
        <v>288</v>
      </c>
      <c r="C656" s="155">
        <v>44319</v>
      </c>
      <c r="D656" s="130">
        <v>1315</v>
      </c>
      <c r="E656" s="130" t="s">
        <v>294</v>
      </c>
      <c r="F656" s="130" t="s">
        <v>297</v>
      </c>
      <c r="G656" s="129" t="s">
        <v>506</v>
      </c>
      <c r="H656" s="129">
        <v>967692</v>
      </c>
      <c r="I656" s="109">
        <v>77</v>
      </c>
      <c r="J656" s="129" t="s">
        <v>193</v>
      </c>
      <c r="K656" s="284"/>
      <c r="L656" s="103">
        <v>73.087000000000003</v>
      </c>
      <c r="M656" s="287"/>
      <c r="N656" s="290"/>
    </row>
    <row r="657" spans="1:16" ht="15" customHeight="1">
      <c r="A657" s="130" t="s">
        <v>392</v>
      </c>
      <c r="B657" s="130" t="s">
        <v>293</v>
      </c>
      <c r="C657" s="155">
        <v>44319</v>
      </c>
      <c r="D657" s="130">
        <v>1317</v>
      </c>
      <c r="E657" s="130" t="s">
        <v>294</v>
      </c>
      <c r="F657" s="130" t="s">
        <v>297</v>
      </c>
      <c r="G657" s="130" t="s">
        <v>616</v>
      </c>
      <c r="H657" s="130">
        <v>968675</v>
      </c>
      <c r="I657" s="145">
        <v>12</v>
      </c>
      <c r="J657" s="129" t="s">
        <v>193</v>
      </c>
      <c r="K657" s="127">
        <v>86.088999999999999</v>
      </c>
      <c r="L657" s="103">
        <v>92.622</v>
      </c>
      <c r="M657" s="128">
        <f t="shared" ref="M657:M660" si="191">K657-L657</f>
        <v>-6.5330000000000013</v>
      </c>
      <c r="N657" s="94">
        <f t="shared" ref="N657:N660" si="192">L657/K657</f>
        <v>1.0758865824902137</v>
      </c>
      <c r="O657" s="209">
        <f>M657</f>
        <v>-6.5330000000000013</v>
      </c>
      <c r="P657" s="90" t="s">
        <v>765</v>
      </c>
    </row>
    <row r="658" spans="1:16" ht="15" customHeight="1">
      <c r="A658" s="130" t="s">
        <v>412</v>
      </c>
      <c r="B658" s="130" t="s">
        <v>293</v>
      </c>
      <c r="C658" s="155">
        <v>44319</v>
      </c>
      <c r="D658" s="130">
        <v>1319</v>
      </c>
      <c r="E658" s="130" t="s">
        <v>294</v>
      </c>
      <c r="F658" s="130" t="s">
        <v>297</v>
      </c>
      <c r="G658" s="130" t="s">
        <v>660</v>
      </c>
      <c r="H658" s="130">
        <v>697641</v>
      </c>
      <c r="I658" s="145">
        <v>64</v>
      </c>
      <c r="J658" s="129" t="s">
        <v>193</v>
      </c>
      <c r="K658" s="127">
        <v>29.238</v>
      </c>
      <c r="L658" s="103">
        <v>29.238</v>
      </c>
      <c r="M658" s="128">
        <f t="shared" si="191"/>
        <v>0</v>
      </c>
      <c r="N658" s="94">
        <f t="shared" si="192"/>
        <v>1</v>
      </c>
    </row>
    <row r="659" spans="1:16" ht="15" customHeight="1">
      <c r="A659" s="129" t="s">
        <v>372</v>
      </c>
      <c r="B659" s="129" t="s">
        <v>293</v>
      </c>
      <c r="C659" s="155">
        <v>44319</v>
      </c>
      <c r="D659" s="130">
        <v>1324</v>
      </c>
      <c r="E659" s="130" t="s">
        <v>294</v>
      </c>
      <c r="F659" s="130" t="s">
        <v>297</v>
      </c>
      <c r="G659" s="129" t="s">
        <v>399</v>
      </c>
      <c r="H659" s="109">
        <v>959982</v>
      </c>
      <c r="I659" s="109">
        <v>27</v>
      </c>
      <c r="J659" s="129" t="s">
        <v>192</v>
      </c>
      <c r="K659" s="127">
        <v>0</v>
      </c>
      <c r="L659" s="103"/>
      <c r="M659" s="128">
        <f t="shared" si="191"/>
        <v>0</v>
      </c>
      <c r="N659" s="94" t="e">
        <f t="shared" si="192"/>
        <v>#DIV/0!</v>
      </c>
    </row>
    <row r="660" spans="1:16" ht="15" customHeight="1">
      <c r="A660" s="129" t="s">
        <v>372</v>
      </c>
      <c r="B660" s="129" t="s">
        <v>293</v>
      </c>
      <c r="C660" s="155">
        <v>44319</v>
      </c>
      <c r="D660" s="130">
        <v>1324</v>
      </c>
      <c r="E660" s="130" t="s">
        <v>294</v>
      </c>
      <c r="F660" s="130" t="s">
        <v>297</v>
      </c>
      <c r="G660" s="129" t="s">
        <v>399</v>
      </c>
      <c r="H660" s="109">
        <v>959982</v>
      </c>
      <c r="I660" s="109">
        <v>27</v>
      </c>
      <c r="J660" s="129" t="s">
        <v>193</v>
      </c>
      <c r="K660" s="127">
        <v>162.541</v>
      </c>
      <c r="L660" s="103">
        <v>29.826000000000001</v>
      </c>
      <c r="M660" s="128">
        <f t="shared" si="191"/>
        <v>132.715</v>
      </c>
      <c r="N660" s="94">
        <f t="shared" si="192"/>
        <v>0.18349831734762306</v>
      </c>
    </row>
    <row r="661" spans="1:16" ht="15" customHeight="1">
      <c r="A661" s="129" t="s">
        <v>372</v>
      </c>
      <c r="B661" s="129" t="s">
        <v>293</v>
      </c>
      <c r="C661" s="155">
        <v>44319</v>
      </c>
      <c r="D661" s="130">
        <v>1324</v>
      </c>
      <c r="E661" s="130" t="s">
        <v>294</v>
      </c>
      <c r="F661" s="130" t="s">
        <v>297</v>
      </c>
      <c r="G661" s="130" t="s">
        <v>375</v>
      </c>
      <c r="H661" s="130">
        <v>960094</v>
      </c>
      <c r="I661" s="145">
        <v>70</v>
      </c>
      <c r="J661" s="129" t="s">
        <v>192</v>
      </c>
      <c r="K661" s="127">
        <v>10</v>
      </c>
      <c r="L661" s="103"/>
      <c r="M661" s="128">
        <f t="shared" ref="M661:M664" si="193">K661-L661</f>
        <v>10</v>
      </c>
      <c r="N661" s="94">
        <f t="shared" ref="N661:N664" si="194">L661/K661</f>
        <v>0</v>
      </c>
    </row>
    <row r="662" spans="1:16" ht="15" customHeight="1">
      <c r="A662" s="129" t="s">
        <v>372</v>
      </c>
      <c r="B662" s="129" t="s">
        <v>293</v>
      </c>
      <c r="C662" s="155">
        <v>44319</v>
      </c>
      <c r="D662" s="130">
        <v>1324</v>
      </c>
      <c r="E662" s="130" t="s">
        <v>294</v>
      </c>
      <c r="F662" s="130" t="s">
        <v>297</v>
      </c>
      <c r="G662" s="130" t="s">
        <v>375</v>
      </c>
      <c r="H662" s="130">
        <v>960094</v>
      </c>
      <c r="I662" s="145">
        <v>70</v>
      </c>
      <c r="J662" s="129" t="s">
        <v>193</v>
      </c>
      <c r="K662" s="127">
        <v>40</v>
      </c>
      <c r="L662" s="103"/>
      <c r="M662" s="128">
        <f t="shared" si="193"/>
        <v>40</v>
      </c>
      <c r="N662" s="94">
        <f t="shared" si="194"/>
        <v>0</v>
      </c>
    </row>
    <row r="663" spans="1:16" ht="15" customHeight="1">
      <c r="A663" s="129" t="s">
        <v>372</v>
      </c>
      <c r="B663" s="129" t="s">
        <v>293</v>
      </c>
      <c r="C663" s="155">
        <v>44319</v>
      </c>
      <c r="D663" s="130">
        <v>1324</v>
      </c>
      <c r="E663" s="130" t="s">
        <v>294</v>
      </c>
      <c r="F663" s="130" t="s">
        <v>297</v>
      </c>
      <c r="G663" s="130" t="s">
        <v>386</v>
      </c>
      <c r="H663" s="130">
        <v>955516</v>
      </c>
      <c r="I663" s="145">
        <v>37</v>
      </c>
      <c r="J663" s="129" t="s">
        <v>192</v>
      </c>
      <c r="K663" s="127">
        <v>20</v>
      </c>
      <c r="L663" s="103">
        <v>20</v>
      </c>
      <c r="M663" s="128">
        <f t="shared" si="193"/>
        <v>0</v>
      </c>
      <c r="N663" s="94">
        <f t="shared" si="194"/>
        <v>1</v>
      </c>
    </row>
    <row r="664" spans="1:16" ht="15" customHeight="1">
      <c r="A664" s="129" t="s">
        <v>372</v>
      </c>
      <c r="B664" s="129" t="s">
        <v>293</v>
      </c>
      <c r="C664" s="155">
        <v>44319</v>
      </c>
      <c r="D664" s="130">
        <v>1324</v>
      </c>
      <c r="E664" s="130" t="s">
        <v>294</v>
      </c>
      <c r="F664" s="130" t="s">
        <v>297</v>
      </c>
      <c r="G664" s="130" t="s">
        <v>386</v>
      </c>
      <c r="H664" s="130">
        <v>955516</v>
      </c>
      <c r="I664" s="145">
        <v>37</v>
      </c>
      <c r="J664" s="129" t="s">
        <v>193</v>
      </c>
      <c r="K664" s="127">
        <v>30</v>
      </c>
      <c r="L664" s="103"/>
      <c r="M664" s="128">
        <f t="shared" si="193"/>
        <v>30</v>
      </c>
      <c r="N664" s="94">
        <f t="shared" si="194"/>
        <v>0</v>
      </c>
    </row>
    <row r="665" spans="1:16" ht="15" customHeight="1">
      <c r="A665" s="130" t="s">
        <v>665</v>
      </c>
      <c r="B665" s="130" t="s">
        <v>293</v>
      </c>
      <c r="C665" s="155">
        <v>44320</v>
      </c>
      <c r="D665" s="130">
        <v>1327</v>
      </c>
      <c r="E665" s="130" t="s">
        <v>294</v>
      </c>
      <c r="F665" s="130" t="s">
        <v>297</v>
      </c>
      <c r="G665" s="130" t="s">
        <v>295</v>
      </c>
      <c r="H665" s="130">
        <v>962795</v>
      </c>
      <c r="I665" s="145">
        <v>11</v>
      </c>
      <c r="J665" s="129" t="s">
        <v>192</v>
      </c>
      <c r="K665" s="127">
        <v>30</v>
      </c>
      <c r="L665" s="103">
        <v>105.17700000000001</v>
      </c>
      <c r="M665" s="128">
        <f t="shared" ref="M665:M666" si="195">K665-L665</f>
        <v>-75.177000000000007</v>
      </c>
      <c r="N665" s="94">
        <f t="shared" ref="N665:N666" si="196">L665/K665</f>
        <v>3.5059</v>
      </c>
      <c r="O665" s="116">
        <f>M665+M666</f>
        <v>0</v>
      </c>
    </row>
    <row r="666" spans="1:16" ht="15" customHeight="1">
      <c r="A666" s="130" t="s">
        <v>665</v>
      </c>
      <c r="B666" s="130" t="s">
        <v>293</v>
      </c>
      <c r="C666" s="155">
        <v>44320</v>
      </c>
      <c r="D666" s="130">
        <v>1327</v>
      </c>
      <c r="E666" s="130" t="s">
        <v>294</v>
      </c>
      <c r="F666" s="130" t="s">
        <v>297</v>
      </c>
      <c r="G666" s="130" t="s">
        <v>295</v>
      </c>
      <c r="H666" s="130">
        <v>962795</v>
      </c>
      <c r="I666" s="145">
        <v>11</v>
      </c>
      <c r="J666" s="129" t="s">
        <v>193</v>
      </c>
      <c r="K666" s="127">
        <v>80</v>
      </c>
      <c r="L666" s="103">
        <v>4.8230000000000004</v>
      </c>
      <c r="M666" s="128">
        <f t="shared" si="195"/>
        <v>75.176999999999992</v>
      </c>
      <c r="N666" s="94">
        <f t="shared" si="196"/>
        <v>6.0287500000000008E-2</v>
      </c>
    </row>
    <row r="667" spans="1:16" ht="15" customHeight="1">
      <c r="A667" s="130" t="s">
        <v>665</v>
      </c>
      <c r="B667" s="130" t="s">
        <v>293</v>
      </c>
      <c r="C667" s="155">
        <v>44320</v>
      </c>
      <c r="D667" s="130">
        <v>1327</v>
      </c>
      <c r="E667" s="130" t="s">
        <v>294</v>
      </c>
      <c r="F667" s="130" t="s">
        <v>297</v>
      </c>
      <c r="G667" s="130" t="s">
        <v>486</v>
      </c>
      <c r="H667" s="130">
        <v>960054</v>
      </c>
      <c r="I667" s="145">
        <v>26</v>
      </c>
      <c r="J667" s="129" t="s">
        <v>192</v>
      </c>
      <c r="K667" s="127">
        <v>30</v>
      </c>
      <c r="L667" s="103">
        <v>38.531999999999996</v>
      </c>
      <c r="M667" s="128">
        <f t="shared" ref="M667:M706" si="197">K667-L667</f>
        <v>-8.5319999999999965</v>
      </c>
      <c r="N667" s="94">
        <f t="shared" ref="N667:N706" si="198">L667/K667</f>
        <v>1.2844</v>
      </c>
      <c r="O667" s="116">
        <f>M667+M668</f>
        <v>20.480000000000004</v>
      </c>
    </row>
    <row r="668" spans="1:16" ht="15" customHeight="1">
      <c r="A668" s="130" t="s">
        <v>665</v>
      </c>
      <c r="B668" s="130" t="s">
        <v>293</v>
      </c>
      <c r="C668" s="155">
        <v>44320</v>
      </c>
      <c r="D668" s="130">
        <v>1327</v>
      </c>
      <c r="E668" s="130" t="s">
        <v>294</v>
      </c>
      <c r="F668" s="130" t="s">
        <v>297</v>
      </c>
      <c r="G668" s="130" t="s">
        <v>486</v>
      </c>
      <c r="H668" s="130">
        <v>960054</v>
      </c>
      <c r="I668" s="145">
        <v>26</v>
      </c>
      <c r="J668" s="129" t="s">
        <v>193</v>
      </c>
      <c r="K668" s="127">
        <v>70</v>
      </c>
      <c r="L668" s="103">
        <v>40.988</v>
      </c>
      <c r="M668" s="128">
        <f t="shared" si="197"/>
        <v>29.012</v>
      </c>
      <c r="N668" s="94">
        <f t="shared" si="198"/>
        <v>0.58554285714285714</v>
      </c>
    </row>
    <row r="669" spans="1:16" ht="15" customHeight="1">
      <c r="A669" s="130" t="s">
        <v>665</v>
      </c>
      <c r="B669" s="130" t="s">
        <v>293</v>
      </c>
      <c r="C669" s="155">
        <v>44320</v>
      </c>
      <c r="D669" s="130">
        <v>1327</v>
      </c>
      <c r="E669" s="130" t="s">
        <v>294</v>
      </c>
      <c r="F669" s="130" t="s">
        <v>297</v>
      </c>
      <c r="G669" s="130" t="s">
        <v>485</v>
      </c>
      <c r="H669" s="130">
        <v>924619</v>
      </c>
      <c r="I669" s="145">
        <v>8</v>
      </c>
      <c r="J669" s="129" t="s">
        <v>192</v>
      </c>
      <c r="K669" s="127">
        <v>30</v>
      </c>
      <c r="L669" s="103">
        <v>66.504999999999995</v>
      </c>
      <c r="M669" s="128">
        <f t="shared" si="197"/>
        <v>-36.504999999999995</v>
      </c>
      <c r="N669" s="94">
        <f t="shared" si="198"/>
        <v>2.2168333333333332</v>
      </c>
      <c r="O669" s="116">
        <f t="shared" ref="O669" si="199">M669+M670</f>
        <v>43.495000000000005</v>
      </c>
    </row>
    <row r="670" spans="1:16" ht="15" customHeight="1">
      <c r="A670" s="130" t="s">
        <v>665</v>
      </c>
      <c r="B670" s="130" t="s">
        <v>293</v>
      </c>
      <c r="C670" s="155">
        <v>44320</v>
      </c>
      <c r="D670" s="130">
        <v>1327</v>
      </c>
      <c r="E670" s="130" t="s">
        <v>294</v>
      </c>
      <c r="F670" s="130" t="s">
        <v>297</v>
      </c>
      <c r="G670" s="130" t="s">
        <v>485</v>
      </c>
      <c r="H670" s="130">
        <v>924619</v>
      </c>
      <c r="I670" s="145">
        <v>8</v>
      </c>
      <c r="J670" s="129" t="s">
        <v>193</v>
      </c>
      <c r="K670" s="127">
        <v>80</v>
      </c>
      <c r="L670" s="103"/>
      <c r="M670" s="128">
        <f t="shared" si="197"/>
        <v>80</v>
      </c>
      <c r="N670" s="94">
        <f t="shared" si="198"/>
        <v>0</v>
      </c>
    </row>
    <row r="671" spans="1:16" ht="15" customHeight="1">
      <c r="A671" s="130" t="s">
        <v>665</v>
      </c>
      <c r="B671" s="130" t="s">
        <v>293</v>
      </c>
      <c r="C671" s="155">
        <v>44320</v>
      </c>
      <c r="D671" s="130">
        <v>1327</v>
      </c>
      <c r="E671" s="130" t="s">
        <v>294</v>
      </c>
      <c r="F671" s="130" t="s">
        <v>297</v>
      </c>
      <c r="G671" s="130" t="s">
        <v>340</v>
      </c>
      <c r="H671" s="130">
        <v>966342</v>
      </c>
      <c r="I671" s="145">
        <v>55</v>
      </c>
      <c r="J671" s="129" t="s">
        <v>192</v>
      </c>
      <c r="K671" s="127">
        <v>30</v>
      </c>
      <c r="L671" s="103">
        <v>92.194000000000003</v>
      </c>
      <c r="M671" s="128">
        <f t="shared" si="197"/>
        <v>-62.194000000000003</v>
      </c>
      <c r="N671" s="94">
        <f t="shared" si="198"/>
        <v>3.0731333333333333</v>
      </c>
      <c r="O671" s="116">
        <f t="shared" ref="O671" si="200">M671+M672</f>
        <v>0</v>
      </c>
    </row>
    <row r="672" spans="1:16" ht="15" customHeight="1">
      <c r="A672" s="130" t="s">
        <v>665</v>
      </c>
      <c r="B672" s="130" t="s">
        <v>293</v>
      </c>
      <c r="C672" s="155">
        <v>44320</v>
      </c>
      <c r="D672" s="130">
        <v>1327</v>
      </c>
      <c r="E672" s="130" t="s">
        <v>294</v>
      </c>
      <c r="F672" s="130" t="s">
        <v>297</v>
      </c>
      <c r="G672" s="130" t="s">
        <v>340</v>
      </c>
      <c r="H672" s="130">
        <v>966342</v>
      </c>
      <c r="I672" s="145">
        <v>55</v>
      </c>
      <c r="J672" s="129" t="s">
        <v>193</v>
      </c>
      <c r="K672" s="127">
        <v>70</v>
      </c>
      <c r="L672" s="103">
        <v>7.806</v>
      </c>
      <c r="M672" s="128">
        <f t="shared" si="197"/>
        <v>62.194000000000003</v>
      </c>
      <c r="N672" s="94">
        <f t="shared" si="198"/>
        <v>0.11151428571428572</v>
      </c>
    </row>
    <row r="673" spans="1:15" ht="15" customHeight="1">
      <c r="A673" s="130" t="s">
        <v>665</v>
      </c>
      <c r="B673" s="130" t="s">
        <v>293</v>
      </c>
      <c r="C673" s="155">
        <v>44320</v>
      </c>
      <c r="D673" s="130">
        <v>1327</v>
      </c>
      <c r="E673" s="130" t="s">
        <v>294</v>
      </c>
      <c r="F673" s="130" t="s">
        <v>297</v>
      </c>
      <c r="G673" s="130" t="s">
        <v>553</v>
      </c>
      <c r="H673" s="130">
        <v>965002</v>
      </c>
      <c r="I673" s="145">
        <v>19</v>
      </c>
      <c r="J673" s="129" t="s">
        <v>192</v>
      </c>
      <c r="K673" s="127">
        <v>30</v>
      </c>
      <c r="L673" s="103">
        <v>75.355999999999995</v>
      </c>
      <c r="M673" s="128">
        <f t="shared" si="197"/>
        <v>-45.355999999999995</v>
      </c>
      <c r="N673" s="94">
        <f t="shared" si="198"/>
        <v>2.5118666666666667</v>
      </c>
      <c r="O673" s="116">
        <f t="shared" ref="O673" si="201">M673+M674</f>
        <v>31.125</v>
      </c>
    </row>
    <row r="674" spans="1:15" ht="15" customHeight="1">
      <c r="A674" s="130" t="s">
        <v>665</v>
      </c>
      <c r="B674" s="130" t="s">
        <v>293</v>
      </c>
      <c r="C674" s="155">
        <v>44320</v>
      </c>
      <c r="D674" s="130">
        <v>1327</v>
      </c>
      <c r="E674" s="130" t="s">
        <v>294</v>
      </c>
      <c r="F674" s="130" t="s">
        <v>297</v>
      </c>
      <c r="G674" s="130" t="s">
        <v>553</v>
      </c>
      <c r="H674" s="130">
        <v>965002</v>
      </c>
      <c r="I674" s="145">
        <v>19</v>
      </c>
      <c r="J674" s="129" t="s">
        <v>193</v>
      </c>
      <c r="K674" s="127">
        <v>80</v>
      </c>
      <c r="L674" s="103">
        <v>3.5190000000000001</v>
      </c>
      <c r="M674" s="128">
        <f t="shared" si="197"/>
        <v>76.480999999999995</v>
      </c>
      <c r="N674" s="94">
        <f t="shared" si="198"/>
        <v>4.3987499999999999E-2</v>
      </c>
    </row>
    <row r="675" spans="1:15" ht="15" customHeight="1">
      <c r="A675" s="130" t="s">
        <v>665</v>
      </c>
      <c r="B675" s="130" t="s">
        <v>293</v>
      </c>
      <c r="C675" s="155">
        <v>44320</v>
      </c>
      <c r="D675" s="130">
        <v>1327</v>
      </c>
      <c r="E675" s="130" t="s">
        <v>294</v>
      </c>
      <c r="F675" s="130" t="s">
        <v>297</v>
      </c>
      <c r="G675" s="130" t="s">
        <v>483</v>
      </c>
      <c r="H675" s="130">
        <v>967596</v>
      </c>
      <c r="I675" s="145">
        <v>7</v>
      </c>
      <c r="J675" s="129" t="s">
        <v>192</v>
      </c>
      <c r="K675" s="127">
        <v>30</v>
      </c>
      <c r="L675" s="103">
        <v>96</v>
      </c>
      <c r="M675" s="128">
        <f t="shared" si="197"/>
        <v>-66</v>
      </c>
      <c r="N675" s="94">
        <f t="shared" si="198"/>
        <v>3.2</v>
      </c>
      <c r="O675" s="116">
        <f t="shared" ref="O675" si="202">M675+M676</f>
        <v>2.6920000000000073</v>
      </c>
    </row>
    <row r="676" spans="1:15" ht="15" customHeight="1">
      <c r="A676" s="130" t="s">
        <v>665</v>
      </c>
      <c r="B676" s="130" t="s">
        <v>293</v>
      </c>
      <c r="C676" s="155">
        <v>44320</v>
      </c>
      <c r="D676" s="130">
        <v>1327</v>
      </c>
      <c r="E676" s="130" t="s">
        <v>294</v>
      </c>
      <c r="F676" s="130" t="s">
        <v>297</v>
      </c>
      <c r="G676" s="130" t="s">
        <v>483</v>
      </c>
      <c r="H676" s="130">
        <v>967596</v>
      </c>
      <c r="I676" s="145">
        <v>7</v>
      </c>
      <c r="J676" s="129" t="s">
        <v>193</v>
      </c>
      <c r="K676" s="127">
        <v>80</v>
      </c>
      <c r="L676" s="103">
        <v>11.308</v>
      </c>
      <c r="M676" s="128">
        <f t="shared" si="197"/>
        <v>68.692000000000007</v>
      </c>
      <c r="N676" s="94">
        <f t="shared" si="198"/>
        <v>0.14135</v>
      </c>
    </row>
    <row r="677" spans="1:15" ht="15" customHeight="1">
      <c r="A677" s="130" t="s">
        <v>665</v>
      </c>
      <c r="B677" s="130" t="s">
        <v>293</v>
      </c>
      <c r="C677" s="155">
        <v>44320</v>
      </c>
      <c r="D677" s="130">
        <v>1327</v>
      </c>
      <c r="E677" s="130" t="s">
        <v>294</v>
      </c>
      <c r="F677" s="130" t="s">
        <v>297</v>
      </c>
      <c r="G677" s="130" t="s">
        <v>666</v>
      </c>
      <c r="H677" s="130">
        <v>697625</v>
      </c>
      <c r="I677" s="145">
        <v>19</v>
      </c>
      <c r="J677" s="129" t="s">
        <v>192</v>
      </c>
      <c r="K677" s="127">
        <v>30</v>
      </c>
      <c r="L677" s="103">
        <v>95.5</v>
      </c>
      <c r="M677" s="128">
        <f t="shared" si="197"/>
        <v>-65.5</v>
      </c>
      <c r="N677" s="94">
        <f t="shared" si="198"/>
        <v>3.1833333333333331</v>
      </c>
      <c r="O677" s="116">
        <f t="shared" ref="O677" si="203">M677+M678</f>
        <v>4.5</v>
      </c>
    </row>
    <row r="678" spans="1:15" ht="15" customHeight="1">
      <c r="A678" s="130" t="s">
        <v>665</v>
      </c>
      <c r="B678" s="130" t="s">
        <v>293</v>
      </c>
      <c r="C678" s="155">
        <v>44320</v>
      </c>
      <c r="D678" s="130">
        <v>1327</v>
      </c>
      <c r="E678" s="130" t="s">
        <v>294</v>
      </c>
      <c r="F678" s="130" t="s">
        <v>297</v>
      </c>
      <c r="G678" s="130" t="s">
        <v>666</v>
      </c>
      <c r="H678" s="130">
        <v>697625</v>
      </c>
      <c r="I678" s="145">
        <v>19</v>
      </c>
      <c r="J678" s="129" t="s">
        <v>193</v>
      </c>
      <c r="K678" s="127">
        <v>70</v>
      </c>
      <c r="L678" s="103"/>
      <c r="M678" s="128">
        <f t="shared" si="197"/>
        <v>70</v>
      </c>
      <c r="N678" s="94">
        <f t="shared" si="198"/>
        <v>0</v>
      </c>
    </row>
    <row r="679" spans="1:15" ht="15" customHeight="1">
      <c r="A679" s="130" t="s">
        <v>665</v>
      </c>
      <c r="B679" s="130" t="s">
        <v>293</v>
      </c>
      <c r="C679" s="155">
        <v>44320</v>
      </c>
      <c r="D679" s="130">
        <v>1327</v>
      </c>
      <c r="E679" s="130" t="s">
        <v>294</v>
      </c>
      <c r="F679" s="130" t="s">
        <v>297</v>
      </c>
      <c r="G679" s="130" t="s">
        <v>487</v>
      </c>
      <c r="H679" s="130">
        <v>697261</v>
      </c>
      <c r="I679" s="145">
        <v>55</v>
      </c>
      <c r="J679" s="129" t="s">
        <v>192</v>
      </c>
      <c r="K679" s="127">
        <v>30</v>
      </c>
      <c r="L679" s="103">
        <v>5.5670000000000002</v>
      </c>
      <c r="M679" s="128">
        <f t="shared" si="197"/>
        <v>24.433</v>
      </c>
      <c r="N679" s="94">
        <f t="shared" si="198"/>
        <v>0.18556666666666669</v>
      </c>
      <c r="O679" s="116">
        <f t="shared" ref="O679" si="204">M679+M680</f>
        <v>93.38</v>
      </c>
    </row>
    <row r="680" spans="1:15" ht="15" customHeight="1">
      <c r="A680" s="130" t="s">
        <v>665</v>
      </c>
      <c r="B680" s="130" t="s">
        <v>293</v>
      </c>
      <c r="C680" s="155">
        <v>44320</v>
      </c>
      <c r="D680" s="130">
        <v>1327</v>
      </c>
      <c r="E680" s="130" t="s">
        <v>294</v>
      </c>
      <c r="F680" s="130" t="s">
        <v>297</v>
      </c>
      <c r="G680" s="130" t="s">
        <v>487</v>
      </c>
      <c r="H680" s="130">
        <v>697261</v>
      </c>
      <c r="I680" s="145">
        <v>55</v>
      </c>
      <c r="J680" s="129" t="s">
        <v>193</v>
      </c>
      <c r="K680" s="127">
        <v>70</v>
      </c>
      <c r="L680" s="103">
        <v>1.0529999999999999</v>
      </c>
      <c r="M680" s="128">
        <f t="shared" si="197"/>
        <v>68.947000000000003</v>
      </c>
      <c r="N680" s="94">
        <f t="shared" si="198"/>
        <v>1.5042857142857143E-2</v>
      </c>
    </row>
    <row r="681" spans="1:15" ht="15" customHeight="1">
      <c r="A681" s="130" t="s">
        <v>665</v>
      </c>
      <c r="B681" s="130" t="s">
        <v>293</v>
      </c>
      <c r="C681" s="155">
        <v>44320</v>
      </c>
      <c r="D681" s="130">
        <v>1327</v>
      </c>
      <c r="E681" s="130" t="s">
        <v>294</v>
      </c>
      <c r="F681" s="130" t="s">
        <v>297</v>
      </c>
      <c r="G681" s="130" t="s">
        <v>479</v>
      </c>
      <c r="H681" s="130">
        <v>951136</v>
      </c>
      <c r="I681" s="145">
        <v>55</v>
      </c>
      <c r="J681" s="129" t="s">
        <v>192</v>
      </c>
      <c r="K681" s="127">
        <v>30</v>
      </c>
      <c r="L681" s="103">
        <v>98.013999999999996</v>
      </c>
      <c r="M681" s="128">
        <f t="shared" si="197"/>
        <v>-68.013999999999996</v>
      </c>
      <c r="N681" s="94">
        <f t="shared" si="198"/>
        <v>3.2671333333333332</v>
      </c>
      <c r="O681" s="116">
        <f t="shared" ref="O681" si="205">M681+M682</f>
        <v>0</v>
      </c>
    </row>
    <row r="682" spans="1:15" ht="15" customHeight="1">
      <c r="A682" s="130" t="s">
        <v>665</v>
      </c>
      <c r="B682" s="130" t="s">
        <v>293</v>
      </c>
      <c r="C682" s="155">
        <v>44320</v>
      </c>
      <c r="D682" s="130">
        <v>1327</v>
      </c>
      <c r="E682" s="130" t="s">
        <v>294</v>
      </c>
      <c r="F682" s="130" t="s">
        <v>297</v>
      </c>
      <c r="G682" s="130" t="s">
        <v>479</v>
      </c>
      <c r="H682" s="130">
        <v>951136</v>
      </c>
      <c r="I682" s="145">
        <v>55</v>
      </c>
      <c r="J682" s="129" t="s">
        <v>193</v>
      </c>
      <c r="K682" s="127">
        <v>80</v>
      </c>
      <c r="L682" s="103">
        <v>11.986000000000001</v>
      </c>
      <c r="M682" s="128">
        <f t="shared" si="197"/>
        <v>68.013999999999996</v>
      </c>
      <c r="N682" s="94">
        <f t="shared" si="198"/>
        <v>0.14982500000000001</v>
      </c>
    </row>
    <row r="683" spans="1:15" ht="15" customHeight="1">
      <c r="A683" s="130" t="s">
        <v>665</v>
      </c>
      <c r="B683" s="130" t="s">
        <v>293</v>
      </c>
      <c r="C683" s="155">
        <v>44320</v>
      </c>
      <c r="D683" s="130">
        <v>1327</v>
      </c>
      <c r="E683" s="130" t="s">
        <v>294</v>
      </c>
      <c r="F683" s="130" t="s">
        <v>297</v>
      </c>
      <c r="G683" s="130" t="s">
        <v>425</v>
      </c>
      <c r="H683" s="130">
        <v>697484</v>
      </c>
      <c r="I683" s="145">
        <v>19</v>
      </c>
      <c r="J683" s="129" t="s">
        <v>192</v>
      </c>
      <c r="K683" s="127">
        <v>30</v>
      </c>
      <c r="L683" s="103">
        <v>70</v>
      </c>
      <c r="M683" s="128">
        <f t="shared" si="197"/>
        <v>-40</v>
      </c>
      <c r="N683" s="94">
        <f t="shared" si="198"/>
        <v>2.3333333333333335</v>
      </c>
      <c r="O683" s="116">
        <f t="shared" ref="O683" si="206">M683+M684</f>
        <v>6.6899999999999977</v>
      </c>
    </row>
    <row r="684" spans="1:15" ht="15" customHeight="1">
      <c r="A684" s="130" t="s">
        <v>665</v>
      </c>
      <c r="B684" s="130" t="s">
        <v>293</v>
      </c>
      <c r="C684" s="155">
        <v>44320</v>
      </c>
      <c r="D684" s="130">
        <v>1327</v>
      </c>
      <c r="E684" s="130" t="s">
        <v>294</v>
      </c>
      <c r="F684" s="130" t="s">
        <v>297</v>
      </c>
      <c r="G684" s="130" t="s">
        <v>425</v>
      </c>
      <c r="H684" s="130">
        <v>697484</v>
      </c>
      <c r="I684" s="145">
        <v>19</v>
      </c>
      <c r="J684" s="129" t="s">
        <v>193</v>
      </c>
      <c r="K684" s="127">
        <v>70</v>
      </c>
      <c r="L684" s="103">
        <v>23.31</v>
      </c>
      <c r="M684" s="128">
        <f t="shared" si="197"/>
        <v>46.69</v>
      </c>
      <c r="N684" s="94">
        <f t="shared" si="198"/>
        <v>0.33299999999999996</v>
      </c>
    </row>
    <row r="685" spans="1:15" ht="15" customHeight="1">
      <c r="A685" s="130" t="s">
        <v>665</v>
      </c>
      <c r="B685" s="130" t="s">
        <v>293</v>
      </c>
      <c r="C685" s="155">
        <v>44320</v>
      </c>
      <c r="D685" s="130">
        <v>1327</v>
      </c>
      <c r="E685" s="130" t="s">
        <v>294</v>
      </c>
      <c r="F685" s="130" t="s">
        <v>297</v>
      </c>
      <c r="G685" s="130" t="s">
        <v>484</v>
      </c>
      <c r="H685" s="130">
        <v>969257</v>
      </c>
      <c r="I685" s="145">
        <v>7</v>
      </c>
      <c r="J685" s="129" t="s">
        <v>192</v>
      </c>
      <c r="K685" s="127">
        <v>30</v>
      </c>
      <c r="L685" s="103">
        <v>74</v>
      </c>
      <c r="M685" s="128">
        <f t="shared" si="197"/>
        <v>-44</v>
      </c>
      <c r="N685" s="94">
        <f t="shared" si="198"/>
        <v>2.4666666666666668</v>
      </c>
      <c r="O685" s="116">
        <f t="shared" ref="O685" si="207">M685+M686</f>
        <v>12.914000000000001</v>
      </c>
    </row>
    <row r="686" spans="1:15" ht="15" customHeight="1">
      <c r="A686" s="130" t="s">
        <v>665</v>
      </c>
      <c r="B686" s="130" t="s">
        <v>293</v>
      </c>
      <c r="C686" s="155">
        <v>44320</v>
      </c>
      <c r="D686" s="130">
        <v>1327</v>
      </c>
      <c r="E686" s="130" t="s">
        <v>294</v>
      </c>
      <c r="F686" s="130" t="s">
        <v>297</v>
      </c>
      <c r="G686" s="130" t="s">
        <v>484</v>
      </c>
      <c r="H686" s="130">
        <v>969257</v>
      </c>
      <c r="I686" s="145">
        <v>7</v>
      </c>
      <c r="J686" s="129" t="s">
        <v>193</v>
      </c>
      <c r="K686" s="127">
        <v>80</v>
      </c>
      <c r="L686" s="103">
        <v>23.085999999999999</v>
      </c>
      <c r="M686" s="128">
        <f t="shared" si="197"/>
        <v>56.914000000000001</v>
      </c>
      <c r="N686" s="94">
        <f t="shared" si="198"/>
        <v>0.28857499999999997</v>
      </c>
    </row>
    <row r="687" spans="1:15" ht="15" customHeight="1">
      <c r="A687" s="130" t="s">
        <v>665</v>
      </c>
      <c r="B687" s="130" t="s">
        <v>293</v>
      </c>
      <c r="C687" s="155">
        <v>44320</v>
      </c>
      <c r="D687" s="130">
        <v>1327</v>
      </c>
      <c r="E687" s="130" t="s">
        <v>294</v>
      </c>
      <c r="F687" s="130" t="s">
        <v>297</v>
      </c>
      <c r="G687" s="130" t="s">
        <v>667</v>
      </c>
      <c r="H687" s="130">
        <v>697635</v>
      </c>
      <c r="I687" s="145">
        <v>19</v>
      </c>
      <c r="J687" s="129" t="s">
        <v>192</v>
      </c>
      <c r="K687" s="127">
        <v>30</v>
      </c>
      <c r="L687" s="103">
        <v>97.216999999999999</v>
      </c>
      <c r="M687" s="128">
        <f t="shared" si="197"/>
        <v>-67.216999999999999</v>
      </c>
      <c r="N687" s="94">
        <f t="shared" si="198"/>
        <v>3.2405666666666666</v>
      </c>
      <c r="O687" s="116">
        <f t="shared" ref="O687" si="208">M687+M688</f>
        <v>0</v>
      </c>
    </row>
    <row r="688" spans="1:15" ht="15" customHeight="1">
      <c r="A688" s="130" t="s">
        <v>665</v>
      </c>
      <c r="B688" s="130" t="s">
        <v>293</v>
      </c>
      <c r="C688" s="155">
        <v>44320</v>
      </c>
      <c r="D688" s="130">
        <v>1327</v>
      </c>
      <c r="E688" s="130" t="s">
        <v>294</v>
      </c>
      <c r="F688" s="130" t="s">
        <v>297</v>
      </c>
      <c r="G688" s="130" t="s">
        <v>667</v>
      </c>
      <c r="H688" s="130">
        <v>697635</v>
      </c>
      <c r="I688" s="145">
        <v>19</v>
      </c>
      <c r="J688" s="129" t="s">
        <v>193</v>
      </c>
      <c r="K688" s="127">
        <v>120</v>
      </c>
      <c r="L688" s="103">
        <v>52.783000000000001</v>
      </c>
      <c r="M688" s="128">
        <f t="shared" si="197"/>
        <v>67.216999999999999</v>
      </c>
      <c r="N688" s="94">
        <f t="shared" si="198"/>
        <v>0.43985833333333335</v>
      </c>
    </row>
    <row r="689" spans="1:15" ht="15" customHeight="1">
      <c r="A689" s="130" t="s">
        <v>665</v>
      </c>
      <c r="B689" s="130" t="s">
        <v>293</v>
      </c>
      <c r="C689" s="155">
        <v>44320</v>
      </c>
      <c r="D689" s="130">
        <v>1327</v>
      </c>
      <c r="E689" s="130" t="s">
        <v>294</v>
      </c>
      <c r="F689" s="130" t="s">
        <v>297</v>
      </c>
      <c r="G689" s="130" t="s">
        <v>561</v>
      </c>
      <c r="H689" s="130">
        <v>910836</v>
      </c>
      <c r="I689" s="145">
        <v>17</v>
      </c>
      <c r="J689" s="129" t="s">
        <v>192</v>
      </c>
      <c r="K689" s="127">
        <v>40</v>
      </c>
      <c r="L689" s="103">
        <v>130</v>
      </c>
      <c r="M689" s="128">
        <f t="shared" si="197"/>
        <v>-90</v>
      </c>
      <c r="N689" s="94">
        <f t="shared" si="198"/>
        <v>3.25</v>
      </c>
      <c r="O689" s="116">
        <f t="shared" ref="O689" si="209">M689+M690</f>
        <v>8.465999999999994</v>
      </c>
    </row>
    <row r="690" spans="1:15" ht="15" customHeight="1">
      <c r="A690" s="130" t="s">
        <v>665</v>
      </c>
      <c r="B690" s="130" t="s">
        <v>293</v>
      </c>
      <c r="C690" s="155">
        <v>44320</v>
      </c>
      <c r="D690" s="130">
        <v>1327</v>
      </c>
      <c r="E690" s="130" t="s">
        <v>294</v>
      </c>
      <c r="F690" s="130" t="s">
        <v>297</v>
      </c>
      <c r="G690" s="130" t="s">
        <v>561</v>
      </c>
      <c r="H690" s="130">
        <v>910836</v>
      </c>
      <c r="I690" s="145">
        <v>17</v>
      </c>
      <c r="J690" s="129" t="s">
        <v>193</v>
      </c>
      <c r="K690" s="127">
        <v>110</v>
      </c>
      <c r="L690" s="103">
        <v>11.534000000000001</v>
      </c>
      <c r="M690" s="128">
        <f t="shared" si="197"/>
        <v>98.465999999999994</v>
      </c>
      <c r="N690" s="94">
        <f t="shared" si="198"/>
        <v>0.10485454545454546</v>
      </c>
    </row>
    <row r="691" spans="1:15" ht="15" customHeight="1">
      <c r="A691" s="130" t="s">
        <v>665</v>
      </c>
      <c r="B691" s="130" t="s">
        <v>293</v>
      </c>
      <c r="C691" s="155">
        <v>44320</v>
      </c>
      <c r="D691" s="130">
        <v>1327</v>
      </c>
      <c r="E691" s="130" t="s">
        <v>294</v>
      </c>
      <c r="F691" s="130" t="s">
        <v>297</v>
      </c>
      <c r="G691" s="130" t="s">
        <v>668</v>
      </c>
      <c r="H691" s="130">
        <v>963197</v>
      </c>
      <c r="I691" s="145">
        <v>13</v>
      </c>
      <c r="J691" s="129" t="s">
        <v>192</v>
      </c>
      <c r="K691" s="127">
        <v>30</v>
      </c>
      <c r="L691" s="103">
        <v>30</v>
      </c>
      <c r="M691" s="128">
        <f t="shared" si="197"/>
        <v>0</v>
      </c>
      <c r="N691" s="94">
        <f t="shared" si="198"/>
        <v>1</v>
      </c>
      <c r="O691" s="116">
        <f t="shared" ref="O691" si="210">M691+M692</f>
        <v>31.492000000000004</v>
      </c>
    </row>
    <row r="692" spans="1:15" ht="15" customHeight="1">
      <c r="A692" s="130" t="s">
        <v>665</v>
      </c>
      <c r="B692" s="130" t="s">
        <v>293</v>
      </c>
      <c r="C692" s="155">
        <v>44320</v>
      </c>
      <c r="D692" s="130">
        <v>1327</v>
      </c>
      <c r="E692" s="130" t="s">
        <v>294</v>
      </c>
      <c r="F692" s="130" t="s">
        <v>297</v>
      </c>
      <c r="G692" s="130" t="s">
        <v>668</v>
      </c>
      <c r="H692" s="130">
        <v>963197</v>
      </c>
      <c r="I692" s="145">
        <v>13</v>
      </c>
      <c r="J692" s="129" t="s">
        <v>193</v>
      </c>
      <c r="K692" s="127">
        <v>120</v>
      </c>
      <c r="L692" s="103">
        <v>88.507999999999996</v>
      </c>
      <c r="M692" s="128">
        <f t="shared" si="197"/>
        <v>31.492000000000004</v>
      </c>
      <c r="N692" s="94">
        <f t="shared" si="198"/>
        <v>0.73756666666666659</v>
      </c>
    </row>
    <row r="693" spans="1:15" ht="15" customHeight="1">
      <c r="A693" s="130" t="s">
        <v>665</v>
      </c>
      <c r="B693" s="130" t="s">
        <v>293</v>
      </c>
      <c r="C693" s="155">
        <v>44320</v>
      </c>
      <c r="D693" s="130">
        <v>1327</v>
      </c>
      <c r="E693" s="130" t="s">
        <v>294</v>
      </c>
      <c r="F693" s="130" t="s">
        <v>297</v>
      </c>
      <c r="G693" s="130" t="s">
        <v>481</v>
      </c>
      <c r="H693" s="130">
        <v>924603</v>
      </c>
      <c r="I693" s="145">
        <v>8</v>
      </c>
      <c r="J693" s="129" t="s">
        <v>192</v>
      </c>
      <c r="K693" s="127">
        <v>30</v>
      </c>
      <c r="L693" s="103">
        <v>78.424999999999997</v>
      </c>
      <c r="M693" s="128">
        <f t="shared" si="197"/>
        <v>-48.424999999999997</v>
      </c>
      <c r="N693" s="94">
        <f t="shared" si="198"/>
        <v>2.6141666666666667</v>
      </c>
      <c r="O693" s="116">
        <f t="shared" ref="O693" si="211">M693+M694</f>
        <v>31.575000000000003</v>
      </c>
    </row>
    <row r="694" spans="1:15" ht="15" customHeight="1">
      <c r="A694" s="130" t="s">
        <v>665</v>
      </c>
      <c r="B694" s="130" t="s">
        <v>293</v>
      </c>
      <c r="C694" s="155">
        <v>44320</v>
      </c>
      <c r="D694" s="130">
        <v>1327</v>
      </c>
      <c r="E694" s="130" t="s">
        <v>294</v>
      </c>
      <c r="F694" s="130" t="s">
        <v>297</v>
      </c>
      <c r="G694" s="130" t="s">
        <v>481</v>
      </c>
      <c r="H694" s="130">
        <v>924603</v>
      </c>
      <c r="I694" s="145">
        <v>8</v>
      </c>
      <c r="J694" s="129" t="s">
        <v>193</v>
      </c>
      <c r="K694" s="127">
        <v>80</v>
      </c>
      <c r="L694" s="103"/>
      <c r="M694" s="128">
        <f t="shared" si="197"/>
        <v>80</v>
      </c>
      <c r="N694" s="94">
        <f t="shared" si="198"/>
        <v>0</v>
      </c>
    </row>
    <row r="695" spans="1:15" ht="15" customHeight="1">
      <c r="A695" s="130" t="s">
        <v>665</v>
      </c>
      <c r="B695" s="130" t="s">
        <v>293</v>
      </c>
      <c r="C695" s="155">
        <v>44320</v>
      </c>
      <c r="D695" s="130">
        <v>1327</v>
      </c>
      <c r="E695" s="130" t="s">
        <v>294</v>
      </c>
      <c r="F695" s="130" t="s">
        <v>297</v>
      </c>
      <c r="G695" s="130" t="s">
        <v>413</v>
      </c>
      <c r="H695" s="130">
        <v>964409</v>
      </c>
      <c r="I695" s="145">
        <v>19</v>
      </c>
      <c r="J695" s="129" t="s">
        <v>192</v>
      </c>
      <c r="K695" s="127">
        <v>30</v>
      </c>
      <c r="L695" s="103">
        <v>71.531999999999996</v>
      </c>
      <c r="M695" s="128">
        <f t="shared" si="197"/>
        <v>-41.531999999999996</v>
      </c>
      <c r="N695" s="94">
        <f t="shared" si="198"/>
        <v>2.3843999999999999</v>
      </c>
      <c r="O695" s="116">
        <f t="shared" ref="O695" si="212">M695+M696</f>
        <v>40</v>
      </c>
    </row>
    <row r="696" spans="1:15" ht="15" customHeight="1">
      <c r="A696" s="130" t="s">
        <v>665</v>
      </c>
      <c r="B696" s="130" t="s">
        <v>293</v>
      </c>
      <c r="C696" s="155">
        <v>44320</v>
      </c>
      <c r="D696" s="130">
        <v>1327</v>
      </c>
      <c r="E696" s="130" t="s">
        <v>294</v>
      </c>
      <c r="F696" s="130" t="s">
        <v>297</v>
      </c>
      <c r="G696" s="130" t="s">
        <v>413</v>
      </c>
      <c r="H696" s="130">
        <v>964409</v>
      </c>
      <c r="I696" s="145">
        <v>19</v>
      </c>
      <c r="J696" s="129" t="s">
        <v>193</v>
      </c>
      <c r="K696" s="127">
        <v>120</v>
      </c>
      <c r="L696" s="103">
        <v>38.468000000000004</v>
      </c>
      <c r="M696" s="128">
        <f t="shared" si="197"/>
        <v>81.531999999999996</v>
      </c>
      <c r="N696" s="94">
        <f t="shared" si="198"/>
        <v>0.32056666666666672</v>
      </c>
    </row>
    <row r="697" spans="1:15" ht="15" customHeight="1">
      <c r="A697" s="130" t="s">
        <v>665</v>
      </c>
      <c r="B697" s="130" t="s">
        <v>293</v>
      </c>
      <c r="C697" s="155">
        <v>44320</v>
      </c>
      <c r="D697" s="130">
        <v>1327</v>
      </c>
      <c r="E697" s="130" t="s">
        <v>294</v>
      </c>
      <c r="F697" s="130" t="s">
        <v>297</v>
      </c>
      <c r="G697" s="130" t="s">
        <v>597</v>
      </c>
      <c r="H697" s="130">
        <v>963843</v>
      </c>
      <c r="I697" s="145">
        <v>8</v>
      </c>
      <c r="J697" s="129" t="s">
        <v>192</v>
      </c>
      <c r="K697" s="127">
        <v>40</v>
      </c>
      <c r="L697" s="103">
        <v>120</v>
      </c>
      <c r="M697" s="128">
        <f t="shared" si="197"/>
        <v>-80</v>
      </c>
      <c r="N697" s="94">
        <f t="shared" si="198"/>
        <v>3</v>
      </c>
      <c r="O697" s="116">
        <f t="shared" ref="O697" si="213">M697+M698</f>
        <v>76.967000000000013</v>
      </c>
    </row>
    <row r="698" spans="1:15" ht="15" customHeight="1">
      <c r="A698" s="130" t="s">
        <v>665</v>
      </c>
      <c r="B698" s="130" t="s">
        <v>293</v>
      </c>
      <c r="C698" s="155">
        <v>44320</v>
      </c>
      <c r="D698" s="130">
        <v>1327</v>
      </c>
      <c r="E698" s="130" t="s">
        <v>294</v>
      </c>
      <c r="F698" s="130" t="s">
        <v>297</v>
      </c>
      <c r="G698" s="130" t="s">
        <v>597</v>
      </c>
      <c r="H698" s="130">
        <v>963843</v>
      </c>
      <c r="I698" s="145">
        <v>8</v>
      </c>
      <c r="J698" s="129" t="s">
        <v>193</v>
      </c>
      <c r="K698" s="127">
        <v>160</v>
      </c>
      <c r="L698" s="103">
        <v>3.0329999999999999</v>
      </c>
      <c r="M698" s="128">
        <f t="shared" si="197"/>
        <v>156.96700000000001</v>
      </c>
      <c r="N698" s="94">
        <f t="shared" si="198"/>
        <v>1.8956250000000001E-2</v>
      </c>
    </row>
    <row r="699" spans="1:15" ht="15" customHeight="1">
      <c r="A699" s="130" t="s">
        <v>665</v>
      </c>
      <c r="B699" s="130" t="s">
        <v>293</v>
      </c>
      <c r="C699" s="155">
        <v>44320</v>
      </c>
      <c r="D699" s="130">
        <v>1327</v>
      </c>
      <c r="E699" s="130" t="s">
        <v>294</v>
      </c>
      <c r="F699" s="130" t="s">
        <v>297</v>
      </c>
      <c r="G699" s="130" t="s">
        <v>669</v>
      </c>
      <c r="H699" s="130">
        <v>965677</v>
      </c>
      <c r="I699" s="145">
        <v>13</v>
      </c>
      <c r="J699" s="129" t="s">
        <v>192</v>
      </c>
      <c r="K699" s="127">
        <v>30</v>
      </c>
      <c r="L699" s="103">
        <v>30</v>
      </c>
      <c r="M699" s="128">
        <f t="shared" si="197"/>
        <v>0</v>
      </c>
      <c r="N699" s="94">
        <f t="shared" si="198"/>
        <v>1</v>
      </c>
      <c r="O699" s="116">
        <f t="shared" ref="O699" si="214">M699+M700</f>
        <v>0</v>
      </c>
    </row>
    <row r="700" spans="1:15" ht="15" customHeight="1">
      <c r="A700" s="130" t="s">
        <v>665</v>
      </c>
      <c r="B700" s="130" t="s">
        <v>293</v>
      </c>
      <c r="C700" s="155">
        <v>44320</v>
      </c>
      <c r="D700" s="130">
        <v>1327</v>
      </c>
      <c r="E700" s="130" t="s">
        <v>294</v>
      </c>
      <c r="F700" s="130" t="s">
        <v>297</v>
      </c>
      <c r="G700" s="130" t="s">
        <v>669</v>
      </c>
      <c r="H700" s="130">
        <v>965677</v>
      </c>
      <c r="I700" s="145">
        <v>13</v>
      </c>
      <c r="J700" s="129" t="s">
        <v>193</v>
      </c>
      <c r="K700" s="127">
        <v>120</v>
      </c>
      <c r="L700" s="103">
        <v>120</v>
      </c>
      <c r="M700" s="128">
        <f t="shared" si="197"/>
        <v>0</v>
      </c>
      <c r="N700" s="94">
        <f t="shared" si="198"/>
        <v>1</v>
      </c>
    </row>
    <row r="701" spans="1:15" ht="15" customHeight="1">
      <c r="A701" s="130" t="s">
        <v>665</v>
      </c>
      <c r="B701" s="130" t="s">
        <v>293</v>
      </c>
      <c r="C701" s="155">
        <v>44320</v>
      </c>
      <c r="D701" s="130">
        <v>1327</v>
      </c>
      <c r="E701" s="130" t="s">
        <v>294</v>
      </c>
      <c r="F701" s="130" t="s">
        <v>297</v>
      </c>
      <c r="G701" s="130" t="s">
        <v>546</v>
      </c>
      <c r="H701" s="130">
        <v>913375</v>
      </c>
      <c r="I701" s="145">
        <v>7</v>
      </c>
      <c r="J701" s="129" t="s">
        <v>192</v>
      </c>
      <c r="K701" s="127">
        <v>40</v>
      </c>
      <c r="L701" s="103">
        <v>115.554</v>
      </c>
      <c r="M701" s="128">
        <f t="shared" si="197"/>
        <v>-75.554000000000002</v>
      </c>
      <c r="N701" s="94">
        <f t="shared" si="198"/>
        <v>2.8888500000000001</v>
      </c>
      <c r="O701" s="116">
        <f t="shared" ref="O701" si="215">M701+M702</f>
        <v>0</v>
      </c>
    </row>
    <row r="702" spans="1:15" ht="15" customHeight="1">
      <c r="A702" s="130" t="s">
        <v>665</v>
      </c>
      <c r="B702" s="130" t="s">
        <v>293</v>
      </c>
      <c r="C702" s="155">
        <v>44320</v>
      </c>
      <c r="D702" s="130">
        <v>1327</v>
      </c>
      <c r="E702" s="130" t="s">
        <v>294</v>
      </c>
      <c r="F702" s="130" t="s">
        <v>297</v>
      </c>
      <c r="G702" s="130" t="s">
        <v>546</v>
      </c>
      <c r="H702" s="130">
        <v>913375</v>
      </c>
      <c r="I702" s="145">
        <v>7</v>
      </c>
      <c r="J702" s="129" t="s">
        <v>193</v>
      </c>
      <c r="K702" s="127">
        <v>140</v>
      </c>
      <c r="L702" s="103">
        <v>64.445999999999998</v>
      </c>
      <c r="M702" s="128">
        <f t="shared" si="197"/>
        <v>75.554000000000002</v>
      </c>
      <c r="N702" s="94">
        <f t="shared" si="198"/>
        <v>0.46032857142857142</v>
      </c>
    </row>
    <row r="703" spans="1:15" ht="15" customHeight="1">
      <c r="A703" s="130" t="s">
        <v>665</v>
      </c>
      <c r="B703" s="130" t="s">
        <v>293</v>
      </c>
      <c r="C703" s="155">
        <v>44320</v>
      </c>
      <c r="D703" s="130">
        <v>1327</v>
      </c>
      <c r="E703" s="130" t="s">
        <v>294</v>
      </c>
      <c r="F703" s="130" t="s">
        <v>297</v>
      </c>
      <c r="G703" s="130" t="s">
        <v>482</v>
      </c>
      <c r="H703" s="130">
        <v>964441</v>
      </c>
      <c r="I703" s="145">
        <v>7</v>
      </c>
      <c r="J703" s="129" t="s">
        <v>192</v>
      </c>
      <c r="K703" s="127">
        <v>30</v>
      </c>
      <c r="L703" s="103">
        <v>82.956999999999994</v>
      </c>
      <c r="M703" s="128">
        <f t="shared" si="197"/>
        <v>-52.956999999999994</v>
      </c>
      <c r="N703" s="94">
        <f t="shared" si="198"/>
        <v>2.7652333333333332</v>
      </c>
      <c r="O703" s="116">
        <f t="shared" ref="O703" si="216">M703+M704</f>
        <v>0</v>
      </c>
    </row>
    <row r="704" spans="1:15" ht="15" customHeight="1">
      <c r="A704" s="130" t="s">
        <v>665</v>
      </c>
      <c r="B704" s="130" t="s">
        <v>293</v>
      </c>
      <c r="C704" s="155">
        <v>44320</v>
      </c>
      <c r="D704" s="130">
        <v>1327</v>
      </c>
      <c r="E704" s="130" t="s">
        <v>294</v>
      </c>
      <c r="F704" s="130" t="s">
        <v>297</v>
      </c>
      <c r="G704" s="130" t="s">
        <v>482</v>
      </c>
      <c r="H704" s="130">
        <v>964441</v>
      </c>
      <c r="I704" s="145">
        <v>7</v>
      </c>
      <c r="J704" s="129" t="s">
        <v>193</v>
      </c>
      <c r="K704" s="127">
        <v>80</v>
      </c>
      <c r="L704" s="103">
        <v>27.042999999999999</v>
      </c>
      <c r="M704" s="128">
        <f t="shared" si="197"/>
        <v>52.957000000000001</v>
      </c>
      <c r="N704" s="94">
        <f t="shared" si="198"/>
        <v>0.33803749999999999</v>
      </c>
    </row>
    <row r="705" spans="1:16" ht="15" customHeight="1">
      <c r="A705" s="130" t="s">
        <v>665</v>
      </c>
      <c r="B705" s="130" t="s">
        <v>293</v>
      </c>
      <c r="C705" s="155">
        <v>44320</v>
      </c>
      <c r="D705" s="130">
        <v>1327</v>
      </c>
      <c r="E705" s="130" t="s">
        <v>294</v>
      </c>
      <c r="F705" s="130" t="s">
        <v>297</v>
      </c>
      <c r="G705" s="130" t="s">
        <v>427</v>
      </c>
      <c r="H705" s="130">
        <v>968833</v>
      </c>
      <c r="I705" s="145">
        <v>19</v>
      </c>
      <c r="J705" s="129" t="s">
        <v>192</v>
      </c>
      <c r="K705" s="127">
        <v>30</v>
      </c>
      <c r="L705" s="103">
        <v>76.903999999999996</v>
      </c>
      <c r="M705" s="128">
        <f t="shared" si="197"/>
        <v>-46.903999999999996</v>
      </c>
      <c r="N705" s="94">
        <f t="shared" si="198"/>
        <v>2.5634666666666663</v>
      </c>
      <c r="O705" s="116">
        <f t="shared" ref="O705" si="217">M705+M706</f>
        <v>0</v>
      </c>
    </row>
    <row r="706" spans="1:16" ht="15" customHeight="1">
      <c r="A706" s="130" t="s">
        <v>665</v>
      </c>
      <c r="B706" s="130" t="s">
        <v>293</v>
      </c>
      <c r="C706" s="155">
        <v>44320</v>
      </c>
      <c r="D706" s="130">
        <v>1327</v>
      </c>
      <c r="E706" s="130" t="s">
        <v>294</v>
      </c>
      <c r="F706" s="130" t="s">
        <v>297</v>
      </c>
      <c r="G706" s="130" t="s">
        <v>427</v>
      </c>
      <c r="H706" s="130">
        <v>968833</v>
      </c>
      <c r="I706" s="145">
        <v>19</v>
      </c>
      <c r="J706" s="129" t="s">
        <v>193</v>
      </c>
      <c r="K706" s="127">
        <v>70</v>
      </c>
      <c r="L706" s="103">
        <v>23.096</v>
      </c>
      <c r="M706" s="128">
        <f t="shared" si="197"/>
        <v>46.903999999999996</v>
      </c>
      <c r="N706" s="94">
        <f t="shared" si="198"/>
        <v>0.32994285714285715</v>
      </c>
    </row>
    <row r="707" spans="1:16" ht="15" customHeight="1">
      <c r="A707" s="130" t="s">
        <v>670</v>
      </c>
      <c r="B707" s="130" t="s">
        <v>288</v>
      </c>
      <c r="C707" s="155">
        <v>44321</v>
      </c>
      <c r="D707" s="130">
        <v>61</v>
      </c>
      <c r="E707" s="130" t="s">
        <v>289</v>
      </c>
      <c r="F707" s="130" t="s">
        <v>287</v>
      </c>
      <c r="G707" s="130" t="s">
        <v>671</v>
      </c>
      <c r="H707" s="130">
        <v>968575</v>
      </c>
      <c r="I707" s="145">
        <v>64</v>
      </c>
      <c r="J707" s="129" t="s">
        <v>192</v>
      </c>
      <c r="K707" s="282">
        <v>29</v>
      </c>
      <c r="L707" s="103"/>
      <c r="M707" s="285">
        <f>K707-(L707+L708)</f>
        <v>0</v>
      </c>
      <c r="N707" s="288">
        <f>(L707+L708)/K707</f>
        <v>1</v>
      </c>
    </row>
    <row r="708" spans="1:16" ht="15" customHeight="1">
      <c r="A708" s="130" t="s">
        <v>670</v>
      </c>
      <c r="B708" s="130" t="s">
        <v>288</v>
      </c>
      <c r="C708" s="155">
        <v>44321</v>
      </c>
      <c r="D708" s="130">
        <v>61</v>
      </c>
      <c r="E708" s="130" t="s">
        <v>289</v>
      </c>
      <c r="F708" s="130" t="s">
        <v>287</v>
      </c>
      <c r="G708" s="130" t="s">
        <v>342</v>
      </c>
      <c r="H708" s="130">
        <v>968147</v>
      </c>
      <c r="I708" s="145">
        <v>64</v>
      </c>
      <c r="J708" s="129" t="s">
        <v>192</v>
      </c>
      <c r="K708" s="284"/>
      <c r="L708" s="103">
        <v>29</v>
      </c>
      <c r="M708" s="287"/>
      <c r="N708" s="290"/>
    </row>
    <row r="709" spans="1:16" ht="15" customHeight="1">
      <c r="A709" s="130" t="s">
        <v>672</v>
      </c>
      <c r="B709" s="130" t="s">
        <v>288</v>
      </c>
      <c r="C709" s="155">
        <v>44321</v>
      </c>
      <c r="D709" s="130">
        <v>62</v>
      </c>
      <c r="E709" s="130" t="s">
        <v>289</v>
      </c>
      <c r="F709" s="130" t="s">
        <v>287</v>
      </c>
      <c r="G709" s="130" t="s">
        <v>302</v>
      </c>
      <c r="H709" s="130">
        <v>966875</v>
      </c>
      <c r="I709" s="145">
        <v>44</v>
      </c>
      <c r="J709" s="129" t="s">
        <v>192</v>
      </c>
      <c r="K709" s="282">
        <v>7.7</v>
      </c>
      <c r="L709" s="103">
        <v>3.8820000000000001</v>
      </c>
      <c r="M709" s="285">
        <f>K709-(L709+L710)</f>
        <v>3.8180000000000001</v>
      </c>
      <c r="N709" s="288">
        <f>(L709+L710)/K709</f>
        <v>0.50415584415584414</v>
      </c>
      <c r="O709" s="209">
        <f>M709+M711</f>
        <v>-0.10000000000000098</v>
      </c>
      <c r="P709" s="90" t="s">
        <v>766</v>
      </c>
    </row>
    <row r="710" spans="1:16" ht="15" customHeight="1">
      <c r="A710" s="130" t="s">
        <v>672</v>
      </c>
      <c r="B710" s="130" t="s">
        <v>288</v>
      </c>
      <c r="C710" s="155">
        <v>44321</v>
      </c>
      <c r="D710" s="130">
        <v>62</v>
      </c>
      <c r="E710" s="130" t="s">
        <v>289</v>
      </c>
      <c r="F710" s="130" t="s">
        <v>287</v>
      </c>
      <c r="G710" s="130" t="s">
        <v>304</v>
      </c>
      <c r="H710" s="130">
        <v>958905</v>
      </c>
      <c r="I710" s="145">
        <v>44</v>
      </c>
      <c r="J710" s="129" t="s">
        <v>192</v>
      </c>
      <c r="K710" s="284"/>
      <c r="L710" s="103"/>
      <c r="M710" s="287"/>
      <c r="N710" s="290"/>
    </row>
    <row r="711" spans="1:16" ht="15" customHeight="1">
      <c r="A711" s="130" t="s">
        <v>672</v>
      </c>
      <c r="B711" s="130" t="s">
        <v>288</v>
      </c>
      <c r="C711" s="155">
        <v>44321</v>
      </c>
      <c r="D711" s="130">
        <v>62</v>
      </c>
      <c r="E711" s="130" t="s">
        <v>289</v>
      </c>
      <c r="F711" s="130" t="s">
        <v>287</v>
      </c>
      <c r="G711" s="130" t="s">
        <v>302</v>
      </c>
      <c r="H711" s="130">
        <v>966875</v>
      </c>
      <c r="I711" s="145">
        <v>44</v>
      </c>
      <c r="J711" s="129" t="s">
        <v>193</v>
      </c>
      <c r="K711" s="282">
        <v>9.1999999999999993</v>
      </c>
      <c r="L711" s="103">
        <v>13.118</v>
      </c>
      <c r="M711" s="285">
        <f>K711-(L711+L712)</f>
        <v>-3.918000000000001</v>
      </c>
      <c r="N711" s="288">
        <f>(L711+L712)/K711</f>
        <v>1.4258695652173914</v>
      </c>
    </row>
    <row r="712" spans="1:16" ht="15" customHeight="1">
      <c r="A712" s="130" t="s">
        <v>672</v>
      </c>
      <c r="B712" s="130" t="s">
        <v>288</v>
      </c>
      <c r="C712" s="155">
        <v>44321</v>
      </c>
      <c r="D712" s="130">
        <v>62</v>
      </c>
      <c r="E712" s="130" t="s">
        <v>289</v>
      </c>
      <c r="F712" s="130" t="s">
        <v>287</v>
      </c>
      <c r="G712" s="130" t="s">
        <v>304</v>
      </c>
      <c r="H712" s="130">
        <v>958905</v>
      </c>
      <c r="I712" s="145">
        <v>44</v>
      </c>
      <c r="J712" s="129" t="s">
        <v>193</v>
      </c>
      <c r="K712" s="284"/>
      <c r="L712" s="103"/>
      <c r="M712" s="287"/>
      <c r="N712" s="290"/>
    </row>
    <row r="713" spans="1:16" ht="15" customHeight="1">
      <c r="A713" s="130" t="s">
        <v>296</v>
      </c>
      <c r="B713" s="130" t="s">
        <v>293</v>
      </c>
      <c r="C713" s="155">
        <v>44299</v>
      </c>
      <c r="D713" s="130">
        <v>1079</v>
      </c>
      <c r="E713" s="130" t="s">
        <v>294</v>
      </c>
      <c r="F713" s="130" t="s">
        <v>297</v>
      </c>
      <c r="G713" s="130" t="s">
        <v>605</v>
      </c>
      <c r="H713" s="130">
        <v>953084</v>
      </c>
      <c r="I713" s="145">
        <v>55</v>
      </c>
      <c r="J713" s="129" t="s">
        <v>192</v>
      </c>
      <c r="K713" s="127">
        <v>420</v>
      </c>
      <c r="L713" s="103">
        <v>428.77600000000001</v>
      </c>
      <c r="M713" s="128">
        <f t="shared" ref="M713:M714" si="218">K713-L713</f>
        <v>-8.7760000000000105</v>
      </c>
      <c r="N713" s="94">
        <f t="shared" ref="N713:N714" si="219">L713/K713</f>
        <v>1.0208952380952381</v>
      </c>
      <c r="O713" s="116">
        <f>M713+M714</f>
        <v>9.3720000000000141</v>
      </c>
    </row>
    <row r="714" spans="1:16" ht="15" customHeight="1">
      <c r="A714" s="130" t="s">
        <v>296</v>
      </c>
      <c r="B714" s="130" t="s">
        <v>293</v>
      </c>
      <c r="C714" s="155">
        <v>44299</v>
      </c>
      <c r="D714" s="130">
        <v>1079</v>
      </c>
      <c r="E714" s="130" t="s">
        <v>294</v>
      </c>
      <c r="F714" s="130" t="s">
        <v>297</v>
      </c>
      <c r="G714" s="130" t="s">
        <v>605</v>
      </c>
      <c r="H714" s="130">
        <v>953084</v>
      </c>
      <c r="I714" s="145">
        <v>55</v>
      </c>
      <c r="J714" s="129" t="s">
        <v>193</v>
      </c>
      <c r="K714" s="127">
        <v>320</v>
      </c>
      <c r="L714" s="103">
        <v>301.85199999999998</v>
      </c>
      <c r="M714" s="128">
        <f t="shared" si="218"/>
        <v>18.148000000000025</v>
      </c>
      <c r="N714" s="94">
        <f t="shared" si="219"/>
        <v>0.94328749999999995</v>
      </c>
    </row>
    <row r="715" spans="1:16" ht="15" customHeight="1">
      <c r="A715" s="130" t="s">
        <v>412</v>
      </c>
      <c r="B715" s="130" t="s">
        <v>293</v>
      </c>
      <c r="C715" s="155">
        <v>44327</v>
      </c>
      <c r="D715" s="130">
        <v>1387</v>
      </c>
      <c r="E715" s="130" t="s">
        <v>294</v>
      </c>
      <c r="F715" s="130" t="s">
        <v>297</v>
      </c>
      <c r="G715" s="130" t="s">
        <v>393</v>
      </c>
      <c r="H715" s="130">
        <v>950991</v>
      </c>
      <c r="I715" s="145">
        <v>19</v>
      </c>
      <c r="J715" s="129" t="s">
        <v>193</v>
      </c>
      <c r="K715" s="127">
        <v>37.901000000000003</v>
      </c>
      <c r="L715" s="103"/>
      <c r="M715" s="128">
        <f t="shared" ref="M715" si="220">K715-L715</f>
        <v>37.901000000000003</v>
      </c>
      <c r="N715" s="94">
        <f t="shared" ref="N715" si="221">L715/K715</f>
        <v>0</v>
      </c>
    </row>
    <row r="716" spans="1:16" ht="15" customHeight="1">
      <c r="A716" s="130" t="s">
        <v>412</v>
      </c>
      <c r="B716" s="130" t="s">
        <v>293</v>
      </c>
      <c r="C716" s="155">
        <v>44327</v>
      </c>
      <c r="D716" s="130">
        <v>1388</v>
      </c>
      <c r="E716" s="130" t="s">
        <v>294</v>
      </c>
      <c r="F716" s="130" t="s">
        <v>297</v>
      </c>
      <c r="G716" s="130" t="s">
        <v>616</v>
      </c>
      <c r="H716" s="130">
        <v>968675</v>
      </c>
      <c r="I716" s="145">
        <v>12</v>
      </c>
      <c r="J716" s="129" t="s">
        <v>193</v>
      </c>
      <c r="K716" s="127">
        <v>60.640999999999998</v>
      </c>
      <c r="L716" s="103"/>
      <c r="M716" s="128">
        <f t="shared" ref="M716:M717" si="222">K716-L716</f>
        <v>60.640999999999998</v>
      </c>
      <c r="N716" s="94">
        <f t="shared" ref="N716:N717" si="223">L716/K716</f>
        <v>0</v>
      </c>
    </row>
    <row r="717" spans="1:16" ht="15" customHeight="1">
      <c r="A717" s="130" t="s">
        <v>675</v>
      </c>
      <c r="B717" s="130" t="s">
        <v>293</v>
      </c>
      <c r="C717" s="155">
        <v>44327</v>
      </c>
      <c r="D717" s="130">
        <v>1389</v>
      </c>
      <c r="E717" s="130" t="s">
        <v>294</v>
      </c>
      <c r="F717" s="130" t="s">
        <v>297</v>
      </c>
      <c r="G717" s="130" t="s">
        <v>669</v>
      </c>
      <c r="H717" s="130">
        <v>965677</v>
      </c>
      <c r="I717" s="145">
        <v>13</v>
      </c>
      <c r="J717" s="129" t="s">
        <v>192</v>
      </c>
      <c r="K717" s="127">
        <v>113.19799999999999</v>
      </c>
      <c r="L717" s="103">
        <v>113.19799999999999</v>
      </c>
      <c r="M717" s="128">
        <f t="shared" si="222"/>
        <v>0</v>
      </c>
      <c r="N717" s="94">
        <f t="shared" si="223"/>
        <v>1</v>
      </c>
    </row>
    <row r="718" spans="1:16" ht="15" customHeight="1">
      <c r="A718" s="130" t="s">
        <v>677</v>
      </c>
      <c r="B718" s="130" t="s">
        <v>293</v>
      </c>
      <c r="C718" s="155">
        <v>44327</v>
      </c>
      <c r="D718" s="130">
        <v>1390</v>
      </c>
      <c r="E718" s="130" t="s">
        <v>294</v>
      </c>
      <c r="F718" s="130" t="s">
        <v>297</v>
      </c>
      <c r="G718" s="130" t="s">
        <v>668</v>
      </c>
      <c r="H718" s="130">
        <v>963197</v>
      </c>
      <c r="I718" s="145">
        <v>13</v>
      </c>
      <c r="J718" s="129" t="s">
        <v>192</v>
      </c>
      <c r="K718" s="127">
        <v>181.11600000000001</v>
      </c>
      <c r="L718" s="103">
        <v>181.11600000000001</v>
      </c>
      <c r="M718" s="128">
        <f t="shared" ref="M718" si="224">K718-L718</f>
        <v>0</v>
      </c>
      <c r="N718" s="94">
        <f t="shared" ref="N718" si="225">L718/K718</f>
        <v>1</v>
      </c>
    </row>
    <row r="719" spans="1:16" ht="15" customHeight="1">
      <c r="A719" s="130" t="s">
        <v>392</v>
      </c>
      <c r="B719" s="130" t="s">
        <v>293</v>
      </c>
      <c r="C719" s="155">
        <v>44327</v>
      </c>
      <c r="D719" s="130">
        <v>1392</v>
      </c>
      <c r="E719" s="130" t="s">
        <v>294</v>
      </c>
      <c r="F719" s="130" t="s">
        <v>297</v>
      </c>
      <c r="G719" s="130" t="s">
        <v>393</v>
      </c>
      <c r="H719" s="130">
        <v>950991</v>
      </c>
      <c r="I719" s="145">
        <v>19</v>
      </c>
      <c r="J719" s="129" t="s">
        <v>192</v>
      </c>
      <c r="K719" s="127">
        <v>11.37</v>
      </c>
      <c r="L719" s="103"/>
      <c r="M719" s="128">
        <f t="shared" ref="M719:M720" si="226">K719-L719</f>
        <v>11.37</v>
      </c>
      <c r="N719" s="94">
        <f t="shared" ref="N719:N720" si="227">L719/K719</f>
        <v>0</v>
      </c>
    </row>
    <row r="720" spans="1:16" ht="15" customHeight="1">
      <c r="A720" s="130" t="s">
        <v>334</v>
      </c>
      <c r="B720" s="130" t="s">
        <v>293</v>
      </c>
      <c r="C720" s="155">
        <v>44329</v>
      </c>
      <c r="D720" s="130">
        <v>1432</v>
      </c>
      <c r="E720" s="130" t="s">
        <v>294</v>
      </c>
      <c r="F720" s="130" t="s">
        <v>297</v>
      </c>
      <c r="G720" s="130" t="s">
        <v>347</v>
      </c>
      <c r="H720" s="130">
        <v>963702</v>
      </c>
      <c r="I720" s="145">
        <v>7</v>
      </c>
      <c r="J720" s="129" t="s">
        <v>193</v>
      </c>
      <c r="K720" s="127">
        <v>60</v>
      </c>
      <c r="L720" s="103"/>
      <c r="M720" s="128">
        <f t="shared" si="226"/>
        <v>60</v>
      </c>
      <c r="N720" s="94">
        <f t="shared" si="227"/>
        <v>0</v>
      </c>
    </row>
    <row r="721" spans="1:15" ht="15" customHeight="1">
      <c r="A721" s="130" t="s">
        <v>334</v>
      </c>
      <c r="B721" s="130" t="s">
        <v>293</v>
      </c>
      <c r="C721" s="155">
        <v>44329</v>
      </c>
      <c r="D721" s="130">
        <v>1432</v>
      </c>
      <c r="E721" s="130" t="s">
        <v>294</v>
      </c>
      <c r="F721" s="130" t="s">
        <v>297</v>
      </c>
      <c r="G721" s="130" t="s">
        <v>343</v>
      </c>
      <c r="H721" s="130">
        <v>962853</v>
      </c>
      <c r="I721" s="145">
        <v>24</v>
      </c>
      <c r="J721" s="129" t="s">
        <v>193</v>
      </c>
      <c r="K721" s="127">
        <v>38</v>
      </c>
      <c r="L721" s="103"/>
      <c r="M721" s="128">
        <f t="shared" ref="M721:M723" si="228">K721-L721</f>
        <v>38</v>
      </c>
      <c r="N721" s="94">
        <f t="shared" ref="N721:N723" si="229">L721/K721</f>
        <v>0</v>
      </c>
    </row>
    <row r="722" spans="1:15" ht="15" customHeight="1">
      <c r="A722" s="130" t="s">
        <v>334</v>
      </c>
      <c r="B722" s="130" t="s">
        <v>293</v>
      </c>
      <c r="C722" s="155">
        <v>44329</v>
      </c>
      <c r="D722" s="130">
        <v>1432</v>
      </c>
      <c r="E722" s="130" t="s">
        <v>294</v>
      </c>
      <c r="F722" s="130" t="s">
        <v>297</v>
      </c>
      <c r="G722" s="130" t="s">
        <v>344</v>
      </c>
      <c r="H722" s="130">
        <v>956044</v>
      </c>
      <c r="I722" s="145">
        <v>39</v>
      </c>
      <c r="J722" s="129" t="s">
        <v>193</v>
      </c>
      <c r="K722" s="127">
        <v>60</v>
      </c>
      <c r="L722" s="103">
        <v>6.3129999999999997</v>
      </c>
      <c r="M722" s="128">
        <f t="shared" si="228"/>
        <v>53.686999999999998</v>
      </c>
      <c r="N722" s="94">
        <f t="shared" si="229"/>
        <v>0.10521666666666667</v>
      </c>
    </row>
    <row r="723" spans="1:15" ht="15" customHeight="1">
      <c r="A723" s="130" t="s">
        <v>334</v>
      </c>
      <c r="B723" s="130" t="s">
        <v>293</v>
      </c>
      <c r="C723" s="155">
        <v>44329</v>
      </c>
      <c r="D723" s="130">
        <v>1432</v>
      </c>
      <c r="E723" s="130" t="s">
        <v>294</v>
      </c>
      <c r="F723" s="130" t="s">
        <v>297</v>
      </c>
      <c r="G723" s="130" t="s">
        <v>346</v>
      </c>
      <c r="H723" s="130">
        <v>922513</v>
      </c>
      <c r="I723" s="145">
        <v>61</v>
      </c>
      <c r="J723" s="129" t="s">
        <v>193</v>
      </c>
      <c r="K723" s="127">
        <v>60</v>
      </c>
      <c r="L723" s="103">
        <v>7.69</v>
      </c>
      <c r="M723" s="128">
        <f t="shared" si="228"/>
        <v>52.31</v>
      </c>
      <c r="N723" s="94">
        <f t="shared" si="229"/>
        <v>0.12816666666666668</v>
      </c>
    </row>
    <row r="724" spans="1:15" ht="15" customHeight="1">
      <c r="A724" s="130" t="s">
        <v>296</v>
      </c>
      <c r="B724" s="130" t="s">
        <v>288</v>
      </c>
      <c r="C724" s="155">
        <v>44329</v>
      </c>
      <c r="D724" s="130">
        <v>1434</v>
      </c>
      <c r="E724" s="130" t="s">
        <v>294</v>
      </c>
      <c r="F724" s="130" t="s">
        <v>297</v>
      </c>
      <c r="G724" s="130" t="s">
        <v>510</v>
      </c>
      <c r="H724" s="130">
        <v>964980</v>
      </c>
      <c r="I724" s="145">
        <v>19</v>
      </c>
      <c r="J724" s="129" t="s">
        <v>192</v>
      </c>
      <c r="K724" s="282">
        <v>100</v>
      </c>
      <c r="L724" s="103">
        <v>131.76499999999999</v>
      </c>
      <c r="M724" s="285">
        <f>K724-(L724+L725)</f>
        <v>-183.24900000000002</v>
      </c>
      <c r="N724" s="288">
        <f>(L724+L725)/K724</f>
        <v>2.8324900000000004</v>
      </c>
      <c r="O724" s="116">
        <f>M724+M726</f>
        <v>0</v>
      </c>
    </row>
    <row r="725" spans="1:15" ht="15" customHeight="1">
      <c r="A725" s="130" t="s">
        <v>296</v>
      </c>
      <c r="B725" s="130" t="s">
        <v>288</v>
      </c>
      <c r="C725" s="155">
        <v>44329</v>
      </c>
      <c r="D725" s="130">
        <v>1434</v>
      </c>
      <c r="E725" s="130" t="s">
        <v>294</v>
      </c>
      <c r="F725" s="130" t="s">
        <v>297</v>
      </c>
      <c r="G725" s="130" t="s">
        <v>511</v>
      </c>
      <c r="H725" s="130">
        <v>923959</v>
      </c>
      <c r="I725" s="145">
        <v>19</v>
      </c>
      <c r="J725" s="129" t="s">
        <v>192</v>
      </c>
      <c r="K725" s="284"/>
      <c r="L725" s="103">
        <v>151.48400000000001</v>
      </c>
      <c r="M725" s="287"/>
      <c r="N725" s="290"/>
    </row>
    <row r="726" spans="1:15" ht="15" customHeight="1">
      <c r="A726" s="130" t="s">
        <v>296</v>
      </c>
      <c r="B726" s="130" t="s">
        <v>288</v>
      </c>
      <c r="C726" s="155">
        <v>44329</v>
      </c>
      <c r="D726" s="130">
        <v>1434</v>
      </c>
      <c r="E726" s="130" t="s">
        <v>294</v>
      </c>
      <c r="F726" s="130" t="s">
        <v>297</v>
      </c>
      <c r="G726" s="130" t="s">
        <v>510</v>
      </c>
      <c r="H726" s="130">
        <v>964980</v>
      </c>
      <c r="I726" s="145">
        <v>19</v>
      </c>
      <c r="J726" s="129" t="s">
        <v>193</v>
      </c>
      <c r="K726" s="282">
        <v>300</v>
      </c>
      <c r="L726" s="103">
        <v>74.251000000000005</v>
      </c>
      <c r="M726" s="285">
        <f>K726-(L726+L727)</f>
        <v>183.249</v>
      </c>
      <c r="N726" s="288">
        <f>(L726+L727)/K726</f>
        <v>0.38917000000000002</v>
      </c>
    </row>
    <row r="727" spans="1:15" ht="15" customHeight="1">
      <c r="A727" s="130" t="s">
        <v>296</v>
      </c>
      <c r="B727" s="130" t="s">
        <v>288</v>
      </c>
      <c r="C727" s="155">
        <v>44329</v>
      </c>
      <c r="D727" s="130">
        <v>1434</v>
      </c>
      <c r="E727" s="130" t="s">
        <v>294</v>
      </c>
      <c r="F727" s="130" t="s">
        <v>297</v>
      </c>
      <c r="G727" s="130" t="s">
        <v>511</v>
      </c>
      <c r="H727" s="130">
        <v>923959</v>
      </c>
      <c r="I727" s="145">
        <v>19</v>
      </c>
      <c r="J727" s="129" t="s">
        <v>193</v>
      </c>
      <c r="K727" s="284"/>
      <c r="L727" s="103">
        <v>42.5</v>
      </c>
      <c r="M727" s="287"/>
      <c r="N727" s="290"/>
    </row>
    <row r="728" spans="1:15" ht="15" customHeight="1">
      <c r="A728" s="130" t="s">
        <v>678</v>
      </c>
      <c r="B728" s="130" t="s">
        <v>288</v>
      </c>
      <c r="C728" s="155">
        <v>44330</v>
      </c>
      <c r="D728" s="130">
        <v>65</v>
      </c>
      <c r="E728" s="130" t="s">
        <v>289</v>
      </c>
      <c r="F728" s="130" t="s">
        <v>297</v>
      </c>
      <c r="G728" s="130" t="s">
        <v>302</v>
      </c>
      <c r="H728" s="130">
        <v>966875</v>
      </c>
      <c r="I728" s="145">
        <v>44</v>
      </c>
      <c r="J728" s="129" t="s">
        <v>192</v>
      </c>
      <c r="K728" s="282">
        <v>100</v>
      </c>
      <c r="L728" s="103">
        <v>124.262</v>
      </c>
      <c r="M728" s="285">
        <f>K728-(L728+L729)</f>
        <v>-24.262</v>
      </c>
      <c r="N728" s="288">
        <f>(L728+L729)/K728</f>
        <v>1.2426200000000001</v>
      </c>
      <c r="O728" s="116">
        <f>M728+M730</f>
        <v>0</v>
      </c>
    </row>
    <row r="729" spans="1:15" ht="15" customHeight="1">
      <c r="A729" s="130" t="s">
        <v>678</v>
      </c>
      <c r="B729" s="130" t="s">
        <v>288</v>
      </c>
      <c r="C729" s="155">
        <v>44330</v>
      </c>
      <c r="D729" s="130">
        <v>65</v>
      </c>
      <c r="E729" s="130" t="s">
        <v>289</v>
      </c>
      <c r="F729" s="130" t="s">
        <v>297</v>
      </c>
      <c r="G729" s="130" t="s">
        <v>304</v>
      </c>
      <c r="H729" s="130">
        <v>958905</v>
      </c>
      <c r="I729" s="145">
        <v>44</v>
      </c>
      <c r="J729" s="129" t="s">
        <v>192</v>
      </c>
      <c r="K729" s="284"/>
      <c r="L729" s="103"/>
      <c r="M729" s="287"/>
      <c r="N729" s="290"/>
    </row>
    <row r="730" spans="1:15" ht="15" customHeight="1">
      <c r="A730" s="130" t="s">
        <v>678</v>
      </c>
      <c r="B730" s="130" t="s">
        <v>288</v>
      </c>
      <c r="C730" s="155">
        <v>44330</v>
      </c>
      <c r="D730" s="130">
        <v>65</v>
      </c>
      <c r="E730" s="130" t="s">
        <v>289</v>
      </c>
      <c r="F730" s="130" t="s">
        <v>297</v>
      </c>
      <c r="G730" s="130" t="s">
        <v>302</v>
      </c>
      <c r="H730" s="130">
        <v>966875</v>
      </c>
      <c r="I730" s="145">
        <v>44</v>
      </c>
      <c r="J730" s="129" t="s">
        <v>193</v>
      </c>
      <c r="K730" s="282">
        <v>100</v>
      </c>
      <c r="L730" s="103">
        <v>75.738</v>
      </c>
      <c r="M730" s="285">
        <f>K730-(L730+L731)</f>
        <v>24.262</v>
      </c>
      <c r="N730" s="288">
        <f>(L730+L731)/K730</f>
        <v>0.75737999999999994</v>
      </c>
    </row>
    <row r="731" spans="1:15" ht="15" customHeight="1">
      <c r="A731" s="130" t="s">
        <v>678</v>
      </c>
      <c r="B731" s="130" t="s">
        <v>288</v>
      </c>
      <c r="C731" s="155">
        <v>44330</v>
      </c>
      <c r="D731" s="130">
        <v>65</v>
      </c>
      <c r="E731" s="130" t="s">
        <v>289</v>
      </c>
      <c r="F731" s="130" t="s">
        <v>297</v>
      </c>
      <c r="G731" s="130" t="s">
        <v>304</v>
      </c>
      <c r="H731" s="130">
        <v>958905</v>
      </c>
      <c r="I731" s="145">
        <v>44</v>
      </c>
      <c r="J731" s="129" t="s">
        <v>193</v>
      </c>
      <c r="K731" s="284"/>
      <c r="L731" s="103"/>
      <c r="M731" s="287"/>
      <c r="N731" s="290"/>
    </row>
    <row r="732" spans="1:15" ht="15" customHeight="1">
      <c r="A732" s="130" t="s">
        <v>423</v>
      </c>
      <c r="B732" s="130" t="s">
        <v>293</v>
      </c>
      <c r="C732" s="155">
        <v>44334</v>
      </c>
      <c r="D732" s="130">
        <v>1457</v>
      </c>
      <c r="E732" s="130" t="s">
        <v>294</v>
      </c>
      <c r="F732" s="130" t="s">
        <v>297</v>
      </c>
      <c r="G732" s="130" t="s">
        <v>680</v>
      </c>
      <c r="H732" s="130">
        <v>966858</v>
      </c>
      <c r="I732" s="145">
        <v>42</v>
      </c>
      <c r="J732" s="129" t="s">
        <v>193</v>
      </c>
      <c r="K732" s="127">
        <v>250</v>
      </c>
      <c r="L732" s="103">
        <v>226.22800000000001</v>
      </c>
      <c r="M732" s="128">
        <f t="shared" ref="M732:M736" si="230">K732-L732</f>
        <v>23.771999999999991</v>
      </c>
      <c r="N732" s="94">
        <f t="shared" ref="N732:N736" si="231">L732/K732</f>
        <v>0.90491200000000005</v>
      </c>
    </row>
    <row r="733" spans="1:15" ht="15" customHeight="1">
      <c r="A733" s="130" t="s">
        <v>423</v>
      </c>
      <c r="B733" s="130" t="s">
        <v>293</v>
      </c>
      <c r="C733" s="155">
        <v>44334</v>
      </c>
      <c r="D733" s="130">
        <v>1457</v>
      </c>
      <c r="E733" s="130" t="s">
        <v>294</v>
      </c>
      <c r="F733" s="130" t="s">
        <v>297</v>
      </c>
      <c r="G733" s="130" t="s">
        <v>440</v>
      </c>
      <c r="H733" s="130">
        <v>697611</v>
      </c>
      <c r="I733" s="145">
        <v>29</v>
      </c>
      <c r="J733" s="129" t="s">
        <v>193</v>
      </c>
      <c r="K733" s="127">
        <v>100</v>
      </c>
      <c r="L733" s="103">
        <v>10.624000000000001</v>
      </c>
      <c r="M733" s="128">
        <f t="shared" si="230"/>
        <v>89.376000000000005</v>
      </c>
      <c r="N733" s="94">
        <f t="shared" si="231"/>
        <v>0.10624</v>
      </c>
    </row>
    <row r="734" spans="1:15" ht="15" customHeight="1">
      <c r="A734" s="130" t="s">
        <v>423</v>
      </c>
      <c r="B734" s="130" t="s">
        <v>293</v>
      </c>
      <c r="C734" s="155">
        <v>44334</v>
      </c>
      <c r="D734" s="130">
        <v>1457</v>
      </c>
      <c r="E734" s="130" t="s">
        <v>294</v>
      </c>
      <c r="F734" s="130" t="s">
        <v>297</v>
      </c>
      <c r="G734" s="130" t="s">
        <v>452</v>
      </c>
      <c r="H734" s="130">
        <v>968520</v>
      </c>
      <c r="I734" s="145">
        <v>31</v>
      </c>
      <c r="J734" s="129" t="s">
        <v>193</v>
      </c>
      <c r="K734" s="127">
        <v>280</v>
      </c>
      <c r="L734" s="103">
        <v>25.687999999999999</v>
      </c>
      <c r="M734" s="128">
        <f t="shared" si="230"/>
        <v>254.31200000000001</v>
      </c>
      <c r="N734" s="94">
        <f t="shared" si="231"/>
        <v>9.174285714285714E-2</v>
      </c>
    </row>
    <row r="735" spans="1:15" ht="15" customHeight="1">
      <c r="A735" s="130" t="s">
        <v>316</v>
      </c>
      <c r="B735" s="130" t="s">
        <v>293</v>
      </c>
      <c r="C735" s="155">
        <v>44334</v>
      </c>
      <c r="D735" s="130">
        <v>1458</v>
      </c>
      <c r="E735" s="130" t="s">
        <v>294</v>
      </c>
      <c r="F735" s="130" t="s">
        <v>297</v>
      </c>
      <c r="G735" s="130" t="s">
        <v>600</v>
      </c>
      <c r="H735" s="130">
        <v>955448</v>
      </c>
      <c r="I735" s="145">
        <v>6</v>
      </c>
      <c r="J735" s="129" t="s">
        <v>192</v>
      </c>
      <c r="K735" s="127">
        <v>31</v>
      </c>
      <c r="L735" s="103">
        <v>64.938999999999993</v>
      </c>
      <c r="M735" s="128">
        <f t="shared" si="230"/>
        <v>-33.938999999999993</v>
      </c>
      <c r="N735" s="94">
        <f t="shared" si="231"/>
        <v>2.0948064516129028</v>
      </c>
      <c r="O735" s="116">
        <f>M735+M736</f>
        <v>18.683000000000007</v>
      </c>
    </row>
    <row r="736" spans="1:15" ht="15" customHeight="1">
      <c r="A736" s="130" t="s">
        <v>316</v>
      </c>
      <c r="B736" s="130" t="s">
        <v>293</v>
      </c>
      <c r="C736" s="155">
        <v>44334</v>
      </c>
      <c r="D736" s="130">
        <v>1458</v>
      </c>
      <c r="E736" s="130" t="s">
        <v>294</v>
      </c>
      <c r="F736" s="130" t="s">
        <v>297</v>
      </c>
      <c r="G736" s="130" t="s">
        <v>600</v>
      </c>
      <c r="H736" s="130">
        <v>955448</v>
      </c>
      <c r="I736" s="145">
        <v>6</v>
      </c>
      <c r="J736" s="129" t="s">
        <v>193</v>
      </c>
      <c r="K736" s="127">
        <v>69</v>
      </c>
      <c r="L736" s="103">
        <v>16.378</v>
      </c>
      <c r="M736" s="128">
        <f t="shared" si="230"/>
        <v>52.622</v>
      </c>
      <c r="N736" s="94">
        <f t="shared" si="231"/>
        <v>0.23736231884057971</v>
      </c>
    </row>
    <row r="737" spans="1:15" ht="15" customHeight="1">
      <c r="A737" s="130" t="s">
        <v>316</v>
      </c>
      <c r="B737" s="130" t="s">
        <v>293</v>
      </c>
      <c r="C737" s="155">
        <v>44334</v>
      </c>
      <c r="D737" s="130">
        <v>1458</v>
      </c>
      <c r="E737" s="130" t="s">
        <v>294</v>
      </c>
      <c r="F737" s="130" t="s">
        <v>297</v>
      </c>
      <c r="G737" s="130" t="s">
        <v>549</v>
      </c>
      <c r="H737" s="130">
        <v>964249</v>
      </c>
      <c r="I737" s="145">
        <v>24</v>
      </c>
      <c r="J737" s="129" t="s">
        <v>192</v>
      </c>
      <c r="K737" s="127">
        <v>31</v>
      </c>
      <c r="L737" s="103">
        <v>76.930000000000007</v>
      </c>
      <c r="M737" s="128">
        <f t="shared" ref="M737:M742" si="232">K737-L737</f>
        <v>-45.930000000000007</v>
      </c>
      <c r="N737" s="94">
        <f t="shared" ref="N737:N742" si="233">L737/K737</f>
        <v>2.4816129032258067</v>
      </c>
      <c r="O737" s="116">
        <f>M737+M738</f>
        <v>23.069999999999993</v>
      </c>
    </row>
    <row r="738" spans="1:15" ht="15" customHeight="1">
      <c r="A738" s="130" t="s">
        <v>316</v>
      </c>
      <c r="B738" s="130" t="s">
        <v>293</v>
      </c>
      <c r="C738" s="155">
        <v>44334</v>
      </c>
      <c r="D738" s="130">
        <v>1458</v>
      </c>
      <c r="E738" s="130" t="s">
        <v>294</v>
      </c>
      <c r="F738" s="130" t="s">
        <v>297</v>
      </c>
      <c r="G738" s="130" t="s">
        <v>549</v>
      </c>
      <c r="H738" s="130">
        <v>964249</v>
      </c>
      <c r="I738" s="145">
        <v>24</v>
      </c>
      <c r="J738" s="129" t="s">
        <v>193</v>
      </c>
      <c r="K738" s="127">
        <v>69</v>
      </c>
      <c r="L738" s="103"/>
      <c r="M738" s="128">
        <f t="shared" si="232"/>
        <v>69</v>
      </c>
      <c r="N738" s="94">
        <f t="shared" si="233"/>
        <v>0</v>
      </c>
    </row>
    <row r="739" spans="1:15" ht="15" customHeight="1">
      <c r="A739" s="130" t="s">
        <v>316</v>
      </c>
      <c r="B739" s="130" t="s">
        <v>293</v>
      </c>
      <c r="C739" s="155">
        <v>44334</v>
      </c>
      <c r="D739" s="130">
        <v>1458</v>
      </c>
      <c r="E739" s="130" t="s">
        <v>294</v>
      </c>
      <c r="F739" s="130" t="s">
        <v>297</v>
      </c>
      <c r="G739" s="130" t="s">
        <v>635</v>
      </c>
      <c r="H739" s="130">
        <v>961126</v>
      </c>
      <c r="I739" s="145">
        <v>6</v>
      </c>
      <c r="J739" s="129" t="s">
        <v>192</v>
      </c>
      <c r="K739" s="127">
        <v>31</v>
      </c>
      <c r="L739" s="103">
        <v>69.712000000000003</v>
      </c>
      <c r="M739" s="128">
        <f t="shared" si="232"/>
        <v>-38.712000000000003</v>
      </c>
      <c r="N739" s="94">
        <f t="shared" si="233"/>
        <v>2.2487741935483871</v>
      </c>
      <c r="O739" s="116">
        <f>M739+M740</f>
        <v>0</v>
      </c>
    </row>
    <row r="740" spans="1:15" ht="15" customHeight="1">
      <c r="A740" s="130" t="s">
        <v>316</v>
      </c>
      <c r="B740" s="130" t="s">
        <v>293</v>
      </c>
      <c r="C740" s="155">
        <v>44334</v>
      </c>
      <c r="D740" s="130">
        <v>1458</v>
      </c>
      <c r="E740" s="130" t="s">
        <v>294</v>
      </c>
      <c r="F740" s="130" t="s">
        <v>297</v>
      </c>
      <c r="G740" s="130" t="s">
        <v>635</v>
      </c>
      <c r="H740" s="130">
        <v>961126</v>
      </c>
      <c r="I740" s="145">
        <v>6</v>
      </c>
      <c r="J740" s="129" t="s">
        <v>193</v>
      </c>
      <c r="K740" s="127">
        <v>69</v>
      </c>
      <c r="L740" s="103">
        <v>30.288</v>
      </c>
      <c r="M740" s="128">
        <f t="shared" si="232"/>
        <v>38.712000000000003</v>
      </c>
      <c r="N740" s="94">
        <f t="shared" si="233"/>
        <v>0.43895652173913041</v>
      </c>
    </row>
    <row r="741" spans="1:15" ht="15" customHeight="1">
      <c r="A741" s="130" t="s">
        <v>316</v>
      </c>
      <c r="B741" s="130" t="s">
        <v>293</v>
      </c>
      <c r="C741" s="155">
        <v>44334</v>
      </c>
      <c r="D741" s="130">
        <v>1458</v>
      </c>
      <c r="E741" s="130" t="s">
        <v>294</v>
      </c>
      <c r="F741" s="130" t="s">
        <v>297</v>
      </c>
      <c r="G741" s="130" t="s">
        <v>636</v>
      </c>
      <c r="H741" s="130">
        <v>951944</v>
      </c>
      <c r="I741" s="145">
        <v>9</v>
      </c>
      <c r="J741" s="129" t="s">
        <v>192</v>
      </c>
      <c r="K741" s="127">
        <v>31</v>
      </c>
      <c r="L741" s="103">
        <v>91</v>
      </c>
      <c r="M741" s="128">
        <f t="shared" si="232"/>
        <v>-60</v>
      </c>
      <c r="N741" s="94">
        <f t="shared" si="233"/>
        <v>2.935483870967742</v>
      </c>
      <c r="O741" s="116">
        <f>M741+M742</f>
        <v>9</v>
      </c>
    </row>
    <row r="742" spans="1:15" ht="15" customHeight="1">
      <c r="A742" s="130" t="s">
        <v>316</v>
      </c>
      <c r="B742" s="130" t="s">
        <v>293</v>
      </c>
      <c r="C742" s="155">
        <v>44334</v>
      </c>
      <c r="D742" s="130">
        <v>1458</v>
      </c>
      <c r="E742" s="130" t="s">
        <v>294</v>
      </c>
      <c r="F742" s="130" t="s">
        <v>297</v>
      </c>
      <c r="G742" s="130" t="s">
        <v>636</v>
      </c>
      <c r="H742" s="130">
        <v>951944</v>
      </c>
      <c r="I742" s="145">
        <v>9</v>
      </c>
      <c r="J742" s="129" t="s">
        <v>193</v>
      </c>
      <c r="K742" s="127">
        <v>69</v>
      </c>
      <c r="L742" s="103"/>
      <c r="M742" s="128">
        <f t="shared" si="232"/>
        <v>69</v>
      </c>
      <c r="N742" s="94">
        <f t="shared" si="233"/>
        <v>0</v>
      </c>
    </row>
    <row r="743" spans="1:15" ht="15" customHeight="1">
      <c r="A743" s="130" t="s">
        <v>316</v>
      </c>
      <c r="B743" s="130" t="s">
        <v>293</v>
      </c>
      <c r="C743" s="155">
        <v>44334</v>
      </c>
      <c r="D743" s="130">
        <v>1458</v>
      </c>
      <c r="E743" s="130" t="s">
        <v>294</v>
      </c>
      <c r="F743" s="130" t="s">
        <v>297</v>
      </c>
      <c r="G743" s="130" t="s">
        <v>637</v>
      </c>
      <c r="H743" s="130">
        <v>922965</v>
      </c>
      <c r="I743" s="145">
        <v>50</v>
      </c>
      <c r="J743" s="129" t="s">
        <v>192</v>
      </c>
      <c r="K743" s="127">
        <v>31</v>
      </c>
      <c r="L743" s="103">
        <v>64.412999999999997</v>
      </c>
      <c r="M743" s="128">
        <f t="shared" ref="M743:M776" si="234">K743-L743</f>
        <v>-33.412999999999997</v>
      </c>
      <c r="N743" s="94">
        <f t="shared" ref="N743:N776" si="235">L743/K743</f>
        <v>2.0778387096774193</v>
      </c>
      <c r="O743" s="116">
        <f t="shared" ref="O743" si="236">M743+M744</f>
        <v>19.652000000000001</v>
      </c>
    </row>
    <row r="744" spans="1:15" ht="15" customHeight="1">
      <c r="A744" s="130" t="s">
        <v>316</v>
      </c>
      <c r="B744" s="130" t="s">
        <v>293</v>
      </c>
      <c r="C744" s="155">
        <v>44334</v>
      </c>
      <c r="D744" s="130">
        <v>1458</v>
      </c>
      <c r="E744" s="130" t="s">
        <v>294</v>
      </c>
      <c r="F744" s="130" t="s">
        <v>297</v>
      </c>
      <c r="G744" s="130" t="s">
        <v>637</v>
      </c>
      <c r="H744" s="130">
        <v>922965</v>
      </c>
      <c r="I744" s="145">
        <v>50</v>
      </c>
      <c r="J744" s="129" t="s">
        <v>193</v>
      </c>
      <c r="K744" s="127">
        <v>69</v>
      </c>
      <c r="L744" s="103">
        <v>15.935</v>
      </c>
      <c r="M744" s="128">
        <f t="shared" si="234"/>
        <v>53.064999999999998</v>
      </c>
      <c r="N744" s="94">
        <f t="shared" si="235"/>
        <v>0.23094202898550725</v>
      </c>
    </row>
    <row r="745" spans="1:15" ht="15" customHeight="1">
      <c r="A745" s="130" t="s">
        <v>316</v>
      </c>
      <c r="B745" s="130" t="s">
        <v>293</v>
      </c>
      <c r="C745" s="155">
        <v>44334</v>
      </c>
      <c r="D745" s="130">
        <v>1458</v>
      </c>
      <c r="E745" s="130" t="s">
        <v>294</v>
      </c>
      <c r="F745" s="130" t="s">
        <v>297</v>
      </c>
      <c r="G745" s="130" t="s">
        <v>604</v>
      </c>
      <c r="H745" s="130">
        <v>967435</v>
      </c>
      <c r="I745" s="145">
        <v>74</v>
      </c>
      <c r="J745" s="129" t="s">
        <v>192</v>
      </c>
      <c r="K745" s="127">
        <v>31</v>
      </c>
      <c r="L745" s="103">
        <v>74.808999999999997</v>
      </c>
      <c r="M745" s="128">
        <f t="shared" si="234"/>
        <v>-43.808999999999997</v>
      </c>
      <c r="N745" s="94">
        <f t="shared" si="235"/>
        <v>2.4131935483870968</v>
      </c>
      <c r="O745" s="116">
        <f t="shared" ref="O745" si="237">M745+M746</f>
        <v>0</v>
      </c>
    </row>
    <row r="746" spans="1:15" ht="15" customHeight="1">
      <c r="A746" s="130" t="s">
        <v>316</v>
      </c>
      <c r="B746" s="130" t="s">
        <v>293</v>
      </c>
      <c r="C746" s="155">
        <v>44334</v>
      </c>
      <c r="D746" s="130">
        <v>1458</v>
      </c>
      <c r="E746" s="130" t="s">
        <v>294</v>
      </c>
      <c r="F746" s="130" t="s">
        <v>297</v>
      </c>
      <c r="G746" s="130" t="s">
        <v>604</v>
      </c>
      <c r="H746" s="130">
        <v>967435</v>
      </c>
      <c r="I746" s="145">
        <v>74</v>
      </c>
      <c r="J746" s="129" t="s">
        <v>193</v>
      </c>
      <c r="K746" s="127">
        <v>69</v>
      </c>
      <c r="L746" s="103">
        <v>25.190999999999999</v>
      </c>
      <c r="M746" s="128">
        <f t="shared" si="234"/>
        <v>43.808999999999997</v>
      </c>
      <c r="N746" s="94">
        <f t="shared" si="235"/>
        <v>0.36508695652173911</v>
      </c>
    </row>
    <row r="747" spans="1:15" ht="15" customHeight="1">
      <c r="A747" s="130" t="s">
        <v>316</v>
      </c>
      <c r="B747" s="130" t="s">
        <v>293</v>
      </c>
      <c r="C747" s="155">
        <v>44334</v>
      </c>
      <c r="D747" s="130">
        <v>1458</v>
      </c>
      <c r="E747" s="130" t="s">
        <v>294</v>
      </c>
      <c r="F747" s="130" t="s">
        <v>297</v>
      </c>
      <c r="G747" s="130" t="s">
        <v>638</v>
      </c>
      <c r="H747" s="130">
        <v>969525</v>
      </c>
      <c r="I747" s="145">
        <v>58</v>
      </c>
      <c r="J747" s="129" t="s">
        <v>192</v>
      </c>
      <c r="K747" s="127">
        <v>31</v>
      </c>
      <c r="L747" s="103">
        <v>65.078999999999994</v>
      </c>
      <c r="M747" s="128">
        <f t="shared" si="234"/>
        <v>-34.078999999999994</v>
      </c>
      <c r="N747" s="94">
        <f t="shared" si="235"/>
        <v>2.0993225806451612</v>
      </c>
      <c r="O747" s="116">
        <f t="shared" ref="O747" si="238">M747+M748</f>
        <v>0</v>
      </c>
    </row>
    <row r="748" spans="1:15" ht="15" customHeight="1">
      <c r="A748" s="130" t="s">
        <v>316</v>
      </c>
      <c r="B748" s="130" t="s">
        <v>293</v>
      </c>
      <c r="C748" s="155">
        <v>44334</v>
      </c>
      <c r="D748" s="130">
        <v>1458</v>
      </c>
      <c r="E748" s="130" t="s">
        <v>294</v>
      </c>
      <c r="F748" s="130" t="s">
        <v>297</v>
      </c>
      <c r="G748" s="130" t="s">
        <v>638</v>
      </c>
      <c r="H748" s="130">
        <v>969525</v>
      </c>
      <c r="I748" s="145">
        <v>58</v>
      </c>
      <c r="J748" s="129" t="s">
        <v>193</v>
      </c>
      <c r="K748" s="127">
        <v>69</v>
      </c>
      <c r="L748" s="103">
        <v>34.920999999999999</v>
      </c>
      <c r="M748" s="128">
        <f t="shared" si="234"/>
        <v>34.079000000000001</v>
      </c>
      <c r="N748" s="94">
        <f t="shared" si="235"/>
        <v>0.50610144927536227</v>
      </c>
    </row>
    <row r="749" spans="1:15" ht="15" customHeight="1">
      <c r="A749" s="130" t="s">
        <v>316</v>
      </c>
      <c r="B749" s="130" t="s">
        <v>293</v>
      </c>
      <c r="C749" s="155">
        <v>44334</v>
      </c>
      <c r="D749" s="130">
        <v>1458</v>
      </c>
      <c r="E749" s="130" t="s">
        <v>294</v>
      </c>
      <c r="F749" s="130" t="s">
        <v>297</v>
      </c>
      <c r="G749" s="130" t="s">
        <v>639</v>
      </c>
      <c r="H749" s="130">
        <v>951974</v>
      </c>
      <c r="I749" s="145">
        <v>9</v>
      </c>
      <c r="J749" s="129" t="s">
        <v>192</v>
      </c>
      <c r="K749" s="127">
        <v>31</v>
      </c>
      <c r="L749" s="103">
        <v>62.526000000000003</v>
      </c>
      <c r="M749" s="128">
        <f t="shared" si="234"/>
        <v>-31.526000000000003</v>
      </c>
      <c r="N749" s="94">
        <f t="shared" si="235"/>
        <v>2.0169677419354839</v>
      </c>
      <c r="O749" s="116">
        <f t="shared" ref="O749" si="239">M749+M750</f>
        <v>0</v>
      </c>
    </row>
    <row r="750" spans="1:15" ht="15" customHeight="1">
      <c r="A750" s="130" t="s">
        <v>316</v>
      </c>
      <c r="B750" s="130" t="s">
        <v>293</v>
      </c>
      <c r="C750" s="155">
        <v>44334</v>
      </c>
      <c r="D750" s="130">
        <v>1458</v>
      </c>
      <c r="E750" s="130" t="s">
        <v>294</v>
      </c>
      <c r="F750" s="130" t="s">
        <v>297</v>
      </c>
      <c r="G750" s="130" t="s">
        <v>639</v>
      </c>
      <c r="H750" s="130">
        <v>951974</v>
      </c>
      <c r="I750" s="145">
        <v>9</v>
      </c>
      <c r="J750" s="129" t="s">
        <v>193</v>
      </c>
      <c r="K750" s="127">
        <v>69</v>
      </c>
      <c r="L750" s="103">
        <v>37.473999999999997</v>
      </c>
      <c r="M750" s="128">
        <f t="shared" si="234"/>
        <v>31.526000000000003</v>
      </c>
      <c r="N750" s="94">
        <f t="shared" si="235"/>
        <v>0.5431014492753623</v>
      </c>
    </row>
    <row r="751" spans="1:15" ht="15" customHeight="1">
      <c r="A751" s="130" t="s">
        <v>316</v>
      </c>
      <c r="B751" s="130" t="s">
        <v>293</v>
      </c>
      <c r="C751" s="155">
        <v>44334</v>
      </c>
      <c r="D751" s="130">
        <v>1458</v>
      </c>
      <c r="E751" s="130" t="s">
        <v>294</v>
      </c>
      <c r="F751" s="130" t="s">
        <v>297</v>
      </c>
      <c r="G751" s="130" t="s">
        <v>640</v>
      </c>
      <c r="H751" s="130">
        <v>958573</v>
      </c>
      <c r="I751" s="145">
        <v>58</v>
      </c>
      <c r="J751" s="129" t="s">
        <v>192</v>
      </c>
      <c r="K751" s="127">
        <v>31</v>
      </c>
      <c r="L751" s="103">
        <v>71.778999999999996</v>
      </c>
      <c r="M751" s="128">
        <f t="shared" si="234"/>
        <v>-40.778999999999996</v>
      </c>
      <c r="N751" s="94">
        <f t="shared" si="235"/>
        <v>2.3154516129032259</v>
      </c>
      <c r="O751" s="116">
        <f t="shared" ref="O751" si="240">M751+M752</f>
        <v>25.230000000000004</v>
      </c>
    </row>
    <row r="752" spans="1:15" ht="15" customHeight="1">
      <c r="A752" s="130" t="s">
        <v>316</v>
      </c>
      <c r="B752" s="130" t="s">
        <v>293</v>
      </c>
      <c r="C752" s="155">
        <v>44334</v>
      </c>
      <c r="D752" s="130">
        <v>1458</v>
      </c>
      <c r="E752" s="130" t="s">
        <v>294</v>
      </c>
      <c r="F752" s="130" t="s">
        <v>297</v>
      </c>
      <c r="G752" s="130" t="s">
        <v>640</v>
      </c>
      <c r="H752" s="130">
        <v>958573</v>
      </c>
      <c r="I752" s="145">
        <v>58</v>
      </c>
      <c r="J752" s="129" t="s">
        <v>193</v>
      </c>
      <c r="K752" s="127">
        <v>69</v>
      </c>
      <c r="L752" s="103">
        <v>2.9910000000000001</v>
      </c>
      <c r="M752" s="128">
        <f t="shared" si="234"/>
        <v>66.009</v>
      </c>
      <c r="N752" s="94">
        <f t="shared" si="235"/>
        <v>4.3347826086956524E-2</v>
      </c>
    </row>
    <row r="753" spans="1:15" ht="15" customHeight="1">
      <c r="A753" s="130" t="s">
        <v>316</v>
      </c>
      <c r="B753" s="130" t="s">
        <v>293</v>
      </c>
      <c r="C753" s="155">
        <v>44334</v>
      </c>
      <c r="D753" s="130">
        <v>1458</v>
      </c>
      <c r="E753" s="130" t="s">
        <v>294</v>
      </c>
      <c r="F753" s="130" t="s">
        <v>297</v>
      </c>
      <c r="G753" s="130" t="s">
        <v>632</v>
      </c>
      <c r="H753" s="130">
        <v>958078</v>
      </c>
      <c r="I753" s="145">
        <v>58</v>
      </c>
      <c r="J753" s="129" t="s">
        <v>192</v>
      </c>
      <c r="K753" s="127">
        <v>31</v>
      </c>
      <c r="L753" s="103">
        <v>91</v>
      </c>
      <c r="M753" s="128">
        <f t="shared" si="234"/>
        <v>-60</v>
      </c>
      <c r="N753" s="94">
        <f t="shared" si="235"/>
        <v>2.935483870967742</v>
      </c>
      <c r="O753" s="116">
        <f t="shared" ref="O753" si="241">M753+M754</f>
        <v>0</v>
      </c>
    </row>
    <row r="754" spans="1:15" ht="15" customHeight="1">
      <c r="A754" s="130" t="s">
        <v>316</v>
      </c>
      <c r="B754" s="130" t="s">
        <v>293</v>
      </c>
      <c r="C754" s="155">
        <v>44334</v>
      </c>
      <c r="D754" s="130">
        <v>1458</v>
      </c>
      <c r="E754" s="130" t="s">
        <v>294</v>
      </c>
      <c r="F754" s="130" t="s">
        <v>297</v>
      </c>
      <c r="G754" s="130" t="s">
        <v>632</v>
      </c>
      <c r="H754" s="130">
        <v>958078</v>
      </c>
      <c r="I754" s="145">
        <v>58</v>
      </c>
      <c r="J754" s="129" t="s">
        <v>193</v>
      </c>
      <c r="K754" s="127">
        <v>69</v>
      </c>
      <c r="L754" s="103">
        <v>9</v>
      </c>
      <c r="M754" s="128">
        <f t="shared" si="234"/>
        <v>60</v>
      </c>
      <c r="N754" s="94">
        <f t="shared" si="235"/>
        <v>0.13043478260869565</v>
      </c>
    </row>
    <row r="755" spans="1:15" ht="15" customHeight="1">
      <c r="A755" s="130" t="s">
        <v>316</v>
      </c>
      <c r="B755" s="130" t="s">
        <v>293</v>
      </c>
      <c r="C755" s="155">
        <v>44334</v>
      </c>
      <c r="D755" s="130">
        <v>1458</v>
      </c>
      <c r="E755" s="130" t="s">
        <v>294</v>
      </c>
      <c r="F755" s="130" t="s">
        <v>297</v>
      </c>
      <c r="G755" s="130" t="s">
        <v>641</v>
      </c>
      <c r="H755" s="130">
        <v>958713</v>
      </c>
      <c r="I755" s="145">
        <v>53</v>
      </c>
      <c r="J755" s="129" t="s">
        <v>192</v>
      </c>
      <c r="K755" s="127">
        <v>31</v>
      </c>
      <c r="L755" s="103">
        <v>62.548999999999999</v>
      </c>
      <c r="M755" s="128">
        <f t="shared" si="234"/>
        <v>-31.548999999999999</v>
      </c>
      <c r="N755" s="94">
        <f t="shared" si="235"/>
        <v>2.0177096774193548</v>
      </c>
      <c r="O755" s="116">
        <f t="shared" ref="O755" si="242">M755+M756</f>
        <v>0</v>
      </c>
    </row>
    <row r="756" spans="1:15" ht="15" customHeight="1">
      <c r="A756" s="130" t="s">
        <v>316</v>
      </c>
      <c r="B756" s="130" t="s">
        <v>293</v>
      </c>
      <c r="C756" s="155">
        <v>44334</v>
      </c>
      <c r="D756" s="130">
        <v>1458</v>
      </c>
      <c r="E756" s="130" t="s">
        <v>294</v>
      </c>
      <c r="F756" s="130" t="s">
        <v>297</v>
      </c>
      <c r="G756" s="130" t="s">
        <v>641</v>
      </c>
      <c r="H756" s="130">
        <v>958713</v>
      </c>
      <c r="I756" s="145">
        <v>53</v>
      </c>
      <c r="J756" s="129" t="s">
        <v>193</v>
      </c>
      <c r="K756" s="127">
        <v>69</v>
      </c>
      <c r="L756" s="103">
        <v>37.451000000000001</v>
      </c>
      <c r="M756" s="128">
        <f t="shared" si="234"/>
        <v>31.548999999999999</v>
      </c>
      <c r="N756" s="94">
        <f t="shared" si="235"/>
        <v>0.54276811594202901</v>
      </c>
    </row>
    <row r="757" spans="1:15" ht="15" customHeight="1">
      <c r="A757" s="130" t="s">
        <v>316</v>
      </c>
      <c r="B757" s="130" t="s">
        <v>293</v>
      </c>
      <c r="C757" s="155">
        <v>44334</v>
      </c>
      <c r="D757" s="130">
        <v>1458</v>
      </c>
      <c r="E757" s="130" t="s">
        <v>294</v>
      </c>
      <c r="F757" s="130" t="s">
        <v>297</v>
      </c>
      <c r="G757" s="130" t="s">
        <v>557</v>
      </c>
      <c r="H757" s="130">
        <v>923000</v>
      </c>
      <c r="I757" s="145">
        <v>9</v>
      </c>
      <c r="J757" s="129" t="s">
        <v>192</v>
      </c>
      <c r="K757" s="127">
        <v>31</v>
      </c>
      <c r="L757" s="103">
        <v>84.647000000000006</v>
      </c>
      <c r="M757" s="128">
        <f t="shared" si="234"/>
        <v>-53.647000000000006</v>
      </c>
      <c r="N757" s="94">
        <f t="shared" si="235"/>
        <v>2.7305483870967744</v>
      </c>
      <c r="O757" s="116">
        <f t="shared" ref="O757" si="243">M757+M758</f>
        <v>0</v>
      </c>
    </row>
    <row r="758" spans="1:15" ht="15" customHeight="1">
      <c r="A758" s="130" t="s">
        <v>316</v>
      </c>
      <c r="B758" s="130" t="s">
        <v>293</v>
      </c>
      <c r="C758" s="155">
        <v>44334</v>
      </c>
      <c r="D758" s="130">
        <v>1458</v>
      </c>
      <c r="E758" s="130" t="s">
        <v>294</v>
      </c>
      <c r="F758" s="130" t="s">
        <v>297</v>
      </c>
      <c r="G758" s="130" t="s">
        <v>557</v>
      </c>
      <c r="H758" s="130">
        <v>923000</v>
      </c>
      <c r="I758" s="145">
        <v>9</v>
      </c>
      <c r="J758" s="129" t="s">
        <v>193</v>
      </c>
      <c r="K758" s="127">
        <v>69</v>
      </c>
      <c r="L758" s="103">
        <v>15.353</v>
      </c>
      <c r="M758" s="128">
        <f t="shared" si="234"/>
        <v>53.646999999999998</v>
      </c>
      <c r="N758" s="94">
        <f t="shared" si="235"/>
        <v>0.2225072463768116</v>
      </c>
    </row>
    <row r="759" spans="1:15" ht="15" customHeight="1">
      <c r="A759" s="130" t="s">
        <v>316</v>
      </c>
      <c r="B759" s="130" t="s">
        <v>293</v>
      </c>
      <c r="C759" s="155">
        <v>44334</v>
      </c>
      <c r="D759" s="130">
        <v>1458</v>
      </c>
      <c r="E759" s="130" t="s">
        <v>294</v>
      </c>
      <c r="F759" s="130" t="s">
        <v>297</v>
      </c>
      <c r="G759" s="130" t="s">
        <v>474</v>
      </c>
      <c r="H759" s="130">
        <v>924718</v>
      </c>
      <c r="I759" s="145">
        <v>24</v>
      </c>
      <c r="J759" s="129" t="s">
        <v>192</v>
      </c>
      <c r="K759" s="127">
        <v>31</v>
      </c>
      <c r="L759" s="103">
        <v>35.496000000000002</v>
      </c>
      <c r="M759" s="128">
        <f t="shared" si="234"/>
        <v>-4.4960000000000022</v>
      </c>
      <c r="N759" s="94">
        <f t="shared" si="235"/>
        <v>1.1450322580645163</v>
      </c>
      <c r="O759" s="116">
        <f t="shared" ref="O759" si="244">M759+M760</f>
        <v>61.76</v>
      </c>
    </row>
    <row r="760" spans="1:15" ht="15" customHeight="1">
      <c r="A760" s="130" t="s">
        <v>316</v>
      </c>
      <c r="B760" s="130" t="s">
        <v>293</v>
      </c>
      <c r="C760" s="155">
        <v>44334</v>
      </c>
      <c r="D760" s="130">
        <v>1458</v>
      </c>
      <c r="E760" s="130" t="s">
        <v>294</v>
      </c>
      <c r="F760" s="130" t="s">
        <v>297</v>
      </c>
      <c r="G760" s="130" t="s">
        <v>474</v>
      </c>
      <c r="H760" s="130">
        <v>924718</v>
      </c>
      <c r="I760" s="145">
        <v>24</v>
      </c>
      <c r="J760" s="129" t="s">
        <v>193</v>
      </c>
      <c r="K760" s="127">
        <v>69</v>
      </c>
      <c r="L760" s="103">
        <v>2.7440000000000002</v>
      </c>
      <c r="M760" s="128">
        <f t="shared" si="234"/>
        <v>66.256</v>
      </c>
      <c r="N760" s="94">
        <f t="shared" si="235"/>
        <v>3.9768115942028989E-2</v>
      </c>
    </row>
    <row r="761" spans="1:15" ht="15" customHeight="1">
      <c r="A761" s="130" t="s">
        <v>316</v>
      </c>
      <c r="B761" s="130" t="s">
        <v>293</v>
      </c>
      <c r="C761" s="155">
        <v>44334</v>
      </c>
      <c r="D761" s="130">
        <v>1458</v>
      </c>
      <c r="E761" s="130" t="s">
        <v>294</v>
      </c>
      <c r="F761" s="130" t="s">
        <v>297</v>
      </c>
      <c r="G761" s="130" t="s">
        <v>642</v>
      </c>
      <c r="H761" s="130">
        <v>951497</v>
      </c>
      <c r="I761" s="145">
        <v>7</v>
      </c>
      <c r="J761" s="129" t="s">
        <v>192</v>
      </c>
      <c r="K761" s="127">
        <v>31</v>
      </c>
      <c r="L761" s="103"/>
      <c r="M761" s="128">
        <f t="shared" si="234"/>
        <v>31</v>
      </c>
      <c r="N761" s="94">
        <f t="shared" si="235"/>
        <v>0</v>
      </c>
      <c r="O761" s="116">
        <f t="shared" ref="O761" si="245">M761+M762</f>
        <v>0</v>
      </c>
    </row>
    <row r="762" spans="1:15" ht="15" customHeight="1">
      <c r="A762" s="130" t="s">
        <v>316</v>
      </c>
      <c r="B762" s="130" t="s">
        <v>293</v>
      </c>
      <c r="C762" s="155">
        <v>44334</v>
      </c>
      <c r="D762" s="130">
        <v>1458</v>
      </c>
      <c r="E762" s="130" t="s">
        <v>294</v>
      </c>
      <c r="F762" s="130" t="s">
        <v>297</v>
      </c>
      <c r="G762" s="130" t="s">
        <v>642</v>
      </c>
      <c r="H762" s="130">
        <v>951497</v>
      </c>
      <c r="I762" s="145">
        <v>7</v>
      </c>
      <c r="J762" s="129" t="s">
        <v>193</v>
      </c>
      <c r="K762" s="127">
        <v>69</v>
      </c>
      <c r="L762" s="103">
        <v>100</v>
      </c>
      <c r="M762" s="128">
        <f t="shared" si="234"/>
        <v>-31</v>
      </c>
      <c r="N762" s="94">
        <f t="shared" si="235"/>
        <v>1.4492753623188406</v>
      </c>
    </row>
    <row r="763" spans="1:15" ht="15" customHeight="1">
      <c r="A763" s="130" t="s">
        <v>316</v>
      </c>
      <c r="B763" s="130" t="s">
        <v>293</v>
      </c>
      <c r="C763" s="155">
        <v>44334</v>
      </c>
      <c r="D763" s="130">
        <v>1458</v>
      </c>
      <c r="E763" s="130" t="s">
        <v>294</v>
      </c>
      <c r="F763" s="130" t="s">
        <v>297</v>
      </c>
      <c r="G763" s="130" t="s">
        <v>692</v>
      </c>
      <c r="H763" s="130">
        <v>697538</v>
      </c>
      <c r="I763" s="145">
        <v>58</v>
      </c>
      <c r="J763" s="129" t="s">
        <v>192</v>
      </c>
      <c r="K763" s="127">
        <v>31</v>
      </c>
      <c r="L763" s="103">
        <v>87.070999999999998</v>
      </c>
      <c r="M763" s="128">
        <f t="shared" si="234"/>
        <v>-56.070999999999998</v>
      </c>
      <c r="N763" s="94">
        <f t="shared" si="235"/>
        <v>2.8087419354838707</v>
      </c>
      <c r="O763" s="116">
        <f t="shared" ref="O763" si="246">M763+M764</f>
        <v>0</v>
      </c>
    </row>
    <row r="764" spans="1:15" ht="15" customHeight="1">
      <c r="A764" s="130" t="s">
        <v>316</v>
      </c>
      <c r="B764" s="130" t="s">
        <v>293</v>
      </c>
      <c r="C764" s="155">
        <v>44334</v>
      </c>
      <c r="D764" s="130">
        <v>1458</v>
      </c>
      <c r="E764" s="130" t="s">
        <v>294</v>
      </c>
      <c r="F764" s="130" t="s">
        <v>297</v>
      </c>
      <c r="G764" s="130" t="s">
        <v>692</v>
      </c>
      <c r="H764" s="130">
        <v>697538</v>
      </c>
      <c r="I764" s="145">
        <v>58</v>
      </c>
      <c r="J764" s="129" t="s">
        <v>193</v>
      </c>
      <c r="K764" s="127">
        <v>69</v>
      </c>
      <c r="L764" s="103">
        <v>12.929</v>
      </c>
      <c r="M764" s="128">
        <f t="shared" si="234"/>
        <v>56.070999999999998</v>
      </c>
      <c r="N764" s="94">
        <f t="shared" si="235"/>
        <v>0.18737681159420291</v>
      </c>
    </row>
    <row r="765" spans="1:15" ht="15" customHeight="1">
      <c r="A765" s="130" t="s">
        <v>316</v>
      </c>
      <c r="B765" s="130" t="s">
        <v>293</v>
      </c>
      <c r="C765" s="155">
        <v>44334</v>
      </c>
      <c r="D765" s="130">
        <v>1458</v>
      </c>
      <c r="E765" s="130" t="s">
        <v>294</v>
      </c>
      <c r="F765" s="130" t="s">
        <v>297</v>
      </c>
      <c r="G765" s="130" t="s">
        <v>489</v>
      </c>
      <c r="H765" s="130">
        <v>950818</v>
      </c>
      <c r="I765" s="145">
        <v>23</v>
      </c>
      <c r="J765" s="129" t="s">
        <v>192</v>
      </c>
      <c r="K765" s="127">
        <v>31</v>
      </c>
      <c r="L765" s="103">
        <v>72.396000000000001</v>
      </c>
      <c r="M765" s="128">
        <f t="shared" si="234"/>
        <v>-41.396000000000001</v>
      </c>
      <c r="N765" s="94">
        <f t="shared" si="235"/>
        <v>2.3353548387096774</v>
      </c>
      <c r="O765" s="116">
        <f t="shared" ref="O765" si="247">M765+M766</f>
        <v>3.9999999999977831E-3</v>
      </c>
    </row>
    <row r="766" spans="1:15" ht="15" customHeight="1">
      <c r="A766" s="130" t="s">
        <v>316</v>
      </c>
      <c r="B766" s="130" t="s">
        <v>293</v>
      </c>
      <c r="C766" s="155">
        <v>44334</v>
      </c>
      <c r="D766" s="130">
        <v>1458</v>
      </c>
      <c r="E766" s="130" t="s">
        <v>294</v>
      </c>
      <c r="F766" s="130" t="s">
        <v>297</v>
      </c>
      <c r="G766" s="130" t="s">
        <v>489</v>
      </c>
      <c r="H766" s="130">
        <v>950818</v>
      </c>
      <c r="I766" s="145">
        <v>23</v>
      </c>
      <c r="J766" s="129" t="s">
        <v>193</v>
      </c>
      <c r="K766" s="127">
        <v>69</v>
      </c>
      <c r="L766" s="103">
        <v>27.6</v>
      </c>
      <c r="M766" s="128">
        <f t="shared" si="234"/>
        <v>41.4</v>
      </c>
      <c r="N766" s="94">
        <f t="shared" si="235"/>
        <v>0.4</v>
      </c>
    </row>
    <row r="767" spans="1:15" ht="15" customHeight="1">
      <c r="A767" s="130" t="s">
        <v>316</v>
      </c>
      <c r="B767" s="130" t="s">
        <v>293</v>
      </c>
      <c r="C767" s="155">
        <v>44334</v>
      </c>
      <c r="D767" s="130">
        <v>1458</v>
      </c>
      <c r="E767" s="130" t="s">
        <v>294</v>
      </c>
      <c r="F767" s="130" t="s">
        <v>297</v>
      </c>
      <c r="G767" s="130" t="s">
        <v>551</v>
      </c>
      <c r="H767" s="130">
        <v>959954</v>
      </c>
      <c r="I767" s="145">
        <v>19</v>
      </c>
      <c r="J767" s="129" t="s">
        <v>192</v>
      </c>
      <c r="K767" s="127">
        <v>31</v>
      </c>
      <c r="L767" s="103"/>
      <c r="M767" s="128">
        <f t="shared" si="234"/>
        <v>31</v>
      </c>
      <c r="N767" s="94">
        <f t="shared" si="235"/>
        <v>0</v>
      </c>
      <c r="O767" s="116">
        <f t="shared" ref="O767" si="248">M767+M768</f>
        <v>100</v>
      </c>
    </row>
    <row r="768" spans="1:15" ht="15" customHeight="1">
      <c r="A768" s="130" t="s">
        <v>316</v>
      </c>
      <c r="B768" s="130" t="s">
        <v>293</v>
      </c>
      <c r="C768" s="155">
        <v>44334</v>
      </c>
      <c r="D768" s="130">
        <v>1458</v>
      </c>
      <c r="E768" s="130" t="s">
        <v>294</v>
      </c>
      <c r="F768" s="130" t="s">
        <v>297</v>
      </c>
      <c r="G768" s="130" t="s">
        <v>551</v>
      </c>
      <c r="H768" s="130">
        <v>959954</v>
      </c>
      <c r="I768" s="145">
        <v>19</v>
      </c>
      <c r="J768" s="129" t="s">
        <v>193</v>
      </c>
      <c r="K768" s="127">
        <v>69</v>
      </c>
      <c r="L768" s="103"/>
      <c r="M768" s="128">
        <f t="shared" si="234"/>
        <v>69</v>
      </c>
      <c r="N768" s="94">
        <f t="shared" si="235"/>
        <v>0</v>
      </c>
    </row>
    <row r="769" spans="1:15" ht="15" customHeight="1">
      <c r="A769" s="130" t="s">
        <v>316</v>
      </c>
      <c r="B769" s="130" t="s">
        <v>293</v>
      </c>
      <c r="C769" s="155">
        <v>44334</v>
      </c>
      <c r="D769" s="130">
        <v>1458</v>
      </c>
      <c r="E769" s="130" t="s">
        <v>294</v>
      </c>
      <c r="F769" s="130" t="s">
        <v>297</v>
      </c>
      <c r="G769" s="130" t="s">
        <v>542</v>
      </c>
      <c r="H769" s="130">
        <v>952452</v>
      </c>
      <c r="I769" s="145">
        <v>74</v>
      </c>
      <c r="J769" s="129" t="s">
        <v>192</v>
      </c>
      <c r="K769" s="127">
        <v>31</v>
      </c>
      <c r="L769" s="103">
        <v>50.21</v>
      </c>
      <c r="M769" s="128">
        <f t="shared" si="234"/>
        <v>-19.21</v>
      </c>
      <c r="N769" s="94">
        <f t="shared" si="235"/>
        <v>1.6196774193548387</v>
      </c>
      <c r="O769" s="116">
        <f t="shared" ref="O769" si="249">M769+M770</f>
        <v>0</v>
      </c>
    </row>
    <row r="770" spans="1:15" ht="15" customHeight="1">
      <c r="A770" s="130" t="s">
        <v>316</v>
      </c>
      <c r="B770" s="130" t="s">
        <v>293</v>
      </c>
      <c r="C770" s="155">
        <v>44334</v>
      </c>
      <c r="D770" s="130">
        <v>1458</v>
      </c>
      <c r="E770" s="130" t="s">
        <v>294</v>
      </c>
      <c r="F770" s="130" t="s">
        <v>297</v>
      </c>
      <c r="G770" s="130" t="s">
        <v>542</v>
      </c>
      <c r="H770" s="130">
        <v>952452</v>
      </c>
      <c r="I770" s="145">
        <v>74</v>
      </c>
      <c r="J770" s="129" t="s">
        <v>193</v>
      </c>
      <c r="K770" s="127">
        <v>69</v>
      </c>
      <c r="L770" s="103">
        <v>49.79</v>
      </c>
      <c r="M770" s="128">
        <f t="shared" si="234"/>
        <v>19.21</v>
      </c>
      <c r="N770" s="94">
        <f t="shared" si="235"/>
        <v>0.7215942028985507</v>
      </c>
    </row>
    <row r="771" spans="1:15" ht="15" customHeight="1">
      <c r="A771" s="130" t="s">
        <v>316</v>
      </c>
      <c r="B771" s="130" t="s">
        <v>293</v>
      </c>
      <c r="C771" s="155">
        <v>44334</v>
      </c>
      <c r="D771" s="130">
        <v>1458</v>
      </c>
      <c r="E771" s="130" t="s">
        <v>294</v>
      </c>
      <c r="F771" s="130" t="s">
        <v>297</v>
      </c>
      <c r="G771" s="130" t="s">
        <v>596</v>
      </c>
      <c r="H771" s="130">
        <v>951916</v>
      </c>
      <c r="I771" s="145">
        <v>21</v>
      </c>
      <c r="J771" s="129" t="s">
        <v>192</v>
      </c>
      <c r="K771" s="127">
        <v>31</v>
      </c>
      <c r="L771" s="103">
        <v>64.183999999999997</v>
      </c>
      <c r="M771" s="128">
        <f t="shared" si="234"/>
        <v>-33.183999999999997</v>
      </c>
      <c r="N771" s="94">
        <f t="shared" si="235"/>
        <v>2.0704516129032258</v>
      </c>
      <c r="O771" s="116">
        <f t="shared" ref="O771" si="250">M771+M772</f>
        <v>26.544000000000004</v>
      </c>
    </row>
    <row r="772" spans="1:15" ht="15" customHeight="1">
      <c r="A772" s="130" t="s">
        <v>316</v>
      </c>
      <c r="B772" s="130" t="s">
        <v>293</v>
      </c>
      <c r="C772" s="155">
        <v>44334</v>
      </c>
      <c r="D772" s="130">
        <v>1458</v>
      </c>
      <c r="E772" s="130" t="s">
        <v>294</v>
      </c>
      <c r="F772" s="130" t="s">
        <v>297</v>
      </c>
      <c r="G772" s="130" t="s">
        <v>596</v>
      </c>
      <c r="H772" s="130">
        <v>951916</v>
      </c>
      <c r="I772" s="145">
        <v>21</v>
      </c>
      <c r="J772" s="129" t="s">
        <v>193</v>
      </c>
      <c r="K772" s="127">
        <v>69</v>
      </c>
      <c r="L772" s="103">
        <v>9.2720000000000002</v>
      </c>
      <c r="M772" s="128">
        <f t="shared" si="234"/>
        <v>59.728000000000002</v>
      </c>
      <c r="N772" s="94">
        <f t="shared" si="235"/>
        <v>0.13437681159420289</v>
      </c>
    </row>
    <row r="773" spans="1:15" ht="15" customHeight="1">
      <c r="A773" s="130" t="s">
        <v>316</v>
      </c>
      <c r="B773" s="130" t="s">
        <v>293</v>
      </c>
      <c r="C773" s="155">
        <v>44334</v>
      </c>
      <c r="D773" s="130">
        <v>1458</v>
      </c>
      <c r="E773" s="130" t="s">
        <v>294</v>
      </c>
      <c r="F773" s="130" t="s">
        <v>297</v>
      </c>
      <c r="G773" s="130" t="s">
        <v>681</v>
      </c>
      <c r="H773" s="130">
        <v>965442</v>
      </c>
      <c r="I773" s="145">
        <v>21</v>
      </c>
      <c r="J773" s="129" t="s">
        <v>192</v>
      </c>
      <c r="K773" s="127">
        <v>31</v>
      </c>
      <c r="L773" s="103">
        <v>10.972</v>
      </c>
      <c r="M773" s="128">
        <f t="shared" si="234"/>
        <v>20.027999999999999</v>
      </c>
      <c r="N773" s="94">
        <f t="shared" si="235"/>
        <v>0.35393548387096774</v>
      </c>
      <c r="O773" s="116">
        <f t="shared" ref="O773" si="251">M773+M774</f>
        <v>86.554000000000002</v>
      </c>
    </row>
    <row r="774" spans="1:15" ht="15" customHeight="1">
      <c r="A774" s="130" t="s">
        <v>316</v>
      </c>
      <c r="B774" s="130" t="s">
        <v>293</v>
      </c>
      <c r="C774" s="155">
        <v>44334</v>
      </c>
      <c r="D774" s="130">
        <v>1458</v>
      </c>
      <c r="E774" s="130" t="s">
        <v>294</v>
      </c>
      <c r="F774" s="130" t="s">
        <v>297</v>
      </c>
      <c r="G774" s="130" t="s">
        <v>681</v>
      </c>
      <c r="H774" s="130">
        <v>965442</v>
      </c>
      <c r="I774" s="145">
        <v>21</v>
      </c>
      <c r="J774" s="129" t="s">
        <v>193</v>
      </c>
      <c r="K774" s="127">
        <v>69</v>
      </c>
      <c r="L774" s="103">
        <v>2.4740000000000002</v>
      </c>
      <c r="M774" s="128">
        <f t="shared" si="234"/>
        <v>66.525999999999996</v>
      </c>
      <c r="N774" s="94">
        <f t="shared" si="235"/>
        <v>3.5855072463768116E-2</v>
      </c>
    </row>
    <row r="775" spans="1:15" ht="15" customHeight="1">
      <c r="A775" s="130" t="s">
        <v>316</v>
      </c>
      <c r="B775" s="130" t="s">
        <v>293</v>
      </c>
      <c r="C775" s="155">
        <v>44334</v>
      </c>
      <c r="D775" s="130">
        <v>1458</v>
      </c>
      <c r="E775" s="130" t="s">
        <v>294</v>
      </c>
      <c r="F775" s="130" t="s">
        <v>297</v>
      </c>
      <c r="G775" s="130" t="s">
        <v>643</v>
      </c>
      <c r="H775" s="130">
        <v>959062</v>
      </c>
      <c r="I775" s="145">
        <v>58</v>
      </c>
      <c r="J775" s="129" t="s">
        <v>192</v>
      </c>
      <c r="K775" s="127">
        <v>31</v>
      </c>
      <c r="L775" s="103">
        <v>91</v>
      </c>
      <c r="M775" s="128">
        <f t="shared" si="234"/>
        <v>-60</v>
      </c>
      <c r="N775" s="94">
        <f t="shared" si="235"/>
        <v>2.935483870967742</v>
      </c>
      <c r="O775" s="116">
        <f t="shared" ref="O775" si="252">M775+M776</f>
        <v>9</v>
      </c>
    </row>
    <row r="776" spans="1:15" ht="15" customHeight="1">
      <c r="A776" s="130" t="s">
        <v>316</v>
      </c>
      <c r="B776" s="130" t="s">
        <v>293</v>
      </c>
      <c r="C776" s="155">
        <v>44334</v>
      </c>
      <c r="D776" s="130">
        <v>1458</v>
      </c>
      <c r="E776" s="130" t="s">
        <v>294</v>
      </c>
      <c r="F776" s="130" t="s">
        <v>297</v>
      </c>
      <c r="G776" s="130" t="s">
        <v>643</v>
      </c>
      <c r="H776" s="130">
        <v>959062</v>
      </c>
      <c r="I776" s="145">
        <v>58</v>
      </c>
      <c r="J776" s="129" t="s">
        <v>193</v>
      </c>
      <c r="K776" s="127">
        <v>69</v>
      </c>
      <c r="L776" s="103"/>
      <c r="M776" s="128">
        <f t="shared" si="234"/>
        <v>69</v>
      </c>
      <c r="N776" s="94">
        <f t="shared" si="235"/>
        <v>0</v>
      </c>
    </row>
    <row r="777" spans="1:15" ht="15" customHeight="1">
      <c r="A777" s="130" t="s">
        <v>316</v>
      </c>
      <c r="B777" s="130" t="s">
        <v>293</v>
      </c>
      <c r="C777" s="155">
        <v>44334</v>
      </c>
      <c r="D777" s="130">
        <v>1458</v>
      </c>
      <c r="E777" s="130" t="s">
        <v>294</v>
      </c>
      <c r="F777" s="130" t="s">
        <v>297</v>
      </c>
      <c r="G777" s="130" t="s">
        <v>644</v>
      </c>
      <c r="H777" s="130">
        <v>968864</v>
      </c>
      <c r="I777" s="145">
        <v>58</v>
      </c>
      <c r="J777" s="129" t="s">
        <v>192</v>
      </c>
      <c r="K777" s="127">
        <v>31</v>
      </c>
      <c r="L777" s="103">
        <v>80.989000000000004</v>
      </c>
      <c r="M777" s="128">
        <f t="shared" ref="M777:M788" si="253">K777-L777</f>
        <v>-49.989000000000004</v>
      </c>
      <c r="N777" s="94">
        <f t="shared" ref="N777:N788" si="254">L777/K777</f>
        <v>2.6125483870967745</v>
      </c>
      <c r="O777" s="116">
        <f t="shared" ref="O777" si="255">M777+M778</f>
        <v>0</v>
      </c>
    </row>
    <row r="778" spans="1:15" ht="15" customHeight="1">
      <c r="A778" s="130" t="s">
        <v>316</v>
      </c>
      <c r="B778" s="130" t="s">
        <v>293</v>
      </c>
      <c r="C778" s="155">
        <v>44334</v>
      </c>
      <c r="D778" s="130">
        <v>1458</v>
      </c>
      <c r="E778" s="130" t="s">
        <v>294</v>
      </c>
      <c r="F778" s="130" t="s">
        <v>297</v>
      </c>
      <c r="G778" s="130" t="s">
        <v>644</v>
      </c>
      <c r="H778" s="130">
        <v>968864</v>
      </c>
      <c r="I778" s="145">
        <v>58</v>
      </c>
      <c r="J778" s="129" t="s">
        <v>193</v>
      </c>
      <c r="K778" s="127">
        <v>69</v>
      </c>
      <c r="L778" s="103">
        <v>19.010999999999999</v>
      </c>
      <c r="M778" s="128">
        <f t="shared" si="253"/>
        <v>49.989000000000004</v>
      </c>
      <c r="N778" s="94">
        <f t="shared" si="254"/>
        <v>0.27552173913043476</v>
      </c>
    </row>
    <row r="779" spans="1:15" ht="15" customHeight="1">
      <c r="A779" s="130" t="s">
        <v>316</v>
      </c>
      <c r="B779" s="130" t="s">
        <v>293</v>
      </c>
      <c r="C779" s="155">
        <v>44334</v>
      </c>
      <c r="D779" s="130">
        <v>1458</v>
      </c>
      <c r="E779" s="130" t="s">
        <v>294</v>
      </c>
      <c r="F779" s="130" t="s">
        <v>297</v>
      </c>
      <c r="G779" s="130" t="s">
        <v>598</v>
      </c>
      <c r="H779" s="130">
        <v>958085</v>
      </c>
      <c r="I779" s="145">
        <v>50</v>
      </c>
      <c r="J779" s="129" t="s">
        <v>192</v>
      </c>
      <c r="K779" s="127">
        <v>31</v>
      </c>
      <c r="L779" s="103">
        <v>91</v>
      </c>
      <c r="M779" s="128">
        <f t="shared" si="253"/>
        <v>-60</v>
      </c>
      <c r="N779" s="94">
        <f t="shared" si="254"/>
        <v>2.935483870967742</v>
      </c>
      <c r="O779" s="116">
        <f t="shared" ref="O779" si="256">M779+M780</f>
        <v>4.269999999999996</v>
      </c>
    </row>
    <row r="780" spans="1:15" ht="15" customHeight="1">
      <c r="A780" s="130" t="s">
        <v>316</v>
      </c>
      <c r="B780" s="130" t="s">
        <v>293</v>
      </c>
      <c r="C780" s="155">
        <v>44334</v>
      </c>
      <c r="D780" s="130">
        <v>1458</v>
      </c>
      <c r="E780" s="130" t="s">
        <v>294</v>
      </c>
      <c r="F780" s="130" t="s">
        <v>297</v>
      </c>
      <c r="G780" s="130" t="s">
        <v>598</v>
      </c>
      <c r="H780" s="130">
        <v>958085</v>
      </c>
      <c r="I780" s="145">
        <v>50</v>
      </c>
      <c r="J780" s="129" t="s">
        <v>193</v>
      </c>
      <c r="K780" s="127">
        <v>69</v>
      </c>
      <c r="L780" s="103">
        <v>4.7300000000000004</v>
      </c>
      <c r="M780" s="128">
        <f t="shared" si="253"/>
        <v>64.27</v>
      </c>
      <c r="N780" s="94">
        <f t="shared" si="254"/>
        <v>6.8550724637681165E-2</v>
      </c>
    </row>
    <row r="781" spans="1:15" ht="15" customHeight="1">
      <c r="A781" s="130" t="s">
        <v>316</v>
      </c>
      <c r="B781" s="130" t="s">
        <v>293</v>
      </c>
      <c r="C781" s="155">
        <v>44334</v>
      </c>
      <c r="D781" s="130">
        <v>1458</v>
      </c>
      <c r="E781" s="130" t="s">
        <v>294</v>
      </c>
      <c r="F781" s="130" t="s">
        <v>297</v>
      </c>
      <c r="G781" s="130" t="s">
        <v>609</v>
      </c>
      <c r="H781" s="130">
        <v>960959</v>
      </c>
      <c r="I781" s="145">
        <v>9</v>
      </c>
      <c r="J781" s="129" t="s">
        <v>192</v>
      </c>
      <c r="K781" s="127">
        <v>31</v>
      </c>
      <c r="L781" s="103">
        <v>88.043000000000006</v>
      </c>
      <c r="M781" s="128">
        <f t="shared" si="253"/>
        <v>-57.043000000000006</v>
      </c>
      <c r="N781" s="94">
        <f t="shared" si="254"/>
        <v>2.8400967741935488</v>
      </c>
      <c r="O781" s="116">
        <f t="shared" ref="O781" si="257">M781+M782</f>
        <v>0</v>
      </c>
    </row>
    <row r="782" spans="1:15" ht="15" customHeight="1">
      <c r="A782" s="130" t="s">
        <v>316</v>
      </c>
      <c r="B782" s="130" t="s">
        <v>293</v>
      </c>
      <c r="C782" s="155">
        <v>44334</v>
      </c>
      <c r="D782" s="130">
        <v>1458</v>
      </c>
      <c r="E782" s="130" t="s">
        <v>294</v>
      </c>
      <c r="F782" s="130" t="s">
        <v>297</v>
      </c>
      <c r="G782" s="130" t="s">
        <v>609</v>
      </c>
      <c r="H782" s="130">
        <v>960959</v>
      </c>
      <c r="I782" s="145">
        <v>9</v>
      </c>
      <c r="J782" s="129" t="s">
        <v>193</v>
      </c>
      <c r="K782" s="127">
        <v>69</v>
      </c>
      <c r="L782" s="103">
        <v>11.957000000000001</v>
      </c>
      <c r="M782" s="128">
        <f t="shared" si="253"/>
        <v>57.042999999999999</v>
      </c>
      <c r="N782" s="94">
        <f t="shared" si="254"/>
        <v>0.17328985507246378</v>
      </c>
    </row>
    <row r="783" spans="1:15" ht="15" customHeight="1">
      <c r="A783" s="130" t="s">
        <v>316</v>
      </c>
      <c r="B783" s="130" t="s">
        <v>293</v>
      </c>
      <c r="C783" s="155">
        <v>44334</v>
      </c>
      <c r="D783" s="130">
        <v>1458</v>
      </c>
      <c r="E783" s="130" t="s">
        <v>294</v>
      </c>
      <c r="F783" s="130" t="s">
        <v>297</v>
      </c>
      <c r="G783" s="130" t="s">
        <v>547</v>
      </c>
      <c r="H783" s="130">
        <v>957939</v>
      </c>
      <c r="I783" s="145">
        <v>6</v>
      </c>
      <c r="J783" s="129" t="s">
        <v>192</v>
      </c>
      <c r="K783" s="127">
        <v>31</v>
      </c>
      <c r="L783" s="103">
        <v>45.941000000000003</v>
      </c>
      <c r="M783" s="128">
        <f t="shared" si="253"/>
        <v>-14.941000000000003</v>
      </c>
      <c r="N783" s="94">
        <f t="shared" si="254"/>
        <v>1.481967741935484</v>
      </c>
      <c r="O783" s="116">
        <f t="shared" ref="O783" si="258">M783+M784</f>
        <v>37.304999999999993</v>
      </c>
    </row>
    <row r="784" spans="1:15" ht="15" customHeight="1">
      <c r="A784" s="130" t="s">
        <v>316</v>
      </c>
      <c r="B784" s="130" t="s">
        <v>293</v>
      </c>
      <c r="C784" s="155">
        <v>44334</v>
      </c>
      <c r="D784" s="130">
        <v>1458</v>
      </c>
      <c r="E784" s="130" t="s">
        <v>294</v>
      </c>
      <c r="F784" s="130" t="s">
        <v>297</v>
      </c>
      <c r="G784" s="130" t="s">
        <v>547</v>
      </c>
      <c r="H784" s="130">
        <v>957939</v>
      </c>
      <c r="I784" s="145">
        <v>6</v>
      </c>
      <c r="J784" s="129" t="s">
        <v>193</v>
      </c>
      <c r="K784" s="127">
        <v>69</v>
      </c>
      <c r="L784" s="103">
        <v>16.754000000000001</v>
      </c>
      <c r="M784" s="128">
        <f t="shared" si="253"/>
        <v>52.245999999999995</v>
      </c>
      <c r="N784" s="94">
        <f t="shared" si="254"/>
        <v>0.24281159420289858</v>
      </c>
    </row>
    <row r="785" spans="1:15" ht="15" customHeight="1">
      <c r="A785" s="130" t="s">
        <v>316</v>
      </c>
      <c r="B785" s="130" t="s">
        <v>293</v>
      </c>
      <c r="C785" s="155">
        <v>44334</v>
      </c>
      <c r="D785" s="130">
        <v>1458</v>
      </c>
      <c r="E785" s="130" t="s">
        <v>294</v>
      </c>
      <c r="F785" s="130" t="s">
        <v>297</v>
      </c>
      <c r="G785" s="130" t="s">
        <v>645</v>
      </c>
      <c r="H785" s="130">
        <v>966577</v>
      </c>
      <c r="I785" s="145">
        <v>6</v>
      </c>
      <c r="J785" s="129" t="s">
        <v>192</v>
      </c>
      <c r="K785" s="127">
        <v>31</v>
      </c>
      <c r="L785" s="103">
        <v>75.082999999999998</v>
      </c>
      <c r="M785" s="128">
        <f t="shared" si="253"/>
        <v>-44.082999999999998</v>
      </c>
      <c r="N785" s="94">
        <f t="shared" si="254"/>
        <v>2.4220322580645162</v>
      </c>
      <c r="O785" s="116">
        <f t="shared" ref="O785" si="259">M785+M786</f>
        <v>0</v>
      </c>
    </row>
    <row r="786" spans="1:15" ht="15" customHeight="1">
      <c r="A786" s="130" t="s">
        <v>316</v>
      </c>
      <c r="B786" s="130" t="s">
        <v>293</v>
      </c>
      <c r="C786" s="155">
        <v>44334</v>
      </c>
      <c r="D786" s="130">
        <v>1458</v>
      </c>
      <c r="E786" s="130" t="s">
        <v>294</v>
      </c>
      <c r="F786" s="130" t="s">
        <v>297</v>
      </c>
      <c r="G786" s="130" t="s">
        <v>645</v>
      </c>
      <c r="H786" s="130">
        <v>966577</v>
      </c>
      <c r="I786" s="145">
        <v>6</v>
      </c>
      <c r="J786" s="129" t="s">
        <v>193</v>
      </c>
      <c r="K786" s="127">
        <v>69</v>
      </c>
      <c r="L786" s="103">
        <v>24.917000000000002</v>
      </c>
      <c r="M786" s="128">
        <f t="shared" si="253"/>
        <v>44.082999999999998</v>
      </c>
      <c r="N786" s="94">
        <f t="shared" si="254"/>
        <v>0.3611159420289855</v>
      </c>
    </row>
    <row r="787" spans="1:15" ht="15" customHeight="1">
      <c r="A787" s="130" t="s">
        <v>316</v>
      </c>
      <c r="B787" s="130" t="s">
        <v>293</v>
      </c>
      <c r="C787" s="155">
        <v>44334</v>
      </c>
      <c r="D787" s="130">
        <v>1458</v>
      </c>
      <c r="E787" s="130" t="s">
        <v>294</v>
      </c>
      <c r="F787" s="130" t="s">
        <v>297</v>
      </c>
      <c r="G787" s="130" t="s">
        <v>333</v>
      </c>
      <c r="H787" s="130">
        <v>959347</v>
      </c>
      <c r="I787" s="145">
        <v>68</v>
      </c>
      <c r="J787" s="129" t="s">
        <v>192</v>
      </c>
      <c r="K787" s="127">
        <v>31</v>
      </c>
      <c r="L787" s="103">
        <v>47.304000000000002</v>
      </c>
      <c r="M787" s="128">
        <f t="shared" si="253"/>
        <v>-16.304000000000002</v>
      </c>
      <c r="N787" s="94">
        <f t="shared" si="254"/>
        <v>1.5259354838709678</v>
      </c>
      <c r="O787" s="116">
        <f t="shared" ref="O787" si="260">M787+M788</f>
        <v>0</v>
      </c>
    </row>
    <row r="788" spans="1:15" ht="15" customHeight="1">
      <c r="A788" s="130" t="s">
        <v>316</v>
      </c>
      <c r="B788" s="130" t="s">
        <v>293</v>
      </c>
      <c r="C788" s="155">
        <v>44334</v>
      </c>
      <c r="D788" s="130">
        <v>1458</v>
      </c>
      <c r="E788" s="130" t="s">
        <v>294</v>
      </c>
      <c r="F788" s="130" t="s">
        <v>297</v>
      </c>
      <c r="G788" s="130" t="s">
        <v>333</v>
      </c>
      <c r="H788" s="130">
        <v>959347</v>
      </c>
      <c r="I788" s="145">
        <v>68</v>
      </c>
      <c r="J788" s="129" t="s">
        <v>193</v>
      </c>
      <c r="K788" s="127">
        <v>69</v>
      </c>
      <c r="L788" s="103">
        <v>52.695999999999998</v>
      </c>
      <c r="M788" s="128">
        <f t="shared" si="253"/>
        <v>16.304000000000002</v>
      </c>
      <c r="N788" s="94">
        <f t="shared" si="254"/>
        <v>0.76371014492753619</v>
      </c>
    </row>
    <row r="789" spans="1:15" ht="15" customHeight="1">
      <c r="A789" s="130" t="s">
        <v>316</v>
      </c>
      <c r="B789" s="130" t="s">
        <v>293</v>
      </c>
      <c r="C789" s="155">
        <v>44334</v>
      </c>
      <c r="D789" s="130">
        <v>1458</v>
      </c>
      <c r="E789" s="130" t="s">
        <v>294</v>
      </c>
      <c r="F789" s="130" t="s">
        <v>297</v>
      </c>
      <c r="G789" s="130" t="s">
        <v>599</v>
      </c>
      <c r="H789" s="130">
        <v>952296</v>
      </c>
      <c r="I789" s="145">
        <v>74</v>
      </c>
      <c r="J789" s="129" t="s">
        <v>192</v>
      </c>
      <c r="K789" s="127">
        <v>31</v>
      </c>
      <c r="L789" s="103">
        <v>65.989000000000004</v>
      </c>
      <c r="M789" s="128">
        <f t="shared" ref="M789:M802" si="261">K789-L789</f>
        <v>-34.989000000000004</v>
      </c>
      <c r="N789" s="94">
        <f t="shared" ref="N789:N802" si="262">L789/K789</f>
        <v>2.128677419354839</v>
      </c>
      <c r="O789" s="116">
        <f t="shared" ref="O789" si="263">M789+M790</f>
        <v>0</v>
      </c>
    </row>
    <row r="790" spans="1:15" ht="15" customHeight="1">
      <c r="A790" s="130" t="s">
        <v>316</v>
      </c>
      <c r="B790" s="130" t="s">
        <v>293</v>
      </c>
      <c r="C790" s="155">
        <v>44334</v>
      </c>
      <c r="D790" s="130">
        <v>1458</v>
      </c>
      <c r="E790" s="130" t="s">
        <v>294</v>
      </c>
      <c r="F790" s="130" t="s">
        <v>297</v>
      </c>
      <c r="G790" s="130" t="s">
        <v>599</v>
      </c>
      <c r="H790" s="130">
        <v>952296</v>
      </c>
      <c r="I790" s="145">
        <v>74</v>
      </c>
      <c r="J790" s="129" t="s">
        <v>193</v>
      </c>
      <c r="K790" s="127">
        <v>69</v>
      </c>
      <c r="L790" s="103">
        <v>34.011000000000003</v>
      </c>
      <c r="M790" s="128">
        <f t="shared" si="261"/>
        <v>34.988999999999997</v>
      </c>
      <c r="N790" s="94">
        <f t="shared" si="262"/>
        <v>0.49291304347826093</v>
      </c>
    </row>
    <row r="791" spans="1:15" ht="15" customHeight="1">
      <c r="A791" s="130" t="s">
        <v>316</v>
      </c>
      <c r="B791" s="130" t="s">
        <v>293</v>
      </c>
      <c r="C791" s="155">
        <v>44334</v>
      </c>
      <c r="D791" s="130">
        <v>1458</v>
      </c>
      <c r="E791" s="130" t="s">
        <v>294</v>
      </c>
      <c r="F791" s="130" t="s">
        <v>297</v>
      </c>
      <c r="G791" s="130" t="s">
        <v>646</v>
      </c>
      <c r="H791" s="130">
        <v>30822</v>
      </c>
      <c r="I791" s="145">
        <v>74</v>
      </c>
      <c r="J791" s="129" t="s">
        <v>192</v>
      </c>
      <c r="K791" s="127">
        <v>31</v>
      </c>
      <c r="L791" s="103">
        <v>77.123999999999995</v>
      </c>
      <c r="M791" s="128">
        <f t="shared" si="261"/>
        <v>-46.123999999999995</v>
      </c>
      <c r="N791" s="94">
        <f t="shared" si="262"/>
        <v>2.4878709677419355</v>
      </c>
      <c r="O791" s="116">
        <f t="shared" ref="O791" si="264">M791+M792</f>
        <v>5.2070000000000078</v>
      </c>
    </row>
    <row r="792" spans="1:15" ht="15" customHeight="1">
      <c r="A792" s="130" t="s">
        <v>316</v>
      </c>
      <c r="B792" s="130" t="s">
        <v>293</v>
      </c>
      <c r="C792" s="155">
        <v>44334</v>
      </c>
      <c r="D792" s="130">
        <v>1458</v>
      </c>
      <c r="E792" s="130" t="s">
        <v>294</v>
      </c>
      <c r="F792" s="130" t="s">
        <v>297</v>
      </c>
      <c r="G792" s="130" t="s">
        <v>646</v>
      </c>
      <c r="H792" s="130">
        <v>30822</v>
      </c>
      <c r="I792" s="145">
        <v>74</v>
      </c>
      <c r="J792" s="129" t="s">
        <v>193</v>
      </c>
      <c r="K792" s="127">
        <v>69</v>
      </c>
      <c r="L792" s="103">
        <v>17.669</v>
      </c>
      <c r="M792" s="128">
        <f t="shared" si="261"/>
        <v>51.331000000000003</v>
      </c>
      <c r="N792" s="94">
        <f t="shared" si="262"/>
        <v>0.25607246376811593</v>
      </c>
    </row>
    <row r="793" spans="1:15" ht="15" customHeight="1">
      <c r="A793" s="130" t="s">
        <v>316</v>
      </c>
      <c r="B793" s="130" t="s">
        <v>293</v>
      </c>
      <c r="C793" s="155">
        <v>44334</v>
      </c>
      <c r="D793" s="130">
        <v>1458</v>
      </c>
      <c r="E793" s="130" t="s">
        <v>294</v>
      </c>
      <c r="F793" s="130" t="s">
        <v>297</v>
      </c>
      <c r="G793" s="130" t="s">
        <v>607</v>
      </c>
      <c r="H793" s="130">
        <v>959986</v>
      </c>
      <c r="I793" s="145">
        <v>6</v>
      </c>
      <c r="J793" s="129" t="s">
        <v>192</v>
      </c>
      <c r="K793" s="127">
        <v>31</v>
      </c>
      <c r="L793" s="103">
        <v>94.335999999999999</v>
      </c>
      <c r="M793" s="128">
        <f t="shared" si="261"/>
        <v>-63.335999999999999</v>
      </c>
      <c r="N793" s="94">
        <f t="shared" si="262"/>
        <v>3.0430967741935482</v>
      </c>
      <c r="O793" s="116">
        <f t="shared" ref="O793" si="265">M793+M794</f>
        <v>0</v>
      </c>
    </row>
    <row r="794" spans="1:15" ht="15" customHeight="1">
      <c r="A794" s="130" t="s">
        <v>316</v>
      </c>
      <c r="B794" s="130" t="s">
        <v>293</v>
      </c>
      <c r="C794" s="155">
        <v>44334</v>
      </c>
      <c r="D794" s="130">
        <v>1458</v>
      </c>
      <c r="E794" s="130" t="s">
        <v>294</v>
      </c>
      <c r="F794" s="130" t="s">
        <v>297</v>
      </c>
      <c r="G794" s="130" t="s">
        <v>607</v>
      </c>
      <c r="H794" s="130">
        <v>959986</v>
      </c>
      <c r="I794" s="145">
        <v>6</v>
      </c>
      <c r="J794" s="129" t="s">
        <v>193</v>
      </c>
      <c r="K794" s="127">
        <v>69</v>
      </c>
      <c r="L794" s="103">
        <v>5.6639999999999997</v>
      </c>
      <c r="M794" s="128">
        <f t="shared" si="261"/>
        <v>63.335999999999999</v>
      </c>
      <c r="N794" s="94">
        <f t="shared" si="262"/>
        <v>8.2086956521739127E-2</v>
      </c>
    </row>
    <row r="795" spans="1:15" ht="15" customHeight="1">
      <c r="A795" s="130" t="s">
        <v>316</v>
      </c>
      <c r="B795" s="130" t="s">
        <v>293</v>
      </c>
      <c r="C795" s="155">
        <v>44334</v>
      </c>
      <c r="D795" s="130">
        <v>1458</v>
      </c>
      <c r="E795" s="130" t="s">
        <v>294</v>
      </c>
      <c r="F795" s="130" t="s">
        <v>297</v>
      </c>
      <c r="G795" s="130" t="s">
        <v>560</v>
      </c>
      <c r="H795" s="130">
        <v>959366</v>
      </c>
      <c r="I795" s="145">
        <v>19</v>
      </c>
      <c r="J795" s="129" t="s">
        <v>192</v>
      </c>
      <c r="K795" s="127">
        <v>31</v>
      </c>
      <c r="L795" s="103">
        <v>91</v>
      </c>
      <c r="M795" s="128">
        <f t="shared" si="261"/>
        <v>-60</v>
      </c>
      <c r="N795" s="94">
        <f t="shared" si="262"/>
        <v>2.935483870967742</v>
      </c>
      <c r="O795" s="116">
        <f t="shared" ref="O795" si="266">M795+M796</f>
        <v>3.8140000000000001</v>
      </c>
    </row>
    <row r="796" spans="1:15" ht="15" customHeight="1">
      <c r="A796" s="130" t="s">
        <v>316</v>
      </c>
      <c r="B796" s="130" t="s">
        <v>293</v>
      </c>
      <c r="C796" s="155">
        <v>44334</v>
      </c>
      <c r="D796" s="130">
        <v>1458</v>
      </c>
      <c r="E796" s="130" t="s">
        <v>294</v>
      </c>
      <c r="F796" s="130" t="s">
        <v>297</v>
      </c>
      <c r="G796" s="130" t="s">
        <v>560</v>
      </c>
      <c r="H796" s="130">
        <v>959366</v>
      </c>
      <c r="I796" s="145">
        <v>19</v>
      </c>
      <c r="J796" s="129" t="s">
        <v>193</v>
      </c>
      <c r="K796" s="127">
        <v>69</v>
      </c>
      <c r="L796" s="103">
        <v>5.1859999999999999</v>
      </c>
      <c r="M796" s="128">
        <f t="shared" si="261"/>
        <v>63.814</v>
      </c>
      <c r="N796" s="94">
        <f t="shared" si="262"/>
        <v>7.5159420289855075E-2</v>
      </c>
    </row>
    <row r="797" spans="1:15" ht="15" customHeight="1">
      <c r="A797" s="130" t="s">
        <v>316</v>
      </c>
      <c r="B797" s="130" t="s">
        <v>293</v>
      </c>
      <c r="C797" s="155">
        <v>44334</v>
      </c>
      <c r="D797" s="130">
        <v>1458</v>
      </c>
      <c r="E797" s="130" t="s">
        <v>294</v>
      </c>
      <c r="F797" s="130" t="s">
        <v>297</v>
      </c>
      <c r="G797" s="130" t="s">
        <v>475</v>
      </c>
      <c r="H797" s="130">
        <v>959987</v>
      </c>
      <c r="I797" s="145">
        <v>24</v>
      </c>
      <c r="J797" s="129" t="s">
        <v>192</v>
      </c>
      <c r="K797" s="127">
        <v>31</v>
      </c>
      <c r="L797" s="103">
        <v>97.16</v>
      </c>
      <c r="M797" s="128">
        <f t="shared" si="261"/>
        <v>-66.16</v>
      </c>
      <c r="N797" s="94">
        <f t="shared" si="262"/>
        <v>3.1341935483870969</v>
      </c>
      <c r="O797" s="116">
        <f t="shared" ref="O797" si="267">M797+M798</f>
        <v>0</v>
      </c>
    </row>
    <row r="798" spans="1:15" ht="15" customHeight="1">
      <c r="A798" s="130" t="s">
        <v>316</v>
      </c>
      <c r="B798" s="130" t="s">
        <v>293</v>
      </c>
      <c r="C798" s="155">
        <v>44334</v>
      </c>
      <c r="D798" s="130">
        <v>1458</v>
      </c>
      <c r="E798" s="130" t="s">
        <v>294</v>
      </c>
      <c r="F798" s="130" t="s">
        <v>297</v>
      </c>
      <c r="G798" s="130" t="s">
        <v>475</v>
      </c>
      <c r="H798" s="130">
        <v>959987</v>
      </c>
      <c r="I798" s="145">
        <v>24</v>
      </c>
      <c r="J798" s="129" t="s">
        <v>193</v>
      </c>
      <c r="K798" s="127">
        <v>69</v>
      </c>
      <c r="L798" s="103">
        <v>2.84</v>
      </c>
      <c r="M798" s="128">
        <f t="shared" si="261"/>
        <v>66.16</v>
      </c>
      <c r="N798" s="94">
        <f t="shared" si="262"/>
        <v>4.1159420289855073E-2</v>
      </c>
    </row>
    <row r="799" spans="1:15" ht="15" customHeight="1">
      <c r="A799" s="130" t="s">
        <v>316</v>
      </c>
      <c r="B799" s="130" t="s">
        <v>293</v>
      </c>
      <c r="C799" s="155">
        <v>44334</v>
      </c>
      <c r="D799" s="130">
        <v>1458</v>
      </c>
      <c r="E799" s="130" t="s">
        <v>294</v>
      </c>
      <c r="F799" s="130" t="s">
        <v>297</v>
      </c>
      <c r="G799" s="130" t="s">
        <v>476</v>
      </c>
      <c r="H799" s="130">
        <v>967393</v>
      </c>
      <c r="I799" s="145">
        <v>24</v>
      </c>
      <c r="J799" s="129" t="s">
        <v>192</v>
      </c>
      <c r="K799" s="127">
        <v>31</v>
      </c>
      <c r="L799" s="103">
        <v>60.526000000000003</v>
      </c>
      <c r="M799" s="128">
        <f t="shared" si="261"/>
        <v>-29.526000000000003</v>
      </c>
      <c r="N799" s="94">
        <f t="shared" si="262"/>
        <v>1.9524516129032259</v>
      </c>
      <c r="O799" s="116">
        <f t="shared" ref="O799" si="268">M799+M800</f>
        <v>38.311</v>
      </c>
    </row>
    <row r="800" spans="1:15" ht="15" customHeight="1">
      <c r="A800" s="130" t="s">
        <v>316</v>
      </c>
      <c r="B800" s="130" t="s">
        <v>293</v>
      </c>
      <c r="C800" s="155">
        <v>44334</v>
      </c>
      <c r="D800" s="130">
        <v>1458</v>
      </c>
      <c r="E800" s="130" t="s">
        <v>294</v>
      </c>
      <c r="F800" s="130" t="s">
        <v>297</v>
      </c>
      <c r="G800" s="130" t="s">
        <v>476</v>
      </c>
      <c r="H800" s="130">
        <v>967393</v>
      </c>
      <c r="I800" s="145">
        <v>24</v>
      </c>
      <c r="J800" s="129" t="s">
        <v>193</v>
      </c>
      <c r="K800" s="127">
        <v>69</v>
      </c>
      <c r="L800" s="103">
        <v>1.163</v>
      </c>
      <c r="M800" s="128">
        <f t="shared" si="261"/>
        <v>67.837000000000003</v>
      </c>
      <c r="N800" s="94">
        <f t="shared" si="262"/>
        <v>1.6855072463768116E-2</v>
      </c>
    </row>
    <row r="801" spans="1:15" ht="15" customHeight="1">
      <c r="A801" s="130" t="s">
        <v>316</v>
      </c>
      <c r="B801" s="130" t="s">
        <v>293</v>
      </c>
      <c r="C801" s="155">
        <v>44334</v>
      </c>
      <c r="D801" s="130">
        <v>1458</v>
      </c>
      <c r="E801" s="130" t="s">
        <v>294</v>
      </c>
      <c r="F801" s="130" t="s">
        <v>297</v>
      </c>
      <c r="G801" s="130" t="s">
        <v>647</v>
      </c>
      <c r="H801" s="130">
        <v>968727</v>
      </c>
      <c r="I801" s="145">
        <v>6</v>
      </c>
      <c r="J801" s="129" t="s">
        <v>192</v>
      </c>
      <c r="K801" s="127">
        <v>31</v>
      </c>
      <c r="L801" s="103">
        <v>42.951000000000001</v>
      </c>
      <c r="M801" s="128">
        <f t="shared" si="261"/>
        <v>-11.951000000000001</v>
      </c>
      <c r="N801" s="94">
        <f t="shared" si="262"/>
        <v>1.3855161290322582</v>
      </c>
      <c r="O801" s="116">
        <f t="shared" ref="O801" si="269">M801+M802</f>
        <v>37.045999999999999</v>
      </c>
    </row>
    <row r="802" spans="1:15" ht="15" customHeight="1">
      <c r="A802" s="130" t="s">
        <v>316</v>
      </c>
      <c r="B802" s="130" t="s">
        <v>293</v>
      </c>
      <c r="C802" s="155">
        <v>44334</v>
      </c>
      <c r="D802" s="130">
        <v>1458</v>
      </c>
      <c r="E802" s="130" t="s">
        <v>294</v>
      </c>
      <c r="F802" s="130" t="s">
        <v>297</v>
      </c>
      <c r="G802" s="130" t="s">
        <v>647</v>
      </c>
      <c r="H802" s="130">
        <v>968727</v>
      </c>
      <c r="I802" s="145">
        <v>6</v>
      </c>
      <c r="J802" s="129" t="s">
        <v>193</v>
      </c>
      <c r="K802" s="127">
        <v>69</v>
      </c>
      <c r="L802" s="103">
        <v>20.003</v>
      </c>
      <c r="M802" s="128">
        <f t="shared" si="261"/>
        <v>48.997</v>
      </c>
      <c r="N802" s="94">
        <f t="shared" si="262"/>
        <v>0.28989855072463766</v>
      </c>
    </row>
    <row r="803" spans="1:15" ht="15" customHeight="1">
      <c r="A803" s="130" t="s">
        <v>316</v>
      </c>
      <c r="B803" s="130" t="s">
        <v>288</v>
      </c>
      <c r="C803" s="155">
        <v>44340</v>
      </c>
      <c r="D803" s="129">
        <v>1535</v>
      </c>
      <c r="E803" s="130" t="s">
        <v>294</v>
      </c>
      <c r="F803" s="130" t="s">
        <v>297</v>
      </c>
      <c r="G803" s="130" t="s">
        <v>414</v>
      </c>
      <c r="H803" s="130">
        <v>967342</v>
      </c>
      <c r="I803" s="145">
        <v>15</v>
      </c>
      <c r="J803" s="129" t="s">
        <v>192</v>
      </c>
      <c r="K803" s="282">
        <v>153</v>
      </c>
      <c r="L803" s="103">
        <v>129.35</v>
      </c>
      <c r="M803" s="285">
        <f>K803-(L803+L804+L805)</f>
        <v>-299.80599999999998</v>
      </c>
      <c r="N803" s="288">
        <f>(L803+L804+L805)/K803</f>
        <v>2.959516339869281</v>
      </c>
      <c r="O803" s="116">
        <f>M803+M806</f>
        <v>6.2930000000000064</v>
      </c>
    </row>
    <row r="804" spans="1:15" ht="15" customHeight="1">
      <c r="A804" s="130" t="s">
        <v>316</v>
      </c>
      <c r="B804" s="130" t="s">
        <v>288</v>
      </c>
      <c r="C804" s="155">
        <v>44340</v>
      </c>
      <c r="D804" s="130">
        <v>1535</v>
      </c>
      <c r="E804" s="130" t="s">
        <v>294</v>
      </c>
      <c r="F804" s="130" t="s">
        <v>297</v>
      </c>
      <c r="G804" s="130" t="s">
        <v>415</v>
      </c>
      <c r="H804" s="130">
        <v>967281</v>
      </c>
      <c r="I804" s="145">
        <v>15</v>
      </c>
      <c r="J804" s="129" t="s">
        <v>192</v>
      </c>
      <c r="K804" s="283"/>
      <c r="L804" s="103">
        <v>69.701999999999998</v>
      </c>
      <c r="M804" s="286"/>
      <c r="N804" s="289"/>
    </row>
    <row r="805" spans="1:15" ht="15" customHeight="1">
      <c r="A805" s="130" t="s">
        <v>316</v>
      </c>
      <c r="B805" s="130" t="s">
        <v>288</v>
      </c>
      <c r="C805" s="155">
        <v>44340</v>
      </c>
      <c r="D805" s="130">
        <v>1535</v>
      </c>
      <c r="E805" s="130" t="s">
        <v>294</v>
      </c>
      <c r="F805" s="130" t="s">
        <v>297</v>
      </c>
      <c r="G805" s="130" t="s">
        <v>564</v>
      </c>
      <c r="H805" s="130">
        <v>967145</v>
      </c>
      <c r="I805" s="145">
        <v>15</v>
      </c>
      <c r="J805" s="129" t="s">
        <v>192</v>
      </c>
      <c r="K805" s="284"/>
      <c r="L805" s="103">
        <v>253.75399999999999</v>
      </c>
      <c r="M805" s="287"/>
      <c r="N805" s="290"/>
    </row>
    <row r="806" spans="1:15" ht="15" customHeight="1">
      <c r="A806" s="130" t="s">
        <v>316</v>
      </c>
      <c r="B806" s="130" t="s">
        <v>288</v>
      </c>
      <c r="C806" s="155">
        <v>44340</v>
      </c>
      <c r="D806" s="130">
        <v>1535</v>
      </c>
      <c r="E806" s="130" t="s">
        <v>294</v>
      </c>
      <c r="F806" s="130" t="s">
        <v>297</v>
      </c>
      <c r="G806" s="130" t="s">
        <v>414</v>
      </c>
      <c r="H806" s="130">
        <v>967342</v>
      </c>
      <c r="I806" s="145">
        <v>15</v>
      </c>
      <c r="J806" s="129" t="s">
        <v>193</v>
      </c>
      <c r="K806" s="282">
        <v>347</v>
      </c>
      <c r="L806" s="103">
        <v>19.059999999999999</v>
      </c>
      <c r="M806" s="285">
        <f>K806-(L806+L807+L808)</f>
        <v>306.09899999999999</v>
      </c>
      <c r="N806" s="288">
        <f>(L806+L807+L808)/K806</f>
        <v>0.11787031700288184</v>
      </c>
    </row>
    <row r="807" spans="1:15" ht="15" customHeight="1">
      <c r="A807" s="130" t="s">
        <v>316</v>
      </c>
      <c r="B807" s="130" t="s">
        <v>288</v>
      </c>
      <c r="C807" s="155">
        <v>44340</v>
      </c>
      <c r="D807" s="130">
        <v>1535</v>
      </c>
      <c r="E807" s="130" t="s">
        <v>294</v>
      </c>
      <c r="F807" s="130" t="s">
        <v>297</v>
      </c>
      <c r="G807" s="130" t="s">
        <v>415</v>
      </c>
      <c r="H807" s="130">
        <v>967281</v>
      </c>
      <c r="I807" s="145">
        <v>15</v>
      </c>
      <c r="J807" s="129" t="s">
        <v>193</v>
      </c>
      <c r="K807" s="283"/>
      <c r="L807" s="103">
        <v>1.2549999999999999</v>
      </c>
      <c r="M807" s="286"/>
      <c r="N807" s="289"/>
    </row>
    <row r="808" spans="1:15" ht="15" customHeight="1">
      <c r="A808" s="130" t="s">
        <v>316</v>
      </c>
      <c r="B808" s="130" t="s">
        <v>288</v>
      </c>
      <c r="C808" s="155">
        <v>44340</v>
      </c>
      <c r="D808" s="130">
        <v>1535</v>
      </c>
      <c r="E808" s="130" t="s">
        <v>294</v>
      </c>
      <c r="F808" s="130" t="s">
        <v>297</v>
      </c>
      <c r="G808" s="130" t="s">
        <v>564</v>
      </c>
      <c r="H808" s="130">
        <v>967145</v>
      </c>
      <c r="I808" s="145">
        <v>15</v>
      </c>
      <c r="J808" s="129" t="s">
        <v>193</v>
      </c>
      <c r="K808" s="284"/>
      <c r="L808" s="103">
        <v>20.585999999999999</v>
      </c>
      <c r="M808" s="287"/>
      <c r="N808" s="290"/>
    </row>
    <row r="809" spans="1:15" ht="15" customHeight="1">
      <c r="A809" s="130" t="s">
        <v>379</v>
      </c>
      <c r="B809" s="130" t="s">
        <v>293</v>
      </c>
      <c r="C809" s="155">
        <v>44340</v>
      </c>
      <c r="D809" s="130">
        <v>1536</v>
      </c>
      <c r="E809" s="130" t="s">
        <v>294</v>
      </c>
      <c r="F809" s="130" t="s">
        <v>297</v>
      </c>
      <c r="G809" s="130" t="s">
        <v>380</v>
      </c>
      <c r="H809" s="130">
        <v>965073</v>
      </c>
      <c r="I809" s="145">
        <v>12</v>
      </c>
      <c r="J809" s="129" t="s">
        <v>193</v>
      </c>
      <c r="K809" s="127">
        <v>88.77</v>
      </c>
      <c r="L809" s="103"/>
      <c r="M809" s="128">
        <f t="shared" ref="M809:M812" si="270">K809-L809</f>
        <v>88.77</v>
      </c>
      <c r="N809" s="94">
        <f t="shared" ref="N809:N812" si="271">L809/K809</f>
        <v>0</v>
      </c>
    </row>
    <row r="810" spans="1:15" ht="15" customHeight="1">
      <c r="A810" s="130" t="s">
        <v>392</v>
      </c>
      <c r="B810" s="130" t="s">
        <v>293</v>
      </c>
      <c r="C810" s="155">
        <v>44341</v>
      </c>
      <c r="D810" s="130">
        <v>1574</v>
      </c>
      <c r="E810" s="130" t="s">
        <v>294</v>
      </c>
      <c r="F810" s="130" t="s">
        <v>297</v>
      </c>
      <c r="G810" s="130" t="s">
        <v>616</v>
      </c>
      <c r="H810" s="130">
        <v>968675</v>
      </c>
      <c r="I810" s="145">
        <v>12</v>
      </c>
      <c r="J810" s="129" t="s">
        <v>192</v>
      </c>
      <c r="K810" s="127">
        <v>53.603000000000002</v>
      </c>
      <c r="L810" s="103">
        <v>107.771</v>
      </c>
      <c r="M810" s="128">
        <f t="shared" si="270"/>
        <v>-54.167999999999999</v>
      </c>
      <c r="N810" s="94">
        <f t="shared" si="271"/>
        <v>2.0105404548252896</v>
      </c>
    </row>
    <row r="811" spans="1:15" ht="15" customHeight="1">
      <c r="A811" s="130" t="s">
        <v>316</v>
      </c>
      <c r="B811" s="130" t="s">
        <v>293</v>
      </c>
      <c r="C811" s="155">
        <v>44341</v>
      </c>
      <c r="D811" s="130">
        <v>1576</v>
      </c>
      <c r="E811" s="130" t="s">
        <v>294</v>
      </c>
      <c r="F811" s="130" t="s">
        <v>297</v>
      </c>
      <c r="G811" s="130" t="s">
        <v>542</v>
      </c>
      <c r="H811" s="130">
        <v>952452</v>
      </c>
      <c r="I811" s="145">
        <v>74</v>
      </c>
      <c r="J811" s="129" t="s">
        <v>192</v>
      </c>
      <c r="K811" s="127">
        <v>27</v>
      </c>
      <c r="L811" s="103">
        <v>0.78700000000000003</v>
      </c>
      <c r="M811" s="128">
        <f t="shared" si="270"/>
        <v>26.213000000000001</v>
      </c>
      <c r="N811" s="94">
        <f t="shared" si="271"/>
        <v>2.9148148148148149E-2</v>
      </c>
      <c r="O811" s="116">
        <f>M811+M812</f>
        <v>0</v>
      </c>
    </row>
    <row r="812" spans="1:15" ht="15" customHeight="1">
      <c r="A812" s="130" t="s">
        <v>316</v>
      </c>
      <c r="B812" s="130" t="s">
        <v>293</v>
      </c>
      <c r="C812" s="155">
        <v>44341</v>
      </c>
      <c r="D812" s="130">
        <v>1576</v>
      </c>
      <c r="E812" s="130" t="s">
        <v>294</v>
      </c>
      <c r="F812" s="130" t="s">
        <v>297</v>
      </c>
      <c r="G812" s="130" t="s">
        <v>542</v>
      </c>
      <c r="H812" s="130">
        <v>952452</v>
      </c>
      <c r="I812" s="145">
        <v>74</v>
      </c>
      <c r="J812" s="129" t="s">
        <v>193</v>
      </c>
      <c r="K812" s="127">
        <v>73</v>
      </c>
      <c r="L812" s="103">
        <v>99.212999999999994</v>
      </c>
      <c r="M812" s="128">
        <f t="shared" si="270"/>
        <v>-26.212999999999994</v>
      </c>
      <c r="N812" s="94">
        <f t="shared" si="271"/>
        <v>1.3590821917808218</v>
      </c>
    </row>
    <row r="813" spans="1:15" ht="15" customHeight="1">
      <c r="A813" s="130" t="s">
        <v>316</v>
      </c>
      <c r="B813" s="130" t="s">
        <v>293</v>
      </c>
      <c r="C813" s="155">
        <v>44341</v>
      </c>
      <c r="D813" s="130">
        <v>1576</v>
      </c>
      <c r="E813" s="130" t="s">
        <v>294</v>
      </c>
      <c r="F813" s="130" t="s">
        <v>297</v>
      </c>
      <c r="G813" s="130" t="s">
        <v>489</v>
      </c>
      <c r="H813" s="130">
        <v>950818</v>
      </c>
      <c r="I813" s="145">
        <v>23</v>
      </c>
      <c r="J813" s="129" t="s">
        <v>192</v>
      </c>
      <c r="K813" s="127">
        <v>27</v>
      </c>
      <c r="L813" s="103">
        <v>27</v>
      </c>
      <c r="M813" s="128">
        <f t="shared" ref="M813:M816" si="272">K813-L813</f>
        <v>0</v>
      </c>
      <c r="N813" s="94">
        <f t="shared" ref="N813:N816" si="273">L813/K813</f>
        <v>1</v>
      </c>
      <c r="O813" s="116">
        <f>M813+M814</f>
        <v>67.364999999999995</v>
      </c>
    </row>
    <row r="814" spans="1:15" ht="15" customHeight="1">
      <c r="A814" s="130" t="s">
        <v>316</v>
      </c>
      <c r="B814" s="130" t="s">
        <v>293</v>
      </c>
      <c r="C814" s="155">
        <v>44341</v>
      </c>
      <c r="D814" s="130">
        <v>1576</v>
      </c>
      <c r="E814" s="130" t="s">
        <v>294</v>
      </c>
      <c r="F814" s="130" t="s">
        <v>297</v>
      </c>
      <c r="G814" s="130" t="s">
        <v>489</v>
      </c>
      <c r="H814" s="130">
        <v>950818</v>
      </c>
      <c r="I814" s="145">
        <v>23</v>
      </c>
      <c r="J814" s="129" t="s">
        <v>193</v>
      </c>
      <c r="K814" s="127">
        <v>73</v>
      </c>
      <c r="L814" s="103">
        <v>5.6349999999999998</v>
      </c>
      <c r="M814" s="128">
        <f t="shared" si="272"/>
        <v>67.364999999999995</v>
      </c>
      <c r="N814" s="94">
        <f t="shared" si="273"/>
        <v>7.7191780821917799E-2</v>
      </c>
    </row>
    <row r="815" spans="1:15" ht="15" customHeight="1">
      <c r="A815" s="130" t="s">
        <v>316</v>
      </c>
      <c r="B815" s="130" t="s">
        <v>293</v>
      </c>
      <c r="C815" s="155">
        <v>44341</v>
      </c>
      <c r="D815" s="130">
        <v>1576</v>
      </c>
      <c r="E815" s="130" t="s">
        <v>294</v>
      </c>
      <c r="F815" s="130" t="s">
        <v>297</v>
      </c>
      <c r="G815" s="130" t="s">
        <v>639</v>
      </c>
      <c r="H815" s="130">
        <v>951974</v>
      </c>
      <c r="I815" s="145">
        <v>9</v>
      </c>
      <c r="J815" s="129" t="s">
        <v>192</v>
      </c>
      <c r="K815" s="127">
        <v>27</v>
      </c>
      <c r="L815" s="103">
        <v>87</v>
      </c>
      <c r="M815" s="128">
        <f t="shared" si="272"/>
        <v>-60</v>
      </c>
      <c r="N815" s="94">
        <f t="shared" si="273"/>
        <v>3.2222222222222223</v>
      </c>
      <c r="O815" s="116">
        <f>M815+M816</f>
        <v>0</v>
      </c>
    </row>
    <row r="816" spans="1:15" ht="15" customHeight="1">
      <c r="A816" s="130" t="s">
        <v>316</v>
      </c>
      <c r="B816" s="130" t="s">
        <v>293</v>
      </c>
      <c r="C816" s="155">
        <v>44341</v>
      </c>
      <c r="D816" s="130">
        <v>1576</v>
      </c>
      <c r="E816" s="130" t="s">
        <v>294</v>
      </c>
      <c r="F816" s="130" t="s">
        <v>297</v>
      </c>
      <c r="G816" s="130" t="s">
        <v>639</v>
      </c>
      <c r="H816" s="130">
        <v>951974</v>
      </c>
      <c r="I816" s="145">
        <v>9</v>
      </c>
      <c r="J816" s="129" t="s">
        <v>193</v>
      </c>
      <c r="K816" s="127">
        <v>73</v>
      </c>
      <c r="L816" s="103">
        <v>13</v>
      </c>
      <c r="M816" s="128">
        <f t="shared" si="272"/>
        <v>60</v>
      </c>
      <c r="N816" s="94">
        <f t="shared" si="273"/>
        <v>0.17808219178082191</v>
      </c>
    </row>
    <row r="817" spans="1:16" ht="15" customHeight="1">
      <c r="A817" s="130" t="s">
        <v>684</v>
      </c>
      <c r="B817" s="130" t="s">
        <v>293</v>
      </c>
      <c r="C817" s="155">
        <v>44343</v>
      </c>
      <c r="D817" s="130">
        <v>68</v>
      </c>
      <c r="E817" s="130" t="s">
        <v>289</v>
      </c>
      <c r="F817" s="130" t="s">
        <v>287</v>
      </c>
      <c r="G817" s="130" t="s">
        <v>312</v>
      </c>
      <c r="H817" s="130">
        <v>968579</v>
      </c>
      <c r="I817" s="145">
        <v>78</v>
      </c>
      <c r="J817" s="129" t="s">
        <v>192</v>
      </c>
      <c r="K817" s="127">
        <v>5</v>
      </c>
      <c r="L817" s="103">
        <v>4.87</v>
      </c>
      <c r="M817" s="128">
        <f t="shared" ref="M817" si="274">K817-L817</f>
        <v>0.12999999999999989</v>
      </c>
      <c r="N817" s="94">
        <f t="shared" ref="N817" si="275">L817/K817</f>
        <v>0.97399999999999998</v>
      </c>
    </row>
    <row r="818" spans="1:16" ht="15" customHeight="1">
      <c r="A818" s="130" t="s">
        <v>685</v>
      </c>
      <c r="B818" s="130" t="s">
        <v>293</v>
      </c>
      <c r="C818" s="155">
        <v>44343</v>
      </c>
      <c r="D818" s="130">
        <v>69</v>
      </c>
      <c r="E818" s="130" t="s">
        <v>289</v>
      </c>
      <c r="F818" s="130" t="s">
        <v>287</v>
      </c>
      <c r="G818" s="130" t="s">
        <v>312</v>
      </c>
      <c r="H818" s="130">
        <v>968579</v>
      </c>
      <c r="I818" s="145">
        <v>78</v>
      </c>
      <c r="J818" s="129" t="s">
        <v>192</v>
      </c>
      <c r="K818" s="127">
        <v>27</v>
      </c>
      <c r="L818" s="103">
        <v>27</v>
      </c>
      <c r="M818" s="128">
        <f t="shared" ref="M818:M820" si="276">K818-L818</f>
        <v>0</v>
      </c>
      <c r="N818" s="94">
        <f t="shared" ref="N818:N820" si="277">L818/K818</f>
        <v>1</v>
      </c>
    </row>
    <row r="819" spans="1:16" ht="15" customHeight="1">
      <c r="A819" s="130" t="s">
        <v>686</v>
      </c>
      <c r="B819" s="130" t="s">
        <v>293</v>
      </c>
      <c r="C819" s="155">
        <v>44347</v>
      </c>
      <c r="D819" s="130">
        <v>71</v>
      </c>
      <c r="E819" s="130" t="s">
        <v>289</v>
      </c>
      <c r="F819" s="130" t="s">
        <v>287</v>
      </c>
      <c r="G819" s="130" t="s">
        <v>687</v>
      </c>
      <c r="H819" s="130">
        <v>697753</v>
      </c>
      <c r="I819" s="145">
        <v>78</v>
      </c>
      <c r="J819" s="129" t="s">
        <v>192</v>
      </c>
      <c r="K819" s="127">
        <v>163</v>
      </c>
      <c r="L819" s="103">
        <v>148.32900000000001</v>
      </c>
      <c r="M819" s="128">
        <f t="shared" si="276"/>
        <v>14.670999999999992</v>
      </c>
      <c r="N819" s="94">
        <f t="shared" si="277"/>
        <v>0.90999386503067492</v>
      </c>
      <c r="O819" s="209">
        <f>M819+M820</f>
        <v>-2.1970000000000063</v>
      </c>
      <c r="P819" s="90" t="s">
        <v>767</v>
      </c>
    </row>
    <row r="820" spans="1:16" ht="15" customHeight="1">
      <c r="A820" s="130" t="s">
        <v>686</v>
      </c>
      <c r="B820" s="130" t="s">
        <v>293</v>
      </c>
      <c r="C820" s="155">
        <v>44347</v>
      </c>
      <c r="D820" s="130">
        <v>71</v>
      </c>
      <c r="E820" s="130" t="s">
        <v>289</v>
      </c>
      <c r="F820" s="130" t="s">
        <v>287</v>
      </c>
      <c r="G820" s="130" t="s">
        <v>687</v>
      </c>
      <c r="H820" s="130">
        <v>697753</v>
      </c>
      <c r="I820" s="145">
        <v>78</v>
      </c>
      <c r="J820" s="129" t="s">
        <v>193</v>
      </c>
      <c r="K820" s="127">
        <v>2</v>
      </c>
      <c r="L820" s="103">
        <v>18.867999999999999</v>
      </c>
      <c r="M820" s="128">
        <f t="shared" si="276"/>
        <v>-16.867999999999999</v>
      </c>
      <c r="N820" s="94">
        <f t="shared" si="277"/>
        <v>9.4339999999999993</v>
      </c>
    </row>
    <row r="821" spans="1:16" ht="15" customHeight="1">
      <c r="A821" s="130" t="s">
        <v>678</v>
      </c>
      <c r="B821" s="130" t="s">
        <v>293</v>
      </c>
      <c r="C821" s="155">
        <v>44349</v>
      </c>
      <c r="D821" s="130">
        <v>72</v>
      </c>
      <c r="E821" s="130" t="s">
        <v>289</v>
      </c>
      <c r="F821" s="130" t="s">
        <v>287</v>
      </c>
      <c r="G821" s="130" t="s">
        <v>406</v>
      </c>
      <c r="H821" s="130">
        <v>923199</v>
      </c>
      <c r="I821" s="145">
        <v>44</v>
      </c>
      <c r="J821" s="129" t="s">
        <v>192</v>
      </c>
      <c r="K821" s="127">
        <v>10</v>
      </c>
      <c r="L821" s="103"/>
      <c r="M821" s="128">
        <f t="shared" ref="M821:M822" si="278">K821-L821</f>
        <v>10</v>
      </c>
      <c r="N821" s="94">
        <f t="shared" ref="N821:N822" si="279">L821/K821</f>
        <v>0</v>
      </c>
    </row>
    <row r="822" spans="1:16" ht="15" customHeight="1">
      <c r="A822" s="130" t="s">
        <v>678</v>
      </c>
      <c r="B822" s="130" t="s">
        <v>293</v>
      </c>
      <c r="C822" s="155">
        <v>44349</v>
      </c>
      <c r="D822" s="130">
        <v>72</v>
      </c>
      <c r="E822" s="130" t="s">
        <v>289</v>
      </c>
      <c r="F822" s="130" t="s">
        <v>287</v>
      </c>
      <c r="G822" s="130" t="s">
        <v>406</v>
      </c>
      <c r="H822" s="130">
        <v>923199</v>
      </c>
      <c r="I822" s="145">
        <v>44</v>
      </c>
      <c r="J822" s="129" t="s">
        <v>193</v>
      </c>
      <c r="K822" s="127">
        <v>10</v>
      </c>
      <c r="L822" s="103"/>
      <c r="M822" s="128">
        <f t="shared" si="278"/>
        <v>10</v>
      </c>
      <c r="N822" s="94">
        <f t="shared" si="279"/>
        <v>0</v>
      </c>
    </row>
    <row r="823" spans="1:16" ht="15" customHeight="1">
      <c r="A823" s="130" t="s">
        <v>292</v>
      </c>
      <c r="B823" s="130" t="s">
        <v>293</v>
      </c>
      <c r="C823" s="155">
        <v>44355</v>
      </c>
      <c r="D823" s="130">
        <v>1716</v>
      </c>
      <c r="E823" s="130" t="s">
        <v>294</v>
      </c>
      <c r="F823" s="130" t="s">
        <v>287</v>
      </c>
      <c r="G823" s="130" t="s">
        <v>295</v>
      </c>
      <c r="H823" s="130">
        <v>962795</v>
      </c>
      <c r="I823" s="145">
        <v>11</v>
      </c>
      <c r="J823" s="129" t="s">
        <v>192</v>
      </c>
      <c r="K823" s="127">
        <v>90</v>
      </c>
      <c r="L823" s="103">
        <v>180</v>
      </c>
      <c r="M823" s="128">
        <f t="shared" ref="M823:M824" si="280">K823-L823</f>
        <v>-90</v>
      </c>
      <c r="N823" s="94">
        <f t="shared" ref="N823:N824" si="281">L823/K823</f>
        <v>2</v>
      </c>
      <c r="O823" s="116">
        <f>M823+M824</f>
        <v>0</v>
      </c>
    </row>
    <row r="824" spans="1:16" ht="15" customHeight="1">
      <c r="A824" s="130" t="s">
        <v>292</v>
      </c>
      <c r="B824" s="130" t="s">
        <v>293</v>
      </c>
      <c r="C824" s="155">
        <v>44355</v>
      </c>
      <c r="D824" s="130">
        <v>1716</v>
      </c>
      <c r="E824" s="130" t="s">
        <v>294</v>
      </c>
      <c r="F824" s="130" t="s">
        <v>287</v>
      </c>
      <c r="G824" s="130" t="s">
        <v>295</v>
      </c>
      <c r="H824" s="130">
        <v>962795</v>
      </c>
      <c r="I824" s="145">
        <v>11</v>
      </c>
      <c r="J824" s="129" t="s">
        <v>193</v>
      </c>
      <c r="K824" s="127">
        <v>90</v>
      </c>
      <c r="L824" s="103"/>
      <c r="M824" s="128">
        <f t="shared" si="280"/>
        <v>90</v>
      </c>
      <c r="N824" s="94">
        <f t="shared" si="281"/>
        <v>0</v>
      </c>
    </row>
    <row r="825" spans="1:16" ht="15" customHeight="1">
      <c r="A825" s="130" t="s">
        <v>423</v>
      </c>
      <c r="B825" s="130" t="s">
        <v>288</v>
      </c>
      <c r="C825" s="155">
        <v>44365</v>
      </c>
      <c r="D825" s="130">
        <v>1835</v>
      </c>
      <c r="E825" s="130" t="s">
        <v>294</v>
      </c>
      <c r="F825" s="130" t="s">
        <v>297</v>
      </c>
      <c r="G825" s="130" t="s">
        <v>302</v>
      </c>
      <c r="H825" s="130">
        <v>966875</v>
      </c>
      <c r="I825" s="145">
        <v>44</v>
      </c>
      <c r="J825" s="129" t="s">
        <v>192</v>
      </c>
      <c r="K825" s="282">
        <v>50</v>
      </c>
      <c r="L825" s="103"/>
      <c r="M825" s="285">
        <f>K825-(L825+L826)</f>
        <v>50</v>
      </c>
      <c r="N825" s="288">
        <f>(L825+L826)/K825</f>
        <v>0</v>
      </c>
    </row>
    <row r="826" spans="1:16" ht="15" customHeight="1">
      <c r="A826" s="130" t="s">
        <v>423</v>
      </c>
      <c r="B826" s="130" t="s">
        <v>288</v>
      </c>
      <c r="C826" s="155">
        <v>44365</v>
      </c>
      <c r="D826" s="130">
        <v>1835</v>
      </c>
      <c r="E826" s="130" t="s">
        <v>294</v>
      </c>
      <c r="F826" s="130" t="s">
        <v>297</v>
      </c>
      <c r="G826" s="130" t="s">
        <v>304</v>
      </c>
      <c r="H826" s="130">
        <v>958905</v>
      </c>
      <c r="I826" s="145">
        <v>44</v>
      </c>
      <c r="J826" s="129" t="s">
        <v>192</v>
      </c>
      <c r="K826" s="284"/>
      <c r="L826" s="103"/>
      <c r="M826" s="287"/>
      <c r="N826" s="290"/>
    </row>
    <row r="827" spans="1:16" ht="15" customHeight="1">
      <c r="A827" s="130" t="s">
        <v>423</v>
      </c>
      <c r="B827" s="130" t="s">
        <v>288</v>
      </c>
      <c r="C827" s="155">
        <v>44365</v>
      </c>
      <c r="D827" s="130">
        <v>1835</v>
      </c>
      <c r="E827" s="130" t="s">
        <v>294</v>
      </c>
      <c r="F827" s="130" t="s">
        <v>297</v>
      </c>
      <c r="G827" s="130" t="s">
        <v>302</v>
      </c>
      <c r="H827" s="130">
        <v>966875</v>
      </c>
      <c r="I827" s="145">
        <v>44</v>
      </c>
      <c r="J827" s="129" t="s">
        <v>193</v>
      </c>
      <c r="K827" s="282">
        <v>300</v>
      </c>
      <c r="L827" s="103"/>
      <c r="M827" s="285">
        <f>K827-(L827+L828)</f>
        <v>300</v>
      </c>
      <c r="N827" s="288">
        <f>(L827+L828)/K827</f>
        <v>0</v>
      </c>
    </row>
    <row r="828" spans="1:16" ht="15" customHeight="1">
      <c r="A828" s="130" t="s">
        <v>423</v>
      </c>
      <c r="B828" s="130" t="s">
        <v>288</v>
      </c>
      <c r="C828" s="155">
        <v>44365</v>
      </c>
      <c r="D828" s="130">
        <v>1835</v>
      </c>
      <c r="E828" s="130" t="s">
        <v>294</v>
      </c>
      <c r="F828" s="130" t="s">
        <v>297</v>
      </c>
      <c r="G828" s="130" t="s">
        <v>304</v>
      </c>
      <c r="H828" s="130">
        <v>958905</v>
      </c>
      <c r="I828" s="145">
        <v>44</v>
      </c>
      <c r="J828" s="129" t="s">
        <v>193</v>
      </c>
      <c r="K828" s="284"/>
      <c r="L828" s="103"/>
      <c r="M828" s="287"/>
      <c r="N828" s="290"/>
    </row>
    <row r="829" spans="1:16" ht="15" customHeight="1">
      <c r="A829" s="130" t="s">
        <v>691</v>
      </c>
      <c r="B829" s="130" t="s">
        <v>293</v>
      </c>
      <c r="C829" s="155">
        <v>44372</v>
      </c>
      <c r="D829" s="130">
        <v>1903</v>
      </c>
      <c r="E829" s="130" t="s">
        <v>294</v>
      </c>
      <c r="F829" s="130" t="s">
        <v>287</v>
      </c>
      <c r="G829" s="130" t="s">
        <v>687</v>
      </c>
      <c r="H829" s="130">
        <v>697753</v>
      </c>
      <c r="I829" s="145">
        <v>78</v>
      </c>
      <c r="J829" s="129" t="s">
        <v>192</v>
      </c>
      <c r="K829" s="127">
        <v>293</v>
      </c>
      <c r="L829" s="103">
        <v>346.95499999999998</v>
      </c>
      <c r="M829" s="128">
        <f t="shared" ref="M829:M830" si="282">K829-L829</f>
        <v>-53.954999999999984</v>
      </c>
      <c r="N829" s="94">
        <f t="shared" ref="N829:N830" si="283">L829/K829</f>
        <v>1.1841467576791809</v>
      </c>
      <c r="O829" s="116">
        <f>M829+M830</f>
        <v>20.481000000000023</v>
      </c>
    </row>
    <row r="830" spans="1:16" ht="15" customHeight="1">
      <c r="A830" s="130" t="s">
        <v>691</v>
      </c>
      <c r="B830" s="130" t="s">
        <v>293</v>
      </c>
      <c r="C830" s="155">
        <v>44372</v>
      </c>
      <c r="D830" s="130">
        <v>1903</v>
      </c>
      <c r="E830" s="130" t="s">
        <v>294</v>
      </c>
      <c r="F830" s="130" t="s">
        <v>287</v>
      </c>
      <c r="G830" s="130" t="s">
        <v>687</v>
      </c>
      <c r="H830" s="130">
        <v>697753</v>
      </c>
      <c r="I830" s="145">
        <v>78</v>
      </c>
      <c r="J830" s="129" t="s">
        <v>193</v>
      </c>
      <c r="K830" s="127">
        <v>330</v>
      </c>
      <c r="L830" s="103">
        <v>255.56399999999999</v>
      </c>
      <c r="M830" s="128">
        <f t="shared" si="282"/>
        <v>74.436000000000007</v>
      </c>
      <c r="N830" s="94">
        <f t="shared" si="283"/>
        <v>0.77443636363636359</v>
      </c>
    </row>
    <row r="831" spans="1:16" ht="15" customHeight="1">
      <c r="A831" s="130" t="s">
        <v>405</v>
      </c>
      <c r="B831" s="130" t="s">
        <v>288</v>
      </c>
      <c r="C831" s="155">
        <v>44385</v>
      </c>
      <c r="D831" s="130">
        <v>2010</v>
      </c>
      <c r="E831" s="130" t="s">
        <v>294</v>
      </c>
      <c r="F831" s="130" t="s">
        <v>287</v>
      </c>
      <c r="G831" s="130" t="s">
        <v>406</v>
      </c>
      <c r="H831" s="130">
        <v>923199</v>
      </c>
      <c r="I831" s="145">
        <v>44</v>
      </c>
      <c r="J831" s="129" t="s">
        <v>192</v>
      </c>
      <c r="K831" s="282">
        <v>3</v>
      </c>
      <c r="L831" s="103">
        <v>51.134999999999998</v>
      </c>
      <c r="M831" s="285">
        <f>K831-(L831+L832)</f>
        <v>-48.134999999999998</v>
      </c>
      <c r="N831" s="288">
        <f>(L831+L832)/K831</f>
        <v>17.044999999999998</v>
      </c>
      <c r="O831" s="116">
        <f>M831+M833</f>
        <v>0</v>
      </c>
    </row>
    <row r="832" spans="1:16" ht="15" customHeight="1">
      <c r="A832" s="130" t="s">
        <v>405</v>
      </c>
      <c r="B832" s="130" t="s">
        <v>288</v>
      </c>
      <c r="C832" s="155">
        <v>44385</v>
      </c>
      <c r="D832" s="130">
        <v>2010</v>
      </c>
      <c r="E832" s="130" t="s">
        <v>294</v>
      </c>
      <c r="F832" s="130" t="s">
        <v>287</v>
      </c>
      <c r="G832" s="130" t="s">
        <v>417</v>
      </c>
      <c r="H832" s="130">
        <v>964068</v>
      </c>
      <c r="I832" s="145">
        <v>44</v>
      </c>
      <c r="J832" s="129" t="s">
        <v>192</v>
      </c>
      <c r="K832" s="284"/>
      <c r="L832" s="103"/>
      <c r="M832" s="287"/>
      <c r="N832" s="290"/>
    </row>
    <row r="833" spans="1:15" ht="15" customHeight="1">
      <c r="A833" s="130" t="s">
        <v>405</v>
      </c>
      <c r="B833" s="130" t="s">
        <v>288</v>
      </c>
      <c r="C833" s="155">
        <v>44385</v>
      </c>
      <c r="D833" s="130">
        <v>2010</v>
      </c>
      <c r="E833" s="130" t="s">
        <v>294</v>
      </c>
      <c r="F833" s="130" t="s">
        <v>287</v>
      </c>
      <c r="G833" s="130" t="s">
        <v>406</v>
      </c>
      <c r="H833" s="130">
        <v>923199</v>
      </c>
      <c r="I833" s="145">
        <v>44</v>
      </c>
      <c r="J833" s="129" t="s">
        <v>193</v>
      </c>
      <c r="K833" s="282">
        <v>100</v>
      </c>
      <c r="L833" s="103">
        <v>51.865000000000002</v>
      </c>
      <c r="M833" s="285">
        <f>K833-(L833+L834)</f>
        <v>48.134999999999998</v>
      </c>
      <c r="N833" s="288">
        <f>(L833+L834)/K833</f>
        <v>0.51865000000000006</v>
      </c>
    </row>
    <row r="834" spans="1:15" ht="15" customHeight="1">
      <c r="A834" s="130" t="s">
        <v>405</v>
      </c>
      <c r="B834" s="130" t="s">
        <v>288</v>
      </c>
      <c r="C834" s="155">
        <v>44385</v>
      </c>
      <c r="D834" s="130">
        <v>2010</v>
      </c>
      <c r="E834" s="130" t="s">
        <v>294</v>
      </c>
      <c r="F834" s="130" t="s">
        <v>287</v>
      </c>
      <c r="G834" s="130" t="s">
        <v>417</v>
      </c>
      <c r="H834" s="130">
        <v>964068</v>
      </c>
      <c r="I834" s="145">
        <v>44</v>
      </c>
      <c r="J834" s="129" t="s">
        <v>193</v>
      </c>
      <c r="K834" s="284"/>
      <c r="L834" s="103"/>
      <c r="M834" s="287"/>
      <c r="N834" s="290"/>
    </row>
    <row r="835" spans="1:15" ht="15" customHeight="1">
      <c r="A835" s="130" t="s">
        <v>303</v>
      </c>
      <c r="B835" s="130" t="s">
        <v>288</v>
      </c>
      <c r="C835" s="155">
        <v>44389</v>
      </c>
      <c r="D835" s="130">
        <v>90</v>
      </c>
      <c r="E835" s="130" t="s">
        <v>289</v>
      </c>
      <c r="F835" s="130" t="s">
        <v>287</v>
      </c>
      <c r="G835" s="130" t="s">
        <v>302</v>
      </c>
      <c r="H835" s="130">
        <v>966875</v>
      </c>
      <c r="I835" s="145">
        <v>44</v>
      </c>
      <c r="J835" s="129" t="s">
        <v>192</v>
      </c>
      <c r="K835" s="282">
        <v>60</v>
      </c>
      <c r="L835" s="103"/>
      <c r="M835" s="285">
        <f>K835-(L835+L836)</f>
        <v>60</v>
      </c>
      <c r="N835" s="288">
        <f>(L835+L836)/K835</f>
        <v>0</v>
      </c>
    </row>
    <row r="836" spans="1:15" ht="15" customHeight="1">
      <c r="A836" s="130" t="s">
        <v>303</v>
      </c>
      <c r="B836" s="130" t="s">
        <v>288</v>
      </c>
      <c r="C836" s="155">
        <v>44389</v>
      </c>
      <c r="D836" s="130">
        <v>90</v>
      </c>
      <c r="E836" s="130" t="s">
        <v>289</v>
      </c>
      <c r="F836" s="130" t="s">
        <v>287</v>
      </c>
      <c r="G836" s="130" t="s">
        <v>304</v>
      </c>
      <c r="H836" s="130">
        <v>958905</v>
      </c>
      <c r="I836" s="145">
        <v>44</v>
      </c>
      <c r="J836" s="129" t="s">
        <v>192</v>
      </c>
      <c r="K836" s="284"/>
      <c r="L836" s="103"/>
      <c r="M836" s="287"/>
      <c r="N836" s="290"/>
    </row>
    <row r="837" spans="1:15" ht="15" customHeight="1">
      <c r="A837" s="130" t="s">
        <v>303</v>
      </c>
      <c r="B837" s="130" t="s">
        <v>288</v>
      </c>
      <c r="C837" s="155">
        <v>44428</v>
      </c>
      <c r="D837" s="130">
        <v>100</v>
      </c>
      <c r="E837" s="130" t="s">
        <v>289</v>
      </c>
      <c r="F837" s="130" t="s">
        <v>287</v>
      </c>
      <c r="G837" s="130" t="s">
        <v>302</v>
      </c>
      <c r="H837" s="130">
        <v>966875</v>
      </c>
      <c r="I837" s="145">
        <v>44</v>
      </c>
      <c r="J837" s="129" t="s">
        <v>192</v>
      </c>
      <c r="K837" s="282">
        <v>25</v>
      </c>
      <c r="L837" s="103"/>
      <c r="M837" s="285">
        <f>K837-(L837+L838)</f>
        <v>25</v>
      </c>
      <c r="N837" s="288">
        <f>(L837+L838)/K837</f>
        <v>0</v>
      </c>
    </row>
    <row r="838" spans="1:15" ht="15" customHeight="1">
      <c r="A838" s="130" t="s">
        <v>303</v>
      </c>
      <c r="B838" s="130" t="s">
        <v>288</v>
      </c>
      <c r="C838" s="155">
        <v>44428</v>
      </c>
      <c r="D838" s="130">
        <v>100</v>
      </c>
      <c r="E838" s="130" t="s">
        <v>289</v>
      </c>
      <c r="F838" s="130" t="s">
        <v>287</v>
      </c>
      <c r="G838" s="130" t="s">
        <v>304</v>
      </c>
      <c r="H838" s="130">
        <v>958905</v>
      </c>
      <c r="I838" s="145">
        <v>44</v>
      </c>
      <c r="J838" s="129" t="s">
        <v>192</v>
      </c>
      <c r="K838" s="284"/>
      <c r="L838" s="103"/>
      <c r="M838" s="287"/>
      <c r="N838" s="290"/>
    </row>
    <row r="839" spans="1:15" ht="15" customHeight="1">
      <c r="A839" s="130" t="s">
        <v>684</v>
      </c>
      <c r="B839" s="130" t="s">
        <v>293</v>
      </c>
      <c r="C839" s="155">
        <v>44454</v>
      </c>
      <c r="D839" s="130">
        <v>107</v>
      </c>
      <c r="E839" s="130" t="s">
        <v>289</v>
      </c>
      <c r="F839" s="130" t="s">
        <v>287</v>
      </c>
      <c r="G839" s="130" t="s">
        <v>312</v>
      </c>
      <c r="H839" s="130">
        <v>968579</v>
      </c>
      <c r="I839" s="145">
        <v>78</v>
      </c>
      <c r="J839" s="129" t="s">
        <v>192</v>
      </c>
      <c r="K839" s="127">
        <v>93.4</v>
      </c>
      <c r="L839" s="103"/>
      <c r="M839" s="128">
        <f t="shared" ref="M839" si="284">K839-L839</f>
        <v>93.4</v>
      </c>
      <c r="N839" s="94">
        <f t="shared" ref="N839" si="285">L839/K839</f>
        <v>0</v>
      </c>
    </row>
    <row r="840" spans="1:15" ht="15" customHeight="1">
      <c r="A840" s="130" t="s">
        <v>693</v>
      </c>
      <c r="B840" s="130" t="s">
        <v>293</v>
      </c>
      <c r="C840" s="155">
        <v>44455</v>
      </c>
      <c r="D840" s="130">
        <v>109</v>
      </c>
      <c r="E840" s="130" t="s">
        <v>289</v>
      </c>
      <c r="F840" s="130" t="s">
        <v>287</v>
      </c>
      <c r="G840" s="130" t="s">
        <v>694</v>
      </c>
      <c r="H840" s="130">
        <v>924606</v>
      </c>
      <c r="I840" s="145">
        <v>19</v>
      </c>
      <c r="J840" s="129" t="s">
        <v>192</v>
      </c>
      <c r="K840" s="127">
        <v>0</v>
      </c>
      <c r="L840" s="103"/>
      <c r="M840" s="128">
        <f t="shared" ref="M840:M842" si="286">K840-L840</f>
        <v>0</v>
      </c>
      <c r="N840" s="94" t="e">
        <f t="shared" ref="N840:N842" si="287">L840/K840</f>
        <v>#DIV/0!</v>
      </c>
    </row>
    <row r="841" spans="1:15" ht="15" customHeight="1">
      <c r="A841" s="130" t="s">
        <v>423</v>
      </c>
      <c r="B841" s="130" t="s">
        <v>293</v>
      </c>
      <c r="C841" s="155">
        <v>44454</v>
      </c>
      <c r="D841" s="130">
        <v>2571</v>
      </c>
      <c r="E841" s="130" t="s">
        <v>294</v>
      </c>
      <c r="F841" s="130" t="s">
        <v>297</v>
      </c>
      <c r="G841" s="130" t="s">
        <v>280</v>
      </c>
      <c r="H841" s="130">
        <v>697288</v>
      </c>
      <c r="I841" s="145">
        <v>31</v>
      </c>
      <c r="J841" s="129" t="s">
        <v>192</v>
      </c>
      <c r="K841" s="127">
        <v>5</v>
      </c>
      <c r="L841" s="103">
        <v>120.702</v>
      </c>
      <c r="M841" s="128">
        <f t="shared" si="286"/>
        <v>-115.702</v>
      </c>
      <c r="N841" s="94">
        <f t="shared" si="287"/>
        <v>24.1404</v>
      </c>
      <c r="O841" s="116">
        <f>M841+M842</f>
        <v>109.85</v>
      </c>
    </row>
    <row r="842" spans="1:15" ht="15" customHeight="1">
      <c r="A842" s="130" t="s">
        <v>423</v>
      </c>
      <c r="B842" s="130" t="s">
        <v>293</v>
      </c>
      <c r="C842" s="155">
        <v>44454</v>
      </c>
      <c r="D842" s="130">
        <v>2571</v>
      </c>
      <c r="E842" s="130" t="s">
        <v>294</v>
      </c>
      <c r="F842" s="130" t="s">
        <v>297</v>
      </c>
      <c r="G842" s="130" t="s">
        <v>280</v>
      </c>
      <c r="H842" s="130">
        <v>697288</v>
      </c>
      <c r="I842" s="145">
        <v>31</v>
      </c>
      <c r="J842" s="129" t="s">
        <v>193</v>
      </c>
      <c r="K842" s="127">
        <v>265</v>
      </c>
      <c r="L842" s="103">
        <v>39.448</v>
      </c>
      <c r="M842" s="128">
        <f t="shared" si="286"/>
        <v>225.55199999999999</v>
      </c>
      <c r="N842" s="94">
        <f t="shared" si="287"/>
        <v>0.14886037735849056</v>
      </c>
    </row>
    <row r="843" spans="1:15" ht="15" customHeight="1">
      <c r="A843" s="130" t="s">
        <v>303</v>
      </c>
      <c r="B843" s="130" t="s">
        <v>288</v>
      </c>
      <c r="C843" s="155">
        <v>44460</v>
      </c>
      <c r="D843" s="130">
        <v>114</v>
      </c>
      <c r="E843" s="130" t="s">
        <v>289</v>
      </c>
      <c r="F843" s="130" t="s">
        <v>287</v>
      </c>
      <c r="G843" s="130" t="s">
        <v>302</v>
      </c>
      <c r="H843" s="130">
        <v>966875</v>
      </c>
      <c r="I843" s="145">
        <v>44</v>
      </c>
      <c r="J843" s="129" t="s">
        <v>192</v>
      </c>
      <c r="K843" s="282">
        <v>10</v>
      </c>
      <c r="L843" s="103"/>
      <c r="M843" s="285">
        <f>K843-(L843+L844)</f>
        <v>10</v>
      </c>
      <c r="N843" s="288">
        <f>(L843+L844)/K843</f>
        <v>0</v>
      </c>
    </row>
    <row r="844" spans="1:15" ht="15" customHeight="1">
      <c r="A844" s="130" t="s">
        <v>303</v>
      </c>
      <c r="B844" s="130" t="s">
        <v>288</v>
      </c>
      <c r="C844" s="155">
        <v>44460</v>
      </c>
      <c r="D844" s="130">
        <v>114</v>
      </c>
      <c r="E844" s="130" t="s">
        <v>289</v>
      </c>
      <c r="F844" s="130" t="s">
        <v>287</v>
      </c>
      <c r="G844" s="130" t="s">
        <v>304</v>
      </c>
      <c r="H844" s="130">
        <v>958905</v>
      </c>
      <c r="I844" s="145">
        <v>44</v>
      </c>
      <c r="J844" s="129" t="s">
        <v>192</v>
      </c>
      <c r="K844" s="284"/>
      <c r="L844" s="103"/>
      <c r="M844" s="287"/>
      <c r="N844" s="290"/>
    </row>
    <row r="845" spans="1:15" ht="15" customHeight="1">
      <c r="A845" s="130" t="s">
        <v>303</v>
      </c>
      <c r="B845" s="130" t="s">
        <v>288</v>
      </c>
      <c r="C845" s="155">
        <v>44460</v>
      </c>
      <c r="D845" s="130">
        <v>114</v>
      </c>
      <c r="E845" s="130" t="s">
        <v>289</v>
      </c>
      <c r="F845" s="130" t="s">
        <v>287</v>
      </c>
      <c r="G845" s="130" t="s">
        <v>302</v>
      </c>
      <c r="H845" s="130">
        <v>966875</v>
      </c>
      <c r="I845" s="145">
        <v>44</v>
      </c>
      <c r="J845" s="129" t="s">
        <v>193</v>
      </c>
      <c r="K845" s="282">
        <v>10</v>
      </c>
      <c r="L845" s="103"/>
      <c r="M845" s="285">
        <f>K845-(L845+L846)</f>
        <v>10</v>
      </c>
      <c r="N845" s="288">
        <f>(L845+L846)/K845</f>
        <v>0</v>
      </c>
    </row>
    <row r="846" spans="1:15" ht="15" customHeight="1">
      <c r="A846" s="130" t="s">
        <v>303</v>
      </c>
      <c r="B846" s="130" t="s">
        <v>288</v>
      </c>
      <c r="C846" s="155">
        <v>44460</v>
      </c>
      <c r="D846" s="130">
        <v>114</v>
      </c>
      <c r="E846" s="130" t="s">
        <v>289</v>
      </c>
      <c r="F846" s="130" t="s">
        <v>287</v>
      </c>
      <c r="G846" s="130" t="s">
        <v>304</v>
      </c>
      <c r="H846" s="130">
        <v>958905</v>
      </c>
      <c r="I846" s="145">
        <v>44</v>
      </c>
      <c r="J846" s="129" t="s">
        <v>193</v>
      </c>
      <c r="K846" s="284"/>
      <c r="L846" s="103"/>
      <c r="M846" s="287"/>
      <c r="N846" s="290"/>
    </row>
    <row r="847" spans="1:15" ht="15" customHeight="1">
      <c r="A847" s="130" t="s">
        <v>286</v>
      </c>
      <c r="B847" s="130" t="s">
        <v>293</v>
      </c>
      <c r="C847" s="155">
        <v>44460</v>
      </c>
      <c r="D847" s="130">
        <v>113</v>
      </c>
      <c r="E847" s="130" t="s">
        <v>289</v>
      </c>
      <c r="F847" s="130" t="s">
        <v>287</v>
      </c>
      <c r="G847" s="130" t="s">
        <v>425</v>
      </c>
      <c r="H847" s="130">
        <v>697484</v>
      </c>
      <c r="I847" s="145">
        <v>19</v>
      </c>
      <c r="J847" s="129" t="s">
        <v>193</v>
      </c>
      <c r="K847" s="169">
        <v>29.8</v>
      </c>
      <c r="L847" s="103"/>
      <c r="M847" s="128">
        <f t="shared" ref="M847" si="288">K847-L847</f>
        <v>29.8</v>
      </c>
      <c r="N847" s="94">
        <f t="shared" ref="N847" si="289">L847/K847</f>
        <v>0</v>
      </c>
    </row>
    <row r="848" spans="1:15" ht="15" customHeight="1">
      <c r="A848" s="130" t="s">
        <v>678</v>
      </c>
      <c r="B848" s="130" t="s">
        <v>288</v>
      </c>
      <c r="C848" s="155">
        <v>44460</v>
      </c>
      <c r="D848" s="130">
        <v>115</v>
      </c>
      <c r="E848" s="130" t="s">
        <v>289</v>
      </c>
      <c r="F848" s="130" t="s">
        <v>287</v>
      </c>
      <c r="G848" s="130" t="s">
        <v>302</v>
      </c>
      <c r="H848" s="130">
        <v>966875</v>
      </c>
      <c r="I848" s="145">
        <v>44</v>
      </c>
      <c r="J848" s="129" t="s">
        <v>192</v>
      </c>
      <c r="K848" s="282">
        <v>240</v>
      </c>
      <c r="L848" s="103"/>
      <c r="M848" s="285">
        <f>K848-(L848+L849)</f>
        <v>240</v>
      </c>
      <c r="N848" s="288">
        <f>(L848+L849)/K848</f>
        <v>0</v>
      </c>
    </row>
    <row r="849" spans="1:14" ht="15" customHeight="1">
      <c r="A849" s="130" t="s">
        <v>678</v>
      </c>
      <c r="B849" s="130" t="s">
        <v>288</v>
      </c>
      <c r="C849" s="155">
        <v>44460</v>
      </c>
      <c r="D849" s="130">
        <v>115</v>
      </c>
      <c r="E849" s="130" t="s">
        <v>289</v>
      </c>
      <c r="F849" s="130" t="s">
        <v>287</v>
      </c>
      <c r="G849" s="130" t="s">
        <v>304</v>
      </c>
      <c r="H849" s="130">
        <v>958905</v>
      </c>
      <c r="I849" s="145">
        <v>44</v>
      </c>
      <c r="J849" s="129" t="s">
        <v>192</v>
      </c>
      <c r="K849" s="284"/>
      <c r="L849" s="103"/>
      <c r="M849" s="287"/>
      <c r="N849" s="290"/>
    </row>
    <row r="850" spans="1:14" ht="15" customHeight="1">
      <c r="A850" s="130" t="s">
        <v>678</v>
      </c>
      <c r="B850" s="130" t="s">
        <v>288</v>
      </c>
      <c r="C850" s="155">
        <v>44460</v>
      </c>
      <c r="D850" s="130">
        <v>115</v>
      </c>
      <c r="E850" s="130" t="s">
        <v>289</v>
      </c>
      <c r="F850" s="130" t="s">
        <v>287</v>
      </c>
      <c r="G850" s="130" t="s">
        <v>302</v>
      </c>
      <c r="H850" s="130">
        <v>966875</v>
      </c>
      <c r="I850" s="145">
        <v>44</v>
      </c>
      <c r="J850" s="129" t="s">
        <v>193</v>
      </c>
      <c r="K850" s="282">
        <v>300</v>
      </c>
      <c r="L850" s="103"/>
      <c r="M850" s="285">
        <f>K850-(L850+L851)</f>
        <v>300</v>
      </c>
      <c r="N850" s="288">
        <f>(L850+L851)/K850</f>
        <v>0</v>
      </c>
    </row>
    <row r="851" spans="1:14" ht="15" customHeight="1">
      <c r="A851" s="130" t="s">
        <v>678</v>
      </c>
      <c r="B851" s="130" t="s">
        <v>288</v>
      </c>
      <c r="C851" s="155">
        <v>44460</v>
      </c>
      <c r="D851" s="130">
        <v>115</v>
      </c>
      <c r="E851" s="130" t="s">
        <v>289</v>
      </c>
      <c r="F851" s="130" t="s">
        <v>287</v>
      </c>
      <c r="G851" s="130" t="s">
        <v>304</v>
      </c>
      <c r="H851" s="130">
        <v>958905</v>
      </c>
      <c r="I851" s="145">
        <v>44</v>
      </c>
      <c r="J851" s="129" t="s">
        <v>193</v>
      </c>
      <c r="K851" s="284"/>
      <c r="L851" s="103"/>
      <c r="M851" s="287"/>
      <c r="N851" s="290"/>
    </row>
    <row r="852" spans="1:14" ht="15" customHeight="1">
      <c r="A852" s="130" t="s">
        <v>305</v>
      </c>
      <c r="B852" s="130" t="s">
        <v>293</v>
      </c>
      <c r="C852" s="155">
        <v>44460</v>
      </c>
      <c r="D852" s="130">
        <v>119</v>
      </c>
      <c r="E852" s="130" t="s">
        <v>289</v>
      </c>
      <c r="F852" s="130" t="s">
        <v>287</v>
      </c>
      <c r="G852" s="130" t="s">
        <v>607</v>
      </c>
      <c r="H852" s="130">
        <v>959986</v>
      </c>
      <c r="I852" s="145">
        <v>6</v>
      </c>
      <c r="J852" s="129" t="s">
        <v>193</v>
      </c>
      <c r="K852" s="127">
        <v>150</v>
      </c>
      <c r="L852" s="103"/>
      <c r="M852" s="128">
        <f t="shared" ref="M852:M853" si="290">K852-L852</f>
        <v>150</v>
      </c>
      <c r="N852" s="94">
        <f t="shared" ref="N852:N853" si="291">L852/K852</f>
        <v>0</v>
      </c>
    </row>
    <row r="853" spans="1:14" ht="15" customHeight="1">
      <c r="A853" s="130" t="s">
        <v>305</v>
      </c>
      <c r="B853" s="130" t="s">
        <v>293</v>
      </c>
      <c r="C853" s="155">
        <v>44460</v>
      </c>
      <c r="D853" s="130">
        <v>120</v>
      </c>
      <c r="E853" s="130" t="s">
        <v>289</v>
      </c>
      <c r="F853" s="130" t="s">
        <v>287</v>
      </c>
      <c r="G853" s="130" t="s">
        <v>659</v>
      </c>
      <c r="H853" s="130">
        <v>697391</v>
      </c>
      <c r="I853" s="145">
        <v>53</v>
      </c>
      <c r="J853" s="129" t="s">
        <v>193</v>
      </c>
      <c r="K853" s="127">
        <v>106</v>
      </c>
      <c r="L853" s="103"/>
      <c r="M853" s="128">
        <f t="shared" si="290"/>
        <v>106</v>
      </c>
      <c r="N853" s="94">
        <f t="shared" si="291"/>
        <v>0</v>
      </c>
    </row>
    <row r="854" spans="1:14" ht="15" customHeight="1">
      <c r="A854" s="130" t="s">
        <v>372</v>
      </c>
      <c r="B854" s="130" t="s">
        <v>288</v>
      </c>
      <c r="C854" s="155">
        <v>44463</v>
      </c>
      <c r="D854" s="130">
        <v>2628</v>
      </c>
      <c r="E854" s="130" t="s">
        <v>294</v>
      </c>
      <c r="F854" s="130" t="s">
        <v>297</v>
      </c>
      <c r="G854" s="130" t="s">
        <v>384</v>
      </c>
      <c r="H854" s="130">
        <v>31015</v>
      </c>
      <c r="I854" s="145">
        <v>43</v>
      </c>
      <c r="J854" s="129" t="s">
        <v>193</v>
      </c>
      <c r="K854" s="282">
        <v>358.05700000000002</v>
      </c>
      <c r="L854" s="103"/>
      <c r="M854" s="285">
        <f>K854-(L854+L855+L856)</f>
        <v>358.05700000000002</v>
      </c>
      <c r="N854" s="288">
        <f>(L854+L855+L856)/K854</f>
        <v>0</v>
      </c>
    </row>
    <row r="855" spans="1:14" ht="15" customHeight="1">
      <c r="A855" s="130" t="s">
        <v>372</v>
      </c>
      <c r="B855" s="130" t="s">
        <v>288</v>
      </c>
      <c r="C855" s="155">
        <v>44463</v>
      </c>
      <c r="D855" s="130">
        <v>2628</v>
      </c>
      <c r="E855" s="130" t="s">
        <v>294</v>
      </c>
      <c r="F855" s="130" t="s">
        <v>297</v>
      </c>
      <c r="G855" s="130" t="s">
        <v>383</v>
      </c>
      <c r="H855" s="130">
        <v>968938</v>
      </c>
      <c r="I855" s="145">
        <v>43</v>
      </c>
      <c r="J855" s="129" t="s">
        <v>193</v>
      </c>
      <c r="K855" s="283"/>
      <c r="L855" s="103"/>
      <c r="M855" s="286"/>
      <c r="N855" s="289"/>
    </row>
    <row r="856" spans="1:14" ht="15" customHeight="1">
      <c r="A856" s="130" t="s">
        <v>372</v>
      </c>
      <c r="B856" s="130" t="s">
        <v>288</v>
      </c>
      <c r="C856" s="155">
        <v>44463</v>
      </c>
      <c r="D856" s="130">
        <v>2628</v>
      </c>
      <c r="E856" s="130" t="s">
        <v>294</v>
      </c>
      <c r="F856" s="130" t="s">
        <v>297</v>
      </c>
      <c r="G856" s="130" t="s">
        <v>387</v>
      </c>
      <c r="H856" s="130">
        <v>966410</v>
      </c>
      <c r="I856" s="145">
        <v>43</v>
      </c>
      <c r="J856" s="129" t="s">
        <v>193</v>
      </c>
      <c r="K856" s="284"/>
      <c r="L856" s="103"/>
      <c r="M856" s="287"/>
      <c r="N856" s="290"/>
    </row>
    <row r="857" spans="1:14" ht="15" customHeight="1">
      <c r="A857" s="130" t="s">
        <v>372</v>
      </c>
      <c r="B857" s="130" t="s">
        <v>293</v>
      </c>
      <c r="C857" s="155">
        <v>44463</v>
      </c>
      <c r="D857" s="130">
        <v>2632</v>
      </c>
      <c r="E857" s="130" t="s">
        <v>294</v>
      </c>
      <c r="F857" s="130" t="s">
        <v>297</v>
      </c>
      <c r="G857" s="130" t="s">
        <v>385</v>
      </c>
      <c r="H857" s="130">
        <v>952004</v>
      </c>
      <c r="I857" s="145">
        <v>21</v>
      </c>
      <c r="J857" s="129" t="s">
        <v>193</v>
      </c>
      <c r="K857" s="127">
        <v>30</v>
      </c>
      <c r="L857" s="103"/>
      <c r="M857" s="128">
        <f t="shared" ref="M857" si="292">K857-L857</f>
        <v>30</v>
      </c>
      <c r="N857" s="94">
        <f t="shared" ref="N857" si="293">L857/K857</f>
        <v>0</v>
      </c>
    </row>
    <row r="858" spans="1:14" ht="15" customHeight="1">
      <c r="A858" s="130" t="s">
        <v>372</v>
      </c>
      <c r="B858" s="130" t="s">
        <v>293</v>
      </c>
      <c r="C858" s="155">
        <v>44463</v>
      </c>
      <c r="D858" s="130">
        <v>2632</v>
      </c>
      <c r="E858" s="130" t="s">
        <v>294</v>
      </c>
      <c r="F858" s="130" t="s">
        <v>297</v>
      </c>
      <c r="G858" s="130" t="s">
        <v>400</v>
      </c>
      <c r="H858" s="130">
        <v>697914</v>
      </c>
      <c r="I858" s="145">
        <v>69</v>
      </c>
      <c r="J858" s="129" t="s">
        <v>193</v>
      </c>
      <c r="K858" s="127">
        <v>70</v>
      </c>
      <c r="L858" s="103"/>
      <c r="M858" s="128">
        <f t="shared" ref="M858:M864" si="294">K858-L858</f>
        <v>70</v>
      </c>
      <c r="N858" s="94">
        <f t="shared" ref="N858:N864" si="295">L858/K858</f>
        <v>0</v>
      </c>
    </row>
    <row r="859" spans="1:14" ht="15" customHeight="1">
      <c r="A859" s="130" t="s">
        <v>372</v>
      </c>
      <c r="B859" s="130" t="s">
        <v>293</v>
      </c>
      <c r="C859" s="155">
        <v>44463</v>
      </c>
      <c r="D859" s="130">
        <v>2632</v>
      </c>
      <c r="E859" s="130" t="s">
        <v>294</v>
      </c>
      <c r="F859" s="130" t="s">
        <v>297</v>
      </c>
      <c r="G859" s="130" t="s">
        <v>374</v>
      </c>
      <c r="H859" s="130">
        <v>964054</v>
      </c>
      <c r="I859" s="145">
        <v>19</v>
      </c>
      <c r="J859" s="129" t="s">
        <v>193</v>
      </c>
      <c r="K859" s="127">
        <v>50</v>
      </c>
      <c r="L859" s="103"/>
      <c r="M859" s="128">
        <f t="shared" si="294"/>
        <v>50</v>
      </c>
      <c r="N859" s="94">
        <f t="shared" si="295"/>
        <v>0</v>
      </c>
    </row>
    <row r="860" spans="1:14" ht="15" customHeight="1">
      <c r="A860" s="130" t="s">
        <v>372</v>
      </c>
      <c r="B860" s="130" t="s">
        <v>293</v>
      </c>
      <c r="C860" s="155">
        <v>44463</v>
      </c>
      <c r="D860" s="130">
        <v>2632</v>
      </c>
      <c r="E860" s="130" t="s">
        <v>294</v>
      </c>
      <c r="F860" s="130" t="s">
        <v>297</v>
      </c>
      <c r="G860" s="130" t="s">
        <v>375</v>
      </c>
      <c r="H860" s="130">
        <v>960094</v>
      </c>
      <c r="I860" s="145">
        <v>70</v>
      </c>
      <c r="J860" s="129" t="s">
        <v>193</v>
      </c>
      <c r="K860" s="127">
        <v>50</v>
      </c>
      <c r="L860" s="103"/>
      <c r="M860" s="128">
        <f t="shared" si="294"/>
        <v>50</v>
      </c>
      <c r="N860" s="94">
        <f t="shared" si="295"/>
        <v>0</v>
      </c>
    </row>
    <row r="861" spans="1:14" ht="15" customHeight="1">
      <c r="A861" s="130" t="s">
        <v>372</v>
      </c>
      <c r="B861" s="130" t="s">
        <v>293</v>
      </c>
      <c r="C861" s="155">
        <v>44463</v>
      </c>
      <c r="D861" s="130">
        <v>2632</v>
      </c>
      <c r="E861" s="130" t="s">
        <v>294</v>
      </c>
      <c r="F861" s="130" t="s">
        <v>297</v>
      </c>
      <c r="G861" s="130" t="s">
        <v>463</v>
      </c>
      <c r="H861" s="130">
        <v>969290</v>
      </c>
      <c r="I861" s="145">
        <v>67</v>
      </c>
      <c r="J861" s="129" t="s">
        <v>193</v>
      </c>
      <c r="K861" s="127">
        <v>50</v>
      </c>
      <c r="L861" s="103">
        <v>50</v>
      </c>
      <c r="M861" s="128">
        <f t="shared" si="294"/>
        <v>0</v>
      </c>
      <c r="N861" s="94">
        <f t="shared" si="295"/>
        <v>1</v>
      </c>
    </row>
    <row r="862" spans="1:14" ht="15" customHeight="1">
      <c r="A862" s="130" t="s">
        <v>372</v>
      </c>
      <c r="B862" s="130" t="s">
        <v>293</v>
      </c>
      <c r="C862" s="155">
        <v>44463</v>
      </c>
      <c r="D862" s="130">
        <v>2632</v>
      </c>
      <c r="E862" s="130" t="s">
        <v>294</v>
      </c>
      <c r="F862" s="130" t="s">
        <v>297</v>
      </c>
      <c r="G862" s="130" t="s">
        <v>462</v>
      </c>
      <c r="H862" s="130">
        <v>31292</v>
      </c>
      <c r="I862" s="145">
        <v>31</v>
      </c>
      <c r="J862" s="129" t="s">
        <v>193</v>
      </c>
      <c r="K862" s="127">
        <v>50</v>
      </c>
      <c r="L862" s="103"/>
      <c r="M862" s="128">
        <f t="shared" si="294"/>
        <v>50</v>
      </c>
      <c r="N862" s="94">
        <f t="shared" si="295"/>
        <v>0</v>
      </c>
    </row>
    <row r="863" spans="1:14" ht="15" customHeight="1">
      <c r="A863" s="129" t="s">
        <v>311</v>
      </c>
      <c r="B863" s="130" t="s">
        <v>293</v>
      </c>
      <c r="C863" s="155">
        <v>44467</v>
      </c>
      <c r="D863" s="130">
        <v>2645</v>
      </c>
      <c r="E863" s="130" t="s">
        <v>294</v>
      </c>
      <c r="F863" s="130" t="s">
        <v>297</v>
      </c>
      <c r="G863" s="130" t="s">
        <v>281</v>
      </c>
      <c r="H863" s="129">
        <v>954552</v>
      </c>
      <c r="I863" s="145">
        <v>39</v>
      </c>
      <c r="J863" s="129" t="s">
        <v>192</v>
      </c>
      <c r="K863" s="127">
        <v>0.89</v>
      </c>
      <c r="L863" s="103"/>
      <c r="M863" s="128">
        <f t="shared" si="294"/>
        <v>0.89</v>
      </c>
      <c r="N863" s="94">
        <f t="shared" si="295"/>
        <v>0</v>
      </c>
    </row>
    <row r="864" spans="1:14" ht="15" customHeight="1">
      <c r="A864" s="129" t="s">
        <v>311</v>
      </c>
      <c r="B864" s="130" t="s">
        <v>293</v>
      </c>
      <c r="C864" s="155">
        <v>44467</v>
      </c>
      <c r="D864" s="130">
        <v>2645</v>
      </c>
      <c r="E864" s="130" t="s">
        <v>294</v>
      </c>
      <c r="F864" s="130" t="s">
        <v>297</v>
      </c>
      <c r="G864" s="130" t="s">
        <v>281</v>
      </c>
      <c r="H864" s="129">
        <v>954552</v>
      </c>
      <c r="I864" s="145">
        <v>39</v>
      </c>
      <c r="J864" s="129" t="s">
        <v>193</v>
      </c>
      <c r="K864" s="127">
        <v>144.6</v>
      </c>
      <c r="L864" s="103"/>
      <c r="M864" s="128">
        <f t="shared" si="294"/>
        <v>144.6</v>
      </c>
      <c r="N864" s="94">
        <f t="shared" si="295"/>
        <v>0</v>
      </c>
    </row>
    <row r="865" spans="1:15" ht="15" customHeight="1">
      <c r="A865" s="130" t="s">
        <v>372</v>
      </c>
      <c r="B865" s="130" t="s">
        <v>293</v>
      </c>
      <c r="C865" s="155">
        <v>44468</v>
      </c>
      <c r="D865" s="130">
        <v>2655</v>
      </c>
      <c r="E865" s="130" t="s">
        <v>294</v>
      </c>
      <c r="F865" s="130" t="s">
        <v>297</v>
      </c>
      <c r="G865" s="130" t="s">
        <v>382</v>
      </c>
      <c r="H865" s="130">
        <v>968281</v>
      </c>
      <c r="I865" s="145">
        <v>59</v>
      </c>
      <c r="J865" s="129" t="s">
        <v>193</v>
      </c>
      <c r="K865" s="127">
        <v>18</v>
      </c>
      <c r="L865" s="103"/>
      <c r="M865" s="128">
        <f t="shared" ref="M865:M868" si="296">K865-L865</f>
        <v>18</v>
      </c>
      <c r="N865" s="94">
        <f t="shared" ref="N865:N868" si="297">L865/K865</f>
        <v>0</v>
      </c>
    </row>
    <row r="866" spans="1:15" ht="15" customHeight="1">
      <c r="A866" s="130" t="s">
        <v>372</v>
      </c>
      <c r="B866" s="130" t="s">
        <v>293</v>
      </c>
      <c r="C866" s="155">
        <v>44468</v>
      </c>
      <c r="D866" s="130">
        <v>2656</v>
      </c>
      <c r="E866" s="130" t="s">
        <v>294</v>
      </c>
      <c r="F866" s="130" t="s">
        <v>297</v>
      </c>
      <c r="G866" s="130" t="s">
        <v>471</v>
      </c>
      <c r="H866" s="130">
        <v>968132</v>
      </c>
      <c r="I866" s="145">
        <v>25</v>
      </c>
      <c r="J866" s="129" t="s">
        <v>193</v>
      </c>
      <c r="K866" s="127">
        <v>138</v>
      </c>
      <c r="L866" s="103">
        <v>23.216000000000001</v>
      </c>
      <c r="M866" s="128">
        <f t="shared" si="296"/>
        <v>114.78399999999999</v>
      </c>
      <c r="N866" s="94">
        <f t="shared" si="297"/>
        <v>0.16823188405797102</v>
      </c>
    </row>
    <row r="867" spans="1:15" ht="15" customHeight="1">
      <c r="A867" s="130" t="s">
        <v>372</v>
      </c>
      <c r="B867" s="130" t="s">
        <v>293</v>
      </c>
      <c r="C867" s="155">
        <v>44468</v>
      </c>
      <c r="D867" s="130">
        <v>2656</v>
      </c>
      <c r="E867" s="130" t="s">
        <v>294</v>
      </c>
      <c r="F867" s="130" t="s">
        <v>297</v>
      </c>
      <c r="G867" s="130" t="s">
        <v>469</v>
      </c>
      <c r="H867" s="130">
        <v>969362</v>
      </c>
      <c r="I867" s="145">
        <v>25</v>
      </c>
      <c r="J867" s="129" t="s">
        <v>193</v>
      </c>
      <c r="K867" s="127">
        <v>276</v>
      </c>
      <c r="L867" s="103">
        <v>12.664999999999999</v>
      </c>
      <c r="M867" s="128">
        <f t="shared" si="296"/>
        <v>263.33499999999998</v>
      </c>
      <c r="N867" s="94">
        <f t="shared" si="297"/>
        <v>4.5887681159420289E-2</v>
      </c>
    </row>
    <row r="868" spans="1:15" ht="15" customHeight="1">
      <c r="A868" s="130" t="s">
        <v>372</v>
      </c>
      <c r="B868" s="130" t="s">
        <v>293</v>
      </c>
      <c r="C868" s="155">
        <v>44468</v>
      </c>
      <c r="D868" s="130">
        <v>2656</v>
      </c>
      <c r="E868" s="130" t="s">
        <v>294</v>
      </c>
      <c r="F868" s="130" t="s">
        <v>297</v>
      </c>
      <c r="G868" s="130" t="s">
        <v>470</v>
      </c>
      <c r="H868" s="130">
        <v>969602</v>
      </c>
      <c r="I868" s="145">
        <v>25</v>
      </c>
      <c r="J868" s="129" t="s">
        <v>193</v>
      </c>
      <c r="K868" s="127">
        <v>138</v>
      </c>
      <c r="L868" s="103">
        <v>3.8849999999999998</v>
      </c>
      <c r="M868" s="128">
        <f t="shared" si="296"/>
        <v>134.11500000000001</v>
      </c>
      <c r="N868" s="94">
        <f t="shared" si="297"/>
        <v>2.8152173913043477E-2</v>
      </c>
    </row>
    <row r="869" spans="1:15" ht="15" customHeight="1">
      <c r="A869" s="130" t="s">
        <v>372</v>
      </c>
      <c r="B869" s="130" t="s">
        <v>293</v>
      </c>
      <c r="C869" s="155">
        <v>44468</v>
      </c>
      <c r="D869" s="130">
        <v>2657</v>
      </c>
      <c r="E869" s="130" t="s">
        <v>294</v>
      </c>
      <c r="F869" s="130" t="s">
        <v>297</v>
      </c>
      <c r="G869" s="130" t="s">
        <v>378</v>
      </c>
      <c r="H869" s="130">
        <v>962102</v>
      </c>
      <c r="I869" s="145">
        <v>68</v>
      </c>
      <c r="J869" s="129" t="s">
        <v>193</v>
      </c>
      <c r="K869" s="127">
        <v>192.52799999999999</v>
      </c>
      <c r="L869" s="103">
        <v>45.923000000000002</v>
      </c>
      <c r="M869" s="128">
        <f t="shared" ref="M869:M871" si="298">K869-L869</f>
        <v>146.60499999999999</v>
      </c>
      <c r="N869" s="94">
        <f t="shared" ref="N869:N871" si="299">L869/K869</f>
        <v>0.23852634422006153</v>
      </c>
    </row>
    <row r="870" spans="1:15" ht="15" customHeight="1">
      <c r="A870" s="130" t="s">
        <v>372</v>
      </c>
      <c r="B870" s="130" t="s">
        <v>293</v>
      </c>
      <c r="C870" s="155">
        <v>44468</v>
      </c>
      <c r="D870" s="130">
        <v>2657</v>
      </c>
      <c r="E870" s="130" t="s">
        <v>294</v>
      </c>
      <c r="F870" s="130" t="s">
        <v>297</v>
      </c>
      <c r="G870" s="130" t="s">
        <v>377</v>
      </c>
      <c r="H870" s="130">
        <v>698076</v>
      </c>
      <c r="I870" s="145">
        <v>68</v>
      </c>
      <c r="J870" s="129" t="s">
        <v>193</v>
      </c>
      <c r="K870" s="127">
        <v>100</v>
      </c>
      <c r="L870" s="103">
        <v>38.470999999999997</v>
      </c>
      <c r="M870" s="128">
        <f t="shared" si="298"/>
        <v>61.529000000000003</v>
      </c>
      <c r="N870" s="94">
        <f t="shared" si="299"/>
        <v>0.38470999999999994</v>
      </c>
    </row>
    <row r="871" spans="1:15" ht="15" customHeight="1">
      <c r="A871" s="130" t="s">
        <v>372</v>
      </c>
      <c r="B871" s="130" t="s">
        <v>293</v>
      </c>
      <c r="C871" s="155">
        <v>44468</v>
      </c>
      <c r="D871" s="130">
        <v>2657</v>
      </c>
      <c r="E871" s="130" t="s">
        <v>294</v>
      </c>
      <c r="F871" s="130" t="s">
        <v>297</v>
      </c>
      <c r="G871" s="130" t="s">
        <v>376</v>
      </c>
      <c r="H871" s="130">
        <v>968532</v>
      </c>
      <c r="I871" s="145">
        <v>68</v>
      </c>
      <c r="J871" s="129" t="s">
        <v>193</v>
      </c>
      <c r="K871" s="127">
        <v>100</v>
      </c>
      <c r="L871" s="103">
        <v>33.832999999999998</v>
      </c>
      <c r="M871" s="128">
        <f t="shared" si="298"/>
        <v>66.167000000000002</v>
      </c>
      <c r="N871" s="94">
        <f t="shared" si="299"/>
        <v>0.33832999999999996</v>
      </c>
    </row>
    <row r="872" spans="1:15" ht="15" customHeight="1">
      <c r="A872" s="130" t="s">
        <v>372</v>
      </c>
      <c r="B872" s="130" t="s">
        <v>293</v>
      </c>
      <c r="C872" s="155">
        <v>44468</v>
      </c>
      <c r="D872" s="130">
        <v>2659</v>
      </c>
      <c r="E872" s="130" t="s">
        <v>294</v>
      </c>
      <c r="F872" s="130" t="s">
        <v>297</v>
      </c>
      <c r="G872" s="130" t="s">
        <v>397</v>
      </c>
      <c r="H872" s="130">
        <v>962899</v>
      </c>
      <c r="I872" s="145">
        <v>27</v>
      </c>
      <c r="J872" s="129" t="s">
        <v>193</v>
      </c>
      <c r="K872" s="127">
        <v>344.29700000000003</v>
      </c>
      <c r="L872" s="103">
        <v>13.157999999999999</v>
      </c>
      <c r="M872" s="128">
        <f t="shared" ref="M872" si="300">K872-L872</f>
        <v>331.13900000000001</v>
      </c>
      <c r="N872" s="94">
        <f t="shared" ref="N872" si="301">L872/K872</f>
        <v>3.8217004504831578E-2</v>
      </c>
    </row>
    <row r="873" spans="1:15" ht="15" customHeight="1">
      <c r="A873" s="130" t="s">
        <v>372</v>
      </c>
      <c r="B873" s="130" t="s">
        <v>293</v>
      </c>
      <c r="C873" s="155">
        <v>44468</v>
      </c>
      <c r="D873" s="130">
        <v>2661</v>
      </c>
      <c r="E873" s="130" t="s">
        <v>294</v>
      </c>
      <c r="F873" s="130" t="s">
        <v>297</v>
      </c>
      <c r="G873" s="130" t="s">
        <v>701</v>
      </c>
      <c r="H873" s="130">
        <v>960658</v>
      </c>
      <c r="I873" s="145">
        <v>37</v>
      </c>
      <c r="J873" s="129" t="s">
        <v>193</v>
      </c>
      <c r="K873" s="127">
        <v>50</v>
      </c>
      <c r="L873" s="103"/>
      <c r="M873" s="128">
        <f t="shared" ref="M873:M875" si="302">K873-L873</f>
        <v>50</v>
      </c>
      <c r="N873" s="94">
        <f t="shared" ref="N873:N875" si="303">L873/K873</f>
        <v>0</v>
      </c>
    </row>
    <row r="874" spans="1:15" ht="15" customHeight="1">
      <c r="A874" s="130" t="s">
        <v>423</v>
      </c>
      <c r="B874" s="130" t="s">
        <v>293</v>
      </c>
      <c r="C874" s="155">
        <v>44470</v>
      </c>
      <c r="D874" s="130">
        <v>2677</v>
      </c>
      <c r="E874" s="130" t="s">
        <v>294</v>
      </c>
      <c r="F874" s="130" t="s">
        <v>297</v>
      </c>
      <c r="G874" s="130" t="s">
        <v>395</v>
      </c>
      <c r="H874" s="130">
        <v>966146</v>
      </c>
      <c r="I874" s="145">
        <v>19</v>
      </c>
      <c r="J874" s="129" t="s">
        <v>192</v>
      </c>
      <c r="K874" s="127">
        <v>5</v>
      </c>
      <c r="L874" s="103">
        <v>23.638999999999999</v>
      </c>
      <c r="M874" s="128">
        <f t="shared" si="302"/>
        <v>-18.638999999999999</v>
      </c>
      <c r="N874" s="94">
        <f t="shared" si="303"/>
        <v>4.7278000000000002</v>
      </c>
      <c r="O874" s="116">
        <f>M874+M875</f>
        <v>41.230000000000004</v>
      </c>
    </row>
    <row r="875" spans="1:15" ht="15" customHeight="1">
      <c r="A875" s="130" t="s">
        <v>423</v>
      </c>
      <c r="B875" s="130" t="s">
        <v>293</v>
      </c>
      <c r="C875" s="155">
        <v>44470</v>
      </c>
      <c r="D875" s="130">
        <v>2677</v>
      </c>
      <c r="E875" s="130" t="s">
        <v>294</v>
      </c>
      <c r="F875" s="130" t="s">
        <v>297</v>
      </c>
      <c r="G875" s="130" t="s">
        <v>395</v>
      </c>
      <c r="H875" s="130">
        <v>966146</v>
      </c>
      <c r="I875" s="145">
        <v>19</v>
      </c>
      <c r="J875" s="129" t="s">
        <v>193</v>
      </c>
      <c r="K875" s="127">
        <v>70</v>
      </c>
      <c r="L875" s="103">
        <v>10.131</v>
      </c>
      <c r="M875" s="128">
        <f t="shared" si="302"/>
        <v>59.869</v>
      </c>
      <c r="N875" s="94">
        <f t="shared" si="303"/>
        <v>0.14472857142857143</v>
      </c>
    </row>
    <row r="876" spans="1:15" ht="15" customHeight="1">
      <c r="A876" s="130" t="s">
        <v>423</v>
      </c>
      <c r="B876" s="130" t="s">
        <v>293</v>
      </c>
      <c r="C876" s="155">
        <v>44470</v>
      </c>
      <c r="D876" s="130">
        <v>2677</v>
      </c>
      <c r="E876" s="130" t="s">
        <v>294</v>
      </c>
      <c r="F876" s="130" t="s">
        <v>297</v>
      </c>
      <c r="G876" s="130" t="s">
        <v>425</v>
      </c>
      <c r="H876" s="130">
        <v>697484</v>
      </c>
      <c r="I876" s="145">
        <v>19</v>
      </c>
      <c r="J876" s="129" t="s">
        <v>192</v>
      </c>
      <c r="K876" s="127">
        <v>5</v>
      </c>
      <c r="L876" s="103">
        <v>25.861000000000001</v>
      </c>
      <c r="M876" s="128">
        <f t="shared" ref="M876:M901" si="304">K876-L876</f>
        <v>-20.861000000000001</v>
      </c>
      <c r="N876" s="94">
        <f t="shared" ref="N876:N901" si="305">L876/K876</f>
        <v>5.1722000000000001</v>
      </c>
      <c r="O876" s="116">
        <f>M876+M877</f>
        <v>27.98</v>
      </c>
    </row>
    <row r="877" spans="1:15" ht="15" customHeight="1">
      <c r="A877" s="130" t="s">
        <v>423</v>
      </c>
      <c r="B877" s="130" t="s">
        <v>293</v>
      </c>
      <c r="C877" s="155">
        <v>44470</v>
      </c>
      <c r="D877" s="130">
        <v>2677</v>
      </c>
      <c r="E877" s="130" t="s">
        <v>294</v>
      </c>
      <c r="F877" s="130" t="s">
        <v>297</v>
      </c>
      <c r="G877" s="130" t="s">
        <v>425</v>
      </c>
      <c r="H877" s="130">
        <v>697484</v>
      </c>
      <c r="I877" s="145">
        <v>19</v>
      </c>
      <c r="J877" s="129" t="s">
        <v>193</v>
      </c>
      <c r="K877" s="127">
        <v>70</v>
      </c>
      <c r="L877" s="103">
        <v>21.158999999999999</v>
      </c>
      <c r="M877" s="128">
        <f t="shared" si="304"/>
        <v>48.841000000000001</v>
      </c>
      <c r="N877" s="94">
        <f t="shared" si="305"/>
        <v>0.30227142857142858</v>
      </c>
    </row>
    <row r="878" spans="1:15" ht="15" customHeight="1">
      <c r="A878" s="130" t="s">
        <v>423</v>
      </c>
      <c r="B878" s="130" t="s">
        <v>293</v>
      </c>
      <c r="C878" s="155">
        <v>44470</v>
      </c>
      <c r="D878" s="130">
        <v>2677</v>
      </c>
      <c r="E878" s="130" t="s">
        <v>294</v>
      </c>
      <c r="F878" s="130" t="s">
        <v>297</v>
      </c>
      <c r="G878" s="130" t="s">
        <v>418</v>
      </c>
      <c r="H878" s="130">
        <v>953832</v>
      </c>
      <c r="I878" s="145">
        <v>19</v>
      </c>
      <c r="J878" s="129" t="s">
        <v>192</v>
      </c>
      <c r="K878" s="127">
        <v>5</v>
      </c>
      <c r="L878" s="103">
        <v>2.081</v>
      </c>
      <c r="M878" s="128">
        <f t="shared" si="304"/>
        <v>2.919</v>
      </c>
      <c r="N878" s="94">
        <f t="shared" si="305"/>
        <v>0.41620000000000001</v>
      </c>
      <c r="O878" s="116">
        <f t="shared" ref="O878" si="306">M878+M879</f>
        <v>32.844999999999999</v>
      </c>
    </row>
    <row r="879" spans="1:15" ht="15" customHeight="1">
      <c r="A879" s="130" t="s">
        <v>423</v>
      </c>
      <c r="B879" s="130" t="s">
        <v>293</v>
      </c>
      <c r="C879" s="155">
        <v>44470</v>
      </c>
      <c r="D879" s="130">
        <v>2677</v>
      </c>
      <c r="E879" s="130" t="s">
        <v>294</v>
      </c>
      <c r="F879" s="130" t="s">
        <v>297</v>
      </c>
      <c r="G879" s="130" t="s">
        <v>418</v>
      </c>
      <c r="H879" s="130">
        <v>953832</v>
      </c>
      <c r="I879" s="145">
        <v>19</v>
      </c>
      <c r="J879" s="129" t="s">
        <v>193</v>
      </c>
      <c r="K879" s="127">
        <v>45</v>
      </c>
      <c r="L879" s="103">
        <v>15.074</v>
      </c>
      <c r="M879" s="128">
        <f t="shared" si="304"/>
        <v>29.926000000000002</v>
      </c>
      <c r="N879" s="94">
        <f t="shared" si="305"/>
        <v>0.33497777777777776</v>
      </c>
    </row>
    <row r="880" spans="1:15" ht="15" customHeight="1">
      <c r="A880" s="130" t="s">
        <v>423</v>
      </c>
      <c r="B880" s="130" t="s">
        <v>293</v>
      </c>
      <c r="C880" s="155">
        <v>44470</v>
      </c>
      <c r="D880" s="130">
        <v>2677</v>
      </c>
      <c r="E880" s="130" t="s">
        <v>294</v>
      </c>
      <c r="F880" s="130" t="s">
        <v>297</v>
      </c>
      <c r="G880" s="130" t="s">
        <v>432</v>
      </c>
      <c r="H880" s="130">
        <v>955486</v>
      </c>
      <c r="I880" s="145">
        <v>38</v>
      </c>
      <c r="J880" s="129" t="s">
        <v>192</v>
      </c>
      <c r="K880" s="127">
        <v>5</v>
      </c>
      <c r="L880" s="103"/>
      <c r="M880" s="128">
        <f t="shared" si="304"/>
        <v>5</v>
      </c>
      <c r="N880" s="94">
        <f t="shared" si="305"/>
        <v>0</v>
      </c>
      <c r="O880" s="116">
        <f t="shared" ref="O880" si="307">M880+M881</f>
        <v>150</v>
      </c>
    </row>
    <row r="881" spans="1:15" ht="15" customHeight="1">
      <c r="A881" s="130" t="s">
        <v>423</v>
      </c>
      <c r="B881" s="130" t="s">
        <v>293</v>
      </c>
      <c r="C881" s="155">
        <v>44470</v>
      </c>
      <c r="D881" s="130">
        <v>2677</v>
      </c>
      <c r="E881" s="130" t="s">
        <v>294</v>
      </c>
      <c r="F881" s="130" t="s">
        <v>297</v>
      </c>
      <c r="G881" s="130" t="s">
        <v>432</v>
      </c>
      <c r="H881" s="130">
        <v>955486</v>
      </c>
      <c r="I881" s="145">
        <v>38</v>
      </c>
      <c r="J881" s="129" t="s">
        <v>193</v>
      </c>
      <c r="K881" s="127">
        <v>145</v>
      </c>
      <c r="L881" s="103"/>
      <c r="M881" s="128">
        <f t="shared" si="304"/>
        <v>145</v>
      </c>
      <c r="N881" s="94">
        <f t="shared" si="305"/>
        <v>0</v>
      </c>
    </row>
    <row r="882" spans="1:15" ht="15" customHeight="1">
      <c r="A882" s="130" t="s">
        <v>423</v>
      </c>
      <c r="B882" s="130" t="s">
        <v>293</v>
      </c>
      <c r="C882" s="155">
        <v>44470</v>
      </c>
      <c r="D882" s="130">
        <v>2677</v>
      </c>
      <c r="E882" s="130" t="s">
        <v>294</v>
      </c>
      <c r="F882" s="130" t="s">
        <v>297</v>
      </c>
      <c r="G882" s="130" t="s">
        <v>295</v>
      </c>
      <c r="H882" s="130">
        <v>962795</v>
      </c>
      <c r="I882" s="145">
        <v>11</v>
      </c>
      <c r="J882" s="129" t="s">
        <v>192</v>
      </c>
      <c r="K882" s="127">
        <v>10</v>
      </c>
      <c r="L882" s="103"/>
      <c r="M882" s="128">
        <f t="shared" si="304"/>
        <v>10</v>
      </c>
      <c r="N882" s="94">
        <f t="shared" si="305"/>
        <v>0</v>
      </c>
      <c r="O882" s="116">
        <f t="shared" ref="O882" si="308">M882+M883</f>
        <v>345.80599999999998</v>
      </c>
    </row>
    <row r="883" spans="1:15" ht="15" customHeight="1">
      <c r="A883" s="130" t="s">
        <v>423</v>
      </c>
      <c r="B883" s="130" t="s">
        <v>293</v>
      </c>
      <c r="C883" s="155">
        <v>44470</v>
      </c>
      <c r="D883" s="130">
        <v>2677</v>
      </c>
      <c r="E883" s="130" t="s">
        <v>294</v>
      </c>
      <c r="F883" s="130" t="s">
        <v>297</v>
      </c>
      <c r="G883" s="130" t="s">
        <v>295</v>
      </c>
      <c r="H883" s="130">
        <v>962795</v>
      </c>
      <c r="I883" s="145">
        <v>11</v>
      </c>
      <c r="J883" s="129" t="s">
        <v>193</v>
      </c>
      <c r="K883" s="127">
        <v>340</v>
      </c>
      <c r="L883" s="103">
        <v>4.194</v>
      </c>
      <c r="M883" s="128">
        <f t="shared" si="304"/>
        <v>335.80599999999998</v>
      </c>
      <c r="N883" s="94">
        <f t="shared" si="305"/>
        <v>1.2335294117647059E-2</v>
      </c>
    </row>
    <row r="884" spans="1:15" ht="15" customHeight="1">
      <c r="A884" s="130" t="s">
        <v>423</v>
      </c>
      <c r="B884" s="130" t="s">
        <v>293</v>
      </c>
      <c r="C884" s="155">
        <v>44470</v>
      </c>
      <c r="D884" s="130">
        <v>2677</v>
      </c>
      <c r="E884" s="130" t="s">
        <v>294</v>
      </c>
      <c r="F884" s="130" t="s">
        <v>297</v>
      </c>
      <c r="G884" s="130" t="s">
        <v>435</v>
      </c>
      <c r="H884" s="130">
        <v>951038</v>
      </c>
      <c r="I884" s="145">
        <v>19</v>
      </c>
      <c r="J884" s="129" t="s">
        <v>192</v>
      </c>
      <c r="K884" s="127">
        <v>5</v>
      </c>
      <c r="L884" s="103">
        <v>6.3150000000000004</v>
      </c>
      <c r="M884" s="128">
        <f t="shared" si="304"/>
        <v>-1.3150000000000004</v>
      </c>
      <c r="N884" s="94">
        <f t="shared" si="305"/>
        <v>1.2630000000000001</v>
      </c>
      <c r="O884" s="116">
        <f t="shared" ref="O884" si="309">M884+M885</f>
        <v>45.075000000000003</v>
      </c>
    </row>
    <row r="885" spans="1:15" ht="15" customHeight="1">
      <c r="A885" s="130" t="s">
        <v>423</v>
      </c>
      <c r="B885" s="130" t="s">
        <v>293</v>
      </c>
      <c r="C885" s="155">
        <v>44470</v>
      </c>
      <c r="D885" s="130">
        <v>2677</v>
      </c>
      <c r="E885" s="130" t="s">
        <v>294</v>
      </c>
      <c r="F885" s="130" t="s">
        <v>297</v>
      </c>
      <c r="G885" s="130" t="s">
        <v>435</v>
      </c>
      <c r="H885" s="130">
        <v>951038</v>
      </c>
      <c r="I885" s="145">
        <v>19</v>
      </c>
      <c r="J885" s="129" t="s">
        <v>193</v>
      </c>
      <c r="K885" s="127">
        <v>55</v>
      </c>
      <c r="L885" s="103">
        <v>8.61</v>
      </c>
      <c r="M885" s="128">
        <f t="shared" si="304"/>
        <v>46.39</v>
      </c>
      <c r="N885" s="94">
        <f t="shared" si="305"/>
        <v>0.15654545454545454</v>
      </c>
    </row>
    <row r="886" spans="1:15" ht="15" customHeight="1">
      <c r="A886" s="130" t="s">
        <v>423</v>
      </c>
      <c r="B886" s="130" t="s">
        <v>293</v>
      </c>
      <c r="C886" s="155">
        <v>44470</v>
      </c>
      <c r="D886" s="130">
        <v>2677</v>
      </c>
      <c r="E886" s="130" t="s">
        <v>294</v>
      </c>
      <c r="F886" s="130" t="s">
        <v>297</v>
      </c>
      <c r="G886" s="130" t="s">
        <v>438</v>
      </c>
      <c r="H886" s="130">
        <v>966093</v>
      </c>
      <c r="I886" s="145">
        <v>25</v>
      </c>
      <c r="J886" s="129" t="s">
        <v>192</v>
      </c>
      <c r="K886" s="127">
        <v>5</v>
      </c>
      <c r="L886" s="103"/>
      <c r="M886" s="128">
        <f t="shared" si="304"/>
        <v>5</v>
      </c>
      <c r="N886" s="94">
        <f t="shared" si="305"/>
        <v>0</v>
      </c>
      <c r="O886" s="116">
        <f t="shared" ref="O886" si="310">M886+M887</f>
        <v>50</v>
      </c>
    </row>
    <row r="887" spans="1:15" ht="15" customHeight="1">
      <c r="A887" s="130" t="s">
        <v>423</v>
      </c>
      <c r="B887" s="130" t="s">
        <v>293</v>
      </c>
      <c r="C887" s="155">
        <v>44470</v>
      </c>
      <c r="D887" s="130">
        <v>2677</v>
      </c>
      <c r="E887" s="130" t="s">
        <v>294</v>
      </c>
      <c r="F887" s="130" t="s">
        <v>297</v>
      </c>
      <c r="G887" s="130" t="s">
        <v>438</v>
      </c>
      <c r="H887" s="130">
        <v>966093</v>
      </c>
      <c r="I887" s="145">
        <v>25</v>
      </c>
      <c r="J887" s="129" t="s">
        <v>193</v>
      </c>
      <c r="K887" s="127">
        <v>45</v>
      </c>
      <c r="L887" s="103"/>
      <c r="M887" s="128">
        <f t="shared" si="304"/>
        <v>45</v>
      </c>
      <c r="N887" s="94">
        <f t="shared" si="305"/>
        <v>0</v>
      </c>
    </row>
    <row r="888" spans="1:15" ht="15" customHeight="1">
      <c r="A888" s="130" t="s">
        <v>423</v>
      </c>
      <c r="B888" s="130" t="s">
        <v>293</v>
      </c>
      <c r="C888" s="155">
        <v>44470</v>
      </c>
      <c r="D888" s="130">
        <v>2677</v>
      </c>
      <c r="E888" s="130" t="s">
        <v>294</v>
      </c>
      <c r="F888" s="130" t="s">
        <v>297</v>
      </c>
      <c r="G888" s="130" t="s">
        <v>439</v>
      </c>
      <c r="H888" s="130">
        <v>968710</v>
      </c>
      <c r="I888" s="145">
        <v>50</v>
      </c>
      <c r="J888" s="129" t="s">
        <v>192</v>
      </c>
      <c r="K888" s="127">
        <v>5</v>
      </c>
      <c r="L888" s="103">
        <v>40.927</v>
      </c>
      <c r="M888" s="128">
        <f t="shared" si="304"/>
        <v>-35.927</v>
      </c>
      <c r="N888" s="94">
        <f t="shared" si="305"/>
        <v>8.1853999999999996</v>
      </c>
      <c r="O888" s="116">
        <f t="shared" ref="O888" si="311">M888+M889</f>
        <v>54.080000000000005</v>
      </c>
    </row>
    <row r="889" spans="1:15" ht="15" customHeight="1">
      <c r="A889" s="130" t="s">
        <v>423</v>
      </c>
      <c r="B889" s="130" t="s">
        <v>293</v>
      </c>
      <c r="C889" s="155">
        <v>44470</v>
      </c>
      <c r="D889" s="130">
        <v>2677</v>
      </c>
      <c r="E889" s="130" t="s">
        <v>294</v>
      </c>
      <c r="F889" s="130" t="s">
        <v>297</v>
      </c>
      <c r="G889" s="130" t="s">
        <v>439</v>
      </c>
      <c r="H889" s="130">
        <v>968710</v>
      </c>
      <c r="I889" s="145">
        <v>50</v>
      </c>
      <c r="J889" s="129" t="s">
        <v>193</v>
      </c>
      <c r="K889" s="127">
        <v>95</v>
      </c>
      <c r="L889" s="103">
        <v>4.9930000000000003</v>
      </c>
      <c r="M889" s="128">
        <f t="shared" si="304"/>
        <v>90.007000000000005</v>
      </c>
      <c r="N889" s="94">
        <f t="shared" si="305"/>
        <v>5.2557894736842109E-2</v>
      </c>
    </row>
    <row r="890" spans="1:15" ht="15" customHeight="1">
      <c r="A890" s="130" t="s">
        <v>423</v>
      </c>
      <c r="B890" s="130" t="s">
        <v>293</v>
      </c>
      <c r="C890" s="155">
        <v>44470</v>
      </c>
      <c r="D890" s="130">
        <v>2677</v>
      </c>
      <c r="E890" s="130" t="s">
        <v>294</v>
      </c>
      <c r="F890" s="130" t="s">
        <v>297</v>
      </c>
      <c r="G890" s="130" t="s">
        <v>441</v>
      </c>
      <c r="H890" s="130">
        <v>956608</v>
      </c>
      <c r="I890" s="145">
        <v>52</v>
      </c>
      <c r="J890" s="129" t="s">
        <v>192</v>
      </c>
      <c r="K890" s="127">
        <v>5</v>
      </c>
      <c r="L890" s="103"/>
      <c r="M890" s="128">
        <f t="shared" si="304"/>
        <v>5</v>
      </c>
      <c r="N890" s="94">
        <f t="shared" si="305"/>
        <v>0</v>
      </c>
      <c r="O890" s="116">
        <f t="shared" ref="O890" si="312">M890+M891</f>
        <v>125</v>
      </c>
    </row>
    <row r="891" spans="1:15" ht="15" customHeight="1">
      <c r="A891" s="130" t="s">
        <v>423</v>
      </c>
      <c r="B891" s="130" t="s">
        <v>293</v>
      </c>
      <c r="C891" s="155">
        <v>44470</v>
      </c>
      <c r="D891" s="130">
        <v>2677</v>
      </c>
      <c r="E891" s="130" t="s">
        <v>294</v>
      </c>
      <c r="F891" s="130" t="s">
        <v>297</v>
      </c>
      <c r="G891" s="130" t="s">
        <v>441</v>
      </c>
      <c r="H891" s="130">
        <v>956608</v>
      </c>
      <c r="I891" s="145">
        <v>52</v>
      </c>
      <c r="J891" s="129" t="s">
        <v>193</v>
      </c>
      <c r="K891" s="127">
        <v>120</v>
      </c>
      <c r="L891" s="103"/>
      <c r="M891" s="128">
        <f t="shared" si="304"/>
        <v>120</v>
      </c>
      <c r="N891" s="94">
        <f t="shared" si="305"/>
        <v>0</v>
      </c>
    </row>
    <row r="892" spans="1:15" ht="15" customHeight="1">
      <c r="A892" s="130" t="s">
        <v>423</v>
      </c>
      <c r="B892" s="130" t="s">
        <v>293</v>
      </c>
      <c r="C892" s="155">
        <v>44470</v>
      </c>
      <c r="D892" s="130">
        <v>2677</v>
      </c>
      <c r="E892" s="130" t="s">
        <v>294</v>
      </c>
      <c r="F892" s="130" t="s">
        <v>297</v>
      </c>
      <c r="G892" s="130" t="s">
        <v>440</v>
      </c>
      <c r="H892" s="130">
        <v>697611</v>
      </c>
      <c r="I892" s="145">
        <v>29</v>
      </c>
      <c r="J892" s="129" t="s">
        <v>192</v>
      </c>
      <c r="K892" s="127">
        <v>5</v>
      </c>
      <c r="L892" s="103"/>
      <c r="M892" s="128">
        <f t="shared" si="304"/>
        <v>5</v>
      </c>
      <c r="N892" s="94">
        <f t="shared" si="305"/>
        <v>0</v>
      </c>
      <c r="O892" s="116">
        <f t="shared" ref="O892" si="313">M892+M893</f>
        <v>55.653999999999996</v>
      </c>
    </row>
    <row r="893" spans="1:15" ht="15" customHeight="1">
      <c r="A893" s="130" t="s">
        <v>423</v>
      </c>
      <c r="B893" s="130" t="s">
        <v>293</v>
      </c>
      <c r="C893" s="155">
        <v>44470</v>
      </c>
      <c r="D893" s="130">
        <v>2677</v>
      </c>
      <c r="E893" s="130" t="s">
        <v>294</v>
      </c>
      <c r="F893" s="130" t="s">
        <v>297</v>
      </c>
      <c r="G893" s="130" t="s">
        <v>440</v>
      </c>
      <c r="H893" s="130">
        <v>697611</v>
      </c>
      <c r="I893" s="145">
        <v>29</v>
      </c>
      <c r="J893" s="129" t="s">
        <v>193</v>
      </c>
      <c r="K893" s="127">
        <v>115</v>
      </c>
      <c r="L893" s="103">
        <v>64.346000000000004</v>
      </c>
      <c r="M893" s="128">
        <f t="shared" si="304"/>
        <v>50.653999999999996</v>
      </c>
      <c r="N893" s="94">
        <f t="shared" si="305"/>
        <v>0.55953043478260878</v>
      </c>
    </row>
    <row r="894" spans="1:15" ht="15" customHeight="1">
      <c r="A894" s="130" t="s">
        <v>423</v>
      </c>
      <c r="B894" s="130" t="s">
        <v>293</v>
      </c>
      <c r="C894" s="155">
        <v>44470</v>
      </c>
      <c r="D894" s="130">
        <v>2677</v>
      </c>
      <c r="E894" s="130" t="s">
        <v>294</v>
      </c>
      <c r="F894" s="130" t="s">
        <v>297</v>
      </c>
      <c r="G894" s="130" t="s">
        <v>445</v>
      </c>
      <c r="H894" s="130">
        <v>902733</v>
      </c>
      <c r="I894" s="145">
        <v>52</v>
      </c>
      <c r="J894" s="129" t="s">
        <v>192</v>
      </c>
      <c r="K894" s="127">
        <v>5</v>
      </c>
      <c r="L894" s="103"/>
      <c r="M894" s="128">
        <f t="shared" si="304"/>
        <v>5</v>
      </c>
      <c r="N894" s="94">
        <f t="shared" si="305"/>
        <v>0</v>
      </c>
      <c r="O894" s="116">
        <f t="shared" ref="O894" si="314">M894+M895</f>
        <v>125</v>
      </c>
    </row>
    <row r="895" spans="1:15" ht="15" customHeight="1">
      <c r="A895" s="130" t="s">
        <v>423</v>
      </c>
      <c r="B895" s="130" t="s">
        <v>293</v>
      </c>
      <c r="C895" s="155">
        <v>44470</v>
      </c>
      <c r="D895" s="130">
        <v>2677</v>
      </c>
      <c r="E895" s="130" t="s">
        <v>294</v>
      </c>
      <c r="F895" s="130" t="s">
        <v>297</v>
      </c>
      <c r="G895" s="130" t="s">
        <v>445</v>
      </c>
      <c r="H895" s="130">
        <v>902733</v>
      </c>
      <c r="I895" s="145">
        <v>52</v>
      </c>
      <c r="J895" s="129" t="s">
        <v>193</v>
      </c>
      <c r="K895" s="127">
        <v>120</v>
      </c>
      <c r="L895" s="103"/>
      <c r="M895" s="128">
        <f t="shared" si="304"/>
        <v>120</v>
      </c>
      <c r="N895" s="94">
        <f t="shared" si="305"/>
        <v>0</v>
      </c>
    </row>
    <row r="896" spans="1:15" ht="15" customHeight="1">
      <c r="A896" s="130" t="s">
        <v>423</v>
      </c>
      <c r="B896" s="130" t="s">
        <v>293</v>
      </c>
      <c r="C896" s="155">
        <v>44470</v>
      </c>
      <c r="D896" s="130">
        <v>2677</v>
      </c>
      <c r="E896" s="130" t="s">
        <v>294</v>
      </c>
      <c r="F896" s="130" t="s">
        <v>297</v>
      </c>
      <c r="G896" s="130" t="s">
        <v>448</v>
      </c>
      <c r="H896" s="130">
        <v>968681</v>
      </c>
      <c r="I896" s="145">
        <v>21</v>
      </c>
      <c r="J896" s="129" t="s">
        <v>192</v>
      </c>
      <c r="K896" s="127">
        <v>5</v>
      </c>
      <c r="L896" s="103"/>
      <c r="M896" s="128">
        <f t="shared" si="304"/>
        <v>5</v>
      </c>
      <c r="N896" s="94">
        <f t="shared" si="305"/>
        <v>0</v>
      </c>
      <c r="O896" s="116">
        <f t="shared" ref="O896" si="315">M896+M897</f>
        <v>120</v>
      </c>
    </row>
    <row r="897" spans="1:15" ht="15" customHeight="1">
      <c r="A897" s="130" t="s">
        <v>423</v>
      </c>
      <c r="B897" s="130" t="s">
        <v>293</v>
      </c>
      <c r="C897" s="155">
        <v>44470</v>
      </c>
      <c r="D897" s="130">
        <v>2677</v>
      </c>
      <c r="E897" s="130" t="s">
        <v>294</v>
      </c>
      <c r="F897" s="130" t="s">
        <v>297</v>
      </c>
      <c r="G897" s="130" t="s">
        <v>448</v>
      </c>
      <c r="H897" s="130">
        <v>968681</v>
      </c>
      <c r="I897" s="145">
        <v>21</v>
      </c>
      <c r="J897" s="129" t="s">
        <v>193</v>
      </c>
      <c r="K897" s="127">
        <v>115</v>
      </c>
      <c r="L897" s="103"/>
      <c r="M897" s="128">
        <f t="shared" si="304"/>
        <v>115</v>
      </c>
      <c r="N897" s="94">
        <f t="shared" si="305"/>
        <v>0</v>
      </c>
    </row>
    <row r="898" spans="1:15" ht="15" customHeight="1">
      <c r="A898" s="130" t="s">
        <v>423</v>
      </c>
      <c r="B898" s="130" t="s">
        <v>293</v>
      </c>
      <c r="C898" s="155">
        <v>44470</v>
      </c>
      <c r="D898" s="130">
        <v>2677</v>
      </c>
      <c r="E898" s="130" t="s">
        <v>294</v>
      </c>
      <c r="F898" s="130" t="s">
        <v>297</v>
      </c>
      <c r="G898" s="130" t="s">
        <v>449</v>
      </c>
      <c r="H898" s="130">
        <v>953883</v>
      </c>
      <c r="I898" s="145">
        <v>61</v>
      </c>
      <c r="J898" s="129" t="s">
        <v>192</v>
      </c>
      <c r="K898" s="127">
        <v>5</v>
      </c>
      <c r="L898" s="103">
        <v>39.524999999999999</v>
      </c>
      <c r="M898" s="128">
        <f t="shared" si="304"/>
        <v>-34.524999999999999</v>
      </c>
      <c r="N898" s="94">
        <f t="shared" si="305"/>
        <v>7.9049999999999994</v>
      </c>
      <c r="O898" s="116">
        <f t="shared" ref="O898" si="316">M898+M899</f>
        <v>122.5</v>
      </c>
    </row>
    <row r="899" spans="1:15" ht="15" customHeight="1">
      <c r="A899" s="130" t="s">
        <v>423</v>
      </c>
      <c r="B899" s="130" t="s">
        <v>293</v>
      </c>
      <c r="C899" s="155">
        <v>44470</v>
      </c>
      <c r="D899" s="130">
        <v>2677</v>
      </c>
      <c r="E899" s="130" t="s">
        <v>294</v>
      </c>
      <c r="F899" s="130" t="s">
        <v>297</v>
      </c>
      <c r="G899" s="130" t="s">
        <v>449</v>
      </c>
      <c r="H899" s="130">
        <v>953883</v>
      </c>
      <c r="I899" s="145">
        <v>61</v>
      </c>
      <c r="J899" s="129" t="s">
        <v>193</v>
      </c>
      <c r="K899" s="127">
        <v>195</v>
      </c>
      <c r="L899" s="103">
        <v>37.975000000000001</v>
      </c>
      <c r="M899" s="128">
        <f t="shared" si="304"/>
        <v>157.02500000000001</v>
      </c>
      <c r="N899" s="94">
        <f t="shared" si="305"/>
        <v>0.19474358974358974</v>
      </c>
    </row>
    <row r="900" spans="1:15" ht="15" customHeight="1">
      <c r="A900" s="130" t="s">
        <v>423</v>
      </c>
      <c r="B900" s="130" t="s">
        <v>293</v>
      </c>
      <c r="C900" s="155">
        <v>44470</v>
      </c>
      <c r="D900" s="130">
        <v>2677</v>
      </c>
      <c r="E900" s="130" t="s">
        <v>294</v>
      </c>
      <c r="F900" s="130" t="s">
        <v>297</v>
      </c>
      <c r="G900" s="130" t="s">
        <v>452</v>
      </c>
      <c r="H900" s="130">
        <v>968520</v>
      </c>
      <c r="I900" s="145">
        <v>31</v>
      </c>
      <c r="J900" s="129" t="s">
        <v>192</v>
      </c>
      <c r="K900" s="127">
        <v>5</v>
      </c>
      <c r="L900" s="103"/>
      <c r="M900" s="128">
        <f t="shared" si="304"/>
        <v>5</v>
      </c>
      <c r="N900" s="94">
        <f t="shared" si="305"/>
        <v>0</v>
      </c>
      <c r="O900" s="116">
        <f t="shared" ref="O900" si="317">M900+M901</f>
        <v>120</v>
      </c>
    </row>
    <row r="901" spans="1:15" ht="15" customHeight="1">
      <c r="A901" s="130" t="s">
        <v>423</v>
      </c>
      <c r="B901" s="130" t="s">
        <v>293</v>
      </c>
      <c r="C901" s="155">
        <v>44470</v>
      </c>
      <c r="D901" s="130">
        <v>2677</v>
      </c>
      <c r="E901" s="130" t="s">
        <v>294</v>
      </c>
      <c r="F901" s="130" t="s">
        <v>297</v>
      </c>
      <c r="G901" s="130" t="s">
        <v>452</v>
      </c>
      <c r="H901" s="130">
        <v>968520</v>
      </c>
      <c r="I901" s="145">
        <v>31</v>
      </c>
      <c r="J901" s="129" t="s">
        <v>193</v>
      </c>
      <c r="K901" s="127">
        <v>115</v>
      </c>
      <c r="L901" s="103"/>
      <c r="M901" s="128">
        <f t="shared" si="304"/>
        <v>115</v>
      </c>
      <c r="N901" s="94">
        <f t="shared" si="305"/>
        <v>0</v>
      </c>
    </row>
    <row r="902" spans="1:15" ht="15" customHeight="1">
      <c r="A902" s="130" t="s">
        <v>423</v>
      </c>
      <c r="B902" s="130" t="s">
        <v>288</v>
      </c>
      <c r="C902" s="155">
        <v>44470</v>
      </c>
      <c r="D902" s="130">
        <v>2677</v>
      </c>
      <c r="E902" s="130" t="s">
        <v>294</v>
      </c>
      <c r="F902" s="130" t="s">
        <v>297</v>
      </c>
      <c r="G902" s="130" t="s">
        <v>302</v>
      </c>
      <c r="H902" s="130">
        <v>966875</v>
      </c>
      <c r="I902" s="145">
        <v>44</v>
      </c>
      <c r="J902" s="129" t="s">
        <v>192</v>
      </c>
      <c r="K902" s="282">
        <v>10</v>
      </c>
      <c r="L902" s="103"/>
      <c r="M902" s="285">
        <f>K902-(L902+L903)</f>
        <v>10</v>
      </c>
      <c r="N902" s="288">
        <f>(L902+L903)/K902</f>
        <v>0</v>
      </c>
    </row>
    <row r="903" spans="1:15" ht="15" customHeight="1">
      <c r="A903" s="130" t="s">
        <v>423</v>
      </c>
      <c r="B903" s="130" t="s">
        <v>288</v>
      </c>
      <c r="C903" s="155">
        <v>44470</v>
      </c>
      <c r="D903" s="130">
        <v>2677</v>
      </c>
      <c r="E903" s="130" t="s">
        <v>294</v>
      </c>
      <c r="F903" s="130" t="s">
        <v>297</v>
      </c>
      <c r="G903" s="130" t="s">
        <v>304</v>
      </c>
      <c r="H903" s="130">
        <v>958905</v>
      </c>
      <c r="I903" s="145">
        <v>44</v>
      </c>
      <c r="J903" s="129" t="s">
        <v>192</v>
      </c>
      <c r="K903" s="284"/>
      <c r="L903" s="103"/>
      <c r="M903" s="287"/>
      <c r="N903" s="290"/>
    </row>
    <row r="904" spans="1:15" ht="15" customHeight="1">
      <c r="A904" s="130" t="s">
        <v>423</v>
      </c>
      <c r="B904" s="130" t="s">
        <v>288</v>
      </c>
      <c r="C904" s="155">
        <v>44470</v>
      </c>
      <c r="D904" s="130">
        <v>2677</v>
      </c>
      <c r="E904" s="130" t="s">
        <v>294</v>
      </c>
      <c r="F904" s="130" t="s">
        <v>297</v>
      </c>
      <c r="G904" s="130" t="s">
        <v>302</v>
      </c>
      <c r="H904" s="130">
        <v>966875</v>
      </c>
      <c r="I904" s="145">
        <v>44</v>
      </c>
      <c r="J904" s="129" t="s">
        <v>193</v>
      </c>
      <c r="K904" s="282">
        <v>530</v>
      </c>
      <c r="L904" s="103"/>
      <c r="M904" s="285">
        <f>K904-(L904+L905)</f>
        <v>530</v>
      </c>
      <c r="N904" s="288">
        <f>(L904+L905)/K904</f>
        <v>0</v>
      </c>
    </row>
    <row r="905" spans="1:15" ht="15" customHeight="1">
      <c r="A905" s="130" t="s">
        <v>423</v>
      </c>
      <c r="B905" s="130" t="s">
        <v>288</v>
      </c>
      <c r="C905" s="155">
        <v>44470</v>
      </c>
      <c r="D905" s="130">
        <v>2677</v>
      </c>
      <c r="E905" s="130" t="s">
        <v>294</v>
      </c>
      <c r="F905" s="130" t="s">
        <v>297</v>
      </c>
      <c r="G905" s="130" t="s">
        <v>304</v>
      </c>
      <c r="H905" s="130">
        <v>958905</v>
      </c>
      <c r="I905" s="145">
        <v>44</v>
      </c>
      <c r="J905" s="129" t="s">
        <v>193</v>
      </c>
      <c r="K905" s="284"/>
      <c r="L905" s="103"/>
      <c r="M905" s="287"/>
      <c r="N905" s="290"/>
    </row>
    <row r="906" spans="1:15" ht="15" customHeight="1">
      <c r="A906" s="130" t="s">
        <v>423</v>
      </c>
      <c r="B906" s="130" t="s">
        <v>288</v>
      </c>
      <c r="C906" s="155">
        <v>44470</v>
      </c>
      <c r="D906" s="130">
        <v>2677</v>
      </c>
      <c r="E906" s="130" t="s">
        <v>294</v>
      </c>
      <c r="F906" s="130" t="s">
        <v>297</v>
      </c>
      <c r="G906" s="130" t="s">
        <v>702</v>
      </c>
      <c r="H906" s="130">
        <v>922996</v>
      </c>
      <c r="I906" s="145">
        <v>22</v>
      </c>
      <c r="J906" s="129" t="s">
        <v>192</v>
      </c>
      <c r="K906" s="282">
        <v>5</v>
      </c>
      <c r="L906" s="103"/>
      <c r="M906" s="285">
        <f>K906-(L906+L907+L908+L909)</f>
        <v>5</v>
      </c>
      <c r="N906" s="288">
        <f>(L906+L907+L908+L909)/K906</f>
        <v>0</v>
      </c>
    </row>
    <row r="907" spans="1:15" ht="15" customHeight="1">
      <c r="A907" s="130" t="s">
        <v>423</v>
      </c>
      <c r="B907" s="130" t="s">
        <v>288</v>
      </c>
      <c r="C907" s="155">
        <v>44470</v>
      </c>
      <c r="D907" s="130">
        <v>2677</v>
      </c>
      <c r="E907" s="130" t="s">
        <v>294</v>
      </c>
      <c r="F907" s="130" t="s">
        <v>297</v>
      </c>
      <c r="G907" s="130" t="s">
        <v>456</v>
      </c>
      <c r="H907" s="130">
        <v>698090</v>
      </c>
      <c r="I907" s="145">
        <v>22</v>
      </c>
      <c r="J907" s="129" t="s">
        <v>192</v>
      </c>
      <c r="K907" s="283"/>
      <c r="L907" s="103"/>
      <c r="M907" s="286"/>
      <c r="N907" s="289"/>
    </row>
    <row r="908" spans="1:15" ht="15" customHeight="1">
      <c r="A908" s="130" t="s">
        <v>423</v>
      </c>
      <c r="B908" s="130" t="s">
        <v>288</v>
      </c>
      <c r="C908" s="155">
        <v>44470</v>
      </c>
      <c r="D908" s="130">
        <v>2677</v>
      </c>
      <c r="E908" s="130" t="s">
        <v>294</v>
      </c>
      <c r="F908" s="130" t="s">
        <v>297</v>
      </c>
      <c r="G908" s="130" t="s">
        <v>457</v>
      </c>
      <c r="H908" s="130">
        <v>968922</v>
      </c>
      <c r="I908" s="145">
        <v>22</v>
      </c>
      <c r="J908" s="129" t="s">
        <v>192</v>
      </c>
      <c r="K908" s="283"/>
      <c r="L908" s="103"/>
      <c r="M908" s="286"/>
      <c r="N908" s="289"/>
    </row>
    <row r="909" spans="1:15" ht="15" customHeight="1">
      <c r="A909" s="130" t="s">
        <v>423</v>
      </c>
      <c r="B909" s="130" t="s">
        <v>288</v>
      </c>
      <c r="C909" s="155">
        <v>44470</v>
      </c>
      <c r="D909" s="130">
        <v>2677</v>
      </c>
      <c r="E909" s="130" t="s">
        <v>294</v>
      </c>
      <c r="F909" s="130" t="s">
        <v>297</v>
      </c>
      <c r="G909" s="130" t="s">
        <v>458</v>
      </c>
      <c r="H909" s="130">
        <v>926655</v>
      </c>
      <c r="I909" s="145">
        <v>22</v>
      </c>
      <c r="J909" s="129" t="s">
        <v>192</v>
      </c>
      <c r="K909" s="284"/>
      <c r="L909" s="103"/>
      <c r="M909" s="287"/>
      <c r="N909" s="290"/>
    </row>
    <row r="910" spans="1:15" ht="15" customHeight="1">
      <c r="A910" s="130" t="s">
        <v>423</v>
      </c>
      <c r="B910" s="130" t="s">
        <v>288</v>
      </c>
      <c r="C910" s="155">
        <v>44470</v>
      </c>
      <c r="D910" s="130">
        <v>2677</v>
      </c>
      <c r="E910" s="130" t="s">
        <v>294</v>
      </c>
      <c r="F910" s="130" t="s">
        <v>297</v>
      </c>
      <c r="G910" s="130" t="s">
        <v>702</v>
      </c>
      <c r="H910" s="130">
        <v>922996</v>
      </c>
      <c r="I910" s="145">
        <v>22</v>
      </c>
      <c r="J910" s="129" t="s">
        <v>193</v>
      </c>
      <c r="K910" s="282">
        <v>395</v>
      </c>
      <c r="L910" s="103"/>
      <c r="M910" s="285">
        <f>K910-(L910+L911+L912+L913)</f>
        <v>395</v>
      </c>
      <c r="N910" s="288">
        <f>(L910+L911+L912+L913)/K910</f>
        <v>0</v>
      </c>
    </row>
    <row r="911" spans="1:15" ht="15" customHeight="1">
      <c r="A911" s="130" t="s">
        <v>423</v>
      </c>
      <c r="B911" s="130" t="s">
        <v>288</v>
      </c>
      <c r="C911" s="155">
        <v>44470</v>
      </c>
      <c r="D911" s="130">
        <v>2677</v>
      </c>
      <c r="E911" s="130" t="s">
        <v>294</v>
      </c>
      <c r="F911" s="130" t="s">
        <v>297</v>
      </c>
      <c r="G911" s="130" t="s">
        <v>456</v>
      </c>
      <c r="H911" s="130">
        <v>698090</v>
      </c>
      <c r="I911" s="145">
        <v>22</v>
      </c>
      <c r="J911" s="129" t="s">
        <v>193</v>
      </c>
      <c r="K911" s="283"/>
      <c r="L911" s="103"/>
      <c r="M911" s="286"/>
      <c r="N911" s="289"/>
    </row>
    <row r="912" spans="1:15" ht="15" customHeight="1">
      <c r="A912" s="130" t="s">
        <v>423</v>
      </c>
      <c r="B912" s="130" t="s">
        <v>288</v>
      </c>
      <c r="C912" s="155">
        <v>44470</v>
      </c>
      <c r="D912" s="130">
        <v>2677</v>
      </c>
      <c r="E912" s="130" t="s">
        <v>294</v>
      </c>
      <c r="F912" s="130" t="s">
        <v>297</v>
      </c>
      <c r="G912" s="130" t="s">
        <v>457</v>
      </c>
      <c r="H912" s="130">
        <v>968922</v>
      </c>
      <c r="I912" s="145">
        <v>22</v>
      </c>
      <c r="J912" s="129" t="s">
        <v>193</v>
      </c>
      <c r="K912" s="283"/>
      <c r="L912" s="103"/>
      <c r="M912" s="286"/>
      <c r="N912" s="289"/>
    </row>
    <row r="913" spans="1:14" ht="15" customHeight="1">
      <c r="A913" s="130" t="s">
        <v>423</v>
      </c>
      <c r="B913" s="130" t="s">
        <v>288</v>
      </c>
      <c r="C913" s="155">
        <v>44470</v>
      </c>
      <c r="D913" s="130">
        <v>2677</v>
      </c>
      <c r="E913" s="130" t="s">
        <v>294</v>
      </c>
      <c r="F913" s="130" t="s">
        <v>297</v>
      </c>
      <c r="G913" s="130" t="s">
        <v>458</v>
      </c>
      <c r="H913" s="130">
        <v>926655</v>
      </c>
      <c r="I913" s="145">
        <v>22</v>
      </c>
      <c r="J913" s="129" t="s">
        <v>193</v>
      </c>
      <c r="K913" s="284"/>
      <c r="L913" s="103"/>
      <c r="M913" s="287"/>
      <c r="N913" s="290"/>
    </row>
    <row r="914" spans="1:14" ht="15" customHeight="1">
      <c r="A914" s="130" t="s">
        <v>423</v>
      </c>
      <c r="B914" s="130" t="s">
        <v>288</v>
      </c>
      <c r="C914" s="155">
        <v>44470</v>
      </c>
      <c r="D914" s="130">
        <v>2677</v>
      </c>
      <c r="E914" s="130" t="s">
        <v>294</v>
      </c>
      <c r="F914" s="130" t="s">
        <v>297</v>
      </c>
      <c r="G914" s="130" t="s">
        <v>406</v>
      </c>
      <c r="H914" s="130">
        <v>923199</v>
      </c>
      <c r="I914" s="145">
        <v>44</v>
      </c>
      <c r="J914" s="129" t="s">
        <v>192</v>
      </c>
      <c r="K914" s="282">
        <v>10</v>
      </c>
      <c r="L914" s="103"/>
      <c r="M914" s="285">
        <f>K914-(L914+L915)</f>
        <v>10</v>
      </c>
      <c r="N914" s="288">
        <f>(L914+L915)/K914</f>
        <v>0</v>
      </c>
    </row>
    <row r="915" spans="1:14" ht="15" customHeight="1">
      <c r="A915" s="130" t="s">
        <v>423</v>
      </c>
      <c r="B915" s="130" t="s">
        <v>288</v>
      </c>
      <c r="C915" s="155">
        <v>44470</v>
      </c>
      <c r="D915" s="130">
        <v>2677</v>
      </c>
      <c r="E915" s="130" t="s">
        <v>294</v>
      </c>
      <c r="F915" s="130" t="s">
        <v>297</v>
      </c>
      <c r="G915" s="130" t="s">
        <v>417</v>
      </c>
      <c r="H915" s="130">
        <v>964068</v>
      </c>
      <c r="I915" s="145">
        <v>44</v>
      </c>
      <c r="J915" s="129" t="s">
        <v>192</v>
      </c>
      <c r="K915" s="284"/>
      <c r="L915" s="103"/>
      <c r="M915" s="287"/>
      <c r="N915" s="290"/>
    </row>
    <row r="916" spans="1:14" ht="15" customHeight="1">
      <c r="A916" s="130" t="s">
        <v>423</v>
      </c>
      <c r="B916" s="130" t="s">
        <v>288</v>
      </c>
      <c r="C916" s="155">
        <v>44470</v>
      </c>
      <c r="D916" s="130">
        <v>2677</v>
      </c>
      <c r="E916" s="130" t="s">
        <v>294</v>
      </c>
      <c r="F916" s="130" t="s">
        <v>297</v>
      </c>
      <c r="G916" s="130" t="s">
        <v>406</v>
      </c>
      <c r="H916" s="130">
        <v>923199</v>
      </c>
      <c r="I916" s="145">
        <v>44</v>
      </c>
      <c r="J916" s="129" t="s">
        <v>193</v>
      </c>
      <c r="K916" s="282">
        <v>410</v>
      </c>
      <c r="L916" s="103"/>
      <c r="M916" s="285">
        <f>K916-(L916+L917)</f>
        <v>410</v>
      </c>
      <c r="N916" s="288">
        <f>(L916+L917)/K916</f>
        <v>0</v>
      </c>
    </row>
    <row r="917" spans="1:14" ht="15" customHeight="1">
      <c r="A917" s="130" t="s">
        <v>423</v>
      </c>
      <c r="B917" s="130" t="s">
        <v>288</v>
      </c>
      <c r="C917" s="155">
        <v>44470</v>
      </c>
      <c r="D917" s="130">
        <v>2677</v>
      </c>
      <c r="E917" s="130" t="s">
        <v>294</v>
      </c>
      <c r="F917" s="130" t="s">
        <v>297</v>
      </c>
      <c r="G917" s="130" t="s">
        <v>417</v>
      </c>
      <c r="H917" s="130">
        <v>964068</v>
      </c>
      <c r="I917" s="145">
        <v>44</v>
      </c>
      <c r="J917" s="129" t="s">
        <v>193</v>
      </c>
      <c r="K917" s="284"/>
      <c r="L917" s="103"/>
      <c r="M917" s="287"/>
      <c r="N917" s="290"/>
    </row>
    <row r="918" spans="1:14" ht="15" customHeight="1">
      <c r="A918" s="130" t="s">
        <v>423</v>
      </c>
      <c r="B918" s="130" t="s">
        <v>288</v>
      </c>
      <c r="C918" s="155">
        <v>44470</v>
      </c>
      <c r="D918" s="130">
        <v>2677</v>
      </c>
      <c r="E918" s="130" t="s">
        <v>294</v>
      </c>
      <c r="F918" s="130" t="s">
        <v>297</v>
      </c>
      <c r="G918" s="130" t="s">
        <v>459</v>
      </c>
      <c r="H918" s="130">
        <v>952052</v>
      </c>
      <c r="I918" s="145">
        <v>55</v>
      </c>
      <c r="J918" s="129" t="s">
        <v>192</v>
      </c>
      <c r="K918" s="282">
        <v>5</v>
      </c>
      <c r="L918" s="103"/>
      <c r="M918" s="285">
        <f>K918-(L918+L919)</f>
        <v>5</v>
      </c>
      <c r="N918" s="288">
        <f>(L918+L919)/K918</f>
        <v>0</v>
      </c>
    </row>
    <row r="919" spans="1:14" ht="15" customHeight="1">
      <c r="A919" s="130" t="s">
        <v>423</v>
      </c>
      <c r="B919" s="130" t="s">
        <v>288</v>
      </c>
      <c r="C919" s="155">
        <v>44470</v>
      </c>
      <c r="D919" s="130">
        <v>2677</v>
      </c>
      <c r="E919" s="130" t="s">
        <v>294</v>
      </c>
      <c r="F919" s="130" t="s">
        <v>297</v>
      </c>
      <c r="G919" s="130" t="s">
        <v>402</v>
      </c>
      <c r="H919" s="130">
        <v>697900</v>
      </c>
      <c r="I919" s="145">
        <v>55</v>
      </c>
      <c r="J919" s="129" t="s">
        <v>192</v>
      </c>
      <c r="K919" s="284"/>
      <c r="L919" s="103"/>
      <c r="M919" s="287"/>
      <c r="N919" s="290"/>
    </row>
    <row r="920" spans="1:14" ht="15" customHeight="1">
      <c r="A920" s="130" t="s">
        <v>423</v>
      </c>
      <c r="B920" s="130" t="s">
        <v>288</v>
      </c>
      <c r="C920" s="155">
        <v>44470</v>
      </c>
      <c r="D920" s="130">
        <v>2677</v>
      </c>
      <c r="E920" s="130" t="s">
        <v>294</v>
      </c>
      <c r="F920" s="130" t="s">
        <v>297</v>
      </c>
      <c r="G920" s="130" t="s">
        <v>459</v>
      </c>
      <c r="H920" s="130">
        <v>952052</v>
      </c>
      <c r="I920" s="145">
        <v>55</v>
      </c>
      <c r="J920" s="129" t="s">
        <v>193</v>
      </c>
      <c r="K920" s="282">
        <v>145</v>
      </c>
      <c r="L920" s="103"/>
      <c r="M920" s="285">
        <f>K920-(L920+L921)</f>
        <v>145</v>
      </c>
      <c r="N920" s="288">
        <f>(L920+L921)/K920</f>
        <v>0</v>
      </c>
    </row>
    <row r="921" spans="1:14" ht="15" customHeight="1">
      <c r="A921" s="130" t="s">
        <v>423</v>
      </c>
      <c r="B921" s="130" t="s">
        <v>288</v>
      </c>
      <c r="C921" s="155">
        <v>44470</v>
      </c>
      <c r="D921" s="130">
        <v>2677</v>
      </c>
      <c r="E921" s="130" t="s">
        <v>294</v>
      </c>
      <c r="F921" s="130" t="s">
        <v>297</v>
      </c>
      <c r="G921" s="130" t="s">
        <v>402</v>
      </c>
      <c r="H921" s="130">
        <v>697900</v>
      </c>
      <c r="I921" s="145">
        <v>55</v>
      </c>
      <c r="J921" s="129" t="s">
        <v>193</v>
      </c>
      <c r="K921" s="284"/>
      <c r="L921" s="103"/>
      <c r="M921" s="287"/>
      <c r="N921" s="290"/>
    </row>
    <row r="922" spans="1:14" ht="15" customHeight="1">
      <c r="A922" s="130" t="s">
        <v>423</v>
      </c>
      <c r="B922" s="130" t="s">
        <v>288</v>
      </c>
      <c r="C922" s="155">
        <v>44470</v>
      </c>
      <c r="D922" s="130">
        <v>2677</v>
      </c>
      <c r="E922" s="130" t="s">
        <v>294</v>
      </c>
      <c r="F922" s="130" t="s">
        <v>297</v>
      </c>
      <c r="G922" s="130" t="s">
        <v>472</v>
      </c>
      <c r="H922" s="130">
        <v>697864</v>
      </c>
      <c r="I922" s="145">
        <v>55</v>
      </c>
      <c r="J922" s="129" t="s">
        <v>192</v>
      </c>
      <c r="K922" s="282">
        <v>10</v>
      </c>
      <c r="L922" s="103"/>
      <c r="M922" s="285">
        <f>K922-(L922+L923+L924)</f>
        <v>10</v>
      </c>
      <c r="N922" s="288">
        <f>(L922+L923+L924)/K922</f>
        <v>0</v>
      </c>
    </row>
    <row r="923" spans="1:14" ht="15" customHeight="1">
      <c r="A923" s="130" t="s">
        <v>423</v>
      </c>
      <c r="B923" s="130" t="s">
        <v>288</v>
      </c>
      <c r="C923" s="155">
        <v>44470</v>
      </c>
      <c r="D923" s="130">
        <v>2677</v>
      </c>
      <c r="E923" s="130" t="s">
        <v>294</v>
      </c>
      <c r="F923" s="130" t="s">
        <v>297</v>
      </c>
      <c r="G923" s="130" t="s">
        <v>401</v>
      </c>
      <c r="H923" s="130">
        <v>968817</v>
      </c>
      <c r="I923" s="145">
        <v>55</v>
      </c>
      <c r="J923" s="129" t="s">
        <v>192</v>
      </c>
      <c r="K923" s="283"/>
      <c r="L923" s="103"/>
      <c r="M923" s="286"/>
      <c r="N923" s="289"/>
    </row>
    <row r="924" spans="1:14" ht="15" customHeight="1">
      <c r="A924" s="130" t="s">
        <v>423</v>
      </c>
      <c r="B924" s="130" t="s">
        <v>288</v>
      </c>
      <c r="C924" s="155">
        <v>44470</v>
      </c>
      <c r="D924" s="130">
        <v>2677</v>
      </c>
      <c r="E924" s="130" t="s">
        <v>294</v>
      </c>
      <c r="F924" s="130" t="s">
        <v>297</v>
      </c>
      <c r="G924" s="130" t="s">
        <v>703</v>
      </c>
      <c r="H924" s="130">
        <v>697885</v>
      </c>
      <c r="I924" s="145">
        <v>55</v>
      </c>
      <c r="J924" s="129" t="s">
        <v>192</v>
      </c>
      <c r="K924" s="284"/>
      <c r="L924" s="103"/>
      <c r="M924" s="287"/>
      <c r="N924" s="290"/>
    </row>
    <row r="925" spans="1:14" ht="15" customHeight="1">
      <c r="A925" s="130" t="s">
        <v>423</v>
      </c>
      <c r="B925" s="130" t="s">
        <v>288</v>
      </c>
      <c r="C925" s="155">
        <v>44470</v>
      </c>
      <c r="D925" s="130">
        <v>2677</v>
      </c>
      <c r="E925" s="130" t="s">
        <v>294</v>
      </c>
      <c r="F925" s="130" t="s">
        <v>297</v>
      </c>
      <c r="G925" s="130" t="s">
        <v>472</v>
      </c>
      <c r="H925" s="130">
        <v>697864</v>
      </c>
      <c r="I925" s="145">
        <v>55</v>
      </c>
      <c r="J925" s="129" t="s">
        <v>193</v>
      </c>
      <c r="K925" s="282">
        <v>310</v>
      </c>
      <c r="L925" s="103"/>
      <c r="M925" s="285">
        <f>K925-(L925+L926+L927)</f>
        <v>310</v>
      </c>
      <c r="N925" s="288">
        <f>(L925+L926+L927)/K925</f>
        <v>0</v>
      </c>
    </row>
    <row r="926" spans="1:14" ht="15" customHeight="1">
      <c r="A926" s="130" t="s">
        <v>423</v>
      </c>
      <c r="B926" s="130" t="s">
        <v>288</v>
      </c>
      <c r="C926" s="155">
        <v>44470</v>
      </c>
      <c r="D926" s="130">
        <v>2677</v>
      </c>
      <c r="E926" s="130" t="s">
        <v>294</v>
      </c>
      <c r="F926" s="130" t="s">
        <v>297</v>
      </c>
      <c r="G926" s="130" t="s">
        <v>401</v>
      </c>
      <c r="H926" s="130">
        <v>968817</v>
      </c>
      <c r="I926" s="145">
        <v>55</v>
      </c>
      <c r="J926" s="129" t="s">
        <v>193</v>
      </c>
      <c r="K926" s="283"/>
      <c r="L926" s="103"/>
      <c r="M926" s="286"/>
      <c r="N926" s="289"/>
    </row>
    <row r="927" spans="1:14" ht="15" customHeight="1">
      <c r="A927" s="130" t="s">
        <v>423</v>
      </c>
      <c r="B927" s="130" t="s">
        <v>288</v>
      </c>
      <c r="C927" s="155">
        <v>44470</v>
      </c>
      <c r="D927" s="130">
        <v>2677</v>
      </c>
      <c r="E927" s="130" t="s">
        <v>294</v>
      </c>
      <c r="F927" s="130" t="s">
        <v>297</v>
      </c>
      <c r="G927" s="130" t="s">
        <v>703</v>
      </c>
      <c r="H927" s="130">
        <v>697885</v>
      </c>
      <c r="I927" s="145">
        <v>55</v>
      </c>
      <c r="J927" s="129" t="s">
        <v>193</v>
      </c>
      <c r="K927" s="284"/>
      <c r="L927" s="103"/>
      <c r="M927" s="287"/>
      <c r="N927" s="290"/>
    </row>
    <row r="928" spans="1:14" ht="15" customHeight="1">
      <c r="A928" s="130" t="s">
        <v>704</v>
      </c>
      <c r="B928" s="130" t="s">
        <v>293</v>
      </c>
      <c r="C928" s="155">
        <v>44473</v>
      </c>
      <c r="D928" s="130">
        <v>125</v>
      </c>
      <c r="E928" s="130" t="s">
        <v>289</v>
      </c>
      <c r="F928" s="130" t="s">
        <v>287</v>
      </c>
      <c r="G928" s="130" t="s">
        <v>705</v>
      </c>
      <c r="H928" s="130">
        <v>968726</v>
      </c>
      <c r="I928" s="145">
        <v>72</v>
      </c>
      <c r="J928" s="129" t="s">
        <v>192</v>
      </c>
      <c r="K928" s="127">
        <v>6</v>
      </c>
      <c r="L928" s="103">
        <v>2.1629999999999998</v>
      </c>
      <c r="M928" s="128">
        <f t="shared" ref="M928:M929" si="318">K928-L928</f>
        <v>3.8370000000000002</v>
      </c>
      <c r="N928" s="94">
        <f t="shared" ref="N928:N929" si="319">L928/K928</f>
        <v>0.36049999999999999</v>
      </c>
    </row>
    <row r="929" spans="1:15" ht="15" customHeight="1">
      <c r="A929" s="130" t="s">
        <v>704</v>
      </c>
      <c r="B929" s="130" t="s">
        <v>293</v>
      </c>
      <c r="C929" s="155">
        <v>44473</v>
      </c>
      <c r="D929" s="130">
        <v>125</v>
      </c>
      <c r="E929" s="130" t="s">
        <v>289</v>
      </c>
      <c r="F929" s="130" t="s">
        <v>287</v>
      </c>
      <c r="G929" s="130" t="s">
        <v>705</v>
      </c>
      <c r="H929" s="130">
        <v>968726</v>
      </c>
      <c r="I929" s="145">
        <v>72</v>
      </c>
      <c r="J929" s="129" t="s">
        <v>193</v>
      </c>
      <c r="K929" s="127">
        <v>17</v>
      </c>
      <c r="L929" s="103">
        <v>0.50700000000000001</v>
      </c>
      <c r="M929" s="128">
        <f t="shared" si="318"/>
        <v>16.492999999999999</v>
      </c>
      <c r="N929" s="94">
        <f t="shared" si="319"/>
        <v>2.9823529411764707E-2</v>
      </c>
    </row>
    <row r="930" spans="1:15" ht="15" customHeight="1">
      <c r="A930" s="130" t="s">
        <v>305</v>
      </c>
      <c r="B930" s="130" t="s">
        <v>293</v>
      </c>
      <c r="C930" s="155">
        <v>44474</v>
      </c>
      <c r="D930" s="130">
        <v>127</v>
      </c>
      <c r="E930" s="130" t="s">
        <v>289</v>
      </c>
      <c r="F930" s="130" t="s">
        <v>287</v>
      </c>
      <c r="G930" s="130" t="s">
        <v>304</v>
      </c>
      <c r="H930" s="130">
        <v>698337</v>
      </c>
      <c r="I930" s="145">
        <v>44</v>
      </c>
      <c r="J930" s="129" t="s">
        <v>193</v>
      </c>
      <c r="K930" s="127">
        <v>50</v>
      </c>
      <c r="L930" s="103"/>
      <c r="M930" s="128">
        <f t="shared" ref="M930:M933" si="320">K930-L930</f>
        <v>50</v>
      </c>
      <c r="N930" s="94">
        <f t="shared" ref="N930:N933" si="321">L930/K930</f>
        <v>0</v>
      </c>
    </row>
    <row r="931" spans="1:15" ht="15" customHeight="1">
      <c r="A931" s="130" t="s">
        <v>305</v>
      </c>
      <c r="B931" s="130" t="s">
        <v>293</v>
      </c>
      <c r="C931" s="155">
        <v>44474</v>
      </c>
      <c r="D931" s="130">
        <v>129</v>
      </c>
      <c r="E931" s="130" t="s">
        <v>289</v>
      </c>
      <c r="F931" s="130" t="s">
        <v>287</v>
      </c>
      <c r="G931" s="130" t="s">
        <v>607</v>
      </c>
      <c r="H931" s="130">
        <v>959986</v>
      </c>
      <c r="I931" s="145">
        <v>6</v>
      </c>
      <c r="J931" s="129" t="s">
        <v>193</v>
      </c>
      <c r="K931" s="127">
        <v>29</v>
      </c>
      <c r="L931" s="103"/>
      <c r="M931" s="128">
        <f t="shared" si="320"/>
        <v>29</v>
      </c>
      <c r="N931" s="94">
        <f t="shared" si="321"/>
        <v>0</v>
      </c>
    </row>
    <row r="932" spans="1:15" ht="15" customHeight="1">
      <c r="A932" s="130" t="s">
        <v>665</v>
      </c>
      <c r="B932" s="130" t="s">
        <v>293</v>
      </c>
      <c r="C932" s="155">
        <v>44474</v>
      </c>
      <c r="D932" s="130">
        <v>2701</v>
      </c>
      <c r="E932" s="130" t="s">
        <v>294</v>
      </c>
      <c r="F932" s="130" t="s">
        <v>297</v>
      </c>
      <c r="G932" s="130" t="s">
        <v>559</v>
      </c>
      <c r="H932" s="130">
        <v>956727</v>
      </c>
      <c r="I932" s="145">
        <v>34</v>
      </c>
      <c r="J932" s="129" t="s">
        <v>192</v>
      </c>
      <c r="K932" s="127">
        <v>0.2</v>
      </c>
      <c r="L932" s="103"/>
      <c r="M932" s="128">
        <f t="shared" si="320"/>
        <v>0.2</v>
      </c>
      <c r="N932" s="94">
        <f t="shared" si="321"/>
        <v>0</v>
      </c>
    </row>
    <row r="933" spans="1:15" ht="15" customHeight="1">
      <c r="A933" s="130" t="s">
        <v>665</v>
      </c>
      <c r="B933" s="130" t="s">
        <v>293</v>
      </c>
      <c r="C933" s="155">
        <v>44474</v>
      </c>
      <c r="D933" s="130">
        <v>2701</v>
      </c>
      <c r="E933" s="130" t="s">
        <v>294</v>
      </c>
      <c r="F933" s="130" t="s">
        <v>297</v>
      </c>
      <c r="G933" s="130" t="s">
        <v>559</v>
      </c>
      <c r="H933" s="130">
        <v>956727</v>
      </c>
      <c r="I933" s="145">
        <v>34</v>
      </c>
      <c r="J933" s="129" t="s">
        <v>193</v>
      </c>
      <c r="K933" s="127">
        <v>100</v>
      </c>
      <c r="L933" s="103"/>
      <c r="M933" s="128">
        <f t="shared" si="320"/>
        <v>100</v>
      </c>
      <c r="N933" s="94">
        <f t="shared" si="321"/>
        <v>0</v>
      </c>
    </row>
    <row r="934" spans="1:15" ht="15" customHeight="1">
      <c r="A934" s="130" t="s">
        <v>665</v>
      </c>
      <c r="B934" s="130" t="s">
        <v>293</v>
      </c>
      <c r="C934" s="155">
        <v>44474</v>
      </c>
      <c r="D934" s="130">
        <v>2701</v>
      </c>
      <c r="E934" s="130" t="s">
        <v>294</v>
      </c>
      <c r="F934" s="130" t="s">
        <v>297</v>
      </c>
      <c r="G934" s="130" t="s">
        <v>482</v>
      </c>
      <c r="H934" s="130">
        <v>964441</v>
      </c>
      <c r="I934" s="145">
        <v>7</v>
      </c>
      <c r="J934" s="129" t="s">
        <v>192</v>
      </c>
      <c r="K934" s="127">
        <v>0.2</v>
      </c>
      <c r="L934" s="103">
        <v>34.386000000000003</v>
      </c>
      <c r="M934" s="128">
        <f t="shared" ref="M934:M941" si="322">K934-L934</f>
        <v>-34.186</v>
      </c>
      <c r="N934" s="94">
        <f t="shared" ref="N934:N941" si="323">L934/K934</f>
        <v>171.93</v>
      </c>
      <c r="O934" s="116">
        <f>M934+M935</f>
        <v>60.250000000000007</v>
      </c>
    </row>
    <row r="935" spans="1:15" ht="15" customHeight="1">
      <c r="A935" s="130" t="s">
        <v>665</v>
      </c>
      <c r="B935" s="130" t="s">
        <v>293</v>
      </c>
      <c r="C935" s="155">
        <v>44474</v>
      </c>
      <c r="D935" s="130">
        <v>2701</v>
      </c>
      <c r="E935" s="130" t="s">
        <v>294</v>
      </c>
      <c r="F935" s="130" t="s">
        <v>297</v>
      </c>
      <c r="G935" s="130" t="s">
        <v>482</v>
      </c>
      <c r="H935" s="130">
        <v>964441</v>
      </c>
      <c r="I935" s="145">
        <v>7</v>
      </c>
      <c r="J935" s="129" t="s">
        <v>193</v>
      </c>
      <c r="K935" s="127">
        <v>100</v>
      </c>
      <c r="L935" s="103">
        <v>5.5640000000000001</v>
      </c>
      <c r="M935" s="128">
        <f t="shared" si="322"/>
        <v>94.436000000000007</v>
      </c>
      <c r="N935" s="94">
        <f t="shared" si="323"/>
        <v>5.5640000000000002E-2</v>
      </c>
    </row>
    <row r="936" spans="1:15" ht="15" customHeight="1">
      <c r="A936" s="130" t="s">
        <v>665</v>
      </c>
      <c r="B936" s="130" t="s">
        <v>293</v>
      </c>
      <c r="C936" s="155">
        <v>44474</v>
      </c>
      <c r="D936" s="130">
        <v>2701</v>
      </c>
      <c r="E936" s="130" t="s">
        <v>294</v>
      </c>
      <c r="F936" s="130" t="s">
        <v>297</v>
      </c>
      <c r="G936" s="130" t="s">
        <v>484</v>
      </c>
      <c r="H936" s="130">
        <v>969257</v>
      </c>
      <c r="I936" s="145">
        <v>7</v>
      </c>
      <c r="J936" s="129" t="s">
        <v>192</v>
      </c>
      <c r="K936" s="127">
        <v>0.2</v>
      </c>
      <c r="L936" s="103">
        <v>39.912999999999997</v>
      </c>
      <c r="M936" s="128">
        <f t="shared" si="322"/>
        <v>-39.712999999999994</v>
      </c>
      <c r="N936" s="94">
        <f t="shared" si="323"/>
        <v>199.56499999999997</v>
      </c>
      <c r="O936" s="116">
        <f t="shared" ref="O936" si="324">M936+M937</f>
        <v>91.855000000000018</v>
      </c>
    </row>
    <row r="937" spans="1:15" ht="15" customHeight="1">
      <c r="A937" s="130" t="s">
        <v>665</v>
      </c>
      <c r="B937" s="130" t="s">
        <v>293</v>
      </c>
      <c r="C937" s="155">
        <v>44474</v>
      </c>
      <c r="D937" s="130">
        <v>2701</v>
      </c>
      <c r="E937" s="130" t="s">
        <v>294</v>
      </c>
      <c r="F937" s="130" t="s">
        <v>297</v>
      </c>
      <c r="G937" s="130" t="s">
        <v>484</v>
      </c>
      <c r="H937" s="130">
        <v>969257</v>
      </c>
      <c r="I937" s="145">
        <v>7</v>
      </c>
      <c r="J937" s="129" t="s">
        <v>193</v>
      </c>
      <c r="K937" s="127">
        <v>150</v>
      </c>
      <c r="L937" s="103">
        <v>18.431999999999999</v>
      </c>
      <c r="M937" s="128">
        <f t="shared" si="322"/>
        <v>131.56800000000001</v>
      </c>
      <c r="N937" s="94">
        <f t="shared" si="323"/>
        <v>0.12287999999999999</v>
      </c>
    </row>
    <row r="938" spans="1:15" ht="15" customHeight="1">
      <c r="A938" s="130" t="s">
        <v>665</v>
      </c>
      <c r="B938" s="130" t="s">
        <v>293</v>
      </c>
      <c r="C938" s="155">
        <v>44474</v>
      </c>
      <c r="D938" s="130">
        <v>2701</v>
      </c>
      <c r="E938" s="130" t="s">
        <v>294</v>
      </c>
      <c r="F938" s="130" t="s">
        <v>297</v>
      </c>
      <c r="G938" s="130" t="s">
        <v>479</v>
      </c>
      <c r="H938" s="130">
        <v>951136</v>
      </c>
      <c r="I938" s="145">
        <v>55</v>
      </c>
      <c r="J938" s="129" t="s">
        <v>192</v>
      </c>
      <c r="K938" s="127">
        <v>0.2</v>
      </c>
      <c r="L938" s="103">
        <v>28.21</v>
      </c>
      <c r="M938" s="128">
        <f t="shared" si="322"/>
        <v>-28.01</v>
      </c>
      <c r="N938" s="94">
        <f t="shared" si="323"/>
        <v>141.04999999999998</v>
      </c>
      <c r="O938" s="116">
        <f t="shared" ref="O938" si="325">M938+M939</f>
        <v>84.5</v>
      </c>
    </row>
    <row r="939" spans="1:15" ht="15" customHeight="1">
      <c r="A939" s="130" t="s">
        <v>665</v>
      </c>
      <c r="B939" s="130" t="s">
        <v>293</v>
      </c>
      <c r="C939" s="155">
        <v>44474</v>
      </c>
      <c r="D939" s="130">
        <v>2701</v>
      </c>
      <c r="E939" s="130" t="s">
        <v>294</v>
      </c>
      <c r="F939" s="130" t="s">
        <v>297</v>
      </c>
      <c r="G939" s="130" t="s">
        <v>479</v>
      </c>
      <c r="H939" s="130">
        <v>951136</v>
      </c>
      <c r="I939" s="145">
        <v>55</v>
      </c>
      <c r="J939" s="129" t="s">
        <v>193</v>
      </c>
      <c r="K939" s="127">
        <v>115</v>
      </c>
      <c r="L939" s="103">
        <v>2.4900000000000002</v>
      </c>
      <c r="M939" s="128">
        <f t="shared" si="322"/>
        <v>112.51</v>
      </c>
      <c r="N939" s="94">
        <f t="shared" si="323"/>
        <v>2.1652173913043481E-2</v>
      </c>
    </row>
    <row r="940" spans="1:15" ht="15" customHeight="1">
      <c r="A940" s="130" t="s">
        <v>665</v>
      </c>
      <c r="B940" s="130" t="s">
        <v>293</v>
      </c>
      <c r="C940" s="155">
        <v>44474</v>
      </c>
      <c r="D940" s="130">
        <v>2701</v>
      </c>
      <c r="E940" s="130" t="s">
        <v>294</v>
      </c>
      <c r="F940" s="130" t="s">
        <v>297</v>
      </c>
      <c r="G940" s="130" t="s">
        <v>668</v>
      </c>
      <c r="H940" s="130">
        <v>963197</v>
      </c>
      <c r="I940" s="145">
        <v>13</v>
      </c>
      <c r="J940" s="129" t="s">
        <v>192</v>
      </c>
      <c r="K940" s="127">
        <v>0.2</v>
      </c>
      <c r="L940" s="103">
        <v>0.2</v>
      </c>
      <c r="M940" s="128">
        <f t="shared" si="322"/>
        <v>0</v>
      </c>
      <c r="N940" s="94">
        <f t="shared" si="323"/>
        <v>1</v>
      </c>
      <c r="O940" s="116">
        <f t="shared" ref="O940" si="326">M940+M941</f>
        <v>53.954999999999998</v>
      </c>
    </row>
    <row r="941" spans="1:15" ht="15" customHeight="1">
      <c r="A941" s="130" t="s">
        <v>665</v>
      </c>
      <c r="B941" s="130" t="s">
        <v>293</v>
      </c>
      <c r="C941" s="155">
        <v>44474</v>
      </c>
      <c r="D941" s="130">
        <v>2701</v>
      </c>
      <c r="E941" s="130" t="s">
        <v>294</v>
      </c>
      <c r="F941" s="130" t="s">
        <v>297</v>
      </c>
      <c r="G941" s="130" t="s">
        <v>668</v>
      </c>
      <c r="H941" s="130">
        <v>963197</v>
      </c>
      <c r="I941" s="145">
        <v>13</v>
      </c>
      <c r="J941" s="129" t="s">
        <v>193</v>
      </c>
      <c r="K941" s="127">
        <v>110</v>
      </c>
      <c r="L941" s="103">
        <v>56.045000000000002</v>
      </c>
      <c r="M941" s="128">
        <f t="shared" si="322"/>
        <v>53.954999999999998</v>
      </c>
      <c r="N941" s="94">
        <f t="shared" si="323"/>
        <v>0.50950000000000006</v>
      </c>
    </row>
    <row r="942" spans="1:15" ht="15" customHeight="1">
      <c r="A942" s="130" t="s">
        <v>706</v>
      </c>
      <c r="B942" s="130" t="s">
        <v>288</v>
      </c>
      <c r="C942" s="155">
        <v>44476</v>
      </c>
      <c r="D942" s="130">
        <v>130</v>
      </c>
      <c r="E942" s="130" t="s">
        <v>289</v>
      </c>
      <c r="F942" s="130" t="s">
        <v>287</v>
      </c>
      <c r="G942" s="130" t="s">
        <v>542</v>
      </c>
      <c r="H942" s="130">
        <v>952452</v>
      </c>
      <c r="I942" s="145">
        <v>74</v>
      </c>
      <c r="J942" s="129" t="s">
        <v>192</v>
      </c>
      <c r="K942" s="282">
        <v>390</v>
      </c>
      <c r="L942" s="103">
        <v>62.911999999999999</v>
      </c>
      <c r="M942" s="285">
        <f>K942-(L942+L943)</f>
        <v>294.71500000000003</v>
      </c>
      <c r="N942" s="288">
        <f>(L942+L943)/K942</f>
        <v>0.24432051282051281</v>
      </c>
    </row>
    <row r="943" spans="1:15" ht="15" customHeight="1">
      <c r="A943" s="130" t="s">
        <v>706</v>
      </c>
      <c r="B943" s="130" t="s">
        <v>288</v>
      </c>
      <c r="C943" s="155">
        <v>44476</v>
      </c>
      <c r="D943" s="130">
        <v>130</v>
      </c>
      <c r="E943" s="130" t="s">
        <v>289</v>
      </c>
      <c r="F943" s="130" t="s">
        <v>287</v>
      </c>
      <c r="G943" s="130" t="s">
        <v>646</v>
      </c>
      <c r="H943" s="130">
        <v>30822</v>
      </c>
      <c r="I943" s="145">
        <v>74</v>
      </c>
      <c r="J943" s="129" t="s">
        <v>192</v>
      </c>
      <c r="K943" s="284"/>
      <c r="L943" s="103">
        <v>32.372999999999998</v>
      </c>
      <c r="M943" s="287"/>
      <c r="N943" s="290"/>
    </row>
    <row r="944" spans="1:15" ht="15" customHeight="1">
      <c r="A944" s="130" t="s">
        <v>706</v>
      </c>
      <c r="B944" s="130" t="s">
        <v>288</v>
      </c>
      <c r="C944" s="155">
        <v>44476</v>
      </c>
      <c r="D944" s="130">
        <v>130</v>
      </c>
      <c r="E944" s="130" t="s">
        <v>289</v>
      </c>
      <c r="F944" s="130" t="s">
        <v>287</v>
      </c>
      <c r="G944" s="130" t="s">
        <v>542</v>
      </c>
      <c r="H944" s="130">
        <v>952452</v>
      </c>
      <c r="I944" s="145">
        <v>74</v>
      </c>
      <c r="J944" s="129" t="s">
        <v>193</v>
      </c>
      <c r="K944" s="282">
        <v>10</v>
      </c>
      <c r="L944" s="103"/>
      <c r="M944" s="285">
        <f>K944-(L944+L945)</f>
        <v>10</v>
      </c>
      <c r="N944" s="288">
        <f>(L944+L945)/K944</f>
        <v>0</v>
      </c>
    </row>
    <row r="945" spans="1:14" ht="15" customHeight="1">
      <c r="A945" s="130" t="s">
        <v>706</v>
      </c>
      <c r="B945" s="130" t="s">
        <v>288</v>
      </c>
      <c r="C945" s="155">
        <v>44476</v>
      </c>
      <c r="D945" s="130">
        <v>130</v>
      </c>
      <c r="E945" s="130" t="s">
        <v>289</v>
      </c>
      <c r="F945" s="130" t="s">
        <v>287</v>
      </c>
      <c r="G945" s="130" t="s">
        <v>646</v>
      </c>
      <c r="H945" s="130">
        <v>30822</v>
      </c>
      <c r="I945" s="145">
        <v>74</v>
      </c>
      <c r="J945" s="129" t="s">
        <v>193</v>
      </c>
      <c r="K945" s="284"/>
      <c r="L945" s="103"/>
      <c r="M945" s="287"/>
      <c r="N945" s="290"/>
    </row>
    <row r="946" spans="1:14" ht="15" customHeight="1">
      <c r="A946" s="130" t="s">
        <v>301</v>
      </c>
      <c r="B946" s="130" t="s">
        <v>293</v>
      </c>
      <c r="C946" s="155">
        <v>44481</v>
      </c>
      <c r="D946" s="130">
        <v>131</v>
      </c>
      <c r="E946" s="130" t="s">
        <v>289</v>
      </c>
      <c r="F946" s="130" t="s">
        <v>287</v>
      </c>
      <c r="G946" s="130" t="s">
        <v>356</v>
      </c>
      <c r="H946" s="130">
        <v>958069</v>
      </c>
      <c r="I946" s="145">
        <v>19</v>
      </c>
      <c r="J946" s="129" t="s">
        <v>193</v>
      </c>
      <c r="K946" s="127">
        <v>0</v>
      </c>
      <c r="L946" s="103"/>
      <c r="M946" s="128">
        <f t="shared" ref="M946" si="327">K946-L946</f>
        <v>0</v>
      </c>
      <c r="N946" s="94" t="e">
        <f t="shared" ref="N946" si="328">L946/K946</f>
        <v>#DIV/0!</v>
      </c>
    </row>
    <row r="947" spans="1:14" ht="15" customHeight="1">
      <c r="A947" s="130" t="s">
        <v>301</v>
      </c>
      <c r="B947" s="130" t="s">
        <v>293</v>
      </c>
      <c r="C947" s="155">
        <v>44481</v>
      </c>
      <c r="D947" s="130">
        <v>131</v>
      </c>
      <c r="E947" s="130" t="s">
        <v>289</v>
      </c>
      <c r="F947" s="130" t="s">
        <v>287</v>
      </c>
      <c r="G947" s="130" t="s">
        <v>638</v>
      </c>
      <c r="H947" s="130">
        <v>969525</v>
      </c>
      <c r="I947" s="145">
        <v>58</v>
      </c>
      <c r="J947" s="129" t="s">
        <v>193</v>
      </c>
      <c r="K947" s="127">
        <v>160</v>
      </c>
      <c r="L947" s="103"/>
      <c r="M947" s="128">
        <f t="shared" ref="M947:M949" si="329">K947-L947</f>
        <v>160</v>
      </c>
      <c r="N947" s="94">
        <f t="shared" ref="N947:N949" si="330">L947/K947</f>
        <v>0</v>
      </c>
    </row>
    <row r="948" spans="1:14" ht="15" customHeight="1">
      <c r="A948" s="130" t="s">
        <v>334</v>
      </c>
      <c r="B948" s="130" t="s">
        <v>293</v>
      </c>
      <c r="C948" s="155">
        <v>44476</v>
      </c>
      <c r="D948" s="130">
        <v>2743</v>
      </c>
      <c r="E948" s="130" t="s">
        <v>294</v>
      </c>
      <c r="F948" s="130" t="s">
        <v>297</v>
      </c>
      <c r="G948" s="130" t="s">
        <v>344</v>
      </c>
      <c r="H948" s="130">
        <v>956044</v>
      </c>
      <c r="I948" s="145">
        <v>39</v>
      </c>
      <c r="J948" s="129" t="s">
        <v>192</v>
      </c>
      <c r="K948" s="127">
        <v>1</v>
      </c>
      <c r="L948" s="103"/>
      <c r="M948" s="128">
        <f t="shared" si="329"/>
        <v>1</v>
      </c>
      <c r="N948" s="94">
        <f t="shared" si="330"/>
        <v>0</v>
      </c>
    </row>
    <row r="949" spans="1:14" ht="15" customHeight="1">
      <c r="A949" s="130" t="s">
        <v>334</v>
      </c>
      <c r="B949" s="130" t="s">
        <v>293</v>
      </c>
      <c r="C949" s="155">
        <v>44476</v>
      </c>
      <c r="D949" s="130">
        <v>2743</v>
      </c>
      <c r="E949" s="130" t="s">
        <v>294</v>
      </c>
      <c r="F949" s="130" t="s">
        <v>297</v>
      </c>
      <c r="G949" s="130" t="s">
        <v>344</v>
      </c>
      <c r="H949" s="130">
        <v>956044</v>
      </c>
      <c r="I949" s="145">
        <v>39</v>
      </c>
      <c r="J949" s="129" t="s">
        <v>193</v>
      </c>
      <c r="K949" s="127">
        <v>62</v>
      </c>
      <c r="L949" s="103"/>
      <c r="M949" s="128">
        <f t="shared" si="329"/>
        <v>62</v>
      </c>
      <c r="N949" s="94">
        <f t="shared" si="330"/>
        <v>0</v>
      </c>
    </row>
    <row r="950" spans="1:14" ht="15" customHeight="1">
      <c r="A950" s="130" t="s">
        <v>334</v>
      </c>
      <c r="B950" s="130" t="s">
        <v>293</v>
      </c>
      <c r="C950" s="155">
        <v>44476</v>
      </c>
      <c r="D950" s="130">
        <v>2743</v>
      </c>
      <c r="E950" s="130" t="s">
        <v>294</v>
      </c>
      <c r="F950" s="130" t="s">
        <v>297</v>
      </c>
      <c r="G950" s="130" t="s">
        <v>339</v>
      </c>
      <c r="H950" s="130">
        <v>964261</v>
      </c>
      <c r="I950" s="145">
        <v>62</v>
      </c>
      <c r="J950" s="129" t="s">
        <v>192</v>
      </c>
      <c r="K950" s="127">
        <v>1</v>
      </c>
      <c r="L950" s="103"/>
      <c r="M950" s="128">
        <f t="shared" ref="M950:M955" si="331">K950-L950</f>
        <v>1</v>
      </c>
      <c r="N950" s="94">
        <f t="shared" ref="N950:N955" si="332">L950/K950</f>
        <v>0</v>
      </c>
    </row>
    <row r="951" spans="1:14" ht="15" customHeight="1">
      <c r="A951" s="130" t="s">
        <v>334</v>
      </c>
      <c r="B951" s="130" t="s">
        <v>293</v>
      </c>
      <c r="C951" s="155">
        <v>44476</v>
      </c>
      <c r="D951" s="130">
        <v>2743</v>
      </c>
      <c r="E951" s="130" t="s">
        <v>294</v>
      </c>
      <c r="F951" s="130" t="s">
        <v>297</v>
      </c>
      <c r="G951" s="130" t="s">
        <v>339</v>
      </c>
      <c r="H951" s="130">
        <v>964261</v>
      </c>
      <c r="I951" s="145">
        <v>62</v>
      </c>
      <c r="J951" s="129" t="s">
        <v>193</v>
      </c>
      <c r="K951" s="127">
        <v>99</v>
      </c>
      <c r="L951" s="103"/>
      <c r="M951" s="128">
        <f t="shared" si="331"/>
        <v>99</v>
      </c>
      <c r="N951" s="94">
        <f t="shared" si="332"/>
        <v>0</v>
      </c>
    </row>
    <row r="952" spans="1:14" ht="15" customHeight="1">
      <c r="A952" s="130" t="s">
        <v>334</v>
      </c>
      <c r="B952" s="130" t="s">
        <v>293</v>
      </c>
      <c r="C952" s="155">
        <v>44476</v>
      </c>
      <c r="D952" s="130">
        <v>2743</v>
      </c>
      <c r="E952" s="130" t="s">
        <v>294</v>
      </c>
      <c r="F952" s="130" t="s">
        <v>297</v>
      </c>
      <c r="G952" s="130" t="s">
        <v>343</v>
      </c>
      <c r="H952" s="130">
        <v>962853</v>
      </c>
      <c r="I952" s="145">
        <v>24</v>
      </c>
      <c r="J952" s="129" t="s">
        <v>192</v>
      </c>
      <c r="K952" s="127">
        <v>1</v>
      </c>
      <c r="L952" s="103"/>
      <c r="M952" s="128">
        <f t="shared" si="331"/>
        <v>1</v>
      </c>
      <c r="N952" s="94">
        <f t="shared" si="332"/>
        <v>0</v>
      </c>
    </row>
    <row r="953" spans="1:14" ht="15" customHeight="1">
      <c r="A953" s="130" t="s">
        <v>334</v>
      </c>
      <c r="B953" s="130" t="s">
        <v>293</v>
      </c>
      <c r="C953" s="155">
        <v>44476</v>
      </c>
      <c r="D953" s="130">
        <v>2743</v>
      </c>
      <c r="E953" s="130" t="s">
        <v>294</v>
      </c>
      <c r="F953" s="130" t="s">
        <v>297</v>
      </c>
      <c r="G953" s="130" t="s">
        <v>343</v>
      </c>
      <c r="H953" s="130">
        <v>962853</v>
      </c>
      <c r="I953" s="145">
        <v>24</v>
      </c>
      <c r="J953" s="129" t="s">
        <v>193</v>
      </c>
      <c r="K953" s="127">
        <v>99</v>
      </c>
      <c r="L953" s="103"/>
      <c r="M953" s="128">
        <f t="shared" si="331"/>
        <v>99</v>
      </c>
      <c r="N953" s="94">
        <f t="shared" si="332"/>
        <v>0</v>
      </c>
    </row>
    <row r="954" spans="1:14" ht="15" customHeight="1">
      <c r="A954" s="130" t="s">
        <v>334</v>
      </c>
      <c r="B954" s="130" t="s">
        <v>293</v>
      </c>
      <c r="C954" s="155">
        <v>44476</v>
      </c>
      <c r="D954" s="130">
        <v>2743</v>
      </c>
      <c r="E954" s="130" t="s">
        <v>294</v>
      </c>
      <c r="F954" s="130" t="s">
        <v>297</v>
      </c>
      <c r="G954" s="130" t="s">
        <v>345</v>
      </c>
      <c r="H954" s="130">
        <v>966475</v>
      </c>
      <c r="I954" s="145">
        <v>7</v>
      </c>
      <c r="J954" s="129" t="s">
        <v>192</v>
      </c>
      <c r="K954" s="127">
        <v>1</v>
      </c>
      <c r="L954" s="103"/>
      <c r="M954" s="128">
        <f t="shared" si="331"/>
        <v>1</v>
      </c>
      <c r="N954" s="94">
        <f t="shared" si="332"/>
        <v>0</v>
      </c>
    </row>
    <row r="955" spans="1:14" ht="15" customHeight="1">
      <c r="A955" s="130" t="s">
        <v>334</v>
      </c>
      <c r="B955" s="130" t="s">
        <v>293</v>
      </c>
      <c r="C955" s="155">
        <v>44476</v>
      </c>
      <c r="D955" s="130">
        <v>2743</v>
      </c>
      <c r="E955" s="130" t="s">
        <v>294</v>
      </c>
      <c r="F955" s="130" t="s">
        <v>297</v>
      </c>
      <c r="G955" s="130" t="s">
        <v>345</v>
      </c>
      <c r="H955" s="130">
        <v>966475</v>
      </c>
      <c r="I955" s="145">
        <v>7</v>
      </c>
      <c r="J955" s="129" t="s">
        <v>193</v>
      </c>
      <c r="K955" s="127">
        <v>99</v>
      </c>
      <c r="L955" s="103">
        <v>10.292</v>
      </c>
      <c r="M955" s="128">
        <f t="shared" si="331"/>
        <v>88.707999999999998</v>
      </c>
      <c r="N955" s="94">
        <f t="shared" si="332"/>
        <v>0.10395959595959596</v>
      </c>
    </row>
    <row r="956" spans="1:14" ht="15" customHeight="1">
      <c r="A956" s="130" t="s">
        <v>532</v>
      </c>
      <c r="B956" s="130" t="s">
        <v>288</v>
      </c>
      <c r="C956" s="155">
        <v>44482</v>
      </c>
      <c r="D956" s="130">
        <v>2766</v>
      </c>
      <c r="E956" s="130" t="s">
        <v>294</v>
      </c>
      <c r="F956" s="130" t="s">
        <v>297</v>
      </c>
      <c r="G956" s="130" t="s">
        <v>534</v>
      </c>
      <c r="H956" s="130">
        <v>969511</v>
      </c>
      <c r="I956" s="145">
        <v>32</v>
      </c>
      <c r="J956" s="129" t="s">
        <v>193</v>
      </c>
      <c r="K956" s="282">
        <v>250</v>
      </c>
      <c r="L956" s="103"/>
      <c r="M956" s="285">
        <f>K956-(L956+L957)</f>
        <v>250</v>
      </c>
      <c r="N956" s="288">
        <f>(L956+L957)/K956</f>
        <v>0</v>
      </c>
    </row>
    <row r="957" spans="1:14" ht="15" customHeight="1">
      <c r="A957" s="130" t="s">
        <v>532</v>
      </c>
      <c r="B957" s="130" t="s">
        <v>288</v>
      </c>
      <c r="C957" s="155">
        <v>44482</v>
      </c>
      <c r="D957" s="130">
        <v>2766</v>
      </c>
      <c r="E957" s="130" t="s">
        <v>294</v>
      </c>
      <c r="F957" s="130" t="s">
        <v>297</v>
      </c>
      <c r="G957" s="130" t="s">
        <v>533</v>
      </c>
      <c r="H957" s="130">
        <v>954241</v>
      </c>
      <c r="I957" s="145">
        <v>32</v>
      </c>
      <c r="J957" s="129" t="s">
        <v>193</v>
      </c>
      <c r="K957" s="284"/>
      <c r="L957" s="103"/>
      <c r="M957" s="287"/>
      <c r="N957" s="290"/>
    </row>
    <row r="958" spans="1:14" ht="15" customHeight="1">
      <c r="A958" s="130" t="s">
        <v>532</v>
      </c>
      <c r="B958" s="130" t="s">
        <v>288</v>
      </c>
      <c r="C958" s="155">
        <v>44482</v>
      </c>
      <c r="D958" s="130">
        <v>2766</v>
      </c>
      <c r="E958" s="130" t="s">
        <v>294</v>
      </c>
      <c r="F958" s="130" t="s">
        <v>297</v>
      </c>
      <c r="G958" s="130" t="s">
        <v>466</v>
      </c>
      <c r="H958" s="130">
        <v>960538</v>
      </c>
      <c r="I958" s="145">
        <v>74</v>
      </c>
      <c r="J958" s="129" t="s">
        <v>193</v>
      </c>
      <c r="K958" s="282">
        <v>300</v>
      </c>
      <c r="L958" s="103">
        <v>23.420999999999999</v>
      </c>
      <c r="M958" s="285">
        <f>K958-(L958+L959+L960)</f>
        <v>215.023</v>
      </c>
      <c r="N958" s="288">
        <f>(L958+L959+L960)/K958</f>
        <v>0.28325666666666666</v>
      </c>
    </row>
    <row r="959" spans="1:14" ht="15" customHeight="1">
      <c r="A959" s="130" t="s">
        <v>532</v>
      </c>
      <c r="B959" s="130" t="s">
        <v>288</v>
      </c>
      <c r="C959" s="155">
        <v>44482</v>
      </c>
      <c r="D959" s="130">
        <v>2766</v>
      </c>
      <c r="E959" s="130" t="s">
        <v>294</v>
      </c>
      <c r="F959" s="130" t="s">
        <v>297</v>
      </c>
      <c r="G959" s="130" t="s">
        <v>468</v>
      </c>
      <c r="H959" s="130">
        <v>967898</v>
      </c>
      <c r="I959" s="145">
        <v>74</v>
      </c>
      <c r="J959" s="129" t="s">
        <v>193</v>
      </c>
      <c r="K959" s="283"/>
      <c r="L959" s="103">
        <v>61.555999999999997</v>
      </c>
      <c r="M959" s="286"/>
      <c r="N959" s="289"/>
    </row>
    <row r="960" spans="1:14" ht="15" customHeight="1">
      <c r="A960" s="130" t="s">
        <v>532</v>
      </c>
      <c r="B960" s="130" t="s">
        <v>288</v>
      </c>
      <c r="C960" s="155">
        <v>44482</v>
      </c>
      <c r="D960" s="130">
        <v>2766</v>
      </c>
      <c r="E960" s="130" t="s">
        <v>294</v>
      </c>
      <c r="F960" s="130" t="s">
        <v>297</v>
      </c>
      <c r="G960" s="130" t="s">
        <v>619</v>
      </c>
      <c r="H960" s="130">
        <v>969352</v>
      </c>
      <c r="I960" s="145">
        <v>74</v>
      </c>
      <c r="J960" s="129" t="s">
        <v>193</v>
      </c>
      <c r="K960" s="284"/>
      <c r="L960" s="103"/>
      <c r="M960" s="287"/>
      <c r="N960" s="290"/>
    </row>
    <row r="961" spans="1:14" ht="15" customHeight="1">
      <c r="A961" s="130" t="s">
        <v>532</v>
      </c>
      <c r="B961" s="130" t="s">
        <v>293</v>
      </c>
      <c r="C961" s="155">
        <v>44482</v>
      </c>
      <c r="D961" s="130">
        <v>2766</v>
      </c>
      <c r="E961" s="130" t="s">
        <v>294</v>
      </c>
      <c r="F961" s="130" t="s">
        <v>297</v>
      </c>
      <c r="G961" s="130" t="s">
        <v>649</v>
      </c>
      <c r="H961" s="130">
        <v>967469</v>
      </c>
      <c r="I961" s="145">
        <v>69</v>
      </c>
      <c r="J961" s="129" t="s">
        <v>193</v>
      </c>
      <c r="K961" s="127">
        <v>200</v>
      </c>
      <c r="L961" s="103">
        <v>10.169</v>
      </c>
      <c r="M961" s="128">
        <f t="shared" ref="M961" si="333">K961-L961</f>
        <v>189.83099999999999</v>
      </c>
      <c r="N961" s="94">
        <f t="shared" ref="N961" si="334">L961/K961</f>
        <v>5.0845000000000001E-2</v>
      </c>
    </row>
    <row r="962" spans="1:14" ht="15" customHeight="1">
      <c r="A962" s="130" t="s">
        <v>532</v>
      </c>
      <c r="B962" s="130" t="s">
        <v>288</v>
      </c>
      <c r="C962" s="155">
        <v>44482</v>
      </c>
      <c r="D962" s="130">
        <v>2766</v>
      </c>
      <c r="E962" s="130" t="s">
        <v>294</v>
      </c>
      <c r="F962" s="130" t="s">
        <v>297</v>
      </c>
      <c r="G962" s="130" t="s">
        <v>595</v>
      </c>
      <c r="H962" s="130">
        <v>954609</v>
      </c>
      <c r="I962" s="145">
        <v>50</v>
      </c>
      <c r="J962" s="129" t="s">
        <v>193</v>
      </c>
      <c r="K962" s="282">
        <v>200</v>
      </c>
      <c r="L962" s="103">
        <v>16.821000000000002</v>
      </c>
      <c r="M962" s="285">
        <f>K962-(L962+L963)</f>
        <v>169.29599999999999</v>
      </c>
      <c r="N962" s="288">
        <f>(L962+L963)/K962</f>
        <v>0.15351999999999999</v>
      </c>
    </row>
    <row r="963" spans="1:14" ht="15" customHeight="1">
      <c r="A963" s="130" t="s">
        <v>532</v>
      </c>
      <c r="B963" s="130" t="s">
        <v>288</v>
      </c>
      <c r="C963" s="155">
        <v>44482</v>
      </c>
      <c r="D963" s="130">
        <v>2766</v>
      </c>
      <c r="E963" s="130" t="s">
        <v>294</v>
      </c>
      <c r="F963" s="130" t="s">
        <v>297</v>
      </c>
      <c r="G963" s="130" t="s">
        <v>430</v>
      </c>
      <c r="H963" s="130">
        <v>955330</v>
      </c>
      <c r="I963" s="145">
        <v>50</v>
      </c>
      <c r="J963" s="129" t="s">
        <v>193</v>
      </c>
      <c r="K963" s="284"/>
      <c r="L963" s="103">
        <v>13.882999999999999</v>
      </c>
      <c r="M963" s="287"/>
      <c r="N963" s="290"/>
    </row>
    <row r="964" spans="1:14">
      <c r="A964" s="130" t="s">
        <v>532</v>
      </c>
      <c r="B964" s="130" t="s">
        <v>288</v>
      </c>
      <c r="C964" s="155">
        <v>44482</v>
      </c>
      <c r="D964" s="130">
        <v>2766</v>
      </c>
      <c r="E964" s="130" t="s">
        <v>294</v>
      </c>
      <c r="F964" s="130" t="s">
        <v>297</v>
      </c>
      <c r="G964" s="130" t="s">
        <v>608</v>
      </c>
      <c r="H964" s="130">
        <v>960952</v>
      </c>
      <c r="I964" s="145">
        <v>73</v>
      </c>
      <c r="J964" s="129" t="s">
        <v>193</v>
      </c>
      <c r="K964" s="282">
        <v>200</v>
      </c>
      <c r="L964" s="103"/>
      <c r="M964" s="285">
        <f>K964-(L964+L965)</f>
        <v>200</v>
      </c>
      <c r="N964" s="288">
        <f>(L964+L965)/K964</f>
        <v>0</v>
      </c>
    </row>
    <row r="965" spans="1:14">
      <c r="A965" s="130" t="s">
        <v>532</v>
      </c>
      <c r="B965" s="130" t="s">
        <v>288</v>
      </c>
      <c r="C965" s="155">
        <v>44482</v>
      </c>
      <c r="D965" s="130">
        <v>2766</v>
      </c>
      <c r="E965" s="130" t="s">
        <v>294</v>
      </c>
      <c r="F965" s="130" t="s">
        <v>297</v>
      </c>
      <c r="G965" s="130" t="s">
        <v>658</v>
      </c>
      <c r="H965" s="130">
        <v>968671</v>
      </c>
      <c r="I965" s="145">
        <v>73</v>
      </c>
      <c r="J965" s="129" t="s">
        <v>193</v>
      </c>
      <c r="K965" s="284"/>
      <c r="L965" s="103"/>
      <c r="M965" s="287"/>
      <c r="N965" s="290"/>
    </row>
    <row r="966" spans="1:14" ht="15" customHeight="1">
      <c r="A966" s="130" t="s">
        <v>532</v>
      </c>
      <c r="B966" s="130" t="s">
        <v>293</v>
      </c>
      <c r="C966" s="155">
        <v>44482</v>
      </c>
      <c r="D966" s="130">
        <v>2766</v>
      </c>
      <c r="E966" s="130" t="s">
        <v>294</v>
      </c>
      <c r="F966" s="130" t="s">
        <v>297</v>
      </c>
      <c r="G966" s="130" t="s">
        <v>618</v>
      </c>
      <c r="H966" s="130">
        <v>955404</v>
      </c>
      <c r="I966" s="145">
        <v>50</v>
      </c>
      <c r="J966" s="129" t="s">
        <v>193</v>
      </c>
      <c r="K966" s="127">
        <v>200</v>
      </c>
      <c r="L966" s="103"/>
      <c r="M966" s="128">
        <f t="shared" ref="M966" si="335">K966-L966</f>
        <v>200</v>
      </c>
      <c r="N966" s="94">
        <f t="shared" ref="N966" si="336">L966/K966</f>
        <v>0</v>
      </c>
    </row>
    <row r="967" spans="1:14" ht="15" customHeight="1">
      <c r="A967" s="130" t="s">
        <v>316</v>
      </c>
      <c r="B967" s="130" t="s">
        <v>293</v>
      </c>
      <c r="C967" s="155">
        <v>44482</v>
      </c>
      <c r="D967" s="130">
        <v>2778</v>
      </c>
      <c r="E967" s="130" t="s">
        <v>294</v>
      </c>
      <c r="F967" s="130" t="s">
        <v>297</v>
      </c>
      <c r="G967" s="130" t="s">
        <v>562</v>
      </c>
      <c r="H967" s="130">
        <v>966129</v>
      </c>
      <c r="I967" s="145">
        <v>35</v>
      </c>
      <c r="J967" s="129" t="s">
        <v>193</v>
      </c>
      <c r="K967" s="127">
        <v>190</v>
      </c>
      <c r="L967" s="103"/>
      <c r="M967" s="128">
        <f t="shared" ref="M967:M970" si="337">K967-L967</f>
        <v>190</v>
      </c>
      <c r="N967" s="94">
        <f t="shared" ref="N967:N970" si="338">L967/K967</f>
        <v>0</v>
      </c>
    </row>
    <row r="968" spans="1:14" ht="15" customHeight="1">
      <c r="A968" s="130" t="s">
        <v>316</v>
      </c>
      <c r="B968" s="130" t="s">
        <v>293</v>
      </c>
      <c r="C968" s="155">
        <v>44482</v>
      </c>
      <c r="D968" s="130">
        <v>2778</v>
      </c>
      <c r="E968" s="130" t="s">
        <v>294</v>
      </c>
      <c r="F968" s="130" t="s">
        <v>297</v>
      </c>
      <c r="G968" s="130" t="s">
        <v>639</v>
      </c>
      <c r="H968" s="130">
        <v>951974</v>
      </c>
      <c r="I968" s="145">
        <v>9</v>
      </c>
      <c r="J968" s="129" t="s">
        <v>193</v>
      </c>
      <c r="K968" s="127">
        <v>120</v>
      </c>
      <c r="L968" s="103">
        <v>49.262999999999998</v>
      </c>
      <c r="M968" s="128">
        <f t="shared" si="337"/>
        <v>70.736999999999995</v>
      </c>
      <c r="N968" s="94">
        <f t="shared" si="338"/>
        <v>0.41052499999999997</v>
      </c>
    </row>
    <row r="969" spans="1:14" ht="15" customHeight="1">
      <c r="A969" s="130" t="s">
        <v>423</v>
      </c>
      <c r="B969" s="130" t="s">
        <v>293</v>
      </c>
      <c r="C969" s="155">
        <v>44488</v>
      </c>
      <c r="D969" s="130">
        <v>2801</v>
      </c>
      <c r="E969" s="130" t="s">
        <v>294</v>
      </c>
      <c r="F969" s="130" t="s">
        <v>297</v>
      </c>
      <c r="G969" s="130" t="s">
        <v>680</v>
      </c>
      <c r="H969" s="130">
        <v>966858</v>
      </c>
      <c r="I969" s="145">
        <v>42</v>
      </c>
      <c r="J969" s="129" t="s">
        <v>192</v>
      </c>
      <c r="K969" s="127">
        <v>10</v>
      </c>
      <c r="L969" s="103"/>
      <c r="M969" s="128">
        <f t="shared" si="337"/>
        <v>10</v>
      </c>
      <c r="N969" s="94">
        <f t="shared" si="338"/>
        <v>0</v>
      </c>
    </row>
    <row r="970" spans="1:14" ht="15" customHeight="1">
      <c r="A970" s="130" t="s">
        <v>423</v>
      </c>
      <c r="B970" s="130" t="s">
        <v>293</v>
      </c>
      <c r="C970" s="155">
        <v>44488</v>
      </c>
      <c r="D970" s="130">
        <v>2801</v>
      </c>
      <c r="E970" s="130" t="s">
        <v>294</v>
      </c>
      <c r="F970" s="130" t="s">
        <v>297</v>
      </c>
      <c r="G970" s="130" t="s">
        <v>680</v>
      </c>
      <c r="H970" s="130">
        <v>966858</v>
      </c>
      <c r="I970" s="145">
        <v>42</v>
      </c>
      <c r="J970" s="129" t="s">
        <v>193</v>
      </c>
      <c r="K970" s="127">
        <v>110</v>
      </c>
      <c r="L970" s="103"/>
      <c r="M970" s="128">
        <f t="shared" si="337"/>
        <v>110</v>
      </c>
      <c r="N970" s="94">
        <f t="shared" si="338"/>
        <v>0</v>
      </c>
    </row>
    <row r="971" spans="1:14" ht="15" customHeight="1">
      <c r="A971" s="130" t="s">
        <v>423</v>
      </c>
      <c r="B971" s="130" t="s">
        <v>293</v>
      </c>
      <c r="C971" s="155">
        <v>44488</v>
      </c>
      <c r="D971" s="130">
        <v>2801</v>
      </c>
      <c r="E971" s="130" t="s">
        <v>294</v>
      </c>
      <c r="F971" s="130" t="s">
        <v>297</v>
      </c>
      <c r="G971" s="130" t="s">
        <v>710</v>
      </c>
      <c r="H971" s="130">
        <v>953884</v>
      </c>
      <c r="I971" s="145">
        <v>42</v>
      </c>
      <c r="J971" s="129" t="s">
        <v>192</v>
      </c>
      <c r="K971" s="127">
        <v>10</v>
      </c>
      <c r="L971" s="103"/>
      <c r="M971" s="128">
        <f t="shared" ref="M971:M980" si="339">K971-L971</f>
        <v>10</v>
      </c>
      <c r="N971" s="94">
        <f t="shared" ref="N971:N980" si="340">L971/K971</f>
        <v>0</v>
      </c>
    </row>
    <row r="972" spans="1:14" ht="15" customHeight="1">
      <c r="A972" s="130" t="s">
        <v>423</v>
      </c>
      <c r="B972" s="130" t="s">
        <v>293</v>
      </c>
      <c r="C972" s="155">
        <v>44488</v>
      </c>
      <c r="D972" s="130">
        <v>2801</v>
      </c>
      <c r="E972" s="130" t="s">
        <v>294</v>
      </c>
      <c r="F972" s="130" t="s">
        <v>297</v>
      </c>
      <c r="G972" s="130" t="s">
        <v>710</v>
      </c>
      <c r="H972" s="130">
        <v>953884</v>
      </c>
      <c r="I972" s="145">
        <v>42</v>
      </c>
      <c r="J972" s="129" t="s">
        <v>193</v>
      </c>
      <c r="K972" s="127">
        <v>110</v>
      </c>
      <c r="L972" s="103"/>
      <c r="M972" s="128">
        <f t="shared" si="339"/>
        <v>110</v>
      </c>
      <c r="N972" s="94">
        <f t="shared" si="340"/>
        <v>0</v>
      </c>
    </row>
    <row r="973" spans="1:14" ht="15" customHeight="1">
      <c r="A973" s="130" t="s">
        <v>423</v>
      </c>
      <c r="B973" s="130" t="s">
        <v>293</v>
      </c>
      <c r="C973" s="155">
        <v>44488</v>
      </c>
      <c r="D973" s="130">
        <v>2801</v>
      </c>
      <c r="E973" s="130" t="s">
        <v>294</v>
      </c>
      <c r="F973" s="130" t="s">
        <v>297</v>
      </c>
      <c r="G973" s="130" t="s">
        <v>429</v>
      </c>
      <c r="H973" s="130">
        <v>922515</v>
      </c>
      <c r="I973" s="145">
        <v>61</v>
      </c>
      <c r="J973" s="129" t="s">
        <v>192</v>
      </c>
      <c r="K973" s="127">
        <v>10</v>
      </c>
      <c r="L973" s="103"/>
      <c r="M973" s="128">
        <f t="shared" si="339"/>
        <v>10</v>
      </c>
      <c r="N973" s="94">
        <f t="shared" si="340"/>
        <v>0</v>
      </c>
    </row>
    <row r="974" spans="1:14" ht="15" customHeight="1">
      <c r="A974" s="130" t="s">
        <v>423</v>
      </c>
      <c r="B974" s="130" t="s">
        <v>293</v>
      </c>
      <c r="C974" s="155">
        <v>44488</v>
      </c>
      <c r="D974" s="130">
        <v>2801</v>
      </c>
      <c r="E974" s="130" t="s">
        <v>294</v>
      </c>
      <c r="F974" s="130" t="s">
        <v>297</v>
      </c>
      <c r="G974" s="130" t="s">
        <v>429</v>
      </c>
      <c r="H974" s="130">
        <v>922515</v>
      </c>
      <c r="I974" s="145">
        <v>61</v>
      </c>
      <c r="J974" s="129" t="s">
        <v>193</v>
      </c>
      <c r="K974" s="127">
        <v>190</v>
      </c>
      <c r="L974" s="103"/>
      <c r="M974" s="128">
        <f t="shared" si="339"/>
        <v>190</v>
      </c>
      <c r="N974" s="94">
        <f t="shared" si="340"/>
        <v>0</v>
      </c>
    </row>
    <row r="975" spans="1:14" ht="15" customHeight="1">
      <c r="A975" s="130" t="s">
        <v>423</v>
      </c>
      <c r="B975" s="130" t="s">
        <v>293</v>
      </c>
      <c r="C975" s="155">
        <v>44488</v>
      </c>
      <c r="D975" s="130">
        <v>2801</v>
      </c>
      <c r="E975" s="130" t="s">
        <v>294</v>
      </c>
      <c r="F975" s="130" t="s">
        <v>297</v>
      </c>
      <c r="G975" s="130" t="s">
        <v>431</v>
      </c>
      <c r="H975" s="130">
        <v>958198</v>
      </c>
      <c r="I975" s="145">
        <v>61</v>
      </c>
      <c r="J975" s="129" t="s">
        <v>192</v>
      </c>
      <c r="K975" s="127">
        <v>10</v>
      </c>
      <c r="L975" s="103"/>
      <c r="M975" s="128">
        <f t="shared" si="339"/>
        <v>10</v>
      </c>
      <c r="N975" s="94">
        <f t="shared" si="340"/>
        <v>0</v>
      </c>
    </row>
    <row r="976" spans="1:14" ht="15" customHeight="1">
      <c r="A976" s="130" t="s">
        <v>423</v>
      </c>
      <c r="B976" s="130" t="s">
        <v>293</v>
      </c>
      <c r="C976" s="155">
        <v>44488</v>
      </c>
      <c r="D976" s="130">
        <v>2801</v>
      </c>
      <c r="E976" s="130" t="s">
        <v>294</v>
      </c>
      <c r="F976" s="130" t="s">
        <v>297</v>
      </c>
      <c r="G976" s="130" t="s">
        <v>431</v>
      </c>
      <c r="H976" s="130">
        <v>958198</v>
      </c>
      <c r="I976" s="145">
        <v>61</v>
      </c>
      <c r="J976" s="129" t="s">
        <v>193</v>
      </c>
      <c r="K976" s="127">
        <v>190</v>
      </c>
      <c r="L976" s="103"/>
      <c r="M976" s="128">
        <f t="shared" si="339"/>
        <v>190</v>
      </c>
      <c r="N976" s="94">
        <f t="shared" si="340"/>
        <v>0</v>
      </c>
    </row>
    <row r="977" spans="1:14" ht="15" customHeight="1">
      <c r="A977" s="130" t="s">
        <v>423</v>
      </c>
      <c r="B977" s="130" t="s">
        <v>293</v>
      </c>
      <c r="C977" s="155">
        <v>44488</v>
      </c>
      <c r="D977" s="130">
        <v>2801</v>
      </c>
      <c r="E977" s="130" t="s">
        <v>294</v>
      </c>
      <c r="F977" s="130" t="s">
        <v>297</v>
      </c>
      <c r="G977" s="130" t="s">
        <v>447</v>
      </c>
      <c r="H977" s="130">
        <v>956244</v>
      </c>
      <c r="I977" s="145">
        <v>55</v>
      </c>
      <c r="J977" s="129" t="s">
        <v>192</v>
      </c>
      <c r="K977" s="127">
        <v>17</v>
      </c>
      <c r="L977" s="103"/>
      <c r="M977" s="128">
        <f t="shared" si="339"/>
        <v>17</v>
      </c>
      <c r="N977" s="94">
        <f t="shared" si="340"/>
        <v>0</v>
      </c>
    </row>
    <row r="978" spans="1:14" ht="15" customHeight="1">
      <c r="A978" s="130" t="s">
        <v>423</v>
      </c>
      <c r="B978" s="130" t="s">
        <v>293</v>
      </c>
      <c r="C978" s="155">
        <v>44488</v>
      </c>
      <c r="D978" s="130">
        <v>2801</v>
      </c>
      <c r="E978" s="130" t="s">
        <v>294</v>
      </c>
      <c r="F978" s="130" t="s">
        <v>297</v>
      </c>
      <c r="G978" s="130" t="s">
        <v>447</v>
      </c>
      <c r="H978" s="130">
        <v>956244</v>
      </c>
      <c r="I978" s="145">
        <v>55</v>
      </c>
      <c r="J978" s="129" t="s">
        <v>193</v>
      </c>
      <c r="K978" s="127">
        <v>213</v>
      </c>
      <c r="L978" s="103"/>
      <c r="M978" s="128">
        <f t="shared" si="339"/>
        <v>213</v>
      </c>
      <c r="N978" s="94">
        <f t="shared" si="340"/>
        <v>0</v>
      </c>
    </row>
    <row r="979" spans="1:14" ht="15" customHeight="1">
      <c r="A979" s="130" t="s">
        <v>423</v>
      </c>
      <c r="B979" s="130" t="s">
        <v>293</v>
      </c>
      <c r="C979" s="155">
        <v>44488</v>
      </c>
      <c r="D979" s="130">
        <v>2801</v>
      </c>
      <c r="E979" s="130" t="s">
        <v>294</v>
      </c>
      <c r="F979" s="130" t="s">
        <v>297</v>
      </c>
      <c r="G979" s="130" t="s">
        <v>453</v>
      </c>
      <c r="H979" s="130">
        <v>969061</v>
      </c>
      <c r="I979" s="145">
        <v>53</v>
      </c>
      <c r="J979" s="129" t="s">
        <v>192</v>
      </c>
      <c r="K979" s="127">
        <v>10</v>
      </c>
      <c r="L979" s="103"/>
      <c r="M979" s="128">
        <f t="shared" si="339"/>
        <v>10</v>
      </c>
      <c r="N979" s="94">
        <f t="shared" si="340"/>
        <v>0</v>
      </c>
    </row>
    <row r="980" spans="1:14" ht="15" customHeight="1">
      <c r="A980" s="130" t="s">
        <v>423</v>
      </c>
      <c r="B980" s="130" t="s">
        <v>293</v>
      </c>
      <c r="C980" s="155">
        <v>44488</v>
      </c>
      <c r="D980" s="130">
        <v>2801</v>
      </c>
      <c r="E980" s="130" t="s">
        <v>294</v>
      </c>
      <c r="F980" s="130" t="s">
        <v>297</v>
      </c>
      <c r="G980" s="130" t="s">
        <v>453</v>
      </c>
      <c r="H980" s="130">
        <v>969061</v>
      </c>
      <c r="I980" s="145">
        <v>53</v>
      </c>
      <c r="J980" s="129" t="s">
        <v>193</v>
      </c>
      <c r="K980" s="127">
        <v>160</v>
      </c>
      <c r="L980" s="103"/>
      <c r="M980" s="128">
        <f t="shared" si="339"/>
        <v>160</v>
      </c>
      <c r="N980" s="94">
        <f t="shared" si="340"/>
        <v>0</v>
      </c>
    </row>
    <row r="981" spans="1:14" ht="15" customHeight="1">
      <c r="A981" s="130" t="s">
        <v>423</v>
      </c>
      <c r="B981" s="130" t="s">
        <v>288</v>
      </c>
      <c r="C981" s="155">
        <v>44488</v>
      </c>
      <c r="D981" s="130">
        <v>2801</v>
      </c>
      <c r="E981" s="130" t="s">
        <v>294</v>
      </c>
      <c r="F981" s="130" t="s">
        <v>297</v>
      </c>
      <c r="G981" s="130" t="s">
        <v>290</v>
      </c>
      <c r="H981" s="130">
        <v>969106</v>
      </c>
      <c r="I981" s="145">
        <v>14</v>
      </c>
      <c r="J981" s="129" t="s">
        <v>192</v>
      </c>
      <c r="K981" s="282">
        <v>10</v>
      </c>
      <c r="L981" s="103"/>
      <c r="M981" s="285">
        <f>K981-(L981+L982)</f>
        <v>10</v>
      </c>
      <c r="N981" s="288">
        <f>(L981+L982)/K981</f>
        <v>0</v>
      </c>
    </row>
    <row r="982" spans="1:14" ht="15" customHeight="1">
      <c r="A982" s="130" t="s">
        <v>423</v>
      </c>
      <c r="B982" s="130" t="s">
        <v>288</v>
      </c>
      <c r="C982" s="155">
        <v>44488</v>
      </c>
      <c r="D982" s="130">
        <v>2801</v>
      </c>
      <c r="E982" s="130" t="s">
        <v>294</v>
      </c>
      <c r="F982" s="130" t="s">
        <v>297</v>
      </c>
      <c r="G982" s="130" t="s">
        <v>291</v>
      </c>
      <c r="H982" s="130">
        <v>968160</v>
      </c>
      <c r="I982" s="145">
        <v>14</v>
      </c>
      <c r="J982" s="129" t="s">
        <v>192</v>
      </c>
      <c r="K982" s="284"/>
      <c r="L982" s="103"/>
      <c r="M982" s="287"/>
      <c r="N982" s="290"/>
    </row>
    <row r="983" spans="1:14" ht="15" customHeight="1">
      <c r="A983" s="130" t="s">
        <v>423</v>
      </c>
      <c r="B983" s="130" t="s">
        <v>288</v>
      </c>
      <c r="C983" s="155">
        <v>44488</v>
      </c>
      <c r="D983" s="130">
        <v>2801</v>
      </c>
      <c r="E983" s="130" t="s">
        <v>294</v>
      </c>
      <c r="F983" s="130" t="s">
        <v>297</v>
      </c>
      <c r="G983" s="130" t="s">
        <v>290</v>
      </c>
      <c r="H983" s="130">
        <v>969106</v>
      </c>
      <c r="I983" s="145">
        <v>14</v>
      </c>
      <c r="J983" s="129" t="s">
        <v>193</v>
      </c>
      <c r="K983" s="282">
        <v>130</v>
      </c>
      <c r="L983" s="103"/>
      <c r="M983" s="285">
        <f>K983-(L983+L984)</f>
        <v>130</v>
      </c>
      <c r="N983" s="288">
        <f>(L983+L984)/K983</f>
        <v>0</v>
      </c>
    </row>
    <row r="984" spans="1:14" ht="15" customHeight="1">
      <c r="A984" s="130" t="s">
        <v>423</v>
      </c>
      <c r="B984" s="130" t="s">
        <v>288</v>
      </c>
      <c r="C984" s="155">
        <v>44488</v>
      </c>
      <c r="D984" s="130">
        <v>2801</v>
      </c>
      <c r="E984" s="130" t="s">
        <v>294</v>
      </c>
      <c r="F984" s="130" t="s">
        <v>297</v>
      </c>
      <c r="G984" s="130" t="s">
        <v>291</v>
      </c>
      <c r="H984" s="130">
        <v>968160</v>
      </c>
      <c r="I984" s="145">
        <v>14</v>
      </c>
      <c r="J984" s="129" t="s">
        <v>193</v>
      </c>
      <c r="K984" s="284"/>
      <c r="L984" s="103"/>
      <c r="M984" s="287"/>
      <c r="N984" s="290"/>
    </row>
    <row r="985" spans="1:14" ht="15" customHeight="1">
      <c r="A985" s="130" t="s">
        <v>423</v>
      </c>
      <c r="B985" s="130" t="s">
        <v>288</v>
      </c>
      <c r="C985" s="155">
        <v>44488</v>
      </c>
      <c r="D985" s="130">
        <v>2801</v>
      </c>
      <c r="E985" s="130" t="s">
        <v>294</v>
      </c>
      <c r="F985" s="130" t="s">
        <v>297</v>
      </c>
      <c r="G985" s="130" t="s">
        <v>396</v>
      </c>
      <c r="H985" s="130">
        <v>959370</v>
      </c>
      <c r="I985" s="145">
        <v>19</v>
      </c>
      <c r="J985" s="129" t="s">
        <v>192</v>
      </c>
      <c r="K985" s="282">
        <v>15</v>
      </c>
      <c r="L985" s="103"/>
      <c r="M985" s="285">
        <f>K985-(L985+L986)</f>
        <v>15</v>
      </c>
      <c r="N985" s="288">
        <f>(L985+L986)/K985</f>
        <v>0</v>
      </c>
    </row>
    <row r="986" spans="1:14" ht="15" customHeight="1">
      <c r="A986" s="130" t="s">
        <v>423</v>
      </c>
      <c r="B986" s="130" t="s">
        <v>288</v>
      </c>
      <c r="C986" s="155">
        <v>44488</v>
      </c>
      <c r="D986" s="130">
        <v>2801</v>
      </c>
      <c r="E986" s="130" t="s">
        <v>294</v>
      </c>
      <c r="F986" s="130" t="s">
        <v>297</v>
      </c>
      <c r="G986" s="130" t="s">
        <v>427</v>
      </c>
      <c r="H986" s="130">
        <v>968833</v>
      </c>
      <c r="I986" s="145">
        <v>19</v>
      </c>
      <c r="J986" s="129" t="s">
        <v>192</v>
      </c>
      <c r="K986" s="284"/>
      <c r="L986" s="103"/>
      <c r="M986" s="287"/>
      <c r="N986" s="290"/>
    </row>
    <row r="987" spans="1:14" ht="15" customHeight="1">
      <c r="A987" s="130" t="s">
        <v>423</v>
      </c>
      <c r="B987" s="130" t="s">
        <v>288</v>
      </c>
      <c r="C987" s="155">
        <v>44488</v>
      </c>
      <c r="D987" s="130">
        <v>2801</v>
      </c>
      <c r="E987" s="130" t="s">
        <v>294</v>
      </c>
      <c r="F987" s="130" t="s">
        <v>297</v>
      </c>
      <c r="G987" s="130" t="s">
        <v>396</v>
      </c>
      <c r="H987" s="130">
        <v>959370</v>
      </c>
      <c r="I987" s="145">
        <v>19</v>
      </c>
      <c r="J987" s="129" t="s">
        <v>193</v>
      </c>
      <c r="K987" s="282">
        <v>205</v>
      </c>
      <c r="L987" s="103"/>
      <c r="M987" s="285">
        <f>K987-(L987+L988)</f>
        <v>205</v>
      </c>
      <c r="N987" s="288">
        <f>(L987+L988)/K987</f>
        <v>0</v>
      </c>
    </row>
    <row r="988" spans="1:14" ht="15" customHeight="1">
      <c r="A988" s="130" t="s">
        <v>423</v>
      </c>
      <c r="B988" s="130" t="s">
        <v>288</v>
      </c>
      <c r="C988" s="155">
        <v>44488</v>
      </c>
      <c r="D988" s="130">
        <v>2801</v>
      </c>
      <c r="E988" s="130" t="s">
        <v>294</v>
      </c>
      <c r="F988" s="130" t="s">
        <v>297</v>
      </c>
      <c r="G988" s="130" t="s">
        <v>427</v>
      </c>
      <c r="H988" s="130">
        <v>968833</v>
      </c>
      <c r="I988" s="145">
        <v>19</v>
      </c>
      <c r="J988" s="129" t="s">
        <v>193</v>
      </c>
      <c r="K988" s="284"/>
      <c r="L988" s="103"/>
      <c r="M988" s="287"/>
      <c r="N988" s="290"/>
    </row>
    <row r="989" spans="1:14" ht="15" customHeight="1">
      <c r="A989" s="130" t="s">
        <v>316</v>
      </c>
      <c r="B989" s="130" t="s">
        <v>293</v>
      </c>
      <c r="C989" s="155">
        <v>44488</v>
      </c>
      <c r="D989" s="130">
        <v>2808</v>
      </c>
      <c r="E989" s="130" t="s">
        <v>294</v>
      </c>
      <c r="F989" s="130" t="s">
        <v>297</v>
      </c>
      <c r="G989" s="130" t="s">
        <v>600</v>
      </c>
      <c r="H989" s="130">
        <v>955448</v>
      </c>
      <c r="I989" s="145">
        <v>6</v>
      </c>
      <c r="J989" s="129" t="s">
        <v>193</v>
      </c>
      <c r="K989" s="127">
        <v>110</v>
      </c>
      <c r="L989" s="103"/>
      <c r="M989" s="128">
        <f t="shared" ref="M989:M991" si="341">K989-L989</f>
        <v>110</v>
      </c>
      <c r="N989" s="94">
        <f t="shared" ref="N989:N991" si="342">L989/K989</f>
        <v>0</v>
      </c>
    </row>
    <row r="990" spans="1:14" ht="15" customHeight="1">
      <c r="A990" s="130" t="s">
        <v>316</v>
      </c>
      <c r="B990" s="130" t="s">
        <v>293</v>
      </c>
      <c r="C990" s="155">
        <v>44488</v>
      </c>
      <c r="D990" s="130">
        <v>2808</v>
      </c>
      <c r="E990" s="130" t="s">
        <v>294</v>
      </c>
      <c r="F990" s="130" t="s">
        <v>297</v>
      </c>
      <c r="G990" s="130" t="s">
        <v>549</v>
      </c>
      <c r="H990" s="130">
        <v>964249</v>
      </c>
      <c r="I990" s="145">
        <v>24</v>
      </c>
      <c r="J990" s="129" t="s">
        <v>193</v>
      </c>
      <c r="K990" s="127">
        <v>85</v>
      </c>
      <c r="L990" s="103"/>
      <c r="M990" s="128">
        <f t="shared" si="341"/>
        <v>85</v>
      </c>
      <c r="N990" s="94">
        <f t="shared" si="342"/>
        <v>0</v>
      </c>
    </row>
    <row r="991" spans="1:14" ht="15" customHeight="1">
      <c r="A991" s="130" t="s">
        <v>316</v>
      </c>
      <c r="B991" s="130" t="s">
        <v>293</v>
      </c>
      <c r="C991" s="155">
        <v>44488</v>
      </c>
      <c r="D991" s="130">
        <v>2808</v>
      </c>
      <c r="E991" s="130" t="s">
        <v>294</v>
      </c>
      <c r="F991" s="130" t="s">
        <v>297</v>
      </c>
      <c r="G991" s="130" t="s">
        <v>711</v>
      </c>
      <c r="H991" s="130">
        <v>961162</v>
      </c>
      <c r="I991" s="145">
        <v>24</v>
      </c>
      <c r="J991" s="129" t="s">
        <v>193</v>
      </c>
      <c r="K991" s="127">
        <v>85</v>
      </c>
      <c r="L991" s="103"/>
      <c r="M991" s="128">
        <f t="shared" si="341"/>
        <v>85</v>
      </c>
      <c r="N991" s="94">
        <f t="shared" si="342"/>
        <v>0</v>
      </c>
    </row>
    <row r="992" spans="1:14" ht="15" customHeight="1">
      <c r="A992" s="130" t="s">
        <v>316</v>
      </c>
      <c r="B992" s="130" t="s">
        <v>293</v>
      </c>
      <c r="C992" s="155">
        <v>44488</v>
      </c>
      <c r="D992" s="130">
        <v>2808</v>
      </c>
      <c r="E992" s="130" t="s">
        <v>294</v>
      </c>
      <c r="F992" s="130" t="s">
        <v>297</v>
      </c>
      <c r="G992" s="130" t="s">
        <v>635</v>
      </c>
      <c r="H992" s="130">
        <v>961126</v>
      </c>
      <c r="I992" s="145">
        <v>6</v>
      </c>
      <c r="J992" s="129" t="s">
        <v>193</v>
      </c>
      <c r="K992" s="127">
        <v>110</v>
      </c>
      <c r="L992" s="103"/>
      <c r="M992" s="128">
        <f t="shared" ref="M992:M1020" si="343">K992-L992</f>
        <v>110</v>
      </c>
      <c r="N992" s="94">
        <f t="shared" ref="N992:N1020" si="344">L992/K992</f>
        <v>0</v>
      </c>
    </row>
    <row r="993" spans="1:14" ht="15" customHeight="1">
      <c r="A993" s="130" t="s">
        <v>316</v>
      </c>
      <c r="B993" s="130" t="s">
        <v>293</v>
      </c>
      <c r="C993" s="155">
        <v>44488</v>
      </c>
      <c r="D993" s="130">
        <v>2808</v>
      </c>
      <c r="E993" s="130" t="s">
        <v>294</v>
      </c>
      <c r="F993" s="130" t="s">
        <v>297</v>
      </c>
      <c r="G993" s="130" t="s">
        <v>592</v>
      </c>
      <c r="H993" s="130">
        <v>962492</v>
      </c>
      <c r="I993" s="145">
        <v>11</v>
      </c>
      <c r="J993" s="129" t="s">
        <v>193</v>
      </c>
      <c r="K993" s="127">
        <v>130</v>
      </c>
      <c r="L993" s="103">
        <v>8.9499999999999993</v>
      </c>
      <c r="M993" s="128">
        <f t="shared" si="343"/>
        <v>121.05</v>
      </c>
      <c r="N993" s="94">
        <f t="shared" si="344"/>
        <v>6.8846153846153835E-2</v>
      </c>
    </row>
    <row r="994" spans="1:14" ht="15" customHeight="1">
      <c r="A994" s="130" t="s">
        <v>316</v>
      </c>
      <c r="B994" s="130" t="s">
        <v>293</v>
      </c>
      <c r="C994" s="155">
        <v>44488</v>
      </c>
      <c r="D994" s="130">
        <v>2808</v>
      </c>
      <c r="E994" s="130" t="s">
        <v>294</v>
      </c>
      <c r="F994" s="130" t="s">
        <v>297</v>
      </c>
      <c r="G994" s="130" t="s">
        <v>604</v>
      </c>
      <c r="H994" s="130">
        <v>967435</v>
      </c>
      <c r="I994" s="145">
        <v>74</v>
      </c>
      <c r="J994" s="129" t="s">
        <v>193</v>
      </c>
      <c r="K994" s="127">
        <v>200</v>
      </c>
      <c r="L994" s="103">
        <v>26.707999999999998</v>
      </c>
      <c r="M994" s="128">
        <f t="shared" si="343"/>
        <v>173.292</v>
      </c>
      <c r="N994" s="94">
        <f t="shared" si="344"/>
        <v>0.13353999999999999</v>
      </c>
    </row>
    <row r="995" spans="1:14" ht="15" customHeight="1">
      <c r="A995" s="130" t="s">
        <v>316</v>
      </c>
      <c r="B995" s="130" t="s">
        <v>293</v>
      </c>
      <c r="C995" s="155">
        <v>44488</v>
      </c>
      <c r="D995" s="130">
        <v>2808</v>
      </c>
      <c r="E995" s="130" t="s">
        <v>294</v>
      </c>
      <c r="F995" s="130" t="s">
        <v>297</v>
      </c>
      <c r="G995" s="130" t="s">
        <v>638</v>
      </c>
      <c r="H995" s="130">
        <v>969525</v>
      </c>
      <c r="I995" s="145">
        <v>58</v>
      </c>
      <c r="J995" s="129" t="s">
        <v>193</v>
      </c>
      <c r="K995" s="127">
        <v>100</v>
      </c>
      <c r="L995" s="103">
        <v>8.6370000000000005</v>
      </c>
      <c r="M995" s="128">
        <f t="shared" si="343"/>
        <v>91.363</v>
      </c>
      <c r="N995" s="94">
        <f t="shared" si="344"/>
        <v>8.6370000000000002E-2</v>
      </c>
    </row>
    <row r="996" spans="1:14" ht="15" customHeight="1">
      <c r="A996" s="130" t="s">
        <v>316</v>
      </c>
      <c r="B996" s="130" t="s">
        <v>293</v>
      </c>
      <c r="C996" s="155">
        <v>44488</v>
      </c>
      <c r="D996" s="130">
        <v>2808</v>
      </c>
      <c r="E996" s="130" t="s">
        <v>294</v>
      </c>
      <c r="F996" s="130" t="s">
        <v>297</v>
      </c>
      <c r="G996" s="130" t="s">
        <v>640</v>
      </c>
      <c r="H996" s="130">
        <v>958573</v>
      </c>
      <c r="I996" s="145">
        <v>58</v>
      </c>
      <c r="J996" s="129" t="s">
        <v>193</v>
      </c>
      <c r="K996" s="127">
        <v>130</v>
      </c>
      <c r="L996" s="103"/>
      <c r="M996" s="128">
        <f t="shared" si="343"/>
        <v>130</v>
      </c>
      <c r="N996" s="94">
        <f t="shared" si="344"/>
        <v>0</v>
      </c>
    </row>
    <row r="997" spans="1:14" ht="15" customHeight="1">
      <c r="A997" s="130" t="s">
        <v>316</v>
      </c>
      <c r="B997" s="130" t="s">
        <v>293</v>
      </c>
      <c r="C997" s="155">
        <v>44488</v>
      </c>
      <c r="D997" s="130">
        <v>2808</v>
      </c>
      <c r="E997" s="130" t="s">
        <v>294</v>
      </c>
      <c r="F997" s="130" t="s">
        <v>297</v>
      </c>
      <c r="G997" s="130" t="s">
        <v>632</v>
      </c>
      <c r="H997" s="130">
        <v>958078</v>
      </c>
      <c r="I997" s="145">
        <v>58</v>
      </c>
      <c r="J997" s="129" t="s">
        <v>193</v>
      </c>
      <c r="K997" s="127">
        <v>130</v>
      </c>
      <c r="L997" s="103"/>
      <c r="M997" s="128">
        <f t="shared" si="343"/>
        <v>130</v>
      </c>
      <c r="N997" s="94">
        <f t="shared" si="344"/>
        <v>0</v>
      </c>
    </row>
    <row r="998" spans="1:14" ht="15" customHeight="1">
      <c r="A998" s="130" t="s">
        <v>316</v>
      </c>
      <c r="B998" s="130" t="s">
        <v>293</v>
      </c>
      <c r="C998" s="155">
        <v>44488</v>
      </c>
      <c r="D998" s="130">
        <v>2808</v>
      </c>
      <c r="E998" s="130" t="s">
        <v>294</v>
      </c>
      <c r="F998" s="130" t="s">
        <v>297</v>
      </c>
      <c r="G998" s="130" t="s">
        <v>641</v>
      </c>
      <c r="H998" s="130">
        <v>958713</v>
      </c>
      <c r="I998" s="145">
        <v>53</v>
      </c>
      <c r="J998" s="129" t="s">
        <v>193</v>
      </c>
      <c r="K998" s="127">
        <v>100</v>
      </c>
      <c r="L998" s="103"/>
      <c r="M998" s="128">
        <f t="shared" si="343"/>
        <v>100</v>
      </c>
      <c r="N998" s="94">
        <f t="shared" si="344"/>
        <v>0</v>
      </c>
    </row>
    <row r="999" spans="1:14" ht="15" customHeight="1">
      <c r="A999" s="130" t="s">
        <v>316</v>
      </c>
      <c r="B999" s="130" t="s">
        <v>293</v>
      </c>
      <c r="C999" s="155">
        <v>44488</v>
      </c>
      <c r="D999" s="130">
        <v>2808</v>
      </c>
      <c r="E999" s="130" t="s">
        <v>294</v>
      </c>
      <c r="F999" s="130" t="s">
        <v>297</v>
      </c>
      <c r="G999" s="130" t="s">
        <v>557</v>
      </c>
      <c r="H999" s="130">
        <v>923000</v>
      </c>
      <c r="I999" s="145">
        <v>9</v>
      </c>
      <c r="J999" s="129" t="s">
        <v>193</v>
      </c>
      <c r="K999" s="127">
        <v>110</v>
      </c>
      <c r="L999" s="103"/>
      <c r="M999" s="128">
        <f t="shared" si="343"/>
        <v>110</v>
      </c>
      <c r="N999" s="94">
        <f t="shared" si="344"/>
        <v>0</v>
      </c>
    </row>
    <row r="1000" spans="1:14" ht="15" customHeight="1">
      <c r="A1000" s="130" t="s">
        <v>316</v>
      </c>
      <c r="B1000" s="130" t="s">
        <v>293</v>
      </c>
      <c r="C1000" s="155">
        <v>44488</v>
      </c>
      <c r="D1000" s="130">
        <v>2808</v>
      </c>
      <c r="E1000" s="130" t="s">
        <v>294</v>
      </c>
      <c r="F1000" s="130" t="s">
        <v>297</v>
      </c>
      <c r="G1000" s="130" t="s">
        <v>474</v>
      </c>
      <c r="H1000" s="130">
        <v>924718</v>
      </c>
      <c r="I1000" s="145">
        <v>24</v>
      </c>
      <c r="J1000" s="129" t="s">
        <v>193</v>
      </c>
      <c r="K1000" s="127">
        <v>150</v>
      </c>
      <c r="L1000" s="103"/>
      <c r="M1000" s="128">
        <f t="shared" si="343"/>
        <v>150</v>
      </c>
      <c r="N1000" s="94">
        <f t="shared" si="344"/>
        <v>0</v>
      </c>
    </row>
    <row r="1001" spans="1:14" ht="15" customHeight="1">
      <c r="A1001" s="130" t="s">
        <v>316</v>
      </c>
      <c r="B1001" s="130" t="s">
        <v>293</v>
      </c>
      <c r="C1001" s="155">
        <v>44488</v>
      </c>
      <c r="D1001" s="130">
        <v>2808</v>
      </c>
      <c r="E1001" s="130" t="s">
        <v>294</v>
      </c>
      <c r="F1001" s="130" t="s">
        <v>297</v>
      </c>
      <c r="G1001" s="130" t="s">
        <v>642</v>
      </c>
      <c r="H1001" s="130">
        <v>951497</v>
      </c>
      <c r="I1001" s="145">
        <v>7</v>
      </c>
      <c r="J1001" s="129" t="s">
        <v>193</v>
      </c>
      <c r="K1001" s="127">
        <v>100</v>
      </c>
      <c r="L1001" s="103">
        <v>37.911999999999999</v>
      </c>
      <c r="M1001" s="128">
        <f t="shared" si="343"/>
        <v>62.088000000000001</v>
      </c>
      <c r="N1001" s="94">
        <f t="shared" si="344"/>
        <v>0.37912000000000001</v>
      </c>
    </row>
    <row r="1002" spans="1:14" ht="15" customHeight="1">
      <c r="A1002" s="130" t="s">
        <v>316</v>
      </c>
      <c r="B1002" s="130" t="s">
        <v>293</v>
      </c>
      <c r="C1002" s="155">
        <v>44488</v>
      </c>
      <c r="D1002" s="130">
        <v>2808</v>
      </c>
      <c r="E1002" s="130" t="s">
        <v>294</v>
      </c>
      <c r="F1002" s="130" t="s">
        <v>297</v>
      </c>
      <c r="G1002" s="130" t="s">
        <v>712</v>
      </c>
      <c r="H1002" s="130">
        <v>697538</v>
      </c>
      <c r="I1002" s="145">
        <v>58</v>
      </c>
      <c r="J1002" s="129" t="s">
        <v>193</v>
      </c>
      <c r="K1002" s="127">
        <v>80</v>
      </c>
      <c r="L1002" s="103"/>
      <c r="M1002" s="128">
        <f t="shared" si="343"/>
        <v>80</v>
      </c>
      <c r="N1002" s="94">
        <f t="shared" si="344"/>
        <v>0</v>
      </c>
    </row>
    <row r="1003" spans="1:14" ht="15" customHeight="1">
      <c r="A1003" s="130" t="s">
        <v>316</v>
      </c>
      <c r="B1003" s="130" t="s">
        <v>293</v>
      </c>
      <c r="C1003" s="155">
        <v>44488</v>
      </c>
      <c r="D1003" s="130">
        <v>2808</v>
      </c>
      <c r="E1003" s="130" t="s">
        <v>294</v>
      </c>
      <c r="F1003" s="130" t="s">
        <v>297</v>
      </c>
      <c r="G1003" s="130" t="s">
        <v>489</v>
      </c>
      <c r="H1003" s="130">
        <v>950818</v>
      </c>
      <c r="I1003" s="145">
        <v>23</v>
      </c>
      <c r="J1003" s="129" t="s">
        <v>193</v>
      </c>
      <c r="K1003" s="127">
        <v>110</v>
      </c>
      <c r="L1003" s="103"/>
      <c r="M1003" s="128">
        <f t="shared" si="343"/>
        <v>110</v>
      </c>
      <c r="N1003" s="94">
        <f t="shared" si="344"/>
        <v>0</v>
      </c>
    </row>
    <row r="1004" spans="1:14" ht="15" customHeight="1">
      <c r="A1004" s="130" t="s">
        <v>316</v>
      </c>
      <c r="B1004" s="130" t="s">
        <v>293</v>
      </c>
      <c r="C1004" s="155">
        <v>44488</v>
      </c>
      <c r="D1004" s="130">
        <v>2808</v>
      </c>
      <c r="E1004" s="130" t="s">
        <v>294</v>
      </c>
      <c r="F1004" s="130" t="s">
        <v>297</v>
      </c>
      <c r="G1004" s="130" t="s">
        <v>551</v>
      </c>
      <c r="H1004" s="130">
        <v>959954</v>
      </c>
      <c r="I1004" s="145">
        <v>19</v>
      </c>
      <c r="J1004" s="129" t="s">
        <v>193</v>
      </c>
      <c r="K1004" s="127">
        <v>110</v>
      </c>
      <c r="L1004" s="103"/>
      <c r="M1004" s="128">
        <f t="shared" si="343"/>
        <v>110</v>
      </c>
      <c r="N1004" s="94">
        <f t="shared" si="344"/>
        <v>0</v>
      </c>
    </row>
    <row r="1005" spans="1:14" ht="15" customHeight="1">
      <c r="A1005" s="130" t="s">
        <v>316</v>
      </c>
      <c r="B1005" s="130" t="s">
        <v>293</v>
      </c>
      <c r="C1005" s="155">
        <v>44488</v>
      </c>
      <c r="D1005" s="130">
        <v>2808</v>
      </c>
      <c r="E1005" s="130" t="s">
        <v>294</v>
      </c>
      <c r="F1005" s="130" t="s">
        <v>297</v>
      </c>
      <c r="G1005" s="130" t="s">
        <v>542</v>
      </c>
      <c r="H1005" s="130">
        <v>952452</v>
      </c>
      <c r="I1005" s="145">
        <v>74</v>
      </c>
      <c r="J1005" s="129" t="s">
        <v>193</v>
      </c>
      <c r="K1005" s="127">
        <v>130</v>
      </c>
      <c r="L1005" s="103">
        <v>80.447999999999993</v>
      </c>
      <c r="M1005" s="128">
        <f t="shared" si="343"/>
        <v>49.552000000000007</v>
      </c>
      <c r="N1005" s="94">
        <f t="shared" si="344"/>
        <v>0.61883076923076918</v>
      </c>
    </row>
    <row r="1006" spans="1:14" ht="15" customHeight="1">
      <c r="A1006" s="130" t="s">
        <v>316</v>
      </c>
      <c r="B1006" s="130" t="s">
        <v>293</v>
      </c>
      <c r="C1006" s="155">
        <v>44488</v>
      </c>
      <c r="D1006" s="130">
        <v>2808</v>
      </c>
      <c r="E1006" s="130" t="s">
        <v>294</v>
      </c>
      <c r="F1006" s="130" t="s">
        <v>297</v>
      </c>
      <c r="G1006" s="130" t="s">
        <v>596</v>
      </c>
      <c r="H1006" s="130">
        <v>951916</v>
      </c>
      <c r="I1006" s="145">
        <v>21</v>
      </c>
      <c r="J1006" s="129" t="s">
        <v>193</v>
      </c>
      <c r="K1006" s="127">
        <v>80</v>
      </c>
      <c r="L1006" s="103">
        <v>22.884</v>
      </c>
      <c r="M1006" s="128">
        <f t="shared" si="343"/>
        <v>57.116</v>
      </c>
      <c r="N1006" s="94">
        <f t="shared" si="344"/>
        <v>0.28605000000000003</v>
      </c>
    </row>
    <row r="1007" spans="1:14" ht="15" customHeight="1">
      <c r="A1007" s="130" t="s">
        <v>316</v>
      </c>
      <c r="B1007" s="130" t="s">
        <v>293</v>
      </c>
      <c r="C1007" s="155">
        <v>44488</v>
      </c>
      <c r="D1007" s="130">
        <v>2808</v>
      </c>
      <c r="E1007" s="130" t="s">
        <v>294</v>
      </c>
      <c r="F1007" s="130" t="s">
        <v>297</v>
      </c>
      <c r="G1007" s="130" t="s">
        <v>681</v>
      </c>
      <c r="H1007" s="130">
        <v>965442</v>
      </c>
      <c r="I1007" s="145">
        <v>21</v>
      </c>
      <c r="J1007" s="129" t="s">
        <v>193</v>
      </c>
      <c r="K1007" s="127">
        <v>80</v>
      </c>
      <c r="L1007" s="103">
        <v>31.713999999999999</v>
      </c>
      <c r="M1007" s="128">
        <f t="shared" si="343"/>
        <v>48.286000000000001</v>
      </c>
      <c r="N1007" s="94">
        <f t="shared" si="344"/>
        <v>0.39642499999999997</v>
      </c>
    </row>
    <row r="1008" spans="1:14" ht="15" customHeight="1">
      <c r="A1008" s="130" t="s">
        <v>316</v>
      </c>
      <c r="B1008" s="130" t="s">
        <v>293</v>
      </c>
      <c r="C1008" s="155">
        <v>44488</v>
      </c>
      <c r="D1008" s="130">
        <v>2808</v>
      </c>
      <c r="E1008" s="130" t="s">
        <v>294</v>
      </c>
      <c r="F1008" s="130" t="s">
        <v>297</v>
      </c>
      <c r="G1008" s="130" t="s">
        <v>643</v>
      </c>
      <c r="H1008" s="130">
        <v>698168</v>
      </c>
      <c r="I1008" s="145">
        <v>58</v>
      </c>
      <c r="J1008" s="129" t="s">
        <v>193</v>
      </c>
      <c r="K1008" s="127">
        <v>180</v>
      </c>
      <c r="L1008" s="103"/>
      <c r="M1008" s="128">
        <f t="shared" si="343"/>
        <v>180</v>
      </c>
      <c r="N1008" s="94">
        <f t="shared" si="344"/>
        <v>0</v>
      </c>
    </row>
    <row r="1009" spans="1:14" ht="15" customHeight="1">
      <c r="A1009" s="130" t="s">
        <v>316</v>
      </c>
      <c r="B1009" s="130" t="s">
        <v>293</v>
      </c>
      <c r="C1009" s="155">
        <v>44488</v>
      </c>
      <c r="D1009" s="130">
        <v>2808</v>
      </c>
      <c r="E1009" s="130" t="s">
        <v>294</v>
      </c>
      <c r="F1009" s="130" t="s">
        <v>297</v>
      </c>
      <c r="G1009" s="130" t="s">
        <v>644</v>
      </c>
      <c r="H1009" s="130">
        <v>968864</v>
      </c>
      <c r="I1009" s="145">
        <v>58</v>
      </c>
      <c r="J1009" s="129" t="s">
        <v>193</v>
      </c>
      <c r="K1009" s="127">
        <v>80</v>
      </c>
      <c r="L1009" s="103">
        <v>48.972000000000001</v>
      </c>
      <c r="M1009" s="128">
        <f t="shared" si="343"/>
        <v>31.027999999999999</v>
      </c>
      <c r="N1009" s="94">
        <f t="shared" si="344"/>
        <v>0.61214999999999997</v>
      </c>
    </row>
    <row r="1010" spans="1:14" ht="15" customHeight="1">
      <c r="A1010" s="130" t="s">
        <v>316</v>
      </c>
      <c r="B1010" s="130" t="s">
        <v>293</v>
      </c>
      <c r="C1010" s="155">
        <v>44488</v>
      </c>
      <c r="D1010" s="130">
        <v>2808</v>
      </c>
      <c r="E1010" s="130" t="s">
        <v>294</v>
      </c>
      <c r="F1010" s="130" t="s">
        <v>297</v>
      </c>
      <c r="G1010" s="130" t="s">
        <v>609</v>
      </c>
      <c r="H1010" s="130">
        <v>960959</v>
      </c>
      <c r="I1010" s="145">
        <v>9</v>
      </c>
      <c r="J1010" s="129" t="s">
        <v>193</v>
      </c>
      <c r="K1010" s="127">
        <v>110</v>
      </c>
      <c r="L1010" s="103"/>
      <c r="M1010" s="128">
        <f t="shared" si="343"/>
        <v>110</v>
      </c>
      <c r="N1010" s="94">
        <f t="shared" si="344"/>
        <v>0</v>
      </c>
    </row>
    <row r="1011" spans="1:14" ht="15" customHeight="1">
      <c r="A1011" s="130" t="s">
        <v>316</v>
      </c>
      <c r="B1011" s="130" t="s">
        <v>293</v>
      </c>
      <c r="C1011" s="155">
        <v>44488</v>
      </c>
      <c r="D1011" s="130">
        <v>2808</v>
      </c>
      <c r="E1011" s="130" t="s">
        <v>294</v>
      </c>
      <c r="F1011" s="130" t="s">
        <v>297</v>
      </c>
      <c r="G1011" s="130" t="s">
        <v>328</v>
      </c>
      <c r="H1011" s="130">
        <v>955250</v>
      </c>
      <c r="I1011" s="145">
        <v>19</v>
      </c>
      <c r="J1011" s="129" t="s">
        <v>193</v>
      </c>
      <c r="K1011" s="127">
        <v>30</v>
      </c>
      <c r="L1011" s="103">
        <v>30</v>
      </c>
      <c r="M1011" s="128">
        <f t="shared" si="343"/>
        <v>0</v>
      </c>
      <c r="N1011" s="94">
        <f t="shared" si="344"/>
        <v>1</v>
      </c>
    </row>
    <row r="1012" spans="1:14" ht="15" customHeight="1">
      <c r="A1012" s="130" t="s">
        <v>316</v>
      </c>
      <c r="B1012" s="130" t="s">
        <v>293</v>
      </c>
      <c r="C1012" s="155">
        <v>44488</v>
      </c>
      <c r="D1012" s="130">
        <v>2808</v>
      </c>
      <c r="E1012" s="130" t="s">
        <v>294</v>
      </c>
      <c r="F1012" s="130" t="s">
        <v>297</v>
      </c>
      <c r="G1012" s="130" t="s">
        <v>547</v>
      </c>
      <c r="H1012" s="130">
        <v>957939</v>
      </c>
      <c r="I1012" s="145">
        <v>6</v>
      </c>
      <c r="J1012" s="129" t="s">
        <v>193</v>
      </c>
      <c r="K1012" s="127">
        <v>100</v>
      </c>
      <c r="L1012" s="103"/>
      <c r="M1012" s="128">
        <f t="shared" si="343"/>
        <v>100</v>
      </c>
      <c r="N1012" s="94">
        <f t="shared" si="344"/>
        <v>0</v>
      </c>
    </row>
    <row r="1013" spans="1:14" ht="15" customHeight="1">
      <c r="A1013" s="130" t="s">
        <v>316</v>
      </c>
      <c r="B1013" s="130" t="s">
        <v>293</v>
      </c>
      <c r="C1013" s="155">
        <v>44488</v>
      </c>
      <c r="D1013" s="130">
        <v>2808</v>
      </c>
      <c r="E1013" s="130" t="s">
        <v>294</v>
      </c>
      <c r="F1013" s="130" t="s">
        <v>297</v>
      </c>
      <c r="G1013" s="130" t="s">
        <v>645</v>
      </c>
      <c r="H1013" s="130">
        <v>966577</v>
      </c>
      <c r="I1013" s="145">
        <v>6</v>
      </c>
      <c r="J1013" s="129" t="s">
        <v>193</v>
      </c>
      <c r="K1013" s="127">
        <v>110</v>
      </c>
      <c r="L1013" s="103"/>
      <c r="M1013" s="128">
        <f t="shared" si="343"/>
        <v>110</v>
      </c>
      <c r="N1013" s="94">
        <f t="shared" si="344"/>
        <v>0</v>
      </c>
    </row>
    <row r="1014" spans="1:14" ht="15" customHeight="1">
      <c r="A1014" s="130" t="s">
        <v>316</v>
      </c>
      <c r="B1014" s="130" t="s">
        <v>293</v>
      </c>
      <c r="C1014" s="155">
        <v>44488</v>
      </c>
      <c r="D1014" s="130">
        <v>2808</v>
      </c>
      <c r="E1014" s="130" t="s">
        <v>294</v>
      </c>
      <c r="F1014" s="130" t="s">
        <v>297</v>
      </c>
      <c r="G1014" s="213" t="s">
        <v>333</v>
      </c>
      <c r="H1014" s="130">
        <v>959347</v>
      </c>
      <c r="I1014" s="145">
        <v>68</v>
      </c>
      <c r="J1014" s="129" t="s">
        <v>193</v>
      </c>
      <c r="K1014" s="127">
        <v>30</v>
      </c>
      <c r="L1014" s="103"/>
      <c r="M1014" s="128">
        <f t="shared" si="343"/>
        <v>30</v>
      </c>
      <c r="N1014" s="94">
        <f t="shared" si="344"/>
        <v>0</v>
      </c>
    </row>
    <row r="1015" spans="1:14" ht="15" customHeight="1">
      <c r="A1015" s="130" t="s">
        <v>316</v>
      </c>
      <c r="B1015" s="130" t="s">
        <v>293</v>
      </c>
      <c r="C1015" s="155">
        <v>44488</v>
      </c>
      <c r="D1015" s="130">
        <v>2808</v>
      </c>
      <c r="E1015" s="130" t="s">
        <v>294</v>
      </c>
      <c r="F1015" s="130" t="s">
        <v>297</v>
      </c>
      <c r="G1015" s="130" t="s">
        <v>599</v>
      </c>
      <c r="H1015" s="130">
        <v>952296</v>
      </c>
      <c r="I1015" s="145">
        <v>74</v>
      </c>
      <c r="J1015" s="129" t="s">
        <v>193</v>
      </c>
      <c r="K1015" s="127">
        <v>200</v>
      </c>
      <c r="L1015" s="103"/>
      <c r="M1015" s="128">
        <f t="shared" si="343"/>
        <v>200</v>
      </c>
      <c r="N1015" s="94">
        <f t="shared" si="344"/>
        <v>0</v>
      </c>
    </row>
    <row r="1016" spans="1:14" ht="15" customHeight="1">
      <c r="A1016" s="130" t="s">
        <v>316</v>
      </c>
      <c r="B1016" s="130" t="s">
        <v>293</v>
      </c>
      <c r="C1016" s="155">
        <v>44488</v>
      </c>
      <c r="D1016" s="130">
        <v>2808</v>
      </c>
      <c r="E1016" s="130" t="s">
        <v>294</v>
      </c>
      <c r="F1016" s="130" t="s">
        <v>297</v>
      </c>
      <c r="G1016" s="130" t="s">
        <v>646</v>
      </c>
      <c r="H1016" s="130">
        <v>30822</v>
      </c>
      <c r="I1016" s="145">
        <v>74</v>
      </c>
      <c r="J1016" s="129" t="s">
        <v>193</v>
      </c>
      <c r="K1016" s="127">
        <v>130</v>
      </c>
      <c r="L1016" s="103">
        <v>69.727000000000004</v>
      </c>
      <c r="M1016" s="128">
        <f t="shared" si="343"/>
        <v>60.272999999999996</v>
      </c>
      <c r="N1016" s="94">
        <f t="shared" si="344"/>
        <v>0.53636153846153845</v>
      </c>
    </row>
    <row r="1017" spans="1:14" ht="15" customHeight="1">
      <c r="A1017" s="130" t="s">
        <v>316</v>
      </c>
      <c r="B1017" s="130" t="s">
        <v>293</v>
      </c>
      <c r="C1017" s="155">
        <v>44488</v>
      </c>
      <c r="D1017" s="130">
        <v>2808</v>
      </c>
      <c r="E1017" s="130" t="s">
        <v>294</v>
      </c>
      <c r="F1017" s="130" t="s">
        <v>297</v>
      </c>
      <c r="G1017" s="130" t="s">
        <v>607</v>
      </c>
      <c r="H1017" s="130">
        <v>959986</v>
      </c>
      <c r="I1017" s="145">
        <v>6</v>
      </c>
      <c r="J1017" s="129" t="s">
        <v>193</v>
      </c>
      <c r="K1017" s="127">
        <v>110</v>
      </c>
      <c r="L1017" s="103"/>
      <c r="M1017" s="128">
        <f t="shared" si="343"/>
        <v>110</v>
      </c>
      <c r="N1017" s="94">
        <f t="shared" si="344"/>
        <v>0</v>
      </c>
    </row>
    <row r="1018" spans="1:14" ht="15" customHeight="1">
      <c r="A1018" s="130" t="s">
        <v>316</v>
      </c>
      <c r="B1018" s="130" t="s">
        <v>293</v>
      </c>
      <c r="C1018" s="155">
        <v>44488</v>
      </c>
      <c r="D1018" s="130">
        <v>2808</v>
      </c>
      <c r="E1018" s="130" t="s">
        <v>294</v>
      </c>
      <c r="F1018" s="130" t="s">
        <v>297</v>
      </c>
      <c r="G1018" s="130" t="s">
        <v>560</v>
      </c>
      <c r="H1018" s="130">
        <v>959366</v>
      </c>
      <c r="I1018" s="145">
        <v>19</v>
      </c>
      <c r="J1018" s="129" t="s">
        <v>193</v>
      </c>
      <c r="K1018" s="127">
        <v>100</v>
      </c>
      <c r="L1018" s="103"/>
      <c r="M1018" s="128">
        <f t="shared" si="343"/>
        <v>100</v>
      </c>
      <c r="N1018" s="94">
        <f t="shared" si="344"/>
        <v>0</v>
      </c>
    </row>
    <row r="1019" spans="1:14" ht="15" customHeight="1">
      <c r="A1019" s="130" t="s">
        <v>316</v>
      </c>
      <c r="B1019" s="130" t="s">
        <v>293</v>
      </c>
      <c r="C1019" s="155">
        <v>44488</v>
      </c>
      <c r="D1019" s="130">
        <v>2808</v>
      </c>
      <c r="E1019" s="130" t="s">
        <v>294</v>
      </c>
      <c r="F1019" s="130" t="s">
        <v>297</v>
      </c>
      <c r="G1019" s="130" t="s">
        <v>475</v>
      </c>
      <c r="H1019" s="130">
        <v>959987</v>
      </c>
      <c r="I1019" s="145">
        <v>24</v>
      </c>
      <c r="J1019" s="129" t="s">
        <v>193</v>
      </c>
      <c r="K1019" s="127">
        <v>150</v>
      </c>
      <c r="L1019" s="103">
        <v>3.3639999999999999</v>
      </c>
      <c r="M1019" s="128">
        <f t="shared" si="343"/>
        <v>146.636</v>
      </c>
      <c r="N1019" s="94">
        <f t="shared" si="344"/>
        <v>2.2426666666666664E-2</v>
      </c>
    </row>
    <row r="1020" spans="1:14" ht="15" customHeight="1">
      <c r="A1020" s="130" t="s">
        <v>316</v>
      </c>
      <c r="B1020" s="130" t="s">
        <v>293</v>
      </c>
      <c r="C1020" s="155">
        <v>44488</v>
      </c>
      <c r="D1020" s="130">
        <v>2808</v>
      </c>
      <c r="E1020" s="130" t="s">
        <v>294</v>
      </c>
      <c r="F1020" s="130" t="s">
        <v>297</v>
      </c>
      <c r="G1020" s="130" t="s">
        <v>647</v>
      </c>
      <c r="H1020" s="130">
        <v>968727</v>
      </c>
      <c r="I1020" s="145">
        <v>6</v>
      </c>
      <c r="J1020" s="129" t="s">
        <v>193</v>
      </c>
      <c r="K1020" s="127">
        <v>100</v>
      </c>
      <c r="L1020" s="103">
        <v>9.7509999999999994</v>
      </c>
      <c r="M1020" s="128">
        <f t="shared" si="343"/>
        <v>90.248999999999995</v>
      </c>
      <c r="N1020" s="94">
        <f t="shared" si="344"/>
        <v>9.7509999999999999E-2</v>
      </c>
    </row>
    <row r="1021" spans="1:14" ht="15" customHeight="1">
      <c r="A1021" s="130" t="s">
        <v>532</v>
      </c>
      <c r="B1021" s="130" t="s">
        <v>288</v>
      </c>
      <c r="C1021" s="155">
        <v>44490</v>
      </c>
      <c r="D1021" s="130">
        <v>2820</v>
      </c>
      <c r="E1021" s="130" t="s">
        <v>294</v>
      </c>
      <c r="F1021" s="130" t="s">
        <v>297</v>
      </c>
      <c r="G1021" s="130" t="s">
        <v>534</v>
      </c>
      <c r="H1021" s="130">
        <v>969511</v>
      </c>
      <c r="I1021" s="145">
        <v>32</v>
      </c>
      <c r="J1021" s="129" t="s">
        <v>193</v>
      </c>
      <c r="K1021" s="282">
        <v>220</v>
      </c>
      <c r="L1021" s="103"/>
      <c r="M1021" s="285">
        <f>K1021-(L1021+L1022)</f>
        <v>190.92500000000001</v>
      </c>
      <c r="N1021" s="288">
        <f>(L1021+L1022)/K1021</f>
        <v>0.13215909090909089</v>
      </c>
    </row>
    <row r="1022" spans="1:14" ht="15" customHeight="1">
      <c r="A1022" s="130" t="s">
        <v>532</v>
      </c>
      <c r="B1022" s="130" t="s">
        <v>288</v>
      </c>
      <c r="C1022" s="155">
        <v>44490</v>
      </c>
      <c r="D1022" s="130">
        <v>2820</v>
      </c>
      <c r="E1022" s="130" t="s">
        <v>294</v>
      </c>
      <c r="F1022" s="130" t="s">
        <v>297</v>
      </c>
      <c r="G1022" s="130" t="s">
        <v>533</v>
      </c>
      <c r="H1022" s="130">
        <v>954241</v>
      </c>
      <c r="I1022" s="145">
        <v>32</v>
      </c>
      <c r="J1022" s="129" t="s">
        <v>193</v>
      </c>
      <c r="K1022" s="284"/>
      <c r="L1022" s="103">
        <v>29.074999999999999</v>
      </c>
      <c r="M1022" s="287"/>
      <c r="N1022" s="290"/>
    </row>
    <row r="1023" spans="1:14" ht="15" customHeight="1">
      <c r="A1023" s="130" t="s">
        <v>532</v>
      </c>
      <c r="B1023" s="130" t="s">
        <v>293</v>
      </c>
      <c r="C1023" s="155">
        <v>44490</v>
      </c>
      <c r="D1023" s="130">
        <v>2820</v>
      </c>
      <c r="E1023" s="130" t="s">
        <v>294</v>
      </c>
      <c r="F1023" s="130" t="s">
        <v>297</v>
      </c>
      <c r="G1023" s="130" t="s">
        <v>713</v>
      </c>
      <c r="H1023" s="130">
        <v>698454</v>
      </c>
      <c r="I1023" s="145">
        <v>3</v>
      </c>
      <c r="J1023" s="129" t="s">
        <v>193</v>
      </c>
      <c r="K1023" s="127">
        <v>50</v>
      </c>
      <c r="L1023" s="103"/>
      <c r="M1023" s="128">
        <f t="shared" ref="M1023" si="345">K1023-L1023</f>
        <v>50</v>
      </c>
      <c r="N1023" s="94">
        <f t="shared" ref="N1023" si="346">L1023/K1023</f>
        <v>0</v>
      </c>
    </row>
    <row r="1024" spans="1:14" ht="15" customHeight="1">
      <c r="A1024" s="130" t="s">
        <v>532</v>
      </c>
      <c r="B1024" s="130" t="s">
        <v>288</v>
      </c>
      <c r="C1024" s="155">
        <v>44490</v>
      </c>
      <c r="D1024" s="130">
        <v>2820</v>
      </c>
      <c r="E1024" s="130" t="s">
        <v>294</v>
      </c>
      <c r="F1024" s="130" t="s">
        <v>297</v>
      </c>
      <c r="G1024" s="130" t="s">
        <v>384</v>
      </c>
      <c r="H1024" s="130">
        <v>31015</v>
      </c>
      <c r="I1024" s="145">
        <v>43</v>
      </c>
      <c r="J1024" s="129" t="s">
        <v>193</v>
      </c>
      <c r="K1024" s="282">
        <v>250</v>
      </c>
      <c r="L1024" s="103">
        <v>28.126999999999999</v>
      </c>
      <c r="M1024" s="285">
        <f>K1024-(L1024+L1025)</f>
        <v>211.124</v>
      </c>
      <c r="N1024" s="288">
        <f>(L1024+L1025)/K1024</f>
        <v>0.155504</v>
      </c>
    </row>
    <row r="1025" spans="1:15" ht="15" customHeight="1">
      <c r="A1025" s="130" t="s">
        <v>532</v>
      </c>
      <c r="B1025" s="130" t="s">
        <v>288</v>
      </c>
      <c r="C1025" s="155">
        <v>44490</v>
      </c>
      <c r="D1025" s="130">
        <v>2820</v>
      </c>
      <c r="E1025" s="130" t="s">
        <v>294</v>
      </c>
      <c r="F1025" s="130" t="s">
        <v>297</v>
      </c>
      <c r="G1025" s="130" t="s">
        <v>383</v>
      </c>
      <c r="H1025" s="130">
        <v>968938</v>
      </c>
      <c r="I1025" s="145">
        <v>43</v>
      </c>
      <c r="J1025" s="129" t="s">
        <v>193</v>
      </c>
      <c r="K1025" s="284"/>
      <c r="L1025" s="103">
        <v>10.749000000000001</v>
      </c>
      <c r="M1025" s="287"/>
      <c r="N1025" s="290"/>
    </row>
    <row r="1026" spans="1:15" ht="15" customHeight="1">
      <c r="A1026" s="130" t="s">
        <v>296</v>
      </c>
      <c r="B1026" s="129" t="s">
        <v>293</v>
      </c>
      <c r="C1026" s="91">
        <v>44490</v>
      </c>
      <c r="D1026" s="129">
        <v>2821</v>
      </c>
      <c r="E1026" s="129" t="s">
        <v>294</v>
      </c>
      <c r="F1026" s="129" t="s">
        <v>297</v>
      </c>
      <c r="G1026" s="130" t="s">
        <v>307</v>
      </c>
      <c r="H1026" s="130">
        <v>954793</v>
      </c>
      <c r="I1026" s="109">
        <v>16</v>
      </c>
      <c r="J1026" s="129" t="s">
        <v>192</v>
      </c>
      <c r="K1026" s="127">
        <v>15</v>
      </c>
      <c r="L1026" s="103">
        <v>15</v>
      </c>
      <c r="M1026" s="128">
        <f t="shared" ref="M1026:M1027" si="347">K1026-L1026</f>
        <v>0</v>
      </c>
      <c r="N1026" s="94">
        <f t="shared" ref="N1026:N1027" si="348">L1026/K1026</f>
        <v>1</v>
      </c>
    </row>
    <row r="1027" spans="1:15" ht="15" customHeight="1">
      <c r="A1027" s="130" t="s">
        <v>296</v>
      </c>
      <c r="B1027" s="129" t="s">
        <v>293</v>
      </c>
      <c r="C1027" s="91">
        <v>44490</v>
      </c>
      <c r="D1027" s="129">
        <v>2821</v>
      </c>
      <c r="E1027" s="129" t="s">
        <v>294</v>
      </c>
      <c r="F1027" s="129" t="s">
        <v>297</v>
      </c>
      <c r="G1027" s="130" t="s">
        <v>307</v>
      </c>
      <c r="H1027" s="130">
        <v>954793</v>
      </c>
      <c r="I1027" s="109">
        <v>16</v>
      </c>
      <c r="J1027" s="129" t="s">
        <v>193</v>
      </c>
      <c r="K1027" s="127">
        <v>120</v>
      </c>
      <c r="L1027" s="103">
        <v>14.002000000000001</v>
      </c>
      <c r="M1027" s="128">
        <f t="shared" si="347"/>
        <v>105.998</v>
      </c>
      <c r="N1027" s="94">
        <f t="shared" si="348"/>
        <v>0.11668333333333333</v>
      </c>
    </row>
    <row r="1028" spans="1:15" ht="15" customHeight="1">
      <c r="A1028" s="130" t="s">
        <v>296</v>
      </c>
      <c r="B1028" s="129" t="s">
        <v>293</v>
      </c>
      <c r="C1028" s="91">
        <v>44490</v>
      </c>
      <c r="D1028" s="129">
        <v>2821</v>
      </c>
      <c r="E1028" s="129" t="s">
        <v>294</v>
      </c>
      <c r="F1028" s="129" t="s">
        <v>297</v>
      </c>
      <c r="G1028" s="130" t="s">
        <v>622</v>
      </c>
      <c r="H1028" s="130">
        <v>923170</v>
      </c>
      <c r="I1028" s="145">
        <v>32</v>
      </c>
      <c r="J1028" s="129" t="s">
        <v>192</v>
      </c>
      <c r="K1028" s="127">
        <v>15</v>
      </c>
      <c r="L1028" s="103"/>
      <c r="M1028" s="128">
        <f t="shared" ref="M1028:M1031" si="349">K1028-L1028</f>
        <v>15</v>
      </c>
      <c r="N1028" s="94">
        <f t="shared" ref="N1028:N1031" si="350">L1028/K1028</f>
        <v>0</v>
      </c>
    </row>
    <row r="1029" spans="1:15" ht="15" customHeight="1">
      <c r="A1029" s="130" t="s">
        <v>296</v>
      </c>
      <c r="B1029" s="129" t="s">
        <v>293</v>
      </c>
      <c r="C1029" s="91">
        <v>44490</v>
      </c>
      <c r="D1029" s="129">
        <v>2821</v>
      </c>
      <c r="E1029" s="129" t="s">
        <v>294</v>
      </c>
      <c r="F1029" s="129" t="s">
        <v>297</v>
      </c>
      <c r="G1029" s="130" t="s">
        <v>622</v>
      </c>
      <c r="H1029" s="130">
        <v>923170</v>
      </c>
      <c r="I1029" s="145">
        <v>32</v>
      </c>
      <c r="J1029" s="129" t="s">
        <v>193</v>
      </c>
      <c r="K1029" s="127">
        <v>120</v>
      </c>
      <c r="L1029" s="103"/>
      <c r="M1029" s="128">
        <f t="shared" si="349"/>
        <v>120</v>
      </c>
      <c r="N1029" s="94">
        <f t="shared" si="350"/>
        <v>0</v>
      </c>
    </row>
    <row r="1030" spans="1:15" ht="15" customHeight="1">
      <c r="A1030" s="130" t="s">
        <v>296</v>
      </c>
      <c r="B1030" s="129" t="s">
        <v>293</v>
      </c>
      <c r="C1030" s="91">
        <v>44490</v>
      </c>
      <c r="D1030" s="129">
        <v>2821</v>
      </c>
      <c r="E1030" s="129" t="s">
        <v>294</v>
      </c>
      <c r="F1030" s="129" t="s">
        <v>297</v>
      </c>
      <c r="G1030" s="130" t="s">
        <v>714</v>
      </c>
      <c r="H1030" s="130">
        <v>968588</v>
      </c>
      <c r="I1030" s="145">
        <v>40</v>
      </c>
      <c r="J1030" s="129" t="s">
        <v>192</v>
      </c>
      <c r="K1030" s="127">
        <v>15</v>
      </c>
      <c r="L1030" s="103"/>
      <c r="M1030" s="128">
        <f t="shared" si="349"/>
        <v>15</v>
      </c>
      <c r="N1030" s="94">
        <f t="shared" si="350"/>
        <v>0</v>
      </c>
    </row>
    <row r="1031" spans="1:15" ht="15" customHeight="1">
      <c r="A1031" s="130" t="s">
        <v>296</v>
      </c>
      <c r="B1031" s="129" t="s">
        <v>293</v>
      </c>
      <c r="C1031" s="91">
        <v>44490</v>
      </c>
      <c r="D1031" s="129">
        <v>2821</v>
      </c>
      <c r="E1031" s="129" t="s">
        <v>294</v>
      </c>
      <c r="F1031" s="129" t="s">
        <v>297</v>
      </c>
      <c r="G1031" s="130" t="s">
        <v>714</v>
      </c>
      <c r="H1031" s="130">
        <v>968588</v>
      </c>
      <c r="I1031" s="145">
        <v>40</v>
      </c>
      <c r="J1031" s="129" t="s">
        <v>193</v>
      </c>
      <c r="K1031" s="127">
        <v>120</v>
      </c>
      <c r="L1031" s="103"/>
      <c r="M1031" s="128">
        <f t="shared" si="349"/>
        <v>120</v>
      </c>
      <c r="N1031" s="94">
        <f t="shared" si="350"/>
        <v>0</v>
      </c>
    </row>
    <row r="1032" spans="1:15" ht="15" customHeight="1">
      <c r="A1032" s="130" t="s">
        <v>296</v>
      </c>
      <c r="B1032" s="129" t="s">
        <v>288</v>
      </c>
      <c r="C1032" s="91">
        <v>44490</v>
      </c>
      <c r="D1032" s="129">
        <v>2821</v>
      </c>
      <c r="E1032" s="129" t="s">
        <v>294</v>
      </c>
      <c r="F1032" s="129" t="s">
        <v>297</v>
      </c>
      <c r="G1032" s="130" t="s">
        <v>510</v>
      </c>
      <c r="H1032" s="130">
        <v>964980</v>
      </c>
      <c r="I1032" s="145">
        <v>19</v>
      </c>
      <c r="J1032" s="129" t="s">
        <v>192</v>
      </c>
      <c r="K1032" s="282">
        <v>40</v>
      </c>
      <c r="L1032" s="103">
        <v>46.38</v>
      </c>
      <c r="M1032" s="285">
        <f>K1032-(L1032+L1033)</f>
        <v>-6.3800000000000026</v>
      </c>
      <c r="N1032" s="288">
        <f>(L1032+L1033)/K1032</f>
        <v>1.1595</v>
      </c>
      <c r="O1032" s="116">
        <f>M1032+M1034</f>
        <v>222.267</v>
      </c>
    </row>
    <row r="1033" spans="1:15" ht="15" customHeight="1">
      <c r="A1033" s="130" t="s">
        <v>296</v>
      </c>
      <c r="B1033" s="129" t="s">
        <v>288</v>
      </c>
      <c r="C1033" s="91">
        <v>44490</v>
      </c>
      <c r="D1033" s="129">
        <v>2821</v>
      </c>
      <c r="E1033" s="129" t="s">
        <v>294</v>
      </c>
      <c r="F1033" s="129" t="s">
        <v>297</v>
      </c>
      <c r="G1033" s="130" t="s">
        <v>715</v>
      </c>
      <c r="H1033" s="130">
        <v>698447</v>
      </c>
      <c r="I1033" s="145">
        <v>62</v>
      </c>
      <c r="J1033" s="129" t="s">
        <v>192</v>
      </c>
      <c r="K1033" s="284"/>
      <c r="L1033" s="103"/>
      <c r="M1033" s="287"/>
      <c r="N1033" s="290"/>
    </row>
    <row r="1034" spans="1:15" ht="15" customHeight="1">
      <c r="A1034" s="130" t="s">
        <v>296</v>
      </c>
      <c r="B1034" s="129" t="s">
        <v>288</v>
      </c>
      <c r="C1034" s="91">
        <v>44490</v>
      </c>
      <c r="D1034" s="129">
        <v>2821</v>
      </c>
      <c r="E1034" s="129" t="s">
        <v>294</v>
      </c>
      <c r="F1034" s="129" t="s">
        <v>297</v>
      </c>
      <c r="G1034" s="130" t="s">
        <v>510</v>
      </c>
      <c r="H1034" s="130">
        <v>964980</v>
      </c>
      <c r="I1034" s="145">
        <v>19</v>
      </c>
      <c r="J1034" s="129" t="s">
        <v>193</v>
      </c>
      <c r="K1034" s="282">
        <v>240</v>
      </c>
      <c r="L1034" s="103">
        <v>11.353</v>
      </c>
      <c r="M1034" s="285">
        <f>K1034-(L1034+L1035)</f>
        <v>228.64699999999999</v>
      </c>
      <c r="N1034" s="288">
        <f>(L1034+L1035)/K1034</f>
        <v>4.7304166666666668E-2</v>
      </c>
    </row>
    <row r="1035" spans="1:15" ht="15" customHeight="1">
      <c r="A1035" s="130" t="s">
        <v>296</v>
      </c>
      <c r="B1035" s="129" t="s">
        <v>288</v>
      </c>
      <c r="C1035" s="91">
        <v>44490</v>
      </c>
      <c r="D1035" s="129">
        <v>2821</v>
      </c>
      <c r="E1035" s="129" t="s">
        <v>294</v>
      </c>
      <c r="F1035" s="129" t="s">
        <v>297</v>
      </c>
      <c r="G1035" s="130" t="s">
        <v>715</v>
      </c>
      <c r="H1035" s="130">
        <v>698447</v>
      </c>
      <c r="I1035" s="145">
        <v>62</v>
      </c>
      <c r="J1035" s="129" t="s">
        <v>193</v>
      </c>
      <c r="K1035" s="284"/>
      <c r="L1035" s="103"/>
      <c r="M1035" s="287"/>
      <c r="N1035" s="290"/>
    </row>
    <row r="1036" spans="1:15" ht="15" customHeight="1">
      <c r="A1036" s="130" t="s">
        <v>296</v>
      </c>
      <c r="B1036" s="129" t="s">
        <v>288</v>
      </c>
      <c r="C1036" s="91">
        <v>44490</v>
      </c>
      <c r="D1036" s="129">
        <v>2821</v>
      </c>
      <c r="E1036" s="129" t="s">
        <v>294</v>
      </c>
      <c r="F1036" s="129" t="s">
        <v>297</v>
      </c>
      <c r="G1036" s="130" t="s">
        <v>687</v>
      </c>
      <c r="H1036" s="130">
        <v>698133</v>
      </c>
      <c r="I1036" s="145">
        <v>78</v>
      </c>
      <c r="J1036" s="129" t="s">
        <v>192</v>
      </c>
      <c r="K1036" s="282">
        <v>50</v>
      </c>
      <c r="L1036" s="103"/>
      <c r="M1036" s="285">
        <f>K1036-(L1036+L1037+L1038)</f>
        <v>42.06</v>
      </c>
      <c r="N1036" s="288">
        <f>(L1036+L1037+L1038)/K1036</f>
        <v>0.1588</v>
      </c>
    </row>
    <row r="1037" spans="1:15" ht="15" customHeight="1">
      <c r="A1037" s="130" t="s">
        <v>296</v>
      </c>
      <c r="B1037" s="129" t="s">
        <v>288</v>
      </c>
      <c r="C1037" s="91">
        <v>44490</v>
      </c>
      <c r="D1037" s="129">
        <v>2821</v>
      </c>
      <c r="E1037" s="129" t="s">
        <v>294</v>
      </c>
      <c r="F1037" s="129" t="s">
        <v>297</v>
      </c>
      <c r="G1037" s="130" t="s">
        <v>504</v>
      </c>
      <c r="H1037" s="130">
        <v>968423</v>
      </c>
      <c r="I1037" s="109">
        <v>77</v>
      </c>
      <c r="J1037" s="129" t="s">
        <v>192</v>
      </c>
      <c r="K1037" s="283"/>
      <c r="L1037" s="103">
        <v>7.94</v>
      </c>
      <c r="M1037" s="286"/>
      <c r="N1037" s="289"/>
    </row>
    <row r="1038" spans="1:15" ht="15" customHeight="1">
      <c r="A1038" s="130" t="s">
        <v>296</v>
      </c>
      <c r="B1038" s="129" t="s">
        <v>288</v>
      </c>
      <c r="C1038" s="91">
        <v>44490</v>
      </c>
      <c r="D1038" s="129">
        <v>2821</v>
      </c>
      <c r="E1038" s="129" t="s">
        <v>294</v>
      </c>
      <c r="F1038" s="129" t="s">
        <v>297</v>
      </c>
      <c r="G1038" s="130" t="s">
        <v>506</v>
      </c>
      <c r="H1038" s="130">
        <v>967692</v>
      </c>
      <c r="I1038" s="109">
        <v>77</v>
      </c>
      <c r="J1038" s="129" t="s">
        <v>192</v>
      </c>
      <c r="K1038" s="284"/>
      <c r="L1038" s="103"/>
      <c r="M1038" s="287"/>
      <c r="N1038" s="290"/>
    </row>
    <row r="1039" spans="1:15" ht="15" customHeight="1">
      <c r="A1039" s="130" t="s">
        <v>296</v>
      </c>
      <c r="B1039" s="129" t="s">
        <v>288</v>
      </c>
      <c r="C1039" s="91">
        <v>44490</v>
      </c>
      <c r="D1039" s="129">
        <v>2821</v>
      </c>
      <c r="E1039" s="129" t="s">
        <v>294</v>
      </c>
      <c r="F1039" s="129" t="s">
        <v>297</v>
      </c>
      <c r="G1039" s="130" t="s">
        <v>687</v>
      </c>
      <c r="H1039" s="130">
        <v>698133</v>
      </c>
      <c r="I1039" s="145">
        <v>78</v>
      </c>
      <c r="J1039" s="129" t="s">
        <v>193</v>
      </c>
      <c r="K1039" s="282">
        <v>240</v>
      </c>
      <c r="L1039" s="103"/>
      <c r="M1039" s="285">
        <f>K1039-(L1039+L1040+L1041)</f>
        <v>239.44</v>
      </c>
      <c r="N1039" s="288">
        <f>(L1039+L1040+L1041)/K1039</f>
        <v>2.3333333333333335E-3</v>
      </c>
    </row>
    <row r="1040" spans="1:15" ht="15" customHeight="1">
      <c r="A1040" s="130" t="s">
        <v>296</v>
      </c>
      <c r="B1040" s="129" t="s">
        <v>288</v>
      </c>
      <c r="C1040" s="91">
        <v>44490</v>
      </c>
      <c r="D1040" s="129">
        <v>2821</v>
      </c>
      <c r="E1040" s="129" t="s">
        <v>294</v>
      </c>
      <c r="F1040" s="129" t="s">
        <v>297</v>
      </c>
      <c r="G1040" s="130" t="s">
        <v>504</v>
      </c>
      <c r="H1040" s="130">
        <v>968423</v>
      </c>
      <c r="I1040" s="109">
        <v>77</v>
      </c>
      <c r="J1040" s="129" t="s">
        <v>193</v>
      </c>
      <c r="K1040" s="283"/>
      <c r="L1040" s="103">
        <v>0.56000000000000005</v>
      </c>
      <c r="M1040" s="286"/>
      <c r="N1040" s="289"/>
    </row>
    <row r="1041" spans="1:14" ht="15" customHeight="1">
      <c r="A1041" s="130" t="s">
        <v>296</v>
      </c>
      <c r="B1041" s="129" t="s">
        <v>288</v>
      </c>
      <c r="C1041" s="91">
        <v>44490</v>
      </c>
      <c r="D1041" s="129">
        <v>2821</v>
      </c>
      <c r="E1041" s="129" t="s">
        <v>294</v>
      </c>
      <c r="F1041" s="129" t="s">
        <v>297</v>
      </c>
      <c r="G1041" s="130" t="s">
        <v>506</v>
      </c>
      <c r="H1041" s="130">
        <v>967692</v>
      </c>
      <c r="I1041" s="109">
        <v>77</v>
      </c>
      <c r="J1041" s="129" t="s">
        <v>193</v>
      </c>
      <c r="K1041" s="284"/>
      <c r="L1041" s="103"/>
      <c r="M1041" s="287"/>
      <c r="N1041" s="290"/>
    </row>
    <row r="1042" spans="1:14" ht="15" customHeight="1">
      <c r="A1042" s="130" t="s">
        <v>686</v>
      </c>
      <c r="B1042" s="130" t="s">
        <v>293</v>
      </c>
      <c r="C1042" s="91">
        <v>44490</v>
      </c>
      <c r="D1042" s="130">
        <v>136</v>
      </c>
      <c r="E1042" s="130" t="s">
        <v>289</v>
      </c>
      <c r="F1042" s="130" t="s">
        <v>287</v>
      </c>
      <c r="G1042" s="130" t="s">
        <v>687</v>
      </c>
      <c r="H1042" s="130">
        <v>698133</v>
      </c>
      <c r="I1042" s="145">
        <v>78</v>
      </c>
      <c r="J1042" s="129" t="s">
        <v>192</v>
      </c>
      <c r="K1042" s="127">
        <v>100</v>
      </c>
      <c r="L1042" s="103"/>
      <c r="M1042" s="128">
        <f t="shared" ref="M1042:M1043" si="351">K1042-L1042</f>
        <v>100</v>
      </c>
      <c r="N1042" s="94">
        <f t="shared" ref="N1042:N1043" si="352">L1042/K1042</f>
        <v>0</v>
      </c>
    </row>
    <row r="1043" spans="1:14" ht="15" customHeight="1">
      <c r="A1043" s="130" t="s">
        <v>686</v>
      </c>
      <c r="B1043" s="130" t="s">
        <v>293</v>
      </c>
      <c r="C1043" s="91">
        <v>44490</v>
      </c>
      <c r="D1043" s="130">
        <v>136</v>
      </c>
      <c r="E1043" s="130" t="s">
        <v>289</v>
      </c>
      <c r="F1043" s="130" t="s">
        <v>287</v>
      </c>
      <c r="G1043" s="130" t="s">
        <v>687</v>
      </c>
      <c r="H1043" s="130">
        <v>698133</v>
      </c>
      <c r="I1043" s="145">
        <v>78</v>
      </c>
      <c r="J1043" s="129" t="s">
        <v>193</v>
      </c>
      <c r="K1043" s="127">
        <v>100</v>
      </c>
      <c r="L1043" s="103"/>
      <c r="M1043" s="128">
        <f t="shared" si="351"/>
        <v>100</v>
      </c>
      <c r="N1043" s="94">
        <f t="shared" si="352"/>
        <v>0</v>
      </c>
    </row>
    <row r="1044" spans="1:14" ht="15" customHeight="1">
      <c r="A1044" s="130" t="s">
        <v>392</v>
      </c>
      <c r="B1044" s="130" t="s">
        <v>293</v>
      </c>
      <c r="C1044" s="91">
        <v>44490</v>
      </c>
      <c r="D1044" s="130">
        <v>2834</v>
      </c>
      <c r="E1044" s="130" t="s">
        <v>294</v>
      </c>
      <c r="F1044" s="130" t="s">
        <v>297</v>
      </c>
      <c r="G1044" s="130" t="s">
        <v>479</v>
      </c>
      <c r="H1044" s="130">
        <v>951136</v>
      </c>
      <c r="I1044" s="145">
        <v>55</v>
      </c>
      <c r="J1044" s="129" t="s">
        <v>192</v>
      </c>
      <c r="K1044" s="127">
        <v>6.63</v>
      </c>
      <c r="L1044" s="103"/>
      <c r="M1044" s="128">
        <f t="shared" ref="M1044" si="353">K1044-L1044</f>
        <v>6.63</v>
      </c>
      <c r="N1044" s="94">
        <f t="shared" ref="N1044" si="354">L1044/K1044</f>
        <v>0</v>
      </c>
    </row>
    <row r="1045" spans="1:14" ht="15" customHeight="1">
      <c r="A1045" s="130" t="s">
        <v>392</v>
      </c>
      <c r="B1045" s="130" t="s">
        <v>293</v>
      </c>
      <c r="C1045" s="91">
        <v>44490</v>
      </c>
      <c r="D1045" s="130">
        <v>2835</v>
      </c>
      <c r="E1045" s="130" t="s">
        <v>294</v>
      </c>
      <c r="F1045" s="130" t="s">
        <v>297</v>
      </c>
      <c r="G1045" s="130" t="s">
        <v>393</v>
      </c>
      <c r="H1045" s="130">
        <v>950991</v>
      </c>
      <c r="I1045" s="145">
        <v>19</v>
      </c>
      <c r="J1045" s="129" t="s">
        <v>192</v>
      </c>
      <c r="K1045" s="127">
        <v>19.88</v>
      </c>
      <c r="L1045" s="103"/>
      <c r="M1045" s="128">
        <f t="shared" ref="M1045" si="355">K1045-L1045</f>
        <v>19.88</v>
      </c>
      <c r="N1045" s="94">
        <f t="shared" ref="N1045" si="356">L1045/K1045</f>
        <v>0</v>
      </c>
    </row>
    <row r="1046" spans="1:14" ht="15" customHeight="1">
      <c r="A1046" s="130" t="s">
        <v>412</v>
      </c>
      <c r="B1046" s="130" t="s">
        <v>288</v>
      </c>
      <c r="C1046" s="91">
        <v>44490</v>
      </c>
      <c r="D1046" s="130">
        <v>2836</v>
      </c>
      <c r="E1046" s="130" t="s">
        <v>294</v>
      </c>
      <c r="F1046" s="130" t="s">
        <v>297</v>
      </c>
      <c r="G1046" s="130" t="s">
        <v>414</v>
      </c>
      <c r="H1046" s="130">
        <v>967342</v>
      </c>
      <c r="I1046" s="145">
        <v>15</v>
      </c>
      <c r="J1046" s="129" t="s">
        <v>192</v>
      </c>
      <c r="K1046" s="282">
        <v>810.93</v>
      </c>
      <c r="L1046" s="103"/>
      <c r="M1046" s="285">
        <f>K1046-(L1046+L1047)</f>
        <v>810.93</v>
      </c>
      <c r="N1046" s="288">
        <f>(L1046+L1047)/K1046</f>
        <v>0</v>
      </c>
    </row>
    <row r="1047" spans="1:14" ht="15" customHeight="1">
      <c r="A1047" s="130" t="s">
        <v>412</v>
      </c>
      <c r="B1047" s="130" t="s">
        <v>288</v>
      </c>
      <c r="C1047" s="91">
        <v>44490</v>
      </c>
      <c r="D1047" s="130">
        <v>2836</v>
      </c>
      <c r="E1047" s="130" t="s">
        <v>294</v>
      </c>
      <c r="F1047" s="130" t="s">
        <v>297</v>
      </c>
      <c r="G1047" s="130" t="s">
        <v>415</v>
      </c>
      <c r="H1047" s="130">
        <v>967281</v>
      </c>
      <c r="I1047" s="145">
        <v>15</v>
      </c>
      <c r="J1047" s="129" t="s">
        <v>192</v>
      </c>
      <c r="K1047" s="284"/>
      <c r="L1047" s="103"/>
      <c r="M1047" s="287"/>
      <c r="N1047" s="290"/>
    </row>
    <row r="1048" spans="1:14" ht="15" customHeight="1">
      <c r="A1048" s="130" t="s">
        <v>392</v>
      </c>
      <c r="B1048" s="130" t="s">
        <v>293</v>
      </c>
      <c r="C1048" s="91">
        <v>44490</v>
      </c>
      <c r="D1048" s="130">
        <v>2848</v>
      </c>
      <c r="E1048" s="130" t="s">
        <v>294</v>
      </c>
      <c r="F1048" s="130" t="s">
        <v>297</v>
      </c>
      <c r="G1048" s="130" t="s">
        <v>501</v>
      </c>
      <c r="H1048" s="130">
        <v>926065</v>
      </c>
      <c r="I1048" s="109">
        <v>19</v>
      </c>
      <c r="J1048" s="129" t="s">
        <v>192</v>
      </c>
      <c r="K1048" s="127">
        <v>19.88</v>
      </c>
      <c r="L1048" s="103">
        <v>13.792999999999999</v>
      </c>
      <c r="M1048" s="128">
        <f t="shared" ref="M1048" si="357">K1048-L1048</f>
        <v>6.0869999999999997</v>
      </c>
      <c r="N1048" s="94">
        <f t="shared" ref="N1048" si="358">L1048/K1048</f>
        <v>0.69381287726358154</v>
      </c>
    </row>
    <row r="1049" spans="1:14" ht="15" customHeight="1">
      <c r="A1049" s="130" t="s">
        <v>392</v>
      </c>
      <c r="B1049" s="130" t="s">
        <v>288</v>
      </c>
      <c r="C1049" s="91">
        <v>44490</v>
      </c>
      <c r="D1049" s="130">
        <v>2849</v>
      </c>
      <c r="E1049" s="130" t="s">
        <v>294</v>
      </c>
      <c r="F1049" s="130" t="s">
        <v>297</v>
      </c>
      <c r="G1049" s="130" t="s">
        <v>396</v>
      </c>
      <c r="H1049" s="130">
        <v>959370</v>
      </c>
      <c r="I1049" s="145">
        <v>19</v>
      </c>
      <c r="J1049" s="129" t="s">
        <v>192</v>
      </c>
      <c r="K1049" s="282">
        <v>19.88</v>
      </c>
      <c r="L1049" s="103"/>
      <c r="M1049" s="285">
        <f>K1049-(L1049+L1050)</f>
        <v>19.88</v>
      </c>
      <c r="N1049" s="288">
        <f>(L1049+L1050)/K1049</f>
        <v>0</v>
      </c>
    </row>
    <row r="1050" spans="1:14" ht="15" customHeight="1">
      <c r="A1050" s="130" t="s">
        <v>392</v>
      </c>
      <c r="B1050" s="130" t="s">
        <v>288</v>
      </c>
      <c r="C1050" s="91">
        <v>44490</v>
      </c>
      <c r="D1050" s="130">
        <v>2849</v>
      </c>
      <c r="E1050" s="130" t="s">
        <v>294</v>
      </c>
      <c r="F1050" s="130" t="s">
        <v>297</v>
      </c>
      <c r="G1050" s="130" t="s">
        <v>427</v>
      </c>
      <c r="H1050" s="130">
        <v>968833</v>
      </c>
      <c r="I1050" s="145">
        <v>19</v>
      </c>
      <c r="J1050" s="129" t="s">
        <v>192</v>
      </c>
      <c r="K1050" s="284"/>
      <c r="L1050" s="103"/>
      <c r="M1050" s="287"/>
      <c r="N1050" s="290"/>
    </row>
    <row r="1051" spans="1:14" ht="15" customHeight="1">
      <c r="A1051" s="130" t="s">
        <v>392</v>
      </c>
      <c r="B1051" s="130" t="s">
        <v>288</v>
      </c>
      <c r="C1051" s="91">
        <v>44490</v>
      </c>
      <c r="D1051" s="130">
        <v>2850</v>
      </c>
      <c r="E1051" s="130" t="s">
        <v>294</v>
      </c>
      <c r="F1051" s="130" t="s">
        <v>297</v>
      </c>
      <c r="G1051" s="130" t="s">
        <v>291</v>
      </c>
      <c r="H1051" s="130">
        <v>968160</v>
      </c>
      <c r="I1051" s="145">
        <v>14</v>
      </c>
      <c r="J1051" s="129" t="s">
        <v>193</v>
      </c>
      <c r="K1051" s="282">
        <v>271.77</v>
      </c>
      <c r="L1051" s="103"/>
      <c r="M1051" s="285">
        <f>K1051-(L1051+L1052)</f>
        <v>271.77</v>
      </c>
      <c r="N1051" s="288">
        <f>(L1051+L1052)/K1051</f>
        <v>0</v>
      </c>
    </row>
    <row r="1052" spans="1:14" ht="15" customHeight="1">
      <c r="A1052" s="130" t="s">
        <v>392</v>
      </c>
      <c r="B1052" s="130" t="s">
        <v>288</v>
      </c>
      <c r="C1052" s="91">
        <v>44490</v>
      </c>
      <c r="D1052" s="130">
        <v>2850</v>
      </c>
      <c r="E1052" s="130" t="s">
        <v>294</v>
      </c>
      <c r="F1052" s="130" t="s">
        <v>297</v>
      </c>
      <c r="G1052" s="130" t="s">
        <v>290</v>
      </c>
      <c r="H1052" s="130">
        <v>969106</v>
      </c>
      <c r="I1052" s="145">
        <v>14</v>
      </c>
      <c r="J1052" s="129" t="s">
        <v>193</v>
      </c>
      <c r="K1052" s="284"/>
      <c r="L1052" s="103"/>
      <c r="M1052" s="287"/>
      <c r="N1052" s="290"/>
    </row>
    <row r="1053" spans="1:14" ht="15" customHeight="1">
      <c r="A1053" s="130" t="s">
        <v>392</v>
      </c>
      <c r="B1053" s="130" t="s">
        <v>293</v>
      </c>
      <c r="C1053" s="91">
        <v>44490</v>
      </c>
      <c r="D1053" s="130">
        <v>2851</v>
      </c>
      <c r="E1053" s="130" t="s">
        <v>294</v>
      </c>
      <c r="F1053" s="130" t="s">
        <v>297</v>
      </c>
      <c r="G1053" s="130" t="s">
        <v>616</v>
      </c>
      <c r="H1053" s="130">
        <v>968675</v>
      </c>
      <c r="I1053" s="145">
        <v>12</v>
      </c>
      <c r="J1053" s="129" t="s">
        <v>192</v>
      </c>
      <c r="K1053" s="127">
        <v>6.63</v>
      </c>
      <c r="L1053" s="103"/>
      <c r="M1053" s="128">
        <f t="shared" ref="M1053" si="359">K1053-L1053</f>
        <v>6.63</v>
      </c>
      <c r="N1053" s="94">
        <f t="shared" ref="N1053" si="360">L1053/K1053</f>
        <v>0</v>
      </c>
    </row>
    <row r="1054" spans="1:14" ht="15" customHeight="1">
      <c r="A1054" s="130" t="s">
        <v>412</v>
      </c>
      <c r="B1054" s="130" t="s">
        <v>288</v>
      </c>
      <c r="C1054" s="91">
        <v>44490</v>
      </c>
      <c r="D1054" s="130">
        <v>2852</v>
      </c>
      <c r="E1054" s="130" t="s">
        <v>294</v>
      </c>
      <c r="F1054" s="130" t="s">
        <v>297</v>
      </c>
      <c r="G1054" s="130" t="s">
        <v>401</v>
      </c>
      <c r="H1054" s="130">
        <v>968817</v>
      </c>
      <c r="I1054" s="145">
        <v>55</v>
      </c>
      <c r="J1054" s="129" t="s">
        <v>193</v>
      </c>
      <c r="K1054" s="282">
        <v>340.96</v>
      </c>
      <c r="L1054" s="103"/>
      <c r="M1054" s="285">
        <f>K1054-(L1054+L1055+L1056+L1057)</f>
        <v>340.96</v>
      </c>
      <c r="N1054" s="288">
        <f>(L1054+L1055+L1056+L1057)/K1054</f>
        <v>0</v>
      </c>
    </row>
    <row r="1055" spans="1:14" ht="15" customHeight="1">
      <c r="A1055" s="130" t="s">
        <v>412</v>
      </c>
      <c r="B1055" s="130" t="s">
        <v>288</v>
      </c>
      <c r="C1055" s="91">
        <v>44490</v>
      </c>
      <c r="D1055" s="130">
        <v>2852</v>
      </c>
      <c r="E1055" s="130" t="s">
        <v>294</v>
      </c>
      <c r="F1055" s="130" t="s">
        <v>297</v>
      </c>
      <c r="G1055" s="130" t="s">
        <v>472</v>
      </c>
      <c r="H1055" s="130">
        <v>697864</v>
      </c>
      <c r="I1055" s="145">
        <v>55</v>
      </c>
      <c r="J1055" s="129" t="s">
        <v>193</v>
      </c>
      <c r="K1055" s="283"/>
      <c r="L1055" s="103"/>
      <c r="M1055" s="286"/>
      <c r="N1055" s="289"/>
    </row>
    <row r="1056" spans="1:14" ht="15" customHeight="1">
      <c r="A1056" s="130" t="s">
        <v>412</v>
      </c>
      <c r="B1056" s="130" t="s">
        <v>288</v>
      </c>
      <c r="C1056" s="91">
        <v>44490</v>
      </c>
      <c r="D1056" s="130">
        <v>2852</v>
      </c>
      <c r="E1056" s="130" t="s">
        <v>294</v>
      </c>
      <c r="F1056" s="130" t="s">
        <v>297</v>
      </c>
      <c r="G1056" s="130" t="s">
        <v>703</v>
      </c>
      <c r="H1056" s="130">
        <v>697885</v>
      </c>
      <c r="I1056" s="109">
        <v>55</v>
      </c>
      <c r="J1056" s="129" t="s">
        <v>193</v>
      </c>
      <c r="K1056" s="283"/>
      <c r="L1056" s="103"/>
      <c r="M1056" s="286"/>
      <c r="N1056" s="289"/>
    </row>
    <row r="1057" spans="1:14" ht="15" customHeight="1">
      <c r="A1057" s="130" t="s">
        <v>412</v>
      </c>
      <c r="B1057" s="130" t="s">
        <v>288</v>
      </c>
      <c r="C1057" s="91">
        <v>44490</v>
      </c>
      <c r="D1057" s="130">
        <v>2852</v>
      </c>
      <c r="E1057" s="130" t="s">
        <v>294</v>
      </c>
      <c r="F1057" s="130" t="s">
        <v>297</v>
      </c>
      <c r="G1057" s="130" t="s">
        <v>403</v>
      </c>
      <c r="H1057" s="130">
        <v>697728</v>
      </c>
      <c r="I1057" s="109">
        <v>55</v>
      </c>
      <c r="J1057" s="129" t="s">
        <v>193</v>
      </c>
      <c r="K1057" s="284"/>
      <c r="L1057" s="103"/>
      <c r="M1057" s="287"/>
      <c r="N1057" s="290"/>
    </row>
    <row r="1058" spans="1:14" ht="15" customHeight="1">
      <c r="A1058" s="130" t="s">
        <v>412</v>
      </c>
      <c r="B1058" s="130" t="s">
        <v>288</v>
      </c>
      <c r="C1058" s="91">
        <v>44490</v>
      </c>
      <c r="D1058" s="130">
        <v>2853</v>
      </c>
      <c r="E1058" s="130" t="s">
        <v>294</v>
      </c>
      <c r="F1058" s="130" t="s">
        <v>297</v>
      </c>
      <c r="G1058" s="130" t="s">
        <v>409</v>
      </c>
      <c r="H1058" s="130">
        <v>968797</v>
      </c>
      <c r="I1058" s="109">
        <v>12</v>
      </c>
      <c r="J1058" s="129" t="s">
        <v>193</v>
      </c>
      <c r="K1058" s="282">
        <v>972.2</v>
      </c>
      <c r="L1058" s="103"/>
      <c r="M1058" s="285">
        <f>K1058-(L1058+L1059+L1060+L1061)</f>
        <v>972.2</v>
      </c>
      <c r="N1058" s="288">
        <f>(L1058+L1059+L1060+L1061)/K1058</f>
        <v>0</v>
      </c>
    </row>
    <row r="1059" spans="1:14" ht="15" customHeight="1">
      <c r="A1059" s="130" t="s">
        <v>412</v>
      </c>
      <c r="B1059" s="130" t="s">
        <v>288</v>
      </c>
      <c r="C1059" s="91">
        <v>44490</v>
      </c>
      <c r="D1059" s="130">
        <v>2853</v>
      </c>
      <c r="E1059" s="130" t="s">
        <v>294</v>
      </c>
      <c r="F1059" s="130" t="s">
        <v>297</v>
      </c>
      <c r="G1059" s="130" t="s">
        <v>410</v>
      </c>
      <c r="H1059" s="130">
        <v>962289</v>
      </c>
      <c r="I1059" s="109">
        <v>12</v>
      </c>
      <c r="J1059" s="129" t="s">
        <v>193</v>
      </c>
      <c r="K1059" s="283"/>
      <c r="L1059" s="103"/>
      <c r="M1059" s="286"/>
      <c r="N1059" s="289"/>
    </row>
    <row r="1060" spans="1:14" ht="15" customHeight="1">
      <c r="A1060" s="130" t="s">
        <v>412</v>
      </c>
      <c r="B1060" s="130" t="s">
        <v>288</v>
      </c>
      <c r="C1060" s="91">
        <v>44490</v>
      </c>
      <c r="D1060" s="130">
        <v>2853</v>
      </c>
      <c r="E1060" s="130" t="s">
        <v>294</v>
      </c>
      <c r="F1060" s="130" t="s">
        <v>297</v>
      </c>
      <c r="G1060" s="216" t="s">
        <v>411</v>
      </c>
      <c r="H1060" s="130">
        <v>698086</v>
      </c>
      <c r="I1060" s="109">
        <v>12</v>
      </c>
      <c r="J1060" s="129" t="s">
        <v>193</v>
      </c>
      <c r="K1060" s="283"/>
      <c r="L1060" s="103"/>
      <c r="M1060" s="286"/>
      <c r="N1060" s="289"/>
    </row>
    <row r="1061" spans="1:14" ht="15" customHeight="1">
      <c r="A1061" s="130" t="s">
        <v>412</v>
      </c>
      <c r="B1061" s="130" t="s">
        <v>288</v>
      </c>
      <c r="C1061" s="91">
        <v>44490</v>
      </c>
      <c r="D1061" s="130">
        <v>2853</v>
      </c>
      <c r="E1061" s="130" t="s">
        <v>294</v>
      </c>
      <c r="F1061" s="130" t="s">
        <v>297</v>
      </c>
      <c r="G1061" s="130" t="s">
        <v>380</v>
      </c>
      <c r="H1061" s="130">
        <v>965073</v>
      </c>
      <c r="I1061" s="109">
        <v>12</v>
      </c>
      <c r="J1061" s="129" t="s">
        <v>193</v>
      </c>
      <c r="K1061" s="284"/>
      <c r="L1061" s="103"/>
      <c r="M1061" s="287"/>
      <c r="N1061" s="290"/>
    </row>
    <row r="1062" spans="1:14" ht="15" customHeight="1">
      <c r="A1062" s="130" t="s">
        <v>408</v>
      </c>
      <c r="B1062" s="130" t="s">
        <v>293</v>
      </c>
      <c r="C1062" s="91">
        <v>44490</v>
      </c>
      <c r="D1062" s="130">
        <v>2854</v>
      </c>
      <c r="E1062" s="130" t="s">
        <v>294</v>
      </c>
      <c r="F1062" s="130" t="s">
        <v>297</v>
      </c>
      <c r="G1062" s="130" t="s">
        <v>395</v>
      </c>
      <c r="H1062" s="130">
        <v>966146</v>
      </c>
      <c r="I1062" s="145">
        <v>19</v>
      </c>
      <c r="J1062" s="129" t="s">
        <v>193</v>
      </c>
      <c r="K1062" s="127">
        <v>59.62</v>
      </c>
      <c r="L1062" s="103"/>
      <c r="M1062" s="128">
        <f t="shared" ref="M1062:M1063" si="361">K1062-L1062</f>
        <v>59.62</v>
      </c>
      <c r="N1062" s="94">
        <f t="shared" ref="N1062:N1063" si="362">L1062/K1062</f>
        <v>0</v>
      </c>
    </row>
    <row r="1063" spans="1:14" ht="15" customHeight="1">
      <c r="A1063" s="130" t="s">
        <v>392</v>
      </c>
      <c r="B1063" s="130" t="s">
        <v>293</v>
      </c>
      <c r="C1063" s="155">
        <v>44491</v>
      </c>
      <c r="D1063" s="130">
        <v>2856</v>
      </c>
      <c r="E1063" s="130" t="s">
        <v>294</v>
      </c>
      <c r="F1063" s="130" t="s">
        <v>297</v>
      </c>
      <c r="G1063" s="130" t="s">
        <v>501</v>
      </c>
      <c r="H1063" s="130">
        <v>926065</v>
      </c>
      <c r="I1063" s="109">
        <v>19</v>
      </c>
      <c r="J1063" s="129" t="s">
        <v>193</v>
      </c>
      <c r="K1063" s="127">
        <v>184.33</v>
      </c>
      <c r="L1063" s="103">
        <v>16.271999999999998</v>
      </c>
      <c r="M1063" s="128">
        <f t="shared" si="361"/>
        <v>168.05800000000002</v>
      </c>
      <c r="N1063" s="94">
        <f t="shared" si="362"/>
        <v>8.8276460695491762E-2</v>
      </c>
    </row>
    <row r="1064" spans="1:14" ht="15" customHeight="1">
      <c r="A1064" s="130" t="s">
        <v>392</v>
      </c>
      <c r="B1064" s="130" t="s">
        <v>288</v>
      </c>
      <c r="C1064" s="155">
        <v>44491</v>
      </c>
      <c r="D1064" s="130">
        <v>2857</v>
      </c>
      <c r="E1064" s="130" t="s">
        <v>294</v>
      </c>
      <c r="F1064" s="130" t="s">
        <v>297</v>
      </c>
      <c r="G1064" s="130" t="s">
        <v>396</v>
      </c>
      <c r="H1064" s="130">
        <v>959370</v>
      </c>
      <c r="I1064" s="145">
        <v>19</v>
      </c>
      <c r="J1064" s="129" t="s">
        <v>193</v>
      </c>
      <c r="K1064" s="282">
        <v>96.78</v>
      </c>
      <c r="L1064" s="103"/>
      <c r="M1064" s="285">
        <f>K1064-(L1064+L1065)</f>
        <v>96.78</v>
      </c>
      <c r="N1064" s="288">
        <f>(L1064+L1065)/K1064</f>
        <v>0</v>
      </c>
    </row>
    <row r="1065" spans="1:14" ht="15" customHeight="1">
      <c r="A1065" s="130" t="s">
        <v>392</v>
      </c>
      <c r="B1065" s="130" t="s">
        <v>288</v>
      </c>
      <c r="C1065" s="155">
        <v>44491</v>
      </c>
      <c r="D1065" s="130">
        <v>2857</v>
      </c>
      <c r="E1065" s="130" t="s">
        <v>294</v>
      </c>
      <c r="F1065" s="130" t="s">
        <v>297</v>
      </c>
      <c r="G1065" s="130" t="s">
        <v>427</v>
      </c>
      <c r="H1065" s="130">
        <v>968833</v>
      </c>
      <c r="I1065" s="145">
        <v>19</v>
      </c>
      <c r="J1065" s="129" t="s">
        <v>193</v>
      </c>
      <c r="K1065" s="284"/>
      <c r="L1065" s="103"/>
      <c r="M1065" s="287"/>
      <c r="N1065" s="290"/>
    </row>
    <row r="1066" spans="1:14" ht="15" customHeight="1">
      <c r="A1066" s="130" t="s">
        <v>392</v>
      </c>
      <c r="B1066" s="130" t="s">
        <v>293</v>
      </c>
      <c r="C1066" s="155">
        <v>44491</v>
      </c>
      <c r="D1066" s="130">
        <v>2858</v>
      </c>
      <c r="E1066" s="130" t="s">
        <v>294</v>
      </c>
      <c r="F1066" s="130" t="s">
        <v>297</v>
      </c>
      <c r="G1066" s="130" t="s">
        <v>616</v>
      </c>
      <c r="H1066" s="130">
        <v>968675</v>
      </c>
      <c r="I1066" s="145">
        <v>12</v>
      </c>
      <c r="J1066" s="129" t="s">
        <v>193</v>
      </c>
      <c r="K1066" s="127">
        <v>94.43</v>
      </c>
      <c r="L1066" s="103"/>
      <c r="M1066" s="128">
        <f t="shared" ref="M1066" si="363">K1066-L1066</f>
        <v>94.43</v>
      </c>
      <c r="N1066" s="94">
        <f t="shared" ref="N1066" si="364">L1066/K1066</f>
        <v>0</v>
      </c>
    </row>
    <row r="1067" spans="1:14" ht="15" customHeight="1">
      <c r="A1067" s="130" t="s">
        <v>296</v>
      </c>
      <c r="B1067" s="130" t="s">
        <v>288</v>
      </c>
      <c r="C1067" s="155">
        <v>44491</v>
      </c>
      <c r="D1067" s="130">
        <v>2859</v>
      </c>
      <c r="E1067" s="130" t="s">
        <v>294</v>
      </c>
      <c r="F1067" s="130" t="s">
        <v>297</v>
      </c>
      <c r="G1067" s="130" t="s">
        <v>530</v>
      </c>
      <c r="H1067" s="130">
        <v>965098</v>
      </c>
      <c r="I1067" s="109">
        <v>55</v>
      </c>
      <c r="J1067" s="129" t="s">
        <v>192</v>
      </c>
      <c r="K1067" s="282">
        <v>35</v>
      </c>
      <c r="L1067" s="103">
        <v>19.722000000000001</v>
      </c>
      <c r="M1067" s="285">
        <f>K1067-(L1067+L1068)</f>
        <v>12.980999999999998</v>
      </c>
      <c r="N1067" s="288">
        <f>(L1067+L1068)/K1067</f>
        <v>0.62911428571428574</v>
      </c>
    </row>
    <row r="1068" spans="1:14" ht="15" customHeight="1">
      <c r="A1068" s="130" t="s">
        <v>296</v>
      </c>
      <c r="B1068" s="130" t="s">
        <v>288</v>
      </c>
      <c r="C1068" s="155">
        <v>44491</v>
      </c>
      <c r="D1068" s="130">
        <v>2859</v>
      </c>
      <c r="E1068" s="130" t="s">
        <v>294</v>
      </c>
      <c r="F1068" s="130" t="s">
        <v>297</v>
      </c>
      <c r="G1068" s="130" t="s">
        <v>531</v>
      </c>
      <c r="H1068" s="130">
        <v>968712</v>
      </c>
      <c r="I1068" s="109">
        <v>55</v>
      </c>
      <c r="J1068" s="129" t="s">
        <v>192</v>
      </c>
      <c r="K1068" s="284"/>
      <c r="L1068" s="103">
        <v>2.2970000000000002</v>
      </c>
      <c r="M1068" s="287"/>
      <c r="N1068" s="290"/>
    </row>
    <row r="1069" spans="1:14" ht="15" customHeight="1">
      <c r="A1069" s="130" t="s">
        <v>296</v>
      </c>
      <c r="B1069" s="130" t="s">
        <v>288</v>
      </c>
      <c r="C1069" s="155">
        <v>44491</v>
      </c>
      <c r="D1069" s="130">
        <v>2859</v>
      </c>
      <c r="E1069" s="130" t="s">
        <v>294</v>
      </c>
      <c r="F1069" s="130" t="s">
        <v>297</v>
      </c>
      <c r="G1069" s="130" t="s">
        <v>530</v>
      </c>
      <c r="H1069" s="130">
        <v>965098</v>
      </c>
      <c r="I1069" s="109">
        <v>55</v>
      </c>
      <c r="J1069" s="129" t="s">
        <v>193</v>
      </c>
      <c r="K1069" s="282">
        <v>200</v>
      </c>
      <c r="L1069" s="103">
        <v>9.6780000000000008</v>
      </c>
      <c r="M1069" s="285">
        <f>K1069-(L1069+L1070)</f>
        <v>146.309</v>
      </c>
      <c r="N1069" s="288">
        <f>(L1069+L1070)/K1069</f>
        <v>0.268455</v>
      </c>
    </row>
    <row r="1070" spans="1:14" ht="15" customHeight="1">
      <c r="A1070" s="130" t="s">
        <v>296</v>
      </c>
      <c r="B1070" s="130" t="s">
        <v>288</v>
      </c>
      <c r="C1070" s="155">
        <v>44491</v>
      </c>
      <c r="D1070" s="130">
        <v>2859</v>
      </c>
      <c r="E1070" s="130" t="s">
        <v>294</v>
      </c>
      <c r="F1070" s="130" t="s">
        <v>297</v>
      </c>
      <c r="G1070" s="130" t="s">
        <v>531</v>
      </c>
      <c r="H1070" s="130">
        <v>968712</v>
      </c>
      <c r="I1070" s="109">
        <v>55</v>
      </c>
      <c r="J1070" s="129" t="s">
        <v>193</v>
      </c>
      <c r="K1070" s="284"/>
      <c r="L1070" s="103">
        <v>44.012999999999998</v>
      </c>
      <c r="M1070" s="287"/>
      <c r="N1070" s="290"/>
    </row>
    <row r="1071" spans="1:14" ht="15" customHeight="1">
      <c r="A1071" s="130" t="s">
        <v>296</v>
      </c>
      <c r="B1071" s="130" t="s">
        <v>288</v>
      </c>
      <c r="C1071" s="155">
        <v>44491</v>
      </c>
      <c r="D1071" s="130">
        <v>2859</v>
      </c>
      <c r="E1071" s="130" t="s">
        <v>294</v>
      </c>
      <c r="F1071" s="130" t="s">
        <v>297</v>
      </c>
      <c r="G1071" s="130" t="s">
        <v>512</v>
      </c>
      <c r="H1071" s="130">
        <v>953756</v>
      </c>
      <c r="I1071" s="109">
        <v>58</v>
      </c>
      <c r="J1071" s="129" t="s">
        <v>192</v>
      </c>
      <c r="K1071" s="282">
        <v>15</v>
      </c>
      <c r="L1071" s="103"/>
      <c r="M1071" s="285">
        <f>K1071-(L1071+L1072)</f>
        <v>15</v>
      </c>
      <c r="N1071" s="288">
        <f>(L1071+L1072)/K1071</f>
        <v>0</v>
      </c>
    </row>
    <row r="1072" spans="1:14" ht="15" customHeight="1">
      <c r="A1072" s="130" t="s">
        <v>296</v>
      </c>
      <c r="B1072" s="130" t="s">
        <v>288</v>
      </c>
      <c r="C1072" s="155">
        <v>44491</v>
      </c>
      <c r="D1072" s="130">
        <v>2859</v>
      </c>
      <c r="E1072" s="130" t="s">
        <v>294</v>
      </c>
      <c r="F1072" s="130" t="s">
        <v>297</v>
      </c>
      <c r="G1072" s="130" t="s">
        <v>513</v>
      </c>
      <c r="H1072" s="130">
        <v>697300</v>
      </c>
      <c r="I1072" s="109">
        <v>58</v>
      </c>
      <c r="J1072" s="129" t="s">
        <v>192</v>
      </c>
      <c r="K1072" s="284"/>
      <c r="L1072" s="103"/>
      <c r="M1072" s="287"/>
      <c r="N1072" s="290"/>
    </row>
    <row r="1073" spans="1:15" ht="15" customHeight="1">
      <c r="A1073" s="130" t="s">
        <v>296</v>
      </c>
      <c r="B1073" s="130" t="s">
        <v>288</v>
      </c>
      <c r="C1073" s="155">
        <v>44491</v>
      </c>
      <c r="D1073" s="130">
        <v>2859</v>
      </c>
      <c r="E1073" s="130" t="s">
        <v>294</v>
      </c>
      <c r="F1073" s="130" t="s">
        <v>297</v>
      </c>
      <c r="G1073" s="130" t="s">
        <v>512</v>
      </c>
      <c r="H1073" s="130">
        <v>953756</v>
      </c>
      <c r="I1073" s="109">
        <v>58</v>
      </c>
      <c r="J1073" s="129" t="s">
        <v>193</v>
      </c>
      <c r="K1073" s="282">
        <v>120</v>
      </c>
      <c r="L1073" s="103"/>
      <c r="M1073" s="285">
        <f>K1073-(L1073+L1074)</f>
        <v>120</v>
      </c>
      <c r="N1073" s="288">
        <f>(L1073+L1074)/K1073</f>
        <v>0</v>
      </c>
    </row>
    <row r="1074" spans="1:15" ht="15" customHeight="1">
      <c r="A1074" s="130" t="s">
        <v>296</v>
      </c>
      <c r="B1074" s="130" t="s">
        <v>288</v>
      </c>
      <c r="C1074" s="155">
        <v>44491</v>
      </c>
      <c r="D1074" s="130">
        <v>2859</v>
      </c>
      <c r="E1074" s="130" t="s">
        <v>294</v>
      </c>
      <c r="F1074" s="130" t="s">
        <v>297</v>
      </c>
      <c r="G1074" s="130" t="s">
        <v>513</v>
      </c>
      <c r="H1074" s="130">
        <v>697300</v>
      </c>
      <c r="I1074" s="109">
        <v>58</v>
      </c>
      <c r="J1074" s="129" t="s">
        <v>193</v>
      </c>
      <c r="K1074" s="284"/>
      <c r="L1074" s="103"/>
      <c r="M1074" s="287"/>
      <c r="N1074" s="290"/>
    </row>
    <row r="1075" spans="1:15" ht="15" customHeight="1">
      <c r="A1075" s="130" t="s">
        <v>408</v>
      </c>
      <c r="B1075" s="130" t="s">
        <v>293</v>
      </c>
      <c r="C1075" s="155">
        <v>44491</v>
      </c>
      <c r="D1075" s="130">
        <v>2860</v>
      </c>
      <c r="E1075" s="130" t="s">
        <v>294</v>
      </c>
      <c r="F1075" s="130" t="s">
        <v>297</v>
      </c>
      <c r="G1075" s="130" t="s">
        <v>393</v>
      </c>
      <c r="H1075" s="130">
        <v>950991</v>
      </c>
      <c r="I1075" s="145">
        <v>19</v>
      </c>
      <c r="J1075" s="129" t="s">
        <v>193</v>
      </c>
      <c r="K1075" s="127">
        <v>43.79</v>
      </c>
      <c r="L1075" s="103"/>
      <c r="M1075" s="128">
        <f t="shared" ref="M1075" si="365">K1075-L1075</f>
        <v>43.79</v>
      </c>
      <c r="N1075" s="94">
        <f t="shared" ref="N1075" si="366">L1075/K1075</f>
        <v>0</v>
      </c>
    </row>
    <row r="1076" spans="1:15" ht="15" customHeight="1">
      <c r="A1076" s="130" t="s">
        <v>408</v>
      </c>
      <c r="B1076" s="130" t="s">
        <v>293</v>
      </c>
      <c r="C1076" s="155">
        <v>44491</v>
      </c>
      <c r="D1076" s="130">
        <v>2861</v>
      </c>
      <c r="E1076" s="130" t="s">
        <v>294</v>
      </c>
      <c r="F1076" s="130" t="s">
        <v>297</v>
      </c>
      <c r="G1076" s="130" t="s">
        <v>479</v>
      </c>
      <c r="H1076" s="130">
        <v>951136</v>
      </c>
      <c r="I1076" s="145">
        <v>55</v>
      </c>
      <c r="J1076" s="129" t="s">
        <v>193</v>
      </c>
      <c r="K1076" s="127">
        <v>50.436</v>
      </c>
      <c r="L1076" s="103"/>
      <c r="M1076" s="128">
        <f t="shared" ref="M1076" si="367">K1076-L1076</f>
        <v>50.436</v>
      </c>
      <c r="N1076" s="94">
        <f t="shared" ref="N1076" si="368">L1076/K1076</f>
        <v>0</v>
      </c>
    </row>
    <row r="1077" spans="1:15" ht="15" customHeight="1">
      <c r="A1077" s="130" t="s">
        <v>717</v>
      </c>
      <c r="B1077" s="130" t="s">
        <v>288</v>
      </c>
      <c r="C1077" s="155">
        <v>44494</v>
      </c>
      <c r="D1077" s="130">
        <v>137</v>
      </c>
      <c r="E1077" s="130" t="s">
        <v>289</v>
      </c>
      <c r="F1077" s="130" t="s">
        <v>287</v>
      </c>
      <c r="G1077" s="130" t="s">
        <v>406</v>
      </c>
      <c r="H1077" s="130">
        <v>923199</v>
      </c>
      <c r="I1077" s="145">
        <v>44</v>
      </c>
      <c r="J1077" s="129" t="s">
        <v>192</v>
      </c>
      <c r="K1077" s="282">
        <v>2.5</v>
      </c>
      <c r="L1077" s="103">
        <v>50.35</v>
      </c>
      <c r="M1077" s="285">
        <f>K1077-(L1077+L1078)</f>
        <v>-47.85</v>
      </c>
      <c r="N1077" s="288">
        <f>(L1077+L1078)/K1077</f>
        <v>20.14</v>
      </c>
      <c r="O1077" s="116">
        <f>M1077+M1079</f>
        <v>674</v>
      </c>
    </row>
    <row r="1078" spans="1:15" ht="15" customHeight="1">
      <c r="A1078" s="130" t="s">
        <v>717</v>
      </c>
      <c r="B1078" s="130" t="s">
        <v>288</v>
      </c>
      <c r="C1078" s="155">
        <v>44494</v>
      </c>
      <c r="D1078" s="130">
        <v>137</v>
      </c>
      <c r="E1078" s="130" t="s">
        <v>289</v>
      </c>
      <c r="F1078" s="130" t="s">
        <v>287</v>
      </c>
      <c r="G1078" s="130" t="s">
        <v>417</v>
      </c>
      <c r="H1078" s="130">
        <v>964068</v>
      </c>
      <c r="I1078" s="145">
        <v>44</v>
      </c>
      <c r="J1078" s="129" t="s">
        <v>192</v>
      </c>
      <c r="K1078" s="284"/>
      <c r="L1078" s="103"/>
      <c r="M1078" s="287"/>
      <c r="N1078" s="290"/>
    </row>
    <row r="1079" spans="1:15" ht="15" customHeight="1">
      <c r="A1079" s="130" t="s">
        <v>717</v>
      </c>
      <c r="B1079" s="130" t="s">
        <v>288</v>
      </c>
      <c r="C1079" s="155">
        <v>44494</v>
      </c>
      <c r="D1079" s="130">
        <v>137</v>
      </c>
      <c r="E1079" s="130" t="s">
        <v>289</v>
      </c>
      <c r="F1079" s="130" t="s">
        <v>287</v>
      </c>
      <c r="G1079" s="130" t="s">
        <v>406</v>
      </c>
      <c r="H1079" s="130">
        <v>923199</v>
      </c>
      <c r="I1079" s="145">
        <v>44</v>
      </c>
      <c r="J1079" s="129" t="s">
        <v>193</v>
      </c>
      <c r="K1079" s="282">
        <v>747.5</v>
      </c>
      <c r="L1079" s="103">
        <v>25.65</v>
      </c>
      <c r="M1079" s="285">
        <f>K1079-(L1079+L1080)</f>
        <v>721.85</v>
      </c>
      <c r="N1079" s="288">
        <f>(L1079+L1080)/K1079</f>
        <v>3.4314381270903006E-2</v>
      </c>
    </row>
    <row r="1080" spans="1:15" ht="15" customHeight="1">
      <c r="A1080" s="130" t="s">
        <v>717</v>
      </c>
      <c r="B1080" s="130" t="s">
        <v>288</v>
      </c>
      <c r="C1080" s="155">
        <v>44494</v>
      </c>
      <c r="D1080" s="130">
        <v>137</v>
      </c>
      <c r="E1080" s="130" t="s">
        <v>289</v>
      </c>
      <c r="F1080" s="130" t="s">
        <v>287</v>
      </c>
      <c r="G1080" s="130" t="s">
        <v>417</v>
      </c>
      <c r="H1080" s="130">
        <v>964068</v>
      </c>
      <c r="I1080" s="145">
        <v>44</v>
      </c>
      <c r="J1080" s="129" t="s">
        <v>193</v>
      </c>
      <c r="K1080" s="284"/>
      <c r="L1080" s="103"/>
      <c r="M1080" s="287"/>
      <c r="N1080" s="290"/>
    </row>
    <row r="1081" spans="1:15" ht="15" customHeight="1">
      <c r="A1081" s="174" t="s">
        <v>718</v>
      </c>
      <c r="B1081" s="174" t="s">
        <v>293</v>
      </c>
      <c r="C1081" s="155">
        <v>44497</v>
      </c>
      <c r="D1081" s="130">
        <v>140</v>
      </c>
      <c r="E1081" s="174" t="s">
        <v>289</v>
      </c>
      <c r="F1081" s="174" t="s">
        <v>287</v>
      </c>
      <c r="G1081" s="174" t="s">
        <v>623</v>
      </c>
      <c r="H1081" s="130">
        <v>969166</v>
      </c>
      <c r="I1081" s="145">
        <v>67</v>
      </c>
      <c r="J1081" s="129" t="s">
        <v>192</v>
      </c>
      <c r="K1081" s="127">
        <v>29</v>
      </c>
      <c r="L1081" s="103">
        <v>29</v>
      </c>
      <c r="M1081" s="128">
        <f t="shared" ref="M1081" si="369">K1081-L1081</f>
        <v>0</v>
      </c>
      <c r="N1081" s="173">
        <f t="shared" ref="N1081" si="370">L1081/K1081</f>
        <v>1</v>
      </c>
    </row>
    <row r="1082" spans="1:15" ht="15" customHeight="1">
      <c r="A1082" s="177" t="s">
        <v>465</v>
      </c>
      <c r="B1082" s="177" t="s">
        <v>288</v>
      </c>
      <c r="C1082" s="155">
        <v>44497</v>
      </c>
      <c r="D1082" s="130">
        <v>2879</v>
      </c>
      <c r="E1082" s="177" t="s">
        <v>294</v>
      </c>
      <c r="F1082" s="177" t="s">
        <v>297</v>
      </c>
      <c r="G1082" s="177" t="s">
        <v>466</v>
      </c>
      <c r="H1082" s="130">
        <v>960538</v>
      </c>
      <c r="I1082" s="145">
        <v>74</v>
      </c>
      <c r="J1082" s="129" t="s">
        <v>193</v>
      </c>
      <c r="K1082" s="282">
        <v>630.19799999999998</v>
      </c>
      <c r="L1082" s="103"/>
      <c r="M1082" s="285">
        <f>K1082-(L1082+L1083+L1084)</f>
        <v>630.19799999999998</v>
      </c>
      <c r="N1082" s="288">
        <f>(L1082+L1083+L1084)/K1082</f>
        <v>0</v>
      </c>
    </row>
    <row r="1083" spans="1:15" ht="15" customHeight="1">
      <c r="A1083" s="177" t="s">
        <v>465</v>
      </c>
      <c r="B1083" s="177" t="s">
        <v>288</v>
      </c>
      <c r="C1083" s="155">
        <v>44497</v>
      </c>
      <c r="D1083" s="177">
        <v>2879</v>
      </c>
      <c r="E1083" s="177" t="s">
        <v>294</v>
      </c>
      <c r="F1083" s="177" t="s">
        <v>297</v>
      </c>
      <c r="G1083" s="177" t="s">
        <v>467</v>
      </c>
      <c r="H1083" s="130">
        <v>960539</v>
      </c>
      <c r="I1083" s="145">
        <v>74</v>
      </c>
      <c r="J1083" s="129" t="s">
        <v>193</v>
      </c>
      <c r="K1083" s="283"/>
      <c r="L1083" s="103"/>
      <c r="M1083" s="286"/>
      <c r="N1083" s="289"/>
    </row>
    <row r="1084" spans="1:15" ht="15" customHeight="1">
      <c r="A1084" s="177" t="s">
        <v>465</v>
      </c>
      <c r="B1084" s="177" t="s">
        <v>288</v>
      </c>
      <c r="C1084" s="155">
        <v>44497</v>
      </c>
      <c r="D1084" s="177">
        <v>2879</v>
      </c>
      <c r="E1084" s="177" t="s">
        <v>294</v>
      </c>
      <c r="F1084" s="177" t="s">
        <v>297</v>
      </c>
      <c r="G1084" s="177" t="s">
        <v>468</v>
      </c>
      <c r="H1084" s="130">
        <v>967898</v>
      </c>
      <c r="I1084" s="145">
        <v>74</v>
      </c>
      <c r="J1084" s="129" t="s">
        <v>193</v>
      </c>
      <c r="K1084" s="284"/>
      <c r="L1084" s="103"/>
      <c r="M1084" s="287"/>
      <c r="N1084" s="290"/>
    </row>
    <row r="1085" spans="1:15" ht="15" customHeight="1">
      <c r="A1085" s="177" t="s">
        <v>392</v>
      </c>
      <c r="B1085" s="177" t="s">
        <v>288</v>
      </c>
      <c r="C1085" s="155">
        <v>44497</v>
      </c>
      <c r="D1085" s="130">
        <v>2881</v>
      </c>
      <c r="E1085" s="177" t="s">
        <v>294</v>
      </c>
      <c r="F1085" s="177" t="s">
        <v>297</v>
      </c>
      <c r="G1085" s="177" t="s">
        <v>291</v>
      </c>
      <c r="H1085" s="130">
        <v>968160</v>
      </c>
      <c r="I1085" s="145">
        <v>14</v>
      </c>
      <c r="J1085" s="129" t="s">
        <v>192</v>
      </c>
      <c r="K1085" s="282">
        <v>26.5</v>
      </c>
      <c r="L1085" s="103"/>
      <c r="M1085" s="285">
        <f>K1085-(L1085+L1086)</f>
        <v>26.5</v>
      </c>
      <c r="N1085" s="288">
        <f>(L1085+L1086)/K1085</f>
        <v>0</v>
      </c>
    </row>
    <row r="1086" spans="1:15" ht="15" customHeight="1">
      <c r="A1086" s="177" t="s">
        <v>392</v>
      </c>
      <c r="B1086" s="177" t="s">
        <v>288</v>
      </c>
      <c r="C1086" s="155">
        <v>44497</v>
      </c>
      <c r="D1086" s="177">
        <v>2881</v>
      </c>
      <c r="E1086" s="177" t="s">
        <v>294</v>
      </c>
      <c r="F1086" s="177" t="s">
        <v>297</v>
      </c>
      <c r="G1086" s="177" t="s">
        <v>290</v>
      </c>
      <c r="H1086" s="130">
        <v>969106</v>
      </c>
      <c r="I1086" s="145">
        <v>14</v>
      </c>
      <c r="J1086" s="129" t="s">
        <v>192</v>
      </c>
      <c r="K1086" s="284"/>
      <c r="L1086" s="103"/>
      <c r="M1086" s="287"/>
      <c r="N1086" s="290"/>
    </row>
    <row r="1087" spans="1:15" ht="15" customHeight="1">
      <c r="A1087" s="177" t="s">
        <v>296</v>
      </c>
      <c r="B1087" s="177" t="s">
        <v>288</v>
      </c>
      <c r="C1087" s="155">
        <v>44497</v>
      </c>
      <c r="D1087" s="130">
        <v>2882</v>
      </c>
      <c r="E1087" s="177" t="s">
        <v>294</v>
      </c>
      <c r="F1087" s="177" t="s">
        <v>297</v>
      </c>
      <c r="G1087" s="177" t="s">
        <v>606</v>
      </c>
      <c r="H1087" s="130">
        <v>959209</v>
      </c>
      <c r="I1087" s="145">
        <v>47</v>
      </c>
      <c r="J1087" s="129" t="s">
        <v>192</v>
      </c>
      <c r="K1087" s="282">
        <v>60</v>
      </c>
      <c r="L1087" s="103"/>
      <c r="M1087" s="285">
        <f>K1087-(L1087+L1088+L1089+L1090)</f>
        <v>-90.353000000000009</v>
      </c>
      <c r="N1087" s="288">
        <f>(L1087+L1088+L1089+L1090)/K1087</f>
        <v>2.5058833333333337</v>
      </c>
      <c r="O1087" s="116">
        <f>M1087+M1091</f>
        <v>315.58599999999996</v>
      </c>
    </row>
    <row r="1088" spans="1:15" ht="15" customHeight="1">
      <c r="A1088" s="177" t="s">
        <v>296</v>
      </c>
      <c r="B1088" s="177" t="s">
        <v>288</v>
      </c>
      <c r="C1088" s="155">
        <v>44497</v>
      </c>
      <c r="D1088" s="177">
        <v>2882</v>
      </c>
      <c r="E1088" s="177" t="s">
        <v>294</v>
      </c>
      <c r="F1088" s="177" t="s">
        <v>297</v>
      </c>
      <c r="G1088" s="177" t="s">
        <v>601</v>
      </c>
      <c r="H1088" s="130">
        <v>968857</v>
      </c>
      <c r="I1088" s="145">
        <v>47</v>
      </c>
      <c r="J1088" s="129" t="s">
        <v>192</v>
      </c>
      <c r="K1088" s="283"/>
      <c r="L1088" s="103">
        <v>61.271999999999998</v>
      </c>
      <c r="M1088" s="286"/>
      <c r="N1088" s="289"/>
    </row>
    <row r="1089" spans="1:14" ht="15" customHeight="1">
      <c r="A1089" s="177" t="s">
        <v>296</v>
      </c>
      <c r="B1089" s="177" t="s">
        <v>288</v>
      </c>
      <c r="C1089" s="155">
        <v>44497</v>
      </c>
      <c r="D1089" s="177">
        <v>2882</v>
      </c>
      <c r="E1089" s="177" t="s">
        <v>294</v>
      </c>
      <c r="F1089" s="177" t="s">
        <v>297</v>
      </c>
      <c r="G1089" s="177" t="s">
        <v>633</v>
      </c>
      <c r="H1089" s="130">
        <v>697454</v>
      </c>
      <c r="I1089" s="145">
        <v>47</v>
      </c>
      <c r="J1089" s="129" t="s">
        <v>192</v>
      </c>
      <c r="K1089" s="283"/>
      <c r="L1089" s="103">
        <v>76.376000000000005</v>
      </c>
      <c r="M1089" s="286"/>
      <c r="N1089" s="289"/>
    </row>
    <row r="1090" spans="1:14" ht="15" customHeight="1">
      <c r="A1090" s="177" t="s">
        <v>296</v>
      </c>
      <c r="B1090" s="177" t="s">
        <v>288</v>
      </c>
      <c r="C1090" s="155">
        <v>44497</v>
      </c>
      <c r="D1090" s="177">
        <v>2882</v>
      </c>
      <c r="E1090" s="177" t="s">
        <v>294</v>
      </c>
      <c r="F1090" s="177" t="s">
        <v>297</v>
      </c>
      <c r="G1090" s="177" t="s">
        <v>634</v>
      </c>
      <c r="H1090" s="130">
        <v>957536</v>
      </c>
      <c r="I1090" s="145">
        <v>47</v>
      </c>
      <c r="J1090" s="129" t="s">
        <v>192</v>
      </c>
      <c r="K1090" s="284"/>
      <c r="L1090" s="103">
        <v>12.705</v>
      </c>
      <c r="M1090" s="287"/>
      <c r="N1090" s="290"/>
    </row>
    <row r="1091" spans="1:14" ht="15" customHeight="1">
      <c r="A1091" s="177" t="s">
        <v>296</v>
      </c>
      <c r="B1091" s="177" t="s">
        <v>288</v>
      </c>
      <c r="C1091" s="155">
        <v>44497</v>
      </c>
      <c r="D1091" s="177">
        <v>2882</v>
      </c>
      <c r="E1091" s="177" t="s">
        <v>294</v>
      </c>
      <c r="F1091" s="177" t="s">
        <v>297</v>
      </c>
      <c r="G1091" s="177" t="s">
        <v>606</v>
      </c>
      <c r="H1091" s="177">
        <v>959209</v>
      </c>
      <c r="I1091" s="145">
        <v>47</v>
      </c>
      <c r="J1091" s="129" t="s">
        <v>193</v>
      </c>
      <c r="K1091" s="282">
        <v>480</v>
      </c>
      <c r="L1091" s="103"/>
      <c r="M1091" s="285">
        <f>K1091-(L1091+L1092+L1093+L1094)</f>
        <v>405.93899999999996</v>
      </c>
      <c r="N1091" s="288">
        <f>(L1091+L1092+L1093+L1094)/K1091</f>
        <v>0.15429375000000001</v>
      </c>
    </row>
    <row r="1092" spans="1:14" ht="15" customHeight="1">
      <c r="A1092" s="177" t="s">
        <v>296</v>
      </c>
      <c r="B1092" s="177" t="s">
        <v>288</v>
      </c>
      <c r="C1092" s="155">
        <v>44497</v>
      </c>
      <c r="D1092" s="177">
        <v>2882</v>
      </c>
      <c r="E1092" s="177" t="s">
        <v>294</v>
      </c>
      <c r="F1092" s="177" t="s">
        <v>297</v>
      </c>
      <c r="G1092" s="177" t="s">
        <v>601</v>
      </c>
      <c r="H1092" s="177">
        <v>968857</v>
      </c>
      <c r="I1092" s="145">
        <v>47</v>
      </c>
      <c r="J1092" s="129" t="s">
        <v>193</v>
      </c>
      <c r="K1092" s="283"/>
      <c r="L1092" s="103">
        <v>14.48</v>
      </c>
      <c r="M1092" s="286"/>
      <c r="N1092" s="289"/>
    </row>
    <row r="1093" spans="1:14" ht="15" customHeight="1">
      <c r="A1093" s="177" t="s">
        <v>296</v>
      </c>
      <c r="B1093" s="177" t="s">
        <v>288</v>
      </c>
      <c r="C1093" s="155">
        <v>44497</v>
      </c>
      <c r="D1093" s="177">
        <v>2882</v>
      </c>
      <c r="E1093" s="177" t="s">
        <v>294</v>
      </c>
      <c r="F1093" s="177" t="s">
        <v>297</v>
      </c>
      <c r="G1093" s="177" t="s">
        <v>633</v>
      </c>
      <c r="H1093" s="177">
        <v>697454</v>
      </c>
      <c r="I1093" s="145">
        <v>47</v>
      </c>
      <c r="J1093" s="129" t="s">
        <v>193</v>
      </c>
      <c r="K1093" s="283"/>
      <c r="L1093" s="103">
        <v>21.466000000000001</v>
      </c>
      <c r="M1093" s="286"/>
      <c r="N1093" s="289"/>
    </row>
    <row r="1094" spans="1:14" ht="15" customHeight="1">
      <c r="A1094" s="177" t="s">
        <v>296</v>
      </c>
      <c r="B1094" s="177" t="s">
        <v>288</v>
      </c>
      <c r="C1094" s="155">
        <v>44497</v>
      </c>
      <c r="D1094" s="177">
        <v>2882</v>
      </c>
      <c r="E1094" s="177" t="s">
        <v>294</v>
      </c>
      <c r="F1094" s="177" t="s">
        <v>297</v>
      </c>
      <c r="G1094" s="177" t="s">
        <v>634</v>
      </c>
      <c r="H1094" s="177">
        <v>957536</v>
      </c>
      <c r="I1094" s="145">
        <v>47</v>
      </c>
      <c r="J1094" s="129" t="s">
        <v>193</v>
      </c>
      <c r="K1094" s="284"/>
      <c r="L1094" s="103">
        <v>38.115000000000002</v>
      </c>
      <c r="M1094" s="287"/>
      <c r="N1094" s="290"/>
    </row>
    <row r="1095" spans="1:14" ht="15" customHeight="1">
      <c r="A1095" s="177" t="s">
        <v>296</v>
      </c>
      <c r="B1095" s="177" t="s">
        <v>293</v>
      </c>
      <c r="C1095" s="155">
        <v>44497</v>
      </c>
      <c r="D1095" s="177">
        <v>2882</v>
      </c>
      <c r="E1095" s="177" t="s">
        <v>294</v>
      </c>
      <c r="F1095" s="177" t="s">
        <v>297</v>
      </c>
      <c r="G1095" s="177" t="s">
        <v>623</v>
      </c>
      <c r="H1095" s="177">
        <v>969166</v>
      </c>
      <c r="I1095" s="145">
        <v>67</v>
      </c>
      <c r="J1095" s="129" t="s">
        <v>192</v>
      </c>
      <c r="K1095" s="127">
        <v>20</v>
      </c>
      <c r="L1095" s="101"/>
      <c r="M1095" s="128">
        <f t="shared" ref="M1095:M1096" si="371">K1095-L1095</f>
        <v>20</v>
      </c>
      <c r="N1095" s="175">
        <f t="shared" ref="N1095:N1096" si="372">L1095/K1095</f>
        <v>0</v>
      </c>
    </row>
    <row r="1096" spans="1:14" ht="15" customHeight="1">
      <c r="A1096" s="177" t="s">
        <v>296</v>
      </c>
      <c r="B1096" s="177" t="s">
        <v>293</v>
      </c>
      <c r="C1096" s="155">
        <v>44497</v>
      </c>
      <c r="D1096" s="177">
        <v>2882</v>
      </c>
      <c r="E1096" s="177" t="s">
        <v>294</v>
      </c>
      <c r="F1096" s="177" t="s">
        <v>297</v>
      </c>
      <c r="G1096" s="177" t="s">
        <v>623</v>
      </c>
      <c r="H1096" s="177">
        <v>969166</v>
      </c>
      <c r="I1096" s="145">
        <v>67</v>
      </c>
      <c r="J1096" s="129" t="s">
        <v>193</v>
      </c>
      <c r="K1096" s="127">
        <v>80</v>
      </c>
      <c r="L1096" s="101"/>
      <c r="M1096" s="128">
        <f t="shared" si="371"/>
        <v>80</v>
      </c>
      <c r="N1096" s="175">
        <f t="shared" si="372"/>
        <v>0</v>
      </c>
    </row>
    <row r="1097" spans="1:14" ht="15" customHeight="1">
      <c r="A1097" s="177" t="s">
        <v>296</v>
      </c>
      <c r="B1097" s="177" t="s">
        <v>293</v>
      </c>
      <c r="C1097" s="155">
        <v>44497</v>
      </c>
      <c r="D1097" s="177">
        <v>2882</v>
      </c>
      <c r="E1097" s="177" t="s">
        <v>294</v>
      </c>
      <c r="F1097" s="177" t="s">
        <v>297</v>
      </c>
      <c r="G1097" s="177" t="s">
        <v>348</v>
      </c>
      <c r="H1097" s="177">
        <v>955511</v>
      </c>
      <c r="I1097" s="109">
        <v>76</v>
      </c>
      <c r="J1097" s="129" t="s">
        <v>192</v>
      </c>
      <c r="K1097" s="127">
        <v>20</v>
      </c>
      <c r="L1097" s="101"/>
      <c r="M1097" s="128">
        <f t="shared" ref="M1097:M1098" si="373">K1097-L1097</f>
        <v>20</v>
      </c>
      <c r="N1097" s="175">
        <f t="shared" ref="N1097:N1098" si="374">L1097/K1097</f>
        <v>0</v>
      </c>
    </row>
    <row r="1098" spans="1:14" ht="15" customHeight="1">
      <c r="A1098" s="177" t="s">
        <v>296</v>
      </c>
      <c r="B1098" s="177" t="s">
        <v>293</v>
      </c>
      <c r="C1098" s="155">
        <v>44497</v>
      </c>
      <c r="D1098" s="177">
        <v>2882</v>
      </c>
      <c r="E1098" s="177" t="s">
        <v>294</v>
      </c>
      <c r="F1098" s="177" t="s">
        <v>297</v>
      </c>
      <c r="G1098" s="177" t="s">
        <v>348</v>
      </c>
      <c r="H1098" s="177">
        <v>955511</v>
      </c>
      <c r="I1098" s="109">
        <v>76</v>
      </c>
      <c r="J1098" s="129" t="s">
        <v>193</v>
      </c>
      <c r="K1098" s="127">
        <v>80</v>
      </c>
      <c r="L1098" s="101"/>
      <c r="M1098" s="128">
        <f t="shared" si="373"/>
        <v>80</v>
      </c>
      <c r="N1098" s="175">
        <f t="shared" si="374"/>
        <v>0</v>
      </c>
    </row>
    <row r="1099" spans="1:14" ht="15" customHeight="1">
      <c r="A1099" s="177" t="s">
        <v>296</v>
      </c>
      <c r="B1099" s="177" t="s">
        <v>288</v>
      </c>
      <c r="C1099" s="155">
        <v>44497</v>
      </c>
      <c r="D1099" s="177">
        <v>2883</v>
      </c>
      <c r="E1099" s="177" t="s">
        <v>294</v>
      </c>
      <c r="F1099" s="177" t="s">
        <v>297</v>
      </c>
      <c r="G1099" s="177" t="s">
        <v>409</v>
      </c>
      <c r="H1099" s="177">
        <v>968797</v>
      </c>
      <c r="I1099" s="109">
        <v>12</v>
      </c>
      <c r="J1099" s="129" t="s">
        <v>192</v>
      </c>
      <c r="K1099" s="282">
        <v>26.5</v>
      </c>
      <c r="L1099" s="101"/>
      <c r="M1099" s="285">
        <f>K1099-(L1099+L1100+L1101+L1102)</f>
        <v>26.5</v>
      </c>
      <c r="N1099" s="288">
        <f>(L1099+L1100+L1101+L1102)/K1099</f>
        <v>0</v>
      </c>
    </row>
    <row r="1100" spans="1:14" ht="15" customHeight="1">
      <c r="A1100" s="177" t="s">
        <v>296</v>
      </c>
      <c r="B1100" s="177" t="s">
        <v>288</v>
      </c>
      <c r="C1100" s="155">
        <v>44497</v>
      </c>
      <c r="D1100" s="177">
        <v>2883</v>
      </c>
      <c r="E1100" s="177" t="s">
        <v>294</v>
      </c>
      <c r="F1100" s="177" t="s">
        <v>297</v>
      </c>
      <c r="G1100" s="177" t="s">
        <v>410</v>
      </c>
      <c r="H1100" s="177">
        <v>962289</v>
      </c>
      <c r="I1100" s="109">
        <v>12</v>
      </c>
      <c r="J1100" s="129" t="s">
        <v>192</v>
      </c>
      <c r="K1100" s="283"/>
      <c r="L1100" s="101"/>
      <c r="M1100" s="286"/>
      <c r="N1100" s="289"/>
    </row>
    <row r="1101" spans="1:14" ht="15" customHeight="1">
      <c r="A1101" s="177" t="s">
        <v>296</v>
      </c>
      <c r="B1101" s="177" t="s">
        <v>288</v>
      </c>
      <c r="C1101" s="155">
        <v>44497</v>
      </c>
      <c r="D1101" s="177">
        <v>2883</v>
      </c>
      <c r="E1101" s="177" t="s">
        <v>294</v>
      </c>
      <c r="F1101" s="177" t="s">
        <v>297</v>
      </c>
      <c r="G1101" s="177" t="s">
        <v>411</v>
      </c>
      <c r="H1101" s="177">
        <v>698086</v>
      </c>
      <c r="I1101" s="109">
        <v>12</v>
      </c>
      <c r="J1101" s="129" t="s">
        <v>192</v>
      </c>
      <c r="K1101" s="283"/>
      <c r="L1101" s="101"/>
      <c r="M1101" s="286"/>
      <c r="N1101" s="289"/>
    </row>
    <row r="1102" spans="1:14" ht="15" customHeight="1">
      <c r="A1102" s="177" t="s">
        <v>296</v>
      </c>
      <c r="B1102" s="177" t="s">
        <v>288</v>
      </c>
      <c r="C1102" s="155">
        <v>44497</v>
      </c>
      <c r="D1102" s="177">
        <v>2883</v>
      </c>
      <c r="E1102" s="177" t="s">
        <v>294</v>
      </c>
      <c r="F1102" s="177" t="s">
        <v>297</v>
      </c>
      <c r="G1102" s="177" t="s">
        <v>380</v>
      </c>
      <c r="H1102" s="177">
        <v>965073</v>
      </c>
      <c r="I1102" s="109">
        <v>12</v>
      </c>
      <c r="J1102" s="129" t="s">
        <v>192</v>
      </c>
      <c r="K1102" s="284"/>
      <c r="L1102" s="101"/>
      <c r="M1102" s="287"/>
      <c r="N1102" s="290"/>
    </row>
    <row r="1103" spans="1:14" ht="15" customHeight="1">
      <c r="A1103" s="177" t="s">
        <v>296</v>
      </c>
      <c r="B1103" s="177" t="s">
        <v>288</v>
      </c>
      <c r="C1103" s="155">
        <v>44497</v>
      </c>
      <c r="D1103" s="177">
        <v>2883</v>
      </c>
      <c r="E1103" s="177" t="s">
        <v>294</v>
      </c>
      <c r="F1103" s="177" t="s">
        <v>297</v>
      </c>
      <c r="G1103" s="177" t="s">
        <v>414</v>
      </c>
      <c r="H1103" s="177">
        <v>967342</v>
      </c>
      <c r="I1103" s="145">
        <v>15</v>
      </c>
      <c r="J1103" s="129" t="s">
        <v>192</v>
      </c>
      <c r="K1103" s="285">
        <v>30.92</v>
      </c>
      <c r="L1103" s="101"/>
      <c r="M1103" s="285">
        <f>K1103-(L1103+L1104)</f>
        <v>30.92</v>
      </c>
      <c r="N1103" s="288">
        <f>(L1103+L1104)/K1103</f>
        <v>0</v>
      </c>
    </row>
    <row r="1104" spans="1:14" ht="15" customHeight="1">
      <c r="A1104" s="177" t="s">
        <v>296</v>
      </c>
      <c r="B1104" s="177" t="s">
        <v>288</v>
      </c>
      <c r="C1104" s="155">
        <v>44497</v>
      </c>
      <c r="D1104" s="177">
        <v>2883</v>
      </c>
      <c r="E1104" s="177" t="s">
        <v>294</v>
      </c>
      <c r="F1104" s="177" t="s">
        <v>297</v>
      </c>
      <c r="G1104" s="177" t="s">
        <v>415</v>
      </c>
      <c r="H1104" s="177">
        <v>967281</v>
      </c>
      <c r="I1104" s="145">
        <v>15</v>
      </c>
      <c r="J1104" s="129" t="s">
        <v>192</v>
      </c>
      <c r="K1104" s="284"/>
      <c r="L1104" s="101"/>
      <c r="M1104" s="287"/>
      <c r="N1104" s="290"/>
    </row>
    <row r="1105" spans="1:14" ht="15" customHeight="1">
      <c r="A1105" s="177" t="s">
        <v>296</v>
      </c>
      <c r="B1105" s="177" t="s">
        <v>288</v>
      </c>
      <c r="C1105" s="155">
        <v>44497</v>
      </c>
      <c r="D1105" s="177">
        <v>2883</v>
      </c>
      <c r="E1105" s="177" t="s">
        <v>294</v>
      </c>
      <c r="F1105" s="177" t="s">
        <v>297</v>
      </c>
      <c r="G1105" s="177" t="s">
        <v>401</v>
      </c>
      <c r="H1105" s="177">
        <v>968817</v>
      </c>
      <c r="I1105" s="145">
        <v>55</v>
      </c>
      <c r="J1105" s="129" t="s">
        <v>192</v>
      </c>
      <c r="K1105" s="282">
        <v>30.92</v>
      </c>
      <c r="L1105" s="101"/>
      <c r="M1105" s="285">
        <f>K1105-(L1105+L1106+L1107+L1108)</f>
        <v>30.92</v>
      </c>
      <c r="N1105" s="288">
        <f>(L1105+L1106+L1107+L1108)/K1105</f>
        <v>0</v>
      </c>
    </row>
    <row r="1106" spans="1:14" ht="15" customHeight="1">
      <c r="A1106" s="177" t="s">
        <v>296</v>
      </c>
      <c r="B1106" s="177" t="s">
        <v>288</v>
      </c>
      <c r="C1106" s="155">
        <v>44497</v>
      </c>
      <c r="D1106" s="177">
        <v>2883</v>
      </c>
      <c r="E1106" s="177" t="s">
        <v>294</v>
      </c>
      <c r="F1106" s="177" t="s">
        <v>297</v>
      </c>
      <c r="G1106" s="177" t="s">
        <v>472</v>
      </c>
      <c r="H1106" s="177">
        <v>697864</v>
      </c>
      <c r="I1106" s="145">
        <v>55</v>
      </c>
      <c r="J1106" s="129" t="s">
        <v>192</v>
      </c>
      <c r="K1106" s="283"/>
      <c r="L1106" s="101"/>
      <c r="M1106" s="286"/>
      <c r="N1106" s="289"/>
    </row>
    <row r="1107" spans="1:14" ht="15" customHeight="1">
      <c r="A1107" s="177" t="s">
        <v>296</v>
      </c>
      <c r="B1107" s="177" t="s">
        <v>288</v>
      </c>
      <c r="C1107" s="155">
        <v>44497</v>
      </c>
      <c r="D1107" s="177">
        <v>2883</v>
      </c>
      <c r="E1107" s="177" t="s">
        <v>294</v>
      </c>
      <c r="F1107" s="177" t="s">
        <v>297</v>
      </c>
      <c r="G1107" s="177" t="s">
        <v>703</v>
      </c>
      <c r="H1107" s="177">
        <v>697885</v>
      </c>
      <c r="I1107" s="109">
        <v>55</v>
      </c>
      <c r="J1107" s="129" t="s">
        <v>192</v>
      </c>
      <c r="K1107" s="283"/>
      <c r="L1107" s="101"/>
      <c r="M1107" s="286"/>
      <c r="N1107" s="289"/>
    </row>
    <row r="1108" spans="1:14" ht="15" customHeight="1">
      <c r="A1108" s="177" t="s">
        <v>296</v>
      </c>
      <c r="B1108" s="177" t="s">
        <v>288</v>
      </c>
      <c r="C1108" s="155">
        <v>44497</v>
      </c>
      <c r="D1108" s="177">
        <v>2883</v>
      </c>
      <c r="E1108" s="177" t="s">
        <v>294</v>
      </c>
      <c r="F1108" s="177" t="s">
        <v>297</v>
      </c>
      <c r="G1108" s="177" t="s">
        <v>403</v>
      </c>
      <c r="H1108" s="177">
        <v>697725</v>
      </c>
      <c r="I1108" s="109">
        <v>55</v>
      </c>
      <c r="J1108" s="129" t="s">
        <v>192</v>
      </c>
      <c r="K1108" s="284"/>
      <c r="L1108" s="101"/>
      <c r="M1108" s="287"/>
      <c r="N1108" s="290"/>
    </row>
    <row r="1109" spans="1:14" ht="15" customHeight="1">
      <c r="A1109" s="177" t="s">
        <v>296</v>
      </c>
      <c r="B1109" s="177" t="s">
        <v>293</v>
      </c>
      <c r="C1109" s="155">
        <v>44497</v>
      </c>
      <c r="D1109" s="177">
        <v>2883</v>
      </c>
      <c r="E1109" s="177" t="s">
        <v>294</v>
      </c>
      <c r="F1109" s="177" t="s">
        <v>297</v>
      </c>
      <c r="G1109" s="177" t="s">
        <v>395</v>
      </c>
      <c r="H1109" s="177">
        <v>966146</v>
      </c>
      <c r="I1109" s="145">
        <v>19</v>
      </c>
      <c r="J1109" s="129" t="s">
        <v>192</v>
      </c>
      <c r="K1109" s="127">
        <v>19.88</v>
      </c>
      <c r="L1109" s="101"/>
      <c r="M1109" s="128">
        <f t="shared" ref="M1109:M1110" si="375">K1109-L1109</f>
        <v>19.88</v>
      </c>
      <c r="N1109" s="175">
        <f t="shared" ref="N1109:N1110" si="376">L1109/K1109</f>
        <v>0</v>
      </c>
    </row>
    <row r="1110" spans="1:14" ht="15" customHeight="1">
      <c r="A1110" s="177" t="s">
        <v>379</v>
      </c>
      <c r="B1110" s="177" t="s">
        <v>293</v>
      </c>
      <c r="C1110" s="155">
        <v>44497</v>
      </c>
      <c r="D1110" s="177">
        <v>2886</v>
      </c>
      <c r="E1110" s="177" t="s">
        <v>294</v>
      </c>
      <c r="F1110" s="177" t="s">
        <v>297</v>
      </c>
      <c r="G1110" s="177" t="s">
        <v>380</v>
      </c>
      <c r="H1110" s="177">
        <v>965073</v>
      </c>
      <c r="I1110" s="109">
        <v>12</v>
      </c>
      <c r="J1110" s="129" t="s">
        <v>193</v>
      </c>
      <c r="K1110" s="127">
        <v>188.03</v>
      </c>
      <c r="L1110" s="101"/>
      <c r="M1110" s="128">
        <f t="shared" si="375"/>
        <v>188.03</v>
      </c>
      <c r="N1110" s="175">
        <f t="shared" si="376"/>
        <v>0</v>
      </c>
    </row>
    <row r="1111" spans="1:14" ht="15" customHeight="1">
      <c r="A1111" s="179" t="s">
        <v>707</v>
      </c>
      <c r="B1111" s="179" t="s">
        <v>293</v>
      </c>
      <c r="C1111" s="155">
        <v>44498</v>
      </c>
      <c r="D1111" s="177">
        <v>2913</v>
      </c>
      <c r="E1111" s="179" t="s">
        <v>294</v>
      </c>
      <c r="F1111" s="179" t="s">
        <v>287</v>
      </c>
      <c r="G1111" s="179" t="s">
        <v>705</v>
      </c>
      <c r="H1111" s="177">
        <v>968726</v>
      </c>
      <c r="I1111" s="145">
        <v>72</v>
      </c>
      <c r="J1111" s="129" t="s">
        <v>193</v>
      </c>
      <c r="K1111" s="127">
        <v>55</v>
      </c>
      <c r="L1111" s="101"/>
      <c r="M1111" s="128">
        <f t="shared" ref="M1111:M1113" si="377">K1111-L1111</f>
        <v>55</v>
      </c>
      <c r="N1111" s="178">
        <f t="shared" ref="N1111:N1113" si="378">L1111/K1111</f>
        <v>0</v>
      </c>
    </row>
    <row r="1112" spans="1:14" ht="15" customHeight="1">
      <c r="A1112" s="182" t="s">
        <v>334</v>
      </c>
      <c r="B1112" s="182" t="s">
        <v>293</v>
      </c>
      <c r="C1112" s="155">
        <v>44498</v>
      </c>
      <c r="D1112" s="177">
        <v>2914</v>
      </c>
      <c r="E1112" s="182" t="s">
        <v>294</v>
      </c>
      <c r="F1112" s="182" t="s">
        <v>297</v>
      </c>
      <c r="G1112" s="182" t="s">
        <v>346</v>
      </c>
      <c r="H1112" s="177">
        <v>922513</v>
      </c>
      <c r="I1112" s="145">
        <v>61</v>
      </c>
      <c r="J1112" s="129" t="s">
        <v>192</v>
      </c>
      <c r="K1112" s="127">
        <v>1</v>
      </c>
      <c r="L1112" s="101"/>
      <c r="M1112" s="128">
        <f t="shared" si="377"/>
        <v>1</v>
      </c>
      <c r="N1112" s="181">
        <f t="shared" si="378"/>
        <v>0</v>
      </c>
    </row>
    <row r="1113" spans="1:14" ht="15" customHeight="1">
      <c r="A1113" s="182" t="s">
        <v>334</v>
      </c>
      <c r="B1113" s="182" t="s">
        <v>293</v>
      </c>
      <c r="C1113" s="155">
        <v>44498</v>
      </c>
      <c r="D1113" s="182">
        <v>2914</v>
      </c>
      <c r="E1113" s="182" t="s">
        <v>294</v>
      </c>
      <c r="F1113" s="182" t="s">
        <v>297</v>
      </c>
      <c r="G1113" s="182" t="s">
        <v>346</v>
      </c>
      <c r="H1113" s="182">
        <v>922513</v>
      </c>
      <c r="I1113" s="145">
        <v>61</v>
      </c>
      <c r="J1113" s="129" t="s">
        <v>193</v>
      </c>
      <c r="K1113" s="127">
        <v>99</v>
      </c>
      <c r="L1113" s="101"/>
      <c r="M1113" s="128">
        <f t="shared" si="377"/>
        <v>99</v>
      </c>
      <c r="N1113" s="181">
        <f t="shared" si="378"/>
        <v>0</v>
      </c>
    </row>
    <row r="1114" spans="1:14" ht="15" customHeight="1">
      <c r="A1114" s="182" t="s">
        <v>665</v>
      </c>
      <c r="B1114" s="182" t="s">
        <v>288</v>
      </c>
      <c r="C1114" s="155">
        <v>44498</v>
      </c>
      <c r="D1114" s="177">
        <v>2915</v>
      </c>
      <c r="E1114" s="182" t="s">
        <v>294</v>
      </c>
      <c r="F1114" s="182" t="s">
        <v>297</v>
      </c>
      <c r="G1114" s="182" t="s">
        <v>702</v>
      </c>
      <c r="H1114" s="177">
        <v>922996</v>
      </c>
      <c r="I1114" s="145">
        <v>22</v>
      </c>
      <c r="J1114" s="129" t="s">
        <v>192</v>
      </c>
      <c r="K1114" s="282">
        <v>0.45279000000000003</v>
      </c>
      <c r="L1114" s="101"/>
      <c r="M1114" s="285">
        <f>K1114-(L1114+L1115+L1116+L1117)</f>
        <v>0.45279000000000003</v>
      </c>
      <c r="N1114" s="288">
        <f>(L1114+L1115+L1116+L1117)/K1114</f>
        <v>0</v>
      </c>
    </row>
    <row r="1115" spans="1:14" ht="15" customHeight="1">
      <c r="A1115" s="182" t="s">
        <v>665</v>
      </c>
      <c r="B1115" s="182" t="s">
        <v>288</v>
      </c>
      <c r="C1115" s="155">
        <v>44498</v>
      </c>
      <c r="D1115" s="193">
        <v>2915</v>
      </c>
      <c r="E1115" s="182" t="s">
        <v>294</v>
      </c>
      <c r="F1115" s="182" t="s">
        <v>297</v>
      </c>
      <c r="G1115" s="182" t="s">
        <v>456</v>
      </c>
      <c r="H1115" s="177">
        <v>698090</v>
      </c>
      <c r="I1115" s="145">
        <v>22</v>
      </c>
      <c r="J1115" s="129" t="s">
        <v>192</v>
      </c>
      <c r="K1115" s="283"/>
      <c r="L1115" s="101"/>
      <c r="M1115" s="286"/>
      <c r="N1115" s="289"/>
    </row>
    <row r="1116" spans="1:14" ht="15" customHeight="1">
      <c r="A1116" s="182" t="s">
        <v>665</v>
      </c>
      <c r="B1116" s="182" t="s">
        <v>288</v>
      </c>
      <c r="C1116" s="155">
        <v>44498</v>
      </c>
      <c r="D1116" s="193">
        <v>2915</v>
      </c>
      <c r="E1116" s="182" t="s">
        <v>294</v>
      </c>
      <c r="F1116" s="182" t="s">
        <v>297</v>
      </c>
      <c r="G1116" s="182" t="s">
        <v>458</v>
      </c>
      <c r="H1116" s="177">
        <v>926655</v>
      </c>
      <c r="I1116" s="145">
        <v>22</v>
      </c>
      <c r="J1116" s="129" t="s">
        <v>192</v>
      </c>
      <c r="K1116" s="283"/>
      <c r="L1116" s="101"/>
      <c r="M1116" s="286"/>
      <c r="N1116" s="289"/>
    </row>
    <row r="1117" spans="1:14" ht="15" customHeight="1">
      <c r="A1117" s="182" t="s">
        <v>665</v>
      </c>
      <c r="B1117" s="182" t="s">
        <v>288</v>
      </c>
      <c r="C1117" s="155">
        <v>44498</v>
      </c>
      <c r="D1117" s="193">
        <v>2915</v>
      </c>
      <c r="E1117" s="182" t="s">
        <v>294</v>
      </c>
      <c r="F1117" s="182" t="s">
        <v>297</v>
      </c>
      <c r="G1117" s="182" t="s">
        <v>457</v>
      </c>
      <c r="H1117" s="177">
        <v>968922</v>
      </c>
      <c r="I1117" s="145">
        <v>22</v>
      </c>
      <c r="J1117" s="129" t="s">
        <v>192</v>
      </c>
      <c r="K1117" s="284"/>
      <c r="L1117" s="101"/>
      <c r="M1117" s="287"/>
      <c r="N1117" s="290"/>
    </row>
    <row r="1118" spans="1:14" ht="15" customHeight="1">
      <c r="A1118" s="182" t="s">
        <v>665</v>
      </c>
      <c r="B1118" s="182" t="s">
        <v>288</v>
      </c>
      <c r="C1118" s="155">
        <v>44498</v>
      </c>
      <c r="D1118" s="182">
        <v>2915</v>
      </c>
      <c r="E1118" s="182" t="s">
        <v>294</v>
      </c>
      <c r="F1118" s="182" t="s">
        <v>297</v>
      </c>
      <c r="G1118" s="182" t="s">
        <v>702</v>
      </c>
      <c r="H1118" s="182">
        <v>922996</v>
      </c>
      <c r="I1118" s="145">
        <v>22</v>
      </c>
      <c r="J1118" s="129" t="s">
        <v>193</v>
      </c>
      <c r="K1118" s="282">
        <v>250</v>
      </c>
      <c r="L1118" s="101"/>
      <c r="M1118" s="285">
        <f>K1118-(L1118+L1119+L1120+L1121)</f>
        <v>250</v>
      </c>
      <c r="N1118" s="288">
        <f>(L1118+L1119+L1120+L1121)/K1118</f>
        <v>0</v>
      </c>
    </row>
    <row r="1119" spans="1:14" ht="15" customHeight="1">
      <c r="A1119" s="182" t="s">
        <v>665</v>
      </c>
      <c r="B1119" s="182" t="s">
        <v>288</v>
      </c>
      <c r="C1119" s="155">
        <v>44498</v>
      </c>
      <c r="D1119" s="182">
        <v>2915</v>
      </c>
      <c r="E1119" s="182" t="s">
        <v>294</v>
      </c>
      <c r="F1119" s="182" t="s">
        <v>297</v>
      </c>
      <c r="G1119" s="182" t="s">
        <v>456</v>
      </c>
      <c r="H1119" s="182">
        <v>698090</v>
      </c>
      <c r="I1119" s="145">
        <v>22</v>
      </c>
      <c r="J1119" s="129" t="s">
        <v>193</v>
      </c>
      <c r="K1119" s="283"/>
      <c r="L1119" s="101"/>
      <c r="M1119" s="286"/>
      <c r="N1119" s="289"/>
    </row>
    <row r="1120" spans="1:14" ht="15" customHeight="1">
      <c r="A1120" s="182" t="s">
        <v>665</v>
      </c>
      <c r="B1120" s="182" t="s">
        <v>288</v>
      </c>
      <c r="C1120" s="155">
        <v>44498</v>
      </c>
      <c r="D1120" s="182">
        <v>2915</v>
      </c>
      <c r="E1120" s="182" t="s">
        <v>294</v>
      </c>
      <c r="F1120" s="182" t="s">
        <v>297</v>
      </c>
      <c r="G1120" s="182" t="s">
        <v>458</v>
      </c>
      <c r="H1120" s="182">
        <v>926655</v>
      </c>
      <c r="I1120" s="145">
        <v>22</v>
      </c>
      <c r="J1120" s="129" t="s">
        <v>193</v>
      </c>
      <c r="K1120" s="283"/>
      <c r="L1120" s="101"/>
      <c r="M1120" s="286"/>
      <c r="N1120" s="289"/>
    </row>
    <row r="1121" spans="1:14" ht="15" customHeight="1">
      <c r="A1121" s="182" t="s">
        <v>665</v>
      </c>
      <c r="B1121" s="182" t="s">
        <v>288</v>
      </c>
      <c r="C1121" s="155">
        <v>44498</v>
      </c>
      <c r="D1121" s="182">
        <v>2915</v>
      </c>
      <c r="E1121" s="182" t="s">
        <v>294</v>
      </c>
      <c r="F1121" s="182" t="s">
        <v>297</v>
      </c>
      <c r="G1121" s="182" t="s">
        <v>457</v>
      </c>
      <c r="H1121" s="182">
        <v>968922</v>
      </c>
      <c r="I1121" s="145">
        <v>22</v>
      </c>
      <c r="J1121" s="129" t="s">
        <v>193</v>
      </c>
      <c r="K1121" s="284"/>
      <c r="L1121" s="101"/>
      <c r="M1121" s="287"/>
      <c r="N1121" s="290"/>
    </row>
    <row r="1122" spans="1:14" ht="15" customHeight="1">
      <c r="A1122" s="189" t="s">
        <v>725</v>
      </c>
      <c r="B1122" s="189" t="s">
        <v>293</v>
      </c>
      <c r="C1122" s="155">
        <v>44504</v>
      </c>
      <c r="D1122" s="177">
        <v>145</v>
      </c>
      <c r="E1122" s="189" t="s">
        <v>289</v>
      </c>
      <c r="F1122" s="189" t="s">
        <v>287</v>
      </c>
      <c r="G1122" s="189" t="s">
        <v>295</v>
      </c>
      <c r="H1122" s="177">
        <v>962795</v>
      </c>
      <c r="I1122" s="145">
        <v>11</v>
      </c>
      <c r="J1122" s="129" t="s">
        <v>193</v>
      </c>
      <c r="K1122" s="127">
        <v>114</v>
      </c>
      <c r="L1122" s="101"/>
      <c r="M1122" s="128">
        <f t="shared" ref="M1122" si="379">K1122-L1122</f>
        <v>114</v>
      </c>
      <c r="N1122" s="190">
        <f t="shared" ref="N1122" si="380">L1122/K1122</f>
        <v>0</v>
      </c>
    </row>
    <row r="1123" spans="1:14" ht="15" customHeight="1">
      <c r="A1123" s="194" t="s">
        <v>303</v>
      </c>
      <c r="B1123" s="194" t="s">
        <v>288</v>
      </c>
      <c r="C1123" s="155">
        <v>44522</v>
      </c>
      <c r="D1123" s="194">
        <v>148</v>
      </c>
      <c r="E1123" s="194" t="s">
        <v>289</v>
      </c>
      <c r="F1123" s="194" t="s">
        <v>287</v>
      </c>
      <c r="G1123" s="194" t="s">
        <v>302</v>
      </c>
      <c r="H1123" s="194">
        <v>966875</v>
      </c>
      <c r="I1123" s="145">
        <v>44</v>
      </c>
      <c r="J1123" s="129" t="s">
        <v>192</v>
      </c>
      <c r="K1123" s="285">
        <v>20</v>
      </c>
      <c r="L1123" s="103"/>
      <c r="M1123" s="285">
        <f>K1123-(L1123+L1124)</f>
        <v>20</v>
      </c>
      <c r="N1123" s="288">
        <f>(L1123+L1124)/K1123</f>
        <v>0</v>
      </c>
    </row>
    <row r="1124" spans="1:14" ht="15" customHeight="1">
      <c r="A1124" s="194" t="s">
        <v>303</v>
      </c>
      <c r="B1124" s="194" t="s">
        <v>288</v>
      </c>
      <c r="C1124" s="155">
        <v>44522</v>
      </c>
      <c r="D1124" s="194">
        <v>148</v>
      </c>
      <c r="E1124" s="194" t="s">
        <v>289</v>
      </c>
      <c r="F1124" s="194" t="s">
        <v>287</v>
      </c>
      <c r="G1124" s="194" t="s">
        <v>304</v>
      </c>
      <c r="H1124" s="194">
        <v>958905</v>
      </c>
      <c r="I1124" s="145">
        <v>44</v>
      </c>
      <c r="J1124" s="129" t="s">
        <v>192</v>
      </c>
      <c r="K1124" s="287"/>
      <c r="L1124" s="103"/>
      <c r="M1124" s="287"/>
      <c r="N1124" s="290"/>
    </row>
    <row r="1125" spans="1:14" ht="15" customHeight="1">
      <c r="A1125" s="194" t="s">
        <v>303</v>
      </c>
      <c r="B1125" s="194" t="s">
        <v>288</v>
      </c>
      <c r="C1125" s="155">
        <v>44522</v>
      </c>
      <c r="D1125" s="194">
        <v>148</v>
      </c>
      <c r="E1125" s="194" t="s">
        <v>289</v>
      </c>
      <c r="F1125" s="194" t="s">
        <v>287</v>
      </c>
      <c r="G1125" s="194" t="s">
        <v>302</v>
      </c>
      <c r="H1125" s="194">
        <v>950935</v>
      </c>
      <c r="I1125" s="145">
        <v>44</v>
      </c>
      <c r="J1125" s="129" t="s">
        <v>193</v>
      </c>
      <c r="K1125" s="285">
        <v>5</v>
      </c>
      <c r="L1125" s="103"/>
      <c r="M1125" s="285">
        <f>K1125-(L1125+L1126)</f>
        <v>5</v>
      </c>
      <c r="N1125" s="288">
        <f>(L1125+L1126)/K1125</f>
        <v>0</v>
      </c>
    </row>
    <row r="1126" spans="1:14" ht="15" customHeight="1">
      <c r="A1126" s="194" t="s">
        <v>303</v>
      </c>
      <c r="B1126" s="194" t="s">
        <v>288</v>
      </c>
      <c r="C1126" s="155">
        <v>44522</v>
      </c>
      <c r="D1126" s="194">
        <v>148</v>
      </c>
      <c r="E1126" s="194" t="s">
        <v>289</v>
      </c>
      <c r="F1126" s="194" t="s">
        <v>287</v>
      </c>
      <c r="G1126" s="194" t="s">
        <v>304</v>
      </c>
      <c r="H1126" s="194">
        <v>942965</v>
      </c>
      <c r="I1126" s="145">
        <v>44</v>
      </c>
      <c r="J1126" s="129" t="s">
        <v>193</v>
      </c>
      <c r="K1126" s="287"/>
      <c r="L1126" s="103"/>
      <c r="M1126" s="287"/>
      <c r="N1126" s="290"/>
    </row>
    <row r="1127" spans="1:14" ht="15" customHeight="1">
      <c r="A1127" s="194" t="s">
        <v>727</v>
      </c>
      <c r="B1127" s="194" t="s">
        <v>293</v>
      </c>
      <c r="C1127" s="155">
        <v>44537</v>
      </c>
      <c r="D1127" s="194">
        <v>3184</v>
      </c>
      <c r="E1127" s="194" t="s">
        <v>294</v>
      </c>
      <c r="F1127" s="194" t="s">
        <v>287</v>
      </c>
      <c r="G1127" s="194" t="s">
        <v>583</v>
      </c>
      <c r="H1127" s="194">
        <v>11718</v>
      </c>
      <c r="I1127" s="145"/>
      <c r="J1127" s="194" t="s">
        <v>193</v>
      </c>
      <c r="K1127" s="133">
        <v>300</v>
      </c>
      <c r="L1127" s="103"/>
      <c r="M1127" s="196">
        <f>K1127-L1127</f>
        <v>300</v>
      </c>
      <c r="N1127" s="195">
        <f>L1127/K1127</f>
        <v>0</v>
      </c>
    </row>
    <row r="1128" spans="1:14" ht="15" customHeight="1">
      <c r="A1128" s="194" t="s">
        <v>685</v>
      </c>
      <c r="B1128" s="194" t="s">
        <v>293</v>
      </c>
      <c r="C1128" s="155">
        <v>44523</v>
      </c>
      <c r="D1128" s="177">
        <v>151</v>
      </c>
      <c r="E1128" s="194" t="s">
        <v>289</v>
      </c>
      <c r="F1128" s="194" t="s">
        <v>287</v>
      </c>
      <c r="G1128" s="194" t="s">
        <v>548</v>
      </c>
      <c r="H1128" s="177">
        <v>910367</v>
      </c>
      <c r="I1128" s="145">
        <v>52</v>
      </c>
      <c r="J1128" s="194" t="s">
        <v>192</v>
      </c>
      <c r="K1128" s="133">
        <v>39</v>
      </c>
      <c r="L1128" s="103"/>
      <c r="M1128" s="196">
        <f t="shared" ref="M1128:M1129" si="381">K1128-L1128</f>
        <v>39</v>
      </c>
      <c r="N1128" s="195">
        <f t="shared" ref="N1128:N1129" si="382">L1128/K1128</f>
        <v>0</v>
      </c>
    </row>
    <row r="1129" spans="1:14" ht="15" customHeight="1">
      <c r="A1129" s="194" t="s">
        <v>685</v>
      </c>
      <c r="B1129" s="194" t="s">
        <v>293</v>
      </c>
      <c r="C1129" s="155">
        <v>44523</v>
      </c>
      <c r="D1129" s="194">
        <v>151</v>
      </c>
      <c r="E1129" s="194" t="s">
        <v>289</v>
      </c>
      <c r="F1129" s="194" t="s">
        <v>287</v>
      </c>
      <c r="G1129" s="194" t="s">
        <v>548</v>
      </c>
      <c r="H1129" s="194">
        <v>910367</v>
      </c>
      <c r="I1129" s="145"/>
      <c r="J1129" s="194" t="s">
        <v>193</v>
      </c>
      <c r="K1129" s="133">
        <v>1</v>
      </c>
      <c r="L1129" s="103"/>
      <c r="M1129" s="196">
        <f t="shared" si="381"/>
        <v>1</v>
      </c>
      <c r="N1129" s="195">
        <f t="shared" si="382"/>
        <v>0</v>
      </c>
    </row>
    <row r="1130" spans="1:14" ht="15" customHeight="1">
      <c r="A1130" s="206" t="s">
        <v>296</v>
      </c>
      <c r="B1130" s="206" t="s">
        <v>288</v>
      </c>
      <c r="C1130" s="155">
        <v>44299</v>
      </c>
      <c r="D1130" s="177">
        <v>1080</v>
      </c>
      <c r="E1130" s="206" t="s">
        <v>294</v>
      </c>
      <c r="F1130" s="206" t="s">
        <v>297</v>
      </c>
      <c r="G1130" s="206" t="s">
        <v>661</v>
      </c>
      <c r="H1130" s="177">
        <v>926064</v>
      </c>
      <c r="I1130" s="145">
        <v>17</v>
      </c>
      <c r="J1130" s="206" t="s">
        <v>192</v>
      </c>
      <c r="K1130" s="282">
        <v>636</v>
      </c>
      <c r="L1130" s="103">
        <v>408.96800000000002</v>
      </c>
      <c r="M1130" s="285">
        <f>K1130-(L1130+L1131+L1132)</f>
        <v>170.428</v>
      </c>
      <c r="N1130" s="288">
        <f>(L1130+L1131+L1132)/K1130</f>
        <v>0.73203144654088048</v>
      </c>
    </row>
    <row r="1131" spans="1:14" ht="15" customHeight="1">
      <c r="A1131" s="206" t="s">
        <v>296</v>
      </c>
      <c r="B1131" s="206" t="s">
        <v>288</v>
      </c>
      <c r="C1131" s="155">
        <v>44299</v>
      </c>
      <c r="D1131" s="206">
        <v>1080</v>
      </c>
      <c r="E1131" s="206" t="s">
        <v>294</v>
      </c>
      <c r="F1131" s="206" t="s">
        <v>297</v>
      </c>
      <c r="G1131" s="206" t="s">
        <v>662</v>
      </c>
      <c r="H1131" s="177">
        <v>913373</v>
      </c>
      <c r="I1131" s="145">
        <v>17</v>
      </c>
      <c r="J1131" s="206" t="s">
        <v>192</v>
      </c>
      <c r="K1131" s="283"/>
      <c r="L1131" s="103">
        <v>56.603999999999999</v>
      </c>
      <c r="M1131" s="286"/>
      <c r="N1131" s="289"/>
    </row>
    <row r="1132" spans="1:14" ht="15" customHeight="1">
      <c r="A1132" s="206" t="s">
        <v>296</v>
      </c>
      <c r="B1132" s="206" t="s">
        <v>288</v>
      </c>
      <c r="C1132" s="155">
        <v>44299</v>
      </c>
      <c r="D1132" s="206">
        <v>1080</v>
      </c>
      <c r="E1132" s="206" t="s">
        <v>294</v>
      </c>
      <c r="F1132" s="206" t="s">
        <v>297</v>
      </c>
      <c r="G1132" s="206" t="s">
        <v>742</v>
      </c>
      <c r="H1132" s="177">
        <v>969283</v>
      </c>
      <c r="I1132" s="145"/>
      <c r="J1132" s="206" t="s">
        <v>192</v>
      </c>
      <c r="K1132" s="284"/>
      <c r="L1132" s="103"/>
      <c r="M1132" s="287"/>
      <c r="N1132" s="290"/>
    </row>
    <row r="1133" spans="1:14" ht="15" customHeight="1">
      <c r="A1133" s="206" t="s">
        <v>296</v>
      </c>
      <c r="B1133" s="206" t="s">
        <v>288</v>
      </c>
      <c r="C1133" s="155">
        <v>44299</v>
      </c>
      <c r="D1133" s="206">
        <v>1080</v>
      </c>
      <c r="E1133" s="206" t="s">
        <v>294</v>
      </c>
      <c r="F1133" s="206" t="s">
        <v>297</v>
      </c>
      <c r="G1133" s="206" t="s">
        <v>661</v>
      </c>
      <c r="H1133" s="206">
        <v>926064</v>
      </c>
      <c r="I1133" s="145"/>
      <c r="J1133" s="129" t="s">
        <v>193</v>
      </c>
      <c r="K1133" s="282">
        <v>612</v>
      </c>
      <c r="L1133" s="103">
        <v>256.363</v>
      </c>
      <c r="M1133" s="285">
        <f>K1133-(L1133+L1134+L1135)</f>
        <v>315.39499999999998</v>
      </c>
      <c r="N1133" s="288">
        <f>(L1133+L1134+L1135)/K1133</f>
        <v>0.48464869281045753</v>
      </c>
    </row>
    <row r="1134" spans="1:14" ht="15" customHeight="1">
      <c r="A1134" s="206" t="s">
        <v>296</v>
      </c>
      <c r="B1134" s="206" t="s">
        <v>288</v>
      </c>
      <c r="C1134" s="155">
        <v>44299</v>
      </c>
      <c r="D1134" s="206">
        <v>1080</v>
      </c>
      <c r="E1134" s="206" t="s">
        <v>294</v>
      </c>
      <c r="F1134" s="206" t="s">
        <v>297</v>
      </c>
      <c r="G1134" s="206" t="s">
        <v>662</v>
      </c>
      <c r="H1134" s="206">
        <v>913373</v>
      </c>
      <c r="I1134" s="145"/>
      <c r="J1134" s="129" t="s">
        <v>193</v>
      </c>
      <c r="K1134" s="283"/>
      <c r="L1134" s="103">
        <v>40.241999999999997</v>
      </c>
      <c r="M1134" s="286"/>
      <c r="N1134" s="289"/>
    </row>
    <row r="1135" spans="1:14" ht="15" customHeight="1">
      <c r="A1135" s="206" t="s">
        <v>296</v>
      </c>
      <c r="B1135" s="206" t="s">
        <v>288</v>
      </c>
      <c r="C1135" s="155">
        <v>44299</v>
      </c>
      <c r="D1135" s="206">
        <v>1080</v>
      </c>
      <c r="E1135" s="206" t="s">
        <v>294</v>
      </c>
      <c r="F1135" s="206" t="s">
        <v>297</v>
      </c>
      <c r="G1135" s="206" t="s">
        <v>742</v>
      </c>
      <c r="H1135" s="206">
        <v>969283</v>
      </c>
      <c r="I1135" s="145"/>
      <c r="J1135" s="129" t="s">
        <v>193</v>
      </c>
      <c r="K1135" s="284"/>
      <c r="L1135" s="103"/>
      <c r="M1135" s="287"/>
      <c r="N1135" s="290"/>
    </row>
    <row r="1136" spans="1:14">
      <c r="A1136" s="177"/>
      <c r="B1136" s="177"/>
      <c r="C1136" s="177"/>
      <c r="D1136" s="177"/>
      <c r="E1136" s="177"/>
      <c r="F1136" s="177"/>
      <c r="G1136" s="177"/>
      <c r="H1136" s="177"/>
      <c r="I1136" s="145"/>
      <c r="J1136" s="177"/>
      <c r="K1136" s="133"/>
      <c r="L1136" s="103"/>
      <c r="M1136" s="176"/>
      <c r="N1136" s="175"/>
    </row>
    <row r="1137" spans="1:14">
      <c r="A1137" s="177"/>
      <c r="B1137" s="177"/>
      <c r="C1137" s="177"/>
      <c r="D1137" s="177"/>
      <c r="E1137" s="177"/>
      <c r="F1137" s="177"/>
      <c r="G1137" s="177"/>
      <c r="H1137" s="177"/>
      <c r="I1137" s="145"/>
      <c r="J1137" s="177"/>
      <c r="K1137" s="133"/>
      <c r="L1137" s="103"/>
      <c r="M1137" s="176"/>
      <c r="N1137" s="175"/>
    </row>
    <row r="1138" spans="1:14">
      <c r="A1138" s="177"/>
      <c r="B1138" s="177"/>
      <c r="C1138" s="177"/>
      <c r="D1138" s="177"/>
      <c r="E1138" s="177"/>
      <c r="F1138" s="177"/>
      <c r="G1138" s="177"/>
      <c r="H1138" s="177"/>
      <c r="I1138" s="145"/>
      <c r="J1138" s="177"/>
      <c r="K1138" s="133"/>
      <c r="L1138" s="103"/>
      <c r="M1138" s="176"/>
      <c r="N1138" s="175"/>
    </row>
    <row r="1139" spans="1:14">
      <c r="A1139" s="177"/>
      <c r="B1139" s="177"/>
      <c r="C1139" s="177"/>
      <c r="D1139" s="177"/>
      <c r="E1139" s="177"/>
      <c r="F1139" s="177"/>
      <c r="G1139" s="177"/>
      <c r="H1139" s="177"/>
      <c r="I1139" s="145"/>
      <c r="J1139" s="177"/>
      <c r="K1139" s="133"/>
      <c r="L1139" s="103"/>
      <c r="M1139" s="176"/>
      <c r="N1139" s="175"/>
    </row>
    <row r="1140" spans="1:14">
      <c r="A1140" s="177"/>
      <c r="B1140" s="177"/>
      <c r="C1140" s="177"/>
      <c r="D1140" s="177"/>
      <c r="E1140" s="177"/>
      <c r="F1140" s="177"/>
      <c r="G1140" s="177"/>
      <c r="H1140" s="177"/>
      <c r="I1140" s="145"/>
      <c r="J1140" s="177"/>
      <c r="K1140" s="133"/>
      <c r="L1140" s="103"/>
      <c r="M1140" s="176"/>
      <c r="N1140" s="175"/>
    </row>
    <row r="1141" spans="1:14">
      <c r="A1141" s="177"/>
      <c r="B1141" s="177"/>
      <c r="C1141" s="177"/>
      <c r="D1141" s="177"/>
      <c r="E1141" s="177"/>
      <c r="F1141" s="177"/>
      <c r="G1141" s="177"/>
      <c r="H1141" s="177"/>
      <c r="I1141" s="145"/>
      <c r="J1141" s="177"/>
      <c r="K1141" s="133"/>
      <c r="L1141" s="103"/>
      <c r="M1141" s="176"/>
      <c r="N1141" s="175"/>
    </row>
    <row r="1142" spans="1:14">
      <c r="A1142" s="177"/>
      <c r="B1142" s="177"/>
      <c r="C1142" s="177"/>
      <c r="D1142" s="177"/>
      <c r="E1142" s="177"/>
      <c r="F1142" s="177"/>
      <c r="G1142" s="177"/>
      <c r="H1142" s="177"/>
      <c r="I1142" s="145"/>
      <c r="J1142" s="177"/>
      <c r="K1142" s="133"/>
      <c r="L1142" s="103"/>
      <c r="M1142" s="176"/>
      <c r="N1142" s="175"/>
    </row>
    <row r="1143" spans="1:14">
      <c r="A1143" s="177"/>
      <c r="B1143" s="177"/>
      <c r="C1143" s="177"/>
      <c r="D1143" s="177"/>
      <c r="E1143" s="177"/>
      <c r="F1143" s="177"/>
      <c r="G1143" s="177"/>
      <c r="H1143" s="177"/>
      <c r="I1143" s="145"/>
      <c r="J1143" s="177"/>
      <c r="K1143" s="133"/>
      <c r="L1143" s="103"/>
      <c r="M1143" s="176"/>
      <c r="N1143" s="175"/>
    </row>
    <row r="1144" spans="1:14">
      <c r="A1144" s="177"/>
      <c r="B1144" s="177"/>
      <c r="C1144" s="177"/>
      <c r="D1144" s="177"/>
      <c r="E1144" s="177"/>
      <c r="F1144" s="177"/>
      <c r="G1144" s="177"/>
      <c r="H1144" s="177"/>
      <c r="I1144" s="145"/>
      <c r="J1144" s="177"/>
      <c r="K1144" s="133"/>
      <c r="L1144" s="103"/>
      <c r="M1144" s="176"/>
      <c r="N1144" s="175"/>
    </row>
    <row r="1145" spans="1:14">
      <c r="A1145" s="177"/>
      <c r="B1145" s="177"/>
      <c r="C1145" s="177"/>
      <c r="D1145" s="177"/>
      <c r="E1145" s="177"/>
      <c r="F1145" s="177"/>
      <c r="G1145" s="177"/>
      <c r="H1145" s="177"/>
      <c r="I1145" s="145"/>
      <c r="J1145" s="177"/>
      <c r="K1145" s="133"/>
      <c r="L1145" s="103"/>
      <c r="M1145" s="176"/>
      <c r="N1145" s="175"/>
    </row>
    <row r="1146" spans="1:14">
      <c r="A1146" s="177"/>
      <c r="B1146" s="177"/>
      <c r="C1146" s="177"/>
      <c r="D1146" s="177"/>
      <c r="E1146" s="177"/>
      <c r="F1146" s="177"/>
      <c r="G1146" s="177"/>
      <c r="H1146" s="177"/>
      <c r="I1146" s="145"/>
      <c r="J1146" s="177"/>
      <c r="K1146" s="133"/>
      <c r="L1146" s="103"/>
      <c r="M1146" s="176"/>
      <c r="N1146" s="175"/>
    </row>
    <row r="1147" spans="1:14">
      <c r="A1147" s="177"/>
      <c r="B1147" s="177"/>
      <c r="C1147" s="177"/>
      <c r="D1147" s="177"/>
      <c r="E1147" s="177"/>
      <c r="F1147" s="177"/>
      <c r="G1147" s="177"/>
      <c r="H1147" s="177"/>
      <c r="I1147" s="145"/>
      <c r="J1147" s="177"/>
      <c r="K1147" s="133"/>
      <c r="L1147" s="103"/>
      <c r="M1147" s="176"/>
      <c r="N1147" s="175"/>
    </row>
    <row r="1148" spans="1:14">
      <c r="A1148" s="177"/>
      <c r="B1148" s="177"/>
      <c r="C1148" s="177"/>
      <c r="D1148" s="177"/>
      <c r="E1148" s="177"/>
      <c r="F1148" s="177"/>
      <c r="G1148" s="177"/>
      <c r="H1148" s="177"/>
      <c r="I1148" s="145"/>
      <c r="J1148" s="177"/>
      <c r="K1148" s="133"/>
      <c r="L1148" s="103"/>
      <c r="M1148" s="176"/>
      <c r="N1148" s="175"/>
    </row>
    <row r="1149" spans="1:14">
      <c r="A1149" s="177"/>
      <c r="B1149" s="177"/>
      <c r="C1149" s="177"/>
      <c r="D1149" s="177"/>
      <c r="E1149" s="177"/>
      <c r="F1149" s="177"/>
      <c r="G1149" s="177"/>
      <c r="H1149" s="177"/>
      <c r="I1149" s="145"/>
      <c r="J1149" s="177"/>
      <c r="K1149" s="133"/>
      <c r="L1149" s="103"/>
      <c r="M1149" s="176"/>
      <c r="N1149" s="175"/>
    </row>
    <row r="1150" spans="1:14">
      <c r="A1150" s="177"/>
      <c r="B1150" s="177"/>
      <c r="C1150" s="177"/>
      <c r="D1150" s="177"/>
      <c r="E1150" s="177"/>
      <c r="F1150" s="177"/>
      <c r="G1150" s="177"/>
      <c r="H1150" s="177"/>
      <c r="I1150" s="145"/>
      <c r="J1150" s="177"/>
      <c r="K1150" s="133"/>
      <c r="L1150" s="103"/>
      <c r="M1150" s="176"/>
      <c r="N1150" s="175"/>
    </row>
    <row r="1151" spans="1:14">
      <c r="A1151" s="177"/>
      <c r="B1151" s="177"/>
      <c r="C1151" s="177"/>
      <c r="D1151" s="177"/>
      <c r="E1151" s="177"/>
      <c r="F1151" s="177"/>
      <c r="G1151" s="177"/>
      <c r="H1151" s="177"/>
      <c r="I1151" s="145"/>
      <c r="J1151" s="177"/>
      <c r="K1151" s="133"/>
      <c r="L1151" s="103"/>
      <c r="M1151" s="176"/>
      <c r="N1151" s="175"/>
    </row>
    <row r="1152" spans="1:14">
      <c r="A1152" s="177"/>
      <c r="B1152" s="177"/>
      <c r="C1152" s="177"/>
      <c r="D1152" s="177"/>
      <c r="E1152" s="177"/>
      <c r="F1152" s="177"/>
      <c r="G1152" s="177"/>
      <c r="H1152" s="177"/>
      <c r="I1152" s="145"/>
      <c r="J1152" s="177"/>
      <c r="K1152" s="133"/>
      <c r="L1152" s="103"/>
      <c r="M1152" s="176"/>
      <c r="N1152" s="175"/>
    </row>
    <row r="1153" spans="1:14">
      <c r="A1153" s="177"/>
      <c r="B1153" s="177"/>
      <c r="C1153" s="177"/>
      <c r="D1153" s="177"/>
      <c r="E1153" s="177"/>
      <c r="F1153" s="177"/>
      <c r="G1153" s="177"/>
      <c r="H1153" s="177"/>
      <c r="I1153" s="145"/>
      <c r="J1153" s="177"/>
      <c r="K1153" s="133"/>
      <c r="L1153" s="103"/>
      <c r="M1153" s="176"/>
      <c r="N1153" s="175"/>
    </row>
    <row r="1154" spans="1:14">
      <c r="A1154" s="177"/>
      <c r="B1154" s="177"/>
      <c r="C1154" s="177"/>
      <c r="D1154" s="177"/>
      <c r="E1154" s="177"/>
      <c r="F1154" s="177"/>
      <c r="G1154" s="177"/>
      <c r="H1154" s="177"/>
      <c r="I1154" s="145"/>
      <c r="J1154" s="177"/>
      <c r="K1154" s="133"/>
      <c r="L1154" s="103"/>
      <c r="M1154" s="176"/>
      <c r="N1154" s="175"/>
    </row>
    <row r="1155" spans="1:14">
      <c r="A1155" s="177"/>
      <c r="B1155" s="177"/>
      <c r="C1155" s="177"/>
      <c r="D1155" s="177"/>
      <c r="E1155" s="177"/>
      <c r="F1155" s="177"/>
      <c r="G1155" s="177"/>
      <c r="H1155" s="177"/>
      <c r="I1155" s="145"/>
      <c r="J1155" s="177"/>
      <c r="K1155" s="133"/>
      <c r="L1155" s="103"/>
      <c r="M1155" s="176"/>
      <c r="N1155" s="175"/>
    </row>
    <row r="1156" spans="1:14">
      <c r="A1156" s="177"/>
      <c r="B1156" s="177"/>
      <c r="C1156" s="177"/>
      <c r="D1156" s="177"/>
      <c r="E1156" s="177"/>
      <c r="F1156" s="177"/>
      <c r="G1156" s="177"/>
      <c r="H1156" s="177"/>
      <c r="I1156" s="145"/>
      <c r="J1156" s="177"/>
      <c r="K1156" s="133"/>
      <c r="L1156" s="103"/>
      <c r="M1156" s="176"/>
      <c r="N1156" s="175"/>
    </row>
    <row r="1157" spans="1:14">
      <c r="A1157" s="177"/>
      <c r="B1157" s="177"/>
      <c r="C1157" s="177"/>
      <c r="D1157" s="177"/>
      <c r="E1157" s="177"/>
      <c r="F1157" s="177"/>
      <c r="G1157" s="177"/>
      <c r="H1157" s="177"/>
      <c r="I1157" s="145"/>
      <c r="J1157" s="177"/>
      <c r="K1157" s="133"/>
      <c r="L1157" s="103"/>
      <c r="M1157" s="176"/>
      <c r="N1157" s="175"/>
    </row>
    <row r="1158" spans="1:14">
      <c r="A1158" s="177"/>
      <c r="B1158" s="177"/>
      <c r="C1158" s="177"/>
      <c r="D1158" s="177"/>
      <c r="E1158" s="177"/>
      <c r="F1158" s="177"/>
      <c r="G1158" s="177"/>
      <c r="H1158" s="177"/>
      <c r="I1158" s="145"/>
      <c r="J1158" s="177"/>
      <c r="K1158" s="133"/>
      <c r="L1158" s="103"/>
      <c r="M1158" s="176"/>
      <c r="N1158" s="175"/>
    </row>
    <row r="1159" spans="1:14">
      <c r="A1159" s="177"/>
      <c r="B1159" s="177"/>
      <c r="C1159" s="177"/>
      <c r="D1159" s="177"/>
      <c r="E1159" s="177"/>
      <c r="F1159" s="177"/>
      <c r="G1159" s="177"/>
      <c r="H1159" s="177"/>
      <c r="I1159" s="145"/>
      <c r="J1159" s="177"/>
      <c r="K1159" s="133"/>
      <c r="L1159" s="103"/>
      <c r="M1159" s="176"/>
      <c r="N1159" s="175"/>
    </row>
    <row r="1160" spans="1:14">
      <c r="A1160" s="177"/>
      <c r="B1160" s="177"/>
      <c r="C1160" s="177"/>
      <c r="D1160" s="177"/>
      <c r="E1160" s="177"/>
      <c r="F1160" s="177"/>
      <c r="G1160" s="177"/>
      <c r="H1160" s="177"/>
      <c r="I1160" s="145"/>
      <c r="J1160" s="177"/>
      <c r="K1160" s="133"/>
      <c r="L1160" s="103"/>
      <c r="M1160" s="176"/>
      <c r="N1160" s="175"/>
    </row>
    <row r="1161" spans="1:14">
      <c r="A1161" s="177"/>
      <c r="B1161" s="177"/>
      <c r="C1161" s="177"/>
      <c r="D1161" s="177"/>
      <c r="E1161" s="177"/>
      <c r="F1161" s="177"/>
      <c r="G1161" s="177"/>
      <c r="H1161" s="177"/>
      <c r="I1161" s="145"/>
      <c r="J1161" s="177"/>
      <c r="K1161" s="133"/>
      <c r="L1161" s="103"/>
      <c r="M1161" s="176"/>
      <c r="N1161" s="175"/>
    </row>
    <row r="1162" spans="1:14">
      <c r="A1162" s="177"/>
      <c r="B1162" s="177"/>
      <c r="C1162" s="177"/>
      <c r="D1162" s="177"/>
      <c r="E1162" s="177"/>
      <c r="F1162" s="177"/>
      <c r="G1162" s="177"/>
      <c r="H1162" s="177"/>
      <c r="I1162" s="145"/>
      <c r="J1162" s="177"/>
      <c r="K1162" s="133"/>
      <c r="L1162" s="103"/>
      <c r="M1162" s="176"/>
      <c r="N1162" s="175"/>
    </row>
    <row r="1163" spans="1:14">
      <c r="A1163" s="177"/>
      <c r="B1163" s="177"/>
      <c r="C1163" s="177"/>
      <c r="D1163" s="177"/>
      <c r="E1163" s="177"/>
      <c r="F1163" s="177"/>
      <c r="G1163" s="177"/>
      <c r="H1163" s="177"/>
      <c r="I1163" s="145"/>
      <c r="J1163" s="177"/>
      <c r="K1163" s="133"/>
      <c r="L1163" s="103"/>
      <c r="M1163" s="176"/>
      <c r="N1163" s="175"/>
    </row>
    <row r="1164" spans="1:14">
      <c r="A1164" s="177"/>
      <c r="B1164" s="177"/>
      <c r="C1164" s="177"/>
      <c r="D1164" s="177"/>
      <c r="E1164" s="177"/>
      <c r="F1164" s="177"/>
      <c r="G1164" s="177"/>
      <c r="H1164" s="177"/>
      <c r="I1164" s="145"/>
      <c r="J1164" s="177"/>
      <c r="K1164" s="133"/>
      <c r="L1164" s="103"/>
      <c r="M1164" s="176"/>
      <c r="N1164" s="175"/>
    </row>
    <row r="1165" spans="1:14">
      <c r="A1165" s="177"/>
      <c r="B1165" s="177"/>
      <c r="C1165" s="177"/>
      <c r="D1165" s="177"/>
      <c r="E1165" s="177"/>
      <c r="F1165" s="177"/>
      <c r="G1165" s="177"/>
      <c r="H1165" s="177"/>
      <c r="I1165" s="145"/>
      <c r="J1165" s="177"/>
      <c r="K1165" s="133"/>
      <c r="L1165" s="103"/>
      <c r="M1165" s="176"/>
      <c r="N1165" s="175"/>
    </row>
    <row r="1166" spans="1:14">
      <c r="A1166" s="177"/>
      <c r="B1166" s="177"/>
      <c r="C1166" s="177"/>
      <c r="D1166" s="177"/>
      <c r="E1166" s="177"/>
      <c r="F1166" s="177"/>
      <c r="G1166" s="177"/>
      <c r="H1166" s="177"/>
      <c r="I1166" s="145"/>
      <c r="J1166" s="177"/>
      <c r="K1166" s="133"/>
      <c r="L1166" s="103"/>
      <c r="M1166" s="176"/>
      <c r="N1166" s="175"/>
    </row>
    <row r="1167" spans="1:14">
      <c r="A1167" s="177"/>
      <c r="B1167" s="177"/>
      <c r="C1167" s="177"/>
      <c r="D1167" s="177"/>
      <c r="E1167" s="177"/>
      <c r="F1167" s="177"/>
      <c r="G1167" s="177"/>
      <c r="H1167" s="177"/>
      <c r="I1167" s="145"/>
      <c r="J1167" s="177"/>
      <c r="K1167" s="133"/>
      <c r="L1167" s="103"/>
      <c r="M1167" s="176"/>
      <c r="N1167" s="175"/>
    </row>
    <row r="1168" spans="1:14">
      <c r="A1168" s="177"/>
      <c r="B1168" s="177"/>
      <c r="C1168" s="177"/>
      <c r="D1168" s="177"/>
      <c r="E1168" s="177"/>
      <c r="F1168" s="177"/>
      <c r="G1168" s="177"/>
      <c r="H1168" s="177"/>
      <c r="I1168" s="145"/>
      <c r="J1168" s="177"/>
      <c r="K1168" s="133"/>
      <c r="L1168" s="103"/>
      <c r="M1168" s="176"/>
      <c r="N1168" s="175"/>
    </row>
    <row r="1169" spans="1:14">
      <c r="A1169" s="177"/>
      <c r="B1169" s="177"/>
      <c r="C1169" s="177"/>
      <c r="D1169" s="177"/>
      <c r="E1169" s="177"/>
      <c r="F1169" s="177"/>
      <c r="G1169" s="177"/>
      <c r="H1169" s="177"/>
      <c r="I1169" s="145"/>
      <c r="J1169" s="177"/>
      <c r="K1169" s="133"/>
      <c r="L1169" s="103"/>
      <c r="M1169" s="176"/>
      <c r="N1169" s="175"/>
    </row>
    <row r="1170" spans="1:14">
      <c r="A1170" s="177"/>
      <c r="B1170" s="177"/>
      <c r="C1170" s="177"/>
      <c r="D1170" s="177"/>
      <c r="E1170" s="177"/>
      <c r="F1170" s="177"/>
      <c r="G1170" s="177"/>
      <c r="H1170" s="177"/>
      <c r="I1170" s="145"/>
      <c r="J1170" s="177"/>
      <c r="K1170" s="133"/>
      <c r="L1170" s="103"/>
      <c r="M1170" s="176"/>
      <c r="N1170" s="175"/>
    </row>
    <row r="1171" spans="1:14">
      <c r="A1171" s="177"/>
      <c r="B1171" s="177"/>
      <c r="C1171" s="177"/>
      <c r="D1171" s="177"/>
      <c r="E1171" s="177"/>
      <c r="F1171" s="177"/>
      <c r="G1171" s="177"/>
      <c r="H1171" s="177"/>
      <c r="I1171" s="145"/>
      <c r="J1171" s="177"/>
      <c r="K1171" s="133"/>
      <c r="L1171" s="103"/>
      <c r="M1171" s="176"/>
      <c r="N1171" s="175"/>
    </row>
    <row r="1172" spans="1:14">
      <c r="A1172" s="177"/>
      <c r="B1172" s="177"/>
      <c r="C1172" s="177"/>
      <c r="D1172" s="177"/>
      <c r="E1172" s="177"/>
      <c r="F1172" s="177"/>
      <c r="G1172" s="177"/>
      <c r="H1172" s="177"/>
      <c r="I1172" s="145"/>
      <c r="J1172" s="177"/>
      <c r="K1172" s="133"/>
      <c r="L1172" s="103"/>
      <c r="M1172" s="176"/>
      <c r="N1172" s="175"/>
    </row>
    <row r="1173" spans="1:14">
      <c r="A1173" s="177"/>
      <c r="B1173" s="177"/>
      <c r="C1173" s="177"/>
      <c r="D1173" s="177"/>
      <c r="E1173" s="177"/>
      <c r="F1173" s="177"/>
      <c r="G1173" s="177"/>
      <c r="H1173" s="177"/>
      <c r="I1173" s="145"/>
      <c r="J1173" s="177"/>
      <c r="K1173" s="133"/>
      <c r="L1173" s="103"/>
      <c r="M1173" s="176"/>
      <c r="N1173" s="175"/>
    </row>
    <row r="1174" spans="1:14">
      <c r="A1174" s="177"/>
      <c r="B1174" s="177"/>
      <c r="C1174" s="177"/>
      <c r="D1174" s="177"/>
      <c r="E1174" s="177"/>
      <c r="F1174" s="177"/>
      <c r="G1174" s="177"/>
      <c r="H1174" s="177"/>
      <c r="I1174" s="145"/>
      <c r="J1174" s="177"/>
      <c r="K1174" s="133"/>
      <c r="L1174" s="103"/>
      <c r="M1174" s="176"/>
      <c r="N1174" s="175"/>
    </row>
    <row r="1175" spans="1:14">
      <c r="A1175" s="177"/>
      <c r="B1175" s="177"/>
      <c r="C1175" s="177"/>
      <c r="D1175" s="177"/>
      <c r="E1175" s="177"/>
      <c r="F1175" s="177"/>
      <c r="G1175" s="177"/>
      <c r="H1175" s="177"/>
      <c r="I1175" s="145"/>
      <c r="J1175" s="177"/>
      <c r="K1175" s="133"/>
      <c r="L1175" s="103"/>
      <c r="M1175" s="176"/>
      <c r="N1175" s="175"/>
    </row>
    <row r="1176" spans="1:14">
      <c r="A1176" s="177"/>
      <c r="B1176" s="177"/>
      <c r="C1176" s="177"/>
      <c r="D1176" s="177"/>
      <c r="E1176" s="177"/>
      <c r="F1176" s="177"/>
      <c r="G1176" s="177"/>
      <c r="H1176" s="177"/>
      <c r="I1176" s="145"/>
      <c r="J1176" s="177"/>
      <c r="K1176" s="133"/>
      <c r="L1176" s="103"/>
      <c r="M1176" s="176"/>
      <c r="N1176" s="175"/>
    </row>
    <row r="1177" spans="1:14">
      <c r="A1177" s="177"/>
      <c r="B1177" s="177"/>
      <c r="C1177" s="177"/>
      <c r="D1177" s="177"/>
      <c r="E1177" s="177"/>
      <c r="F1177" s="177"/>
      <c r="G1177" s="177"/>
      <c r="H1177" s="177"/>
      <c r="I1177" s="145"/>
      <c r="J1177" s="177"/>
      <c r="K1177" s="133"/>
      <c r="L1177" s="103"/>
      <c r="M1177" s="176"/>
      <c r="N1177" s="175"/>
    </row>
    <row r="1178" spans="1:14">
      <c r="A1178" s="177"/>
      <c r="B1178" s="177"/>
      <c r="C1178" s="177"/>
      <c r="D1178" s="177"/>
      <c r="E1178" s="177"/>
      <c r="F1178" s="177"/>
      <c r="G1178" s="177"/>
      <c r="H1178" s="177"/>
      <c r="I1178" s="145"/>
      <c r="J1178" s="177"/>
      <c r="K1178" s="133"/>
      <c r="L1178" s="103"/>
      <c r="M1178" s="176"/>
      <c r="N1178" s="175"/>
    </row>
    <row r="1179" spans="1:14">
      <c r="A1179" s="177"/>
      <c r="B1179" s="177"/>
      <c r="C1179" s="177"/>
      <c r="D1179" s="177"/>
      <c r="E1179" s="177"/>
      <c r="F1179" s="177"/>
      <c r="G1179" s="177"/>
      <c r="H1179" s="177"/>
      <c r="I1179" s="145"/>
      <c r="J1179" s="177"/>
      <c r="K1179" s="133"/>
      <c r="L1179" s="103"/>
      <c r="M1179" s="176"/>
      <c r="N1179" s="175"/>
    </row>
    <row r="1180" spans="1:14">
      <c r="A1180" s="177"/>
      <c r="B1180" s="177"/>
      <c r="C1180" s="177"/>
      <c r="D1180" s="177"/>
      <c r="E1180" s="177"/>
      <c r="F1180" s="177"/>
      <c r="G1180" s="177"/>
      <c r="H1180" s="177"/>
      <c r="I1180" s="145"/>
      <c r="J1180" s="177"/>
      <c r="K1180" s="133"/>
      <c r="L1180" s="103"/>
      <c r="M1180" s="176"/>
      <c r="N1180" s="175"/>
    </row>
    <row r="1181" spans="1:14">
      <c r="A1181" s="177"/>
      <c r="B1181" s="177"/>
      <c r="C1181" s="177"/>
      <c r="D1181" s="177"/>
      <c r="E1181" s="177"/>
      <c r="F1181" s="177"/>
      <c r="G1181" s="177"/>
      <c r="H1181" s="177"/>
      <c r="I1181" s="145"/>
      <c r="J1181" s="177"/>
      <c r="K1181" s="133"/>
      <c r="L1181" s="103"/>
      <c r="M1181" s="176"/>
      <c r="N1181" s="175"/>
    </row>
    <row r="1182" spans="1:14">
      <c r="A1182" s="177"/>
      <c r="B1182" s="177"/>
      <c r="C1182" s="177"/>
      <c r="D1182" s="177"/>
      <c r="E1182" s="177"/>
      <c r="F1182" s="177"/>
      <c r="G1182" s="177"/>
      <c r="H1182" s="177"/>
      <c r="I1182" s="145"/>
      <c r="J1182" s="177"/>
      <c r="K1182" s="133"/>
      <c r="L1182" s="103"/>
      <c r="M1182" s="176"/>
      <c r="N1182" s="175"/>
    </row>
    <row r="1183" spans="1:14">
      <c r="A1183" s="177"/>
      <c r="B1183" s="177"/>
      <c r="C1183" s="177"/>
      <c r="D1183" s="177"/>
      <c r="E1183" s="177"/>
      <c r="F1183" s="177"/>
      <c r="G1183" s="177"/>
      <c r="H1183" s="177"/>
      <c r="I1183" s="145"/>
      <c r="J1183" s="177"/>
      <c r="K1183" s="133"/>
      <c r="L1183" s="103"/>
      <c r="M1183" s="176"/>
      <c r="N1183" s="175"/>
    </row>
    <row r="1184" spans="1:14">
      <c r="A1184" s="177"/>
      <c r="B1184" s="177"/>
      <c r="C1184" s="177"/>
      <c r="D1184" s="177"/>
      <c r="E1184" s="177"/>
      <c r="F1184" s="177"/>
      <c r="G1184" s="177"/>
      <c r="H1184" s="177"/>
      <c r="I1184" s="145"/>
      <c r="J1184" s="177"/>
      <c r="K1184" s="133"/>
      <c r="L1184" s="103"/>
      <c r="M1184" s="176"/>
      <c r="N1184" s="175"/>
    </row>
    <row r="1185" spans="1:14">
      <c r="A1185" s="177"/>
      <c r="B1185" s="177"/>
      <c r="C1185" s="177"/>
      <c r="D1185" s="177"/>
      <c r="E1185" s="177"/>
      <c r="F1185" s="177"/>
      <c r="G1185" s="177"/>
      <c r="H1185" s="177"/>
      <c r="I1185" s="145"/>
      <c r="J1185" s="177"/>
      <c r="K1185" s="133"/>
      <c r="L1185" s="103"/>
      <c r="M1185" s="176"/>
      <c r="N1185" s="175"/>
    </row>
    <row r="1186" spans="1:14">
      <c r="A1186" s="177"/>
      <c r="B1186" s="177"/>
      <c r="C1186" s="177"/>
      <c r="D1186" s="177"/>
      <c r="E1186" s="177"/>
      <c r="F1186" s="177"/>
      <c r="G1186" s="177"/>
      <c r="H1186" s="177"/>
      <c r="I1186" s="145"/>
      <c r="J1186" s="177"/>
      <c r="K1186" s="133"/>
      <c r="L1186" s="103"/>
      <c r="M1186" s="176"/>
      <c r="N1186" s="175"/>
    </row>
    <row r="1187" spans="1:14">
      <c r="A1187" s="177"/>
      <c r="B1187" s="177"/>
      <c r="C1187" s="177"/>
      <c r="D1187" s="177"/>
      <c r="E1187" s="177"/>
      <c r="F1187" s="177"/>
      <c r="G1187" s="177"/>
      <c r="H1187" s="177"/>
      <c r="I1187" s="145"/>
      <c r="J1187" s="177"/>
      <c r="K1187" s="133"/>
      <c r="L1187" s="103"/>
      <c r="M1187" s="176"/>
      <c r="N1187" s="175"/>
    </row>
    <row r="1188" spans="1:14">
      <c r="A1188" s="177"/>
      <c r="B1188" s="177"/>
      <c r="C1188" s="177"/>
      <c r="D1188" s="177"/>
      <c r="E1188" s="177"/>
      <c r="F1188" s="177"/>
      <c r="G1188" s="177"/>
      <c r="H1188" s="177"/>
      <c r="I1188" s="145"/>
      <c r="J1188" s="177"/>
      <c r="K1188" s="133"/>
      <c r="L1188" s="103"/>
      <c r="M1188" s="176"/>
      <c r="N1188" s="175"/>
    </row>
    <row r="1189" spans="1:14">
      <c r="A1189" s="177"/>
      <c r="B1189" s="177"/>
      <c r="C1189" s="177"/>
      <c r="D1189" s="177"/>
      <c r="E1189" s="177"/>
      <c r="F1189" s="177"/>
      <c r="G1189" s="177"/>
      <c r="H1189" s="177"/>
      <c r="I1189" s="145"/>
      <c r="J1189" s="177"/>
      <c r="K1189" s="133"/>
      <c r="L1189" s="103"/>
      <c r="M1189" s="176"/>
      <c r="N1189" s="175"/>
    </row>
    <row r="1190" spans="1:14">
      <c r="A1190" s="177"/>
      <c r="B1190" s="177"/>
      <c r="C1190" s="177"/>
      <c r="D1190" s="177"/>
      <c r="E1190" s="177"/>
      <c r="F1190" s="177"/>
      <c r="G1190" s="177"/>
      <c r="H1190" s="177"/>
      <c r="I1190" s="145"/>
      <c r="J1190" s="177"/>
      <c r="K1190" s="133"/>
      <c r="L1190" s="103"/>
      <c r="M1190" s="176"/>
      <c r="N1190" s="175"/>
    </row>
    <row r="1191" spans="1:14">
      <c r="A1191" s="177"/>
      <c r="B1191" s="177"/>
      <c r="C1191" s="177"/>
      <c r="D1191" s="177"/>
      <c r="E1191" s="177"/>
      <c r="F1191" s="177"/>
      <c r="G1191" s="177"/>
      <c r="H1191" s="177"/>
      <c r="I1191" s="145"/>
      <c r="J1191" s="177"/>
      <c r="K1191" s="133"/>
      <c r="L1191" s="103"/>
      <c r="M1191" s="176"/>
      <c r="N1191" s="175"/>
    </row>
    <row r="1192" spans="1:14">
      <c r="A1192" s="177"/>
      <c r="B1192" s="177"/>
      <c r="C1192" s="177"/>
      <c r="D1192" s="177"/>
      <c r="E1192" s="177"/>
      <c r="F1192" s="177"/>
      <c r="G1192" s="177"/>
      <c r="H1192" s="177"/>
      <c r="I1192" s="145"/>
      <c r="J1192" s="177"/>
      <c r="K1192" s="133"/>
      <c r="L1192" s="103"/>
      <c r="M1192" s="176"/>
      <c r="N1192" s="175"/>
    </row>
    <row r="1193" spans="1:14">
      <c r="A1193" s="177"/>
      <c r="B1193" s="177"/>
      <c r="C1193" s="177"/>
      <c r="D1193" s="177"/>
      <c r="E1193" s="177"/>
      <c r="F1193" s="177"/>
      <c r="G1193" s="177"/>
      <c r="H1193" s="177"/>
      <c r="I1193" s="145"/>
      <c r="J1193" s="177"/>
      <c r="K1193" s="133"/>
      <c r="L1193" s="103"/>
      <c r="M1193" s="176"/>
      <c r="N1193" s="175"/>
    </row>
    <row r="1194" spans="1:14">
      <c r="A1194" s="177"/>
      <c r="B1194" s="177"/>
      <c r="C1194" s="177"/>
      <c r="D1194" s="177"/>
      <c r="E1194" s="177"/>
      <c r="F1194" s="177"/>
      <c r="G1194" s="177"/>
      <c r="H1194" s="177"/>
      <c r="I1194" s="145"/>
      <c r="J1194" s="177"/>
      <c r="K1194" s="133"/>
      <c r="L1194" s="103"/>
      <c r="M1194" s="176"/>
      <c r="N1194" s="175"/>
    </row>
    <row r="1195" spans="1:14">
      <c r="A1195" s="177"/>
      <c r="B1195" s="177"/>
      <c r="C1195" s="177"/>
      <c r="D1195" s="177"/>
      <c r="E1195" s="177"/>
      <c r="F1195" s="177"/>
      <c r="G1195" s="177"/>
      <c r="H1195" s="177"/>
      <c r="I1195" s="145"/>
      <c r="J1195" s="177"/>
      <c r="K1195" s="133"/>
      <c r="L1195" s="103"/>
      <c r="M1195" s="176"/>
      <c r="N1195" s="175"/>
    </row>
    <row r="1196" spans="1:14">
      <c r="A1196" s="177"/>
      <c r="B1196" s="177"/>
      <c r="C1196" s="177"/>
      <c r="D1196" s="177"/>
      <c r="E1196" s="177"/>
      <c r="F1196" s="177"/>
      <c r="G1196" s="177"/>
      <c r="H1196" s="177"/>
      <c r="I1196" s="145"/>
      <c r="J1196" s="177"/>
      <c r="K1196" s="133"/>
      <c r="L1196" s="103"/>
      <c r="M1196" s="176"/>
      <c r="N1196" s="175"/>
    </row>
    <row r="1197" spans="1:14">
      <c r="A1197" s="177"/>
      <c r="B1197" s="177"/>
      <c r="C1197" s="177"/>
      <c r="D1197" s="177"/>
      <c r="E1197" s="177"/>
      <c r="F1197" s="177"/>
      <c r="G1197" s="177"/>
      <c r="H1197" s="177"/>
      <c r="I1197" s="145"/>
      <c r="J1197" s="177"/>
      <c r="K1197" s="133"/>
      <c r="L1197" s="103"/>
      <c r="M1197" s="176"/>
      <c r="N1197" s="175"/>
    </row>
    <row r="1198" spans="1:14">
      <c r="A1198" s="177"/>
      <c r="B1198" s="177"/>
      <c r="C1198" s="177"/>
      <c r="D1198" s="177"/>
      <c r="E1198" s="177"/>
      <c r="F1198" s="177"/>
      <c r="G1198" s="177"/>
      <c r="H1198" s="177"/>
      <c r="I1198" s="145"/>
      <c r="J1198" s="177"/>
      <c r="K1198" s="133"/>
      <c r="L1198" s="103"/>
      <c r="M1198" s="176"/>
      <c r="N1198" s="175"/>
    </row>
    <row r="1199" spans="1:14">
      <c r="A1199" s="177"/>
      <c r="B1199" s="177"/>
      <c r="C1199" s="177"/>
      <c r="D1199" s="177"/>
      <c r="E1199" s="177"/>
      <c r="F1199" s="177"/>
      <c r="G1199" s="177"/>
      <c r="H1199" s="177"/>
      <c r="I1199" s="145"/>
      <c r="J1199" s="177"/>
      <c r="K1199" s="133"/>
      <c r="L1199" s="103"/>
      <c r="M1199" s="176"/>
      <c r="N1199" s="175"/>
    </row>
    <row r="1200" spans="1:14">
      <c r="A1200" s="177"/>
      <c r="B1200" s="177"/>
      <c r="C1200" s="177"/>
      <c r="D1200" s="177"/>
      <c r="E1200" s="177"/>
      <c r="F1200" s="177"/>
      <c r="G1200" s="177"/>
      <c r="H1200" s="177"/>
      <c r="I1200" s="145"/>
      <c r="J1200" s="177"/>
      <c r="K1200" s="133"/>
      <c r="L1200" s="103"/>
      <c r="M1200" s="176"/>
      <c r="N1200" s="175"/>
    </row>
    <row r="1201" spans="1:14">
      <c r="A1201" s="177"/>
      <c r="B1201" s="177"/>
      <c r="C1201" s="177"/>
      <c r="D1201" s="177"/>
      <c r="E1201" s="177"/>
      <c r="F1201" s="177"/>
      <c r="G1201" s="177"/>
      <c r="H1201" s="177"/>
      <c r="I1201" s="145"/>
      <c r="J1201" s="177"/>
      <c r="K1201" s="133"/>
      <c r="L1201" s="103"/>
      <c r="M1201" s="176"/>
      <c r="N1201" s="175"/>
    </row>
    <row r="1202" spans="1:14">
      <c r="A1202" s="177"/>
      <c r="B1202" s="177"/>
      <c r="C1202" s="177"/>
      <c r="D1202" s="177"/>
      <c r="E1202" s="177"/>
      <c r="F1202" s="177"/>
      <c r="G1202" s="177"/>
      <c r="H1202" s="177"/>
      <c r="I1202" s="145"/>
      <c r="J1202" s="177"/>
      <c r="K1202" s="133"/>
      <c r="L1202" s="103"/>
      <c r="M1202" s="176"/>
      <c r="N1202" s="175"/>
    </row>
    <row r="1203" spans="1:14">
      <c r="A1203" s="177"/>
      <c r="B1203" s="177"/>
      <c r="C1203" s="177"/>
      <c r="D1203" s="177"/>
      <c r="E1203" s="177"/>
      <c r="F1203" s="177"/>
      <c r="G1203" s="177"/>
      <c r="H1203" s="177"/>
      <c r="I1203" s="145"/>
      <c r="J1203" s="177"/>
      <c r="K1203" s="133"/>
      <c r="L1203" s="103"/>
      <c r="M1203" s="176"/>
      <c r="N1203" s="175"/>
    </row>
    <row r="1204" spans="1:14">
      <c r="A1204" s="177"/>
      <c r="B1204" s="177"/>
      <c r="C1204" s="177"/>
      <c r="D1204" s="177"/>
      <c r="E1204" s="177"/>
      <c r="F1204" s="177"/>
      <c r="G1204" s="177"/>
      <c r="H1204" s="177"/>
      <c r="I1204" s="145"/>
      <c r="J1204" s="177"/>
      <c r="K1204" s="133"/>
      <c r="L1204" s="103"/>
      <c r="M1204" s="176"/>
      <c r="N1204" s="175"/>
    </row>
    <row r="1205" spans="1:14">
      <c r="A1205" s="177"/>
      <c r="B1205" s="177"/>
      <c r="C1205" s="177"/>
      <c r="D1205" s="177"/>
      <c r="E1205" s="177"/>
      <c r="F1205" s="177"/>
      <c r="G1205" s="177"/>
      <c r="H1205" s="177"/>
      <c r="I1205" s="145"/>
      <c r="J1205" s="177"/>
      <c r="K1205" s="133"/>
      <c r="L1205" s="103"/>
      <c r="M1205" s="176"/>
      <c r="N1205" s="175"/>
    </row>
    <row r="1206" spans="1:14">
      <c r="A1206" s="177"/>
      <c r="B1206" s="177"/>
      <c r="C1206" s="177"/>
      <c r="D1206" s="177"/>
      <c r="E1206" s="177"/>
      <c r="F1206" s="177"/>
      <c r="G1206" s="177"/>
      <c r="H1206" s="177"/>
      <c r="I1206" s="145"/>
      <c r="J1206" s="177"/>
      <c r="K1206" s="133"/>
      <c r="L1206" s="103"/>
      <c r="M1206" s="176"/>
      <c r="N1206" s="175"/>
    </row>
    <row r="1207" spans="1:14">
      <c r="A1207" s="177"/>
      <c r="B1207" s="177"/>
      <c r="C1207" s="177"/>
      <c r="D1207" s="177"/>
      <c r="E1207" s="177"/>
      <c r="F1207" s="177"/>
      <c r="G1207" s="177"/>
      <c r="H1207" s="177"/>
      <c r="I1207" s="145"/>
      <c r="J1207" s="177"/>
      <c r="K1207" s="133"/>
      <c r="L1207" s="103"/>
      <c r="M1207" s="176"/>
      <c r="N1207" s="175"/>
    </row>
    <row r="1208" spans="1:14">
      <c r="A1208" s="177"/>
      <c r="B1208" s="177"/>
      <c r="C1208" s="177"/>
      <c r="D1208" s="177"/>
      <c r="E1208" s="177"/>
      <c r="F1208" s="177"/>
      <c r="G1208" s="177"/>
      <c r="H1208" s="177"/>
      <c r="I1208" s="145"/>
      <c r="J1208" s="177"/>
      <c r="K1208" s="133"/>
      <c r="L1208" s="103"/>
      <c r="M1208" s="176"/>
      <c r="N1208" s="175"/>
    </row>
    <row r="1209" spans="1:14">
      <c r="A1209" s="177"/>
      <c r="B1209" s="177"/>
      <c r="C1209" s="177"/>
      <c r="D1209" s="177"/>
      <c r="E1209" s="177"/>
      <c r="F1209" s="177"/>
      <c r="G1209" s="177"/>
      <c r="H1209" s="177"/>
      <c r="I1209" s="145"/>
      <c r="J1209" s="177"/>
      <c r="K1209" s="133"/>
      <c r="L1209" s="103"/>
      <c r="M1209" s="176"/>
      <c r="N1209" s="175"/>
    </row>
    <row r="1210" spans="1:14">
      <c r="A1210" s="177"/>
      <c r="B1210" s="177"/>
      <c r="C1210" s="177"/>
      <c r="D1210" s="177"/>
      <c r="E1210" s="177"/>
      <c r="F1210" s="177"/>
      <c r="G1210" s="177"/>
      <c r="H1210" s="177"/>
      <c r="I1210" s="145"/>
      <c r="J1210" s="177"/>
      <c r="K1210" s="133"/>
      <c r="L1210" s="103"/>
      <c r="M1210" s="176"/>
      <c r="N1210" s="175"/>
    </row>
    <row r="1211" spans="1:14">
      <c r="A1211" s="177"/>
      <c r="B1211" s="177"/>
      <c r="C1211" s="177"/>
      <c r="D1211" s="177"/>
      <c r="E1211" s="177"/>
      <c r="F1211" s="177"/>
      <c r="G1211" s="177"/>
      <c r="H1211" s="177"/>
      <c r="I1211" s="145"/>
      <c r="J1211" s="177"/>
      <c r="K1211" s="133"/>
      <c r="L1211" s="103"/>
      <c r="M1211" s="176"/>
      <c r="N1211" s="175"/>
    </row>
    <row r="1212" spans="1:14">
      <c r="A1212" s="177"/>
      <c r="B1212" s="177"/>
      <c r="C1212" s="177"/>
      <c r="D1212" s="177"/>
      <c r="E1212" s="177"/>
      <c r="F1212" s="177"/>
      <c r="G1212" s="177"/>
      <c r="H1212" s="177"/>
      <c r="I1212" s="145"/>
      <c r="J1212" s="177"/>
      <c r="K1212" s="133"/>
      <c r="L1212" s="103"/>
      <c r="M1212" s="176"/>
      <c r="N1212" s="175"/>
    </row>
    <row r="1213" spans="1:14">
      <c r="A1213" s="177"/>
      <c r="B1213" s="177"/>
      <c r="C1213" s="177"/>
      <c r="D1213" s="177"/>
      <c r="E1213" s="177"/>
      <c r="F1213" s="177"/>
      <c r="G1213" s="177"/>
      <c r="H1213" s="177"/>
      <c r="I1213" s="145"/>
      <c r="J1213" s="177"/>
      <c r="K1213" s="133"/>
      <c r="L1213" s="103"/>
      <c r="M1213" s="176"/>
      <c r="N1213" s="175"/>
    </row>
    <row r="1214" spans="1:14">
      <c r="A1214" s="177"/>
      <c r="B1214" s="177"/>
      <c r="C1214" s="177"/>
      <c r="D1214" s="177"/>
      <c r="E1214" s="177"/>
      <c r="F1214" s="177"/>
      <c r="G1214" s="177"/>
      <c r="H1214" s="177"/>
      <c r="I1214" s="145"/>
      <c r="J1214" s="177"/>
      <c r="K1214" s="133"/>
      <c r="L1214" s="103"/>
      <c r="M1214" s="176"/>
      <c r="N1214" s="175"/>
    </row>
    <row r="1215" spans="1:14">
      <c r="A1215" s="177"/>
      <c r="B1215" s="177"/>
      <c r="C1215" s="177"/>
      <c r="D1215" s="177"/>
      <c r="E1215" s="177"/>
      <c r="F1215" s="177"/>
      <c r="G1215" s="177"/>
      <c r="H1215" s="177"/>
      <c r="I1215" s="145"/>
      <c r="J1215" s="177"/>
      <c r="K1215" s="133"/>
      <c r="L1215" s="103"/>
      <c r="M1215" s="176"/>
      <c r="N1215" s="175"/>
    </row>
    <row r="1216" spans="1:14">
      <c r="A1216" s="177"/>
      <c r="B1216" s="177"/>
      <c r="C1216" s="177"/>
      <c r="D1216" s="177"/>
      <c r="E1216" s="177"/>
      <c r="F1216" s="177"/>
      <c r="G1216" s="177"/>
      <c r="H1216" s="177"/>
      <c r="I1216" s="145"/>
      <c r="J1216" s="177"/>
      <c r="K1216" s="133"/>
      <c r="L1216" s="103"/>
      <c r="M1216" s="176"/>
      <c r="N1216" s="175"/>
    </row>
    <row r="1217" spans="1:14">
      <c r="A1217" s="177"/>
      <c r="B1217" s="177"/>
      <c r="C1217" s="177"/>
      <c r="D1217" s="177"/>
      <c r="E1217" s="177"/>
      <c r="F1217" s="177"/>
      <c r="G1217" s="177"/>
      <c r="H1217" s="177"/>
      <c r="I1217" s="145"/>
      <c r="J1217" s="177"/>
      <c r="K1217" s="133"/>
      <c r="L1217" s="103"/>
      <c r="M1217" s="176"/>
      <c r="N1217" s="175"/>
    </row>
    <row r="1218" spans="1:14">
      <c r="A1218" s="177"/>
      <c r="B1218" s="177"/>
      <c r="C1218" s="177"/>
      <c r="D1218" s="177"/>
      <c r="E1218" s="177"/>
      <c r="F1218" s="177"/>
      <c r="G1218" s="177"/>
      <c r="H1218" s="177"/>
      <c r="I1218" s="145"/>
      <c r="J1218" s="177"/>
      <c r="K1218" s="133"/>
      <c r="L1218" s="103"/>
      <c r="M1218" s="176"/>
      <c r="N1218" s="175"/>
    </row>
    <row r="1219" spans="1:14">
      <c r="A1219" s="177"/>
      <c r="B1219" s="177"/>
      <c r="C1219" s="177"/>
      <c r="D1219" s="177"/>
      <c r="E1219" s="177"/>
      <c r="F1219" s="177"/>
      <c r="G1219" s="177"/>
      <c r="H1219" s="177"/>
      <c r="I1219" s="145"/>
      <c r="J1219" s="177"/>
      <c r="K1219" s="133"/>
      <c r="L1219" s="103"/>
      <c r="M1219" s="176"/>
      <c r="N1219" s="175"/>
    </row>
    <row r="1220" spans="1:14">
      <c r="A1220" s="177"/>
      <c r="B1220" s="177"/>
      <c r="C1220" s="177"/>
      <c r="D1220" s="177"/>
      <c r="E1220" s="177"/>
      <c r="F1220" s="177"/>
      <c r="G1220" s="177"/>
      <c r="H1220" s="177"/>
      <c r="I1220" s="145"/>
      <c r="J1220" s="177"/>
      <c r="K1220" s="133"/>
      <c r="L1220" s="103"/>
      <c r="M1220" s="176"/>
      <c r="N1220" s="175"/>
    </row>
    <row r="1221" spans="1:14">
      <c r="A1221" s="177"/>
      <c r="B1221" s="177"/>
      <c r="C1221" s="177"/>
      <c r="D1221" s="177"/>
      <c r="E1221" s="177"/>
      <c r="F1221" s="177"/>
      <c r="G1221" s="177"/>
      <c r="H1221" s="177"/>
      <c r="I1221" s="145"/>
      <c r="J1221" s="177"/>
      <c r="K1221" s="133"/>
      <c r="L1221" s="103"/>
      <c r="M1221" s="176"/>
      <c r="N1221" s="175"/>
    </row>
    <row r="1222" spans="1:14">
      <c r="A1222" s="177"/>
      <c r="B1222" s="177"/>
      <c r="C1222" s="177"/>
      <c r="D1222" s="177"/>
      <c r="E1222" s="177"/>
      <c r="F1222" s="177"/>
      <c r="G1222" s="177"/>
      <c r="H1222" s="177"/>
      <c r="I1222" s="145"/>
      <c r="J1222" s="177"/>
      <c r="K1222" s="133"/>
      <c r="L1222" s="103"/>
      <c r="M1222" s="176"/>
      <c r="N1222" s="175"/>
    </row>
    <row r="1223" spans="1:14">
      <c r="A1223" s="177"/>
      <c r="B1223" s="177"/>
      <c r="C1223" s="177"/>
      <c r="D1223" s="177"/>
      <c r="E1223" s="177"/>
      <c r="F1223" s="177"/>
      <c r="G1223" s="177"/>
      <c r="H1223" s="177"/>
      <c r="I1223" s="145"/>
      <c r="J1223" s="177"/>
      <c r="K1223" s="133"/>
      <c r="L1223" s="103"/>
      <c r="M1223" s="176"/>
      <c r="N1223" s="175"/>
    </row>
    <row r="1224" spans="1:14">
      <c r="A1224" s="177"/>
      <c r="B1224" s="177"/>
      <c r="C1224" s="177"/>
      <c r="D1224" s="177"/>
      <c r="E1224" s="177"/>
      <c r="F1224" s="177"/>
      <c r="G1224" s="177"/>
      <c r="H1224" s="177"/>
      <c r="I1224" s="145"/>
      <c r="J1224" s="177"/>
      <c r="K1224" s="133"/>
      <c r="L1224" s="103"/>
      <c r="M1224" s="176"/>
      <c r="N1224" s="175"/>
    </row>
    <row r="1225" spans="1:14">
      <c r="A1225" s="177"/>
      <c r="B1225" s="177"/>
      <c r="C1225" s="177"/>
      <c r="D1225" s="177"/>
      <c r="E1225" s="177"/>
      <c r="F1225" s="177"/>
      <c r="G1225" s="177"/>
      <c r="H1225" s="177"/>
      <c r="I1225" s="145"/>
      <c r="J1225" s="177"/>
      <c r="K1225" s="133"/>
      <c r="L1225" s="103"/>
      <c r="M1225" s="176"/>
      <c r="N1225" s="175"/>
    </row>
    <row r="1226" spans="1:14">
      <c r="A1226" s="177"/>
      <c r="B1226" s="177"/>
      <c r="C1226" s="177"/>
      <c r="D1226" s="177"/>
      <c r="E1226" s="177"/>
      <c r="F1226" s="177"/>
      <c r="G1226" s="177"/>
      <c r="H1226" s="177"/>
      <c r="I1226" s="145"/>
      <c r="J1226" s="177"/>
      <c r="K1226" s="133"/>
      <c r="L1226" s="103"/>
      <c r="M1226" s="176"/>
      <c r="N1226" s="175"/>
    </row>
    <row r="1227" spans="1:14">
      <c r="A1227" s="177"/>
      <c r="B1227" s="177"/>
      <c r="C1227" s="177"/>
      <c r="D1227" s="177"/>
      <c r="E1227" s="177"/>
      <c r="F1227" s="177"/>
      <c r="G1227" s="177"/>
      <c r="H1227" s="177"/>
      <c r="I1227" s="145"/>
      <c r="J1227" s="177"/>
      <c r="K1227" s="133"/>
      <c r="L1227" s="103"/>
      <c r="M1227" s="176"/>
      <c r="N1227" s="175"/>
    </row>
    <row r="1228" spans="1:14">
      <c r="A1228" s="177"/>
      <c r="B1228" s="177"/>
      <c r="C1228" s="177"/>
      <c r="D1228" s="177"/>
      <c r="E1228" s="177"/>
      <c r="F1228" s="177"/>
      <c r="G1228" s="177"/>
      <c r="H1228" s="177"/>
      <c r="I1228" s="145"/>
      <c r="J1228" s="177"/>
      <c r="K1228" s="133"/>
      <c r="L1228" s="103"/>
      <c r="M1228" s="176"/>
      <c r="N1228" s="175"/>
    </row>
    <row r="1229" spans="1:14">
      <c r="A1229" s="177"/>
      <c r="B1229" s="177"/>
      <c r="C1229" s="177"/>
      <c r="D1229" s="177"/>
      <c r="E1229" s="177"/>
      <c r="F1229" s="177"/>
      <c r="G1229" s="177"/>
      <c r="H1229" s="177"/>
      <c r="I1229" s="145"/>
      <c r="J1229" s="177"/>
      <c r="K1229" s="133"/>
      <c r="L1229" s="103"/>
      <c r="M1229" s="176"/>
      <c r="N1229" s="175"/>
    </row>
    <row r="1230" spans="1:14">
      <c r="A1230" s="177"/>
      <c r="B1230" s="177"/>
      <c r="C1230" s="177"/>
      <c r="D1230" s="177"/>
      <c r="E1230" s="177"/>
      <c r="F1230" s="177"/>
      <c r="G1230" s="177"/>
      <c r="H1230" s="177"/>
      <c r="I1230" s="145"/>
      <c r="J1230" s="177"/>
      <c r="K1230" s="133"/>
      <c r="L1230" s="103"/>
      <c r="M1230" s="176"/>
      <c r="N1230" s="175"/>
    </row>
    <row r="1231" spans="1:14">
      <c r="A1231" s="177"/>
      <c r="B1231" s="177"/>
      <c r="C1231" s="177"/>
      <c r="D1231" s="177"/>
      <c r="E1231" s="177"/>
      <c r="F1231" s="177"/>
      <c r="G1231" s="177"/>
      <c r="H1231" s="177"/>
      <c r="I1231" s="145"/>
      <c r="J1231" s="177"/>
      <c r="K1231" s="133"/>
      <c r="L1231" s="103"/>
      <c r="M1231" s="176"/>
      <c r="N1231" s="175"/>
    </row>
    <row r="1232" spans="1:14">
      <c r="A1232" s="177"/>
      <c r="B1232" s="177"/>
      <c r="C1232" s="177"/>
      <c r="D1232" s="177"/>
      <c r="E1232" s="177"/>
      <c r="F1232" s="177"/>
      <c r="G1232" s="177"/>
      <c r="H1232" s="177"/>
      <c r="I1232" s="145"/>
      <c r="J1232" s="177"/>
      <c r="K1232" s="133"/>
      <c r="L1232" s="103"/>
      <c r="M1232" s="176"/>
      <c r="N1232" s="175"/>
    </row>
    <row r="1233" spans="1:14">
      <c r="A1233" s="177"/>
      <c r="B1233" s="177"/>
      <c r="C1233" s="177"/>
      <c r="D1233" s="177"/>
      <c r="E1233" s="177"/>
      <c r="F1233" s="177"/>
      <c r="G1233" s="177"/>
      <c r="H1233" s="177"/>
      <c r="I1233" s="145"/>
      <c r="J1233" s="177"/>
      <c r="K1233" s="133"/>
      <c r="L1233" s="103"/>
      <c r="M1233" s="176"/>
      <c r="N1233" s="175"/>
    </row>
    <row r="1234" spans="1:14">
      <c r="A1234" s="177"/>
      <c r="B1234" s="177"/>
      <c r="C1234" s="177"/>
      <c r="D1234" s="177"/>
      <c r="E1234" s="177"/>
      <c r="F1234" s="177"/>
      <c r="G1234" s="177"/>
      <c r="H1234" s="177"/>
      <c r="I1234" s="145"/>
      <c r="J1234" s="177"/>
      <c r="K1234" s="133"/>
      <c r="L1234" s="103"/>
      <c r="M1234" s="176"/>
      <c r="N1234" s="175"/>
    </row>
    <row r="1235" spans="1:14">
      <c r="A1235" s="177"/>
      <c r="B1235" s="177"/>
      <c r="C1235" s="177"/>
      <c r="D1235" s="177"/>
      <c r="E1235" s="177"/>
      <c r="F1235" s="177"/>
      <c r="G1235" s="177"/>
      <c r="H1235" s="177"/>
      <c r="I1235" s="145"/>
      <c r="J1235" s="177"/>
      <c r="K1235" s="133"/>
      <c r="L1235" s="103"/>
      <c r="M1235" s="176"/>
      <c r="N1235" s="175"/>
    </row>
    <row r="1236" spans="1:14">
      <c r="A1236" s="177"/>
      <c r="B1236" s="177"/>
      <c r="C1236" s="177"/>
      <c r="D1236" s="177"/>
      <c r="E1236" s="177"/>
      <c r="F1236" s="177"/>
      <c r="G1236" s="177"/>
      <c r="H1236" s="177"/>
      <c r="I1236" s="145"/>
      <c r="J1236" s="177"/>
      <c r="K1236" s="133"/>
      <c r="L1236" s="103"/>
      <c r="M1236" s="176"/>
      <c r="N1236" s="175"/>
    </row>
    <row r="1237" spans="1:14">
      <c r="A1237" s="177"/>
      <c r="B1237" s="177"/>
      <c r="C1237" s="177"/>
      <c r="D1237" s="177"/>
      <c r="E1237" s="177"/>
      <c r="F1237" s="177"/>
      <c r="G1237" s="177"/>
      <c r="H1237" s="177"/>
      <c r="I1237" s="145"/>
      <c r="J1237" s="177"/>
      <c r="K1237" s="133"/>
      <c r="L1237" s="103"/>
      <c r="M1237" s="176"/>
      <c r="N1237" s="175"/>
    </row>
    <row r="1238" spans="1:14">
      <c r="A1238" s="177"/>
      <c r="B1238" s="177"/>
      <c r="C1238" s="177"/>
      <c r="D1238" s="177"/>
      <c r="E1238" s="177"/>
      <c r="F1238" s="177"/>
      <c r="G1238" s="177"/>
      <c r="H1238" s="177"/>
      <c r="I1238" s="145"/>
      <c r="J1238" s="177"/>
      <c r="K1238" s="133"/>
      <c r="L1238" s="103"/>
      <c r="M1238" s="176"/>
      <c r="N1238" s="175"/>
    </row>
    <row r="1239" spans="1:14">
      <c r="A1239" s="177"/>
      <c r="B1239" s="177"/>
      <c r="C1239" s="177"/>
      <c r="D1239" s="177"/>
      <c r="E1239" s="177"/>
      <c r="F1239" s="177"/>
      <c r="G1239" s="177"/>
      <c r="H1239" s="177"/>
      <c r="I1239" s="145"/>
      <c r="J1239" s="177"/>
      <c r="K1239" s="133"/>
      <c r="L1239" s="103"/>
      <c r="M1239" s="176"/>
      <c r="N1239" s="175"/>
    </row>
    <row r="1240" spans="1:14">
      <c r="A1240" s="177"/>
      <c r="B1240" s="177"/>
      <c r="C1240" s="177"/>
      <c r="D1240" s="177"/>
      <c r="E1240" s="177"/>
      <c r="F1240" s="177"/>
      <c r="G1240" s="177"/>
      <c r="H1240" s="177"/>
      <c r="I1240" s="145"/>
      <c r="J1240" s="177"/>
      <c r="K1240" s="133"/>
      <c r="L1240" s="103"/>
      <c r="M1240" s="176"/>
      <c r="N1240" s="175"/>
    </row>
    <row r="1241" spans="1:14">
      <c r="A1241" s="177"/>
      <c r="B1241" s="177"/>
      <c r="C1241" s="177"/>
      <c r="D1241" s="177"/>
      <c r="E1241" s="177"/>
      <c r="F1241" s="177"/>
      <c r="G1241" s="177"/>
      <c r="H1241" s="177"/>
      <c r="I1241" s="145"/>
      <c r="J1241" s="177"/>
      <c r="K1241" s="133"/>
      <c r="L1241" s="103"/>
      <c r="M1241" s="176"/>
      <c r="N1241" s="175"/>
    </row>
    <row r="1242" spans="1:14">
      <c r="A1242" s="177"/>
      <c r="B1242" s="177"/>
      <c r="C1242" s="177"/>
      <c r="D1242" s="177"/>
      <c r="E1242" s="177"/>
      <c r="F1242" s="177"/>
      <c r="G1242" s="177"/>
      <c r="H1242" s="177"/>
      <c r="I1242" s="145"/>
      <c r="J1242" s="177"/>
      <c r="K1242" s="133"/>
      <c r="L1242" s="103"/>
      <c r="M1242" s="176"/>
      <c r="N1242" s="175"/>
    </row>
    <row r="1243" spans="1:14">
      <c r="A1243" s="177"/>
      <c r="B1243" s="177"/>
      <c r="C1243" s="177"/>
      <c r="D1243" s="177"/>
      <c r="E1243" s="177"/>
      <c r="F1243" s="177"/>
      <c r="G1243" s="177"/>
      <c r="H1243" s="177"/>
      <c r="I1243" s="145"/>
      <c r="J1243" s="177"/>
      <c r="K1243" s="133"/>
      <c r="L1243" s="103"/>
      <c r="M1243" s="176"/>
      <c r="N1243" s="175"/>
    </row>
    <row r="1244" spans="1:14">
      <c r="A1244" s="177"/>
      <c r="B1244" s="177"/>
      <c r="C1244" s="177"/>
      <c r="D1244" s="177"/>
      <c r="E1244" s="177"/>
      <c r="F1244" s="177"/>
      <c r="G1244" s="177"/>
      <c r="H1244" s="177"/>
      <c r="I1244" s="145"/>
      <c r="J1244" s="177"/>
      <c r="K1244" s="133"/>
      <c r="L1244" s="103"/>
      <c r="M1244" s="176"/>
      <c r="N1244" s="175"/>
    </row>
    <row r="1245" spans="1:14">
      <c r="A1245" s="177"/>
      <c r="B1245" s="177"/>
      <c r="C1245" s="177"/>
      <c r="D1245" s="177"/>
      <c r="E1245" s="177"/>
      <c r="F1245" s="177"/>
      <c r="G1245" s="177"/>
      <c r="H1245" s="177"/>
      <c r="I1245" s="145"/>
      <c r="J1245" s="177"/>
      <c r="K1245" s="133"/>
      <c r="L1245" s="103"/>
      <c r="M1245" s="176"/>
      <c r="N1245" s="175"/>
    </row>
    <row r="1246" spans="1:14">
      <c r="A1246" s="177"/>
      <c r="B1246" s="177"/>
      <c r="C1246" s="177"/>
      <c r="D1246" s="177"/>
      <c r="E1246" s="177"/>
      <c r="F1246" s="177"/>
      <c r="G1246" s="177"/>
      <c r="H1246" s="177"/>
      <c r="I1246" s="145"/>
      <c r="J1246" s="177"/>
      <c r="K1246" s="133"/>
      <c r="L1246" s="103"/>
      <c r="M1246" s="176"/>
      <c r="N1246" s="175"/>
    </row>
    <row r="1247" spans="1:14">
      <c r="A1247" s="177"/>
      <c r="B1247" s="177"/>
      <c r="C1247" s="177"/>
      <c r="D1247" s="177"/>
      <c r="E1247" s="177"/>
      <c r="F1247" s="177"/>
      <c r="G1247" s="177"/>
      <c r="H1247" s="177"/>
      <c r="I1247" s="145"/>
      <c r="J1247" s="177"/>
      <c r="K1247" s="133"/>
      <c r="L1247" s="103"/>
      <c r="M1247" s="176"/>
      <c r="N1247" s="175"/>
    </row>
    <row r="1248" spans="1:14">
      <c r="A1248" s="177"/>
      <c r="B1248" s="177"/>
      <c r="C1248" s="177"/>
      <c r="D1248" s="177"/>
      <c r="E1248" s="177"/>
      <c r="F1248" s="177"/>
      <c r="G1248" s="177"/>
      <c r="H1248" s="177"/>
      <c r="I1248" s="145"/>
      <c r="J1248" s="177"/>
      <c r="K1248" s="133"/>
      <c r="L1248" s="103"/>
      <c r="M1248" s="176"/>
      <c r="N1248" s="175"/>
    </row>
    <row r="1249" spans="1:14">
      <c r="A1249" s="177"/>
      <c r="B1249" s="177"/>
      <c r="C1249" s="177"/>
      <c r="D1249" s="177"/>
      <c r="E1249" s="177"/>
      <c r="F1249" s="177"/>
      <c r="G1249" s="177"/>
      <c r="H1249" s="177"/>
      <c r="I1249" s="145"/>
      <c r="J1249" s="177"/>
      <c r="K1249" s="133"/>
      <c r="L1249" s="103"/>
      <c r="M1249" s="176"/>
      <c r="N1249" s="175"/>
    </row>
    <row r="1250" spans="1:14">
      <c r="A1250" s="177"/>
      <c r="B1250" s="177"/>
      <c r="C1250" s="177"/>
      <c r="D1250" s="177"/>
      <c r="E1250" s="177"/>
      <c r="F1250" s="177"/>
      <c r="G1250" s="177"/>
      <c r="H1250" s="177"/>
      <c r="I1250" s="145"/>
      <c r="J1250" s="177"/>
      <c r="K1250" s="133"/>
      <c r="L1250" s="103"/>
      <c r="M1250" s="176"/>
      <c r="N1250" s="175"/>
    </row>
    <row r="1251" spans="1:14">
      <c r="A1251" s="177"/>
      <c r="B1251" s="177"/>
      <c r="C1251" s="177"/>
      <c r="D1251" s="177"/>
      <c r="E1251" s="177"/>
      <c r="F1251" s="177"/>
      <c r="G1251" s="177"/>
      <c r="H1251" s="177"/>
      <c r="I1251" s="145"/>
      <c r="J1251" s="177"/>
      <c r="K1251" s="133"/>
      <c r="L1251" s="103"/>
      <c r="M1251" s="176"/>
      <c r="N1251" s="175"/>
    </row>
    <row r="1252" spans="1:14">
      <c r="A1252" s="177"/>
      <c r="B1252" s="177"/>
      <c r="C1252" s="177"/>
      <c r="D1252" s="177"/>
      <c r="E1252" s="177"/>
      <c r="F1252" s="177"/>
      <c r="G1252" s="177"/>
      <c r="H1252" s="177"/>
      <c r="I1252" s="145"/>
      <c r="J1252" s="177"/>
      <c r="K1252" s="133"/>
      <c r="L1252" s="103"/>
      <c r="M1252" s="176"/>
      <c r="N1252" s="175"/>
    </row>
    <row r="1253" spans="1:14">
      <c r="A1253" s="177"/>
      <c r="B1253" s="177"/>
      <c r="C1253" s="177"/>
      <c r="D1253" s="177"/>
      <c r="E1253" s="177"/>
      <c r="F1253" s="177"/>
      <c r="G1253" s="177"/>
      <c r="H1253" s="177"/>
      <c r="I1253" s="145"/>
      <c r="J1253" s="177"/>
      <c r="K1253" s="133"/>
      <c r="L1253" s="103"/>
      <c r="M1253" s="176"/>
      <c r="N1253" s="175"/>
    </row>
    <row r="1254" spans="1:14">
      <c r="A1254" s="177"/>
      <c r="B1254" s="177"/>
      <c r="C1254" s="177"/>
      <c r="D1254" s="177"/>
      <c r="E1254" s="177"/>
      <c r="F1254" s="177"/>
      <c r="G1254" s="177"/>
      <c r="H1254" s="177"/>
      <c r="I1254" s="145"/>
      <c r="J1254" s="177"/>
      <c r="K1254" s="133"/>
      <c r="L1254" s="103"/>
      <c r="M1254" s="176"/>
      <c r="N1254" s="175"/>
    </row>
    <row r="1255" spans="1:14">
      <c r="A1255" s="177"/>
      <c r="B1255" s="177"/>
      <c r="C1255" s="177"/>
      <c r="D1255" s="177"/>
      <c r="E1255" s="177"/>
      <c r="F1255" s="177"/>
      <c r="G1255" s="177"/>
      <c r="H1255" s="177"/>
      <c r="I1255" s="145"/>
      <c r="J1255" s="177"/>
      <c r="K1255" s="133"/>
      <c r="L1255" s="103"/>
      <c r="M1255" s="176"/>
      <c r="N1255" s="175"/>
    </row>
    <row r="1256" spans="1:14">
      <c r="A1256" s="177"/>
      <c r="B1256" s="177"/>
      <c r="C1256" s="177"/>
      <c r="D1256" s="177"/>
      <c r="E1256" s="177"/>
      <c r="F1256" s="177"/>
      <c r="G1256" s="177"/>
      <c r="H1256" s="177"/>
      <c r="I1256" s="145"/>
      <c r="J1256" s="177"/>
      <c r="K1256" s="133"/>
      <c r="L1256" s="103"/>
      <c r="M1256" s="176"/>
      <c r="N1256" s="175"/>
    </row>
    <row r="1257" spans="1:14">
      <c r="A1257" s="177"/>
      <c r="B1257" s="177"/>
      <c r="C1257" s="177"/>
      <c r="D1257" s="177"/>
      <c r="E1257" s="177"/>
      <c r="F1257" s="177"/>
      <c r="G1257" s="177"/>
      <c r="H1257" s="177"/>
      <c r="I1257" s="145"/>
      <c r="J1257" s="177"/>
      <c r="K1257" s="133"/>
      <c r="L1257" s="103"/>
      <c r="M1257" s="176"/>
      <c r="N1257" s="175"/>
    </row>
    <row r="1258" spans="1:14">
      <c r="A1258" s="177"/>
      <c r="B1258" s="177"/>
      <c r="C1258" s="177"/>
      <c r="D1258" s="177"/>
      <c r="E1258" s="177"/>
      <c r="F1258" s="177"/>
      <c r="G1258" s="177"/>
      <c r="H1258" s="177"/>
      <c r="I1258" s="145"/>
      <c r="J1258" s="177"/>
      <c r="K1258" s="133"/>
      <c r="L1258" s="103"/>
      <c r="M1258" s="176"/>
      <c r="N1258" s="175"/>
    </row>
    <row r="1259" spans="1:14">
      <c r="A1259" s="177"/>
      <c r="B1259" s="177"/>
      <c r="C1259" s="177"/>
      <c r="D1259" s="177"/>
      <c r="E1259" s="177"/>
      <c r="F1259" s="177"/>
      <c r="G1259" s="177"/>
      <c r="H1259" s="177"/>
      <c r="I1259" s="145"/>
      <c r="J1259" s="177"/>
      <c r="K1259" s="133"/>
      <c r="L1259" s="103"/>
      <c r="M1259" s="176"/>
      <c r="N1259" s="175"/>
    </row>
    <row r="1260" spans="1:14">
      <c r="A1260" s="177"/>
      <c r="B1260" s="177"/>
      <c r="C1260" s="177"/>
      <c r="D1260" s="177"/>
      <c r="E1260" s="177"/>
      <c r="F1260" s="177"/>
      <c r="G1260" s="177"/>
      <c r="H1260" s="177"/>
      <c r="I1260" s="145"/>
      <c r="J1260" s="177"/>
      <c r="K1260" s="133"/>
      <c r="L1260" s="103"/>
      <c r="M1260" s="176"/>
      <c r="N1260" s="175"/>
    </row>
    <row r="1261" spans="1:14">
      <c r="A1261" s="177"/>
      <c r="B1261" s="177"/>
      <c r="C1261" s="177"/>
      <c r="D1261" s="177"/>
      <c r="E1261" s="177"/>
      <c r="F1261" s="177"/>
      <c r="G1261" s="177"/>
      <c r="H1261" s="177"/>
      <c r="I1261" s="145"/>
      <c r="J1261" s="177"/>
      <c r="K1261" s="133"/>
      <c r="L1261" s="103"/>
      <c r="M1261" s="176"/>
      <c r="N1261" s="175"/>
    </row>
    <row r="1262" spans="1:14">
      <c r="A1262" s="177"/>
      <c r="B1262" s="177"/>
      <c r="C1262" s="177"/>
      <c r="D1262" s="177"/>
      <c r="E1262" s="177"/>
      <c r="F1262" s="177"/>
      <c r="G1262" s="177"/>
      <c r="H1262" s="177"/>
      <c r="I1262" s="145"/>
      <c r="J1262" s="177"/>
      <c r="K1262" s="133"/>
      <c r="L1262" s="103"/>
      <c r="M1262" s="176"/>
      <c r="N1262" s="175"/>
    </row>
    <row r="1263" spans="1:14">
      <c r="A1263" s="177"/>
      <c r="B1263" s="177"/>
      <c r="C1263" s="177"/>
      <c r="D1263" s="177"/>
      <c r="E1263" s="177"/>
      <c r="F1263" s="177"/>
      <c r="G1263" s="177"/>
      <c r="H1263" s="177"/>
      <c r="I1263" s="145"/>
      <c r="J1263" s="177"/>
      <c r="K1263" s="133"/>
      <c r="L1263" s="103"/>
      <c r="M1263" s="176"/>
      <c r="N1263" s="175"/>
    </row>
    <row r="1264" spans="1:14">
      <c r="A1264" s="177"/>
      <c r="B1264" s="177"/>
      <c r="C1264" s="177"/>
      <c r="D1264" s="177"/>
      <c r="E1264" s="177"/>
      <c r="F1264" s="177"/>
      <c r="G1264" s="177"/>
      <c r="H1264" s="177"/>
      <c r="I1264" s="145"/>
      <c r="J1264" s="177"/>
      <c r="K1264" s="133"/>
      <c r="L1264" s="103"/>
      <c r="M1264" s="176"/>
      <c r="N1264" s="175"/>
    </row>
    <row r="1265" spans="1:14">
      <c r="A1265" s="177"/>
      <c r="B1265" s="177"/>
      <c r="C1265" s="177"/>
      <c r="D1265" s="177"/>
      <c r="E1265" s="177"/>
      <c r="F1265" s="177"/>
      <c r="G1265" s="177"/>
      <c r="H1265" s="177"/>
      <c r="I1265" s="145"/>
      <c r="J1265" s="177"/>
      <c r="K1265" s="133"/>
      <c r="L1265" s="103"/>
      <c r="M1265" s="176"/>
      <c r="N1265" s="175"/>
    </row>
    <row r="1266" spans="1:14">
      <c r="A1266" s="177"/>
      <c r="B1266" s="177"/>
      <c r="C1266" s="177"/>
      <c r="D1266" s="177"/>
      <c r="E1266" s="177"/>
      <c r="F1266" s="177"/>
      <c r="G1266" s="177"/>
      <c r="H1266" s="177"/>
      <c r="I1266" s="145"/>
      <c r="J1266" s="177"/>
      <c r="K1266" s="133"/>
      <c r="L1266" s="103"/>
      <c r="M1266" s="176"/>
      <c r="N1266" s="175"/>
    </row>
    <row r="1267" spans="1:14">
      <c r="A1267" s="177"/>
      <c r="B1267" s="177"/>
      <c r="C1267" s="177"/>
      <c r="D1267" s="177"/>
      <c r="E1267" s="177"/>
      <c r="F1267" s="177"/>
      <c r="G1267" s="177"/>
      <c r="H1267" s="177"/>
      <c r="I1267" s="145"/>
      <c r="J1267" s="177"/>
      <c r="K1267" s="133"/>
      <c r="L1267" s="103"/>
      <c r="M1267" s="176"/>
      <c r="N1267" s="175"/>
    </row>
    <row r="1268" spans="1:14">
      <c r="A1268" s="177"/>
      <c r="B1268" s="177"/>
      <c r="C1268" s="177"/>
      <c r="D1268" s="177"/>
      <c r="E1268" s="177"/>
      <c r="F1268" s="177"/>
      <c r="G1268" s="177"/>
      <c r="H1268" s="177"/>
      <c r="I1268" s="145"/>
      <c r="J1268" s="177"/>
      <c r="K1268" s="133"/>
      <c r="L1268" s="103"/>
      <c r="M1268" s="176"/>
      <c r="N1268" s="175"/>
    </row>
    <row r="1269" spans="1:14">
      <c r="A1269" s="177"/>
      <c r="B1269" s="177"/>
      <c r="C1269" s="177"/>
      <c r="D1269" s="177"/>
      <c r="E1269" s="177"/>
      <c r="F1269" s="177"/>
      <c r="G1269" s="177"/>
      <c r="H1269" s="177"/>
      <c r="I1269" s="145"/>
      <c r="J1269" s="177"/>
      <c r="K1269" s="133"/>
      <c r="L1269" s="103"/>
      <c r="M1269" s="176"/>
      <c r="N1269" s="175"/>
    </row>
    <row r="1270" spans="1:14">
      <c r="A1270" s="177"/>
      <c r="B1270" s="177"/>
      <c r="C1270" s="177"/>
      <c r="D1270" s="177"/>
      <c r="E1270" s="177"/>
      <c r="F1270" s="177"/>
      <c r="G1270" s="177"/>
      <c r="H1270" s="177"/>
      <c r="I1270" s="145"/>
      <c r="J1270" s="177"/>
      <c r="K1270" s="133"/>
      <c r="L1270" s="103"/>
      <c r="M1270" s="176"/>
      <c r="N1270" s="175"/>
    </row>
    <row r="1271" spans="1:14">
      <c r="A1271" s="177"/>
      <c r="B1271" s="177"/>
      <c r="C1271" s="177"/>
      <c r="D1271" s="177"/>
      <c r="E1271" s="177"/>
      <c r="F1271" s="177"/>
      <c r="G1271" s="177"/>
      <c r="H1271" s="177"/>
      <c r="I1271" s="145"/>
      <c r="J1271" s="177"/>
      <c r="K1271" s="133"/>
      <c r="L1271" s="103"/>
      <c r="M1271" s="176"/>
      <c r="N1271" s="175"/>
    </row>
    <row r="1272" spans="1:14">
      <c r="A1272" s="177"/>
      <c r="B1272" s="177"/>
      <c r="C1272" s="177"/>
      <c r="D1272" s="177"/>
      <c r="E1272" s="177"/>
      <c r="F1272" s="177"/>
      <c r="G1272" s="177"/>
      <c r="H1272" s="177"/>
      <c r="I1272" s="145"/>
      <c r="J1272" s="177"/>
      <c r="K1272" s="133"/>
      <c r="L1272" s="103"/>
      <c r="M1272" s="176"/>
      <c r="N1272" s="175"/>
    </row>
    <row r="1273" spans="1:14">
      <c r="A1273" s="177"/>
      <c r="B1273" s="177"/>
      <c r="C1273" s="177"/>
      <c r="D1273" s="177"/>
      <c r="E1273" s="177"/>
      <c r="F1273" s="177"/>
      <c r="G1273" s="177"/>
      <c r="H1273" s="177"/>
      <c r="I1273" s="145"/>
      <c r="J1273" s="177"/>
      <c r="K1273" s="133"/>
      <c r="L1273" s="103"/>
      <c r="M1273" s="176"/>
      <c r="N1273" s="175"/>
    </row>
    <row r="1274" spans="1:14">
      <c r="A1274" s="177"/>
      <c r="B1274" s="177"/>
      <c r="C1274" s="177"/>
      <c r="D1274" s="177"/>
      <c r="E1274" s="177"/>
      <c r="F1274" s="177"/>
      <c r="G1274" s="177"/>
      <c r="H1274" s="177"/>
      <c r="I1274" s="145"/>
      <c r="J1274" s="177"/>
      <c r="K1274" s="133"/>
      <c r="L1274" s="103"/>
      <c r="M1274" s="176"/>
      <c r="N1274" s="175"/>
    </row>
    <row r="1275" spans="1:14">
      <c r="A1275" s="177"/>
      <c r="B1275" s="177"/>
      <c r="C1275" s="177"/>
      <c r="D1275" s="177"/>
      <c r="E1275" s="177"/>
      <c r="F1275" s="177"/>
      <c r="G1275" s="177"/>
      <c r="H1275" s="177"/>
      <c r="I1275" s="145"/>
      <c r="J1275" s="177"/>
      <c r="K1275" s="133"/>
      <c r="L1275" s="103"/>
      <c r="M1275" s="176"/>
      <c r="N1275" s="175"/>
    </row>
    <row r="1276" spans="1:14">
      <c r="A1276" s="177"/>
      <c r="B1276" s="177"/>
      <c r="C1276" s="177"/>
      <c r="D1276" s="177"/>
      <c r="E1276" s="177"/>
      <c r="F1276" s="177"/>
      <c r="G1276" s="177"/>
      <c r="H1276" s="177"/>
      <c r="I1276" s="145"/>
      <c r="J1276" s="177"/>
      <c r="K1276" s="133"/>
      <c r="L1276" s="103"/>
      <c r="M1276" s="176"/>
      <c r="N1276" s="175"/>
    </row>
    <row r="1277" spans="1:14">
      <c r="A1277" s="177"/>
      <c r="B1277" s="177"/>
      <c r="C1277" s="177"/>
      <c r="D1277" s="177"/>
      <c r="E1277" s="177"/>
      <c r="F1277" s="177"/>
      <c r="G1277" s="177"/>
      <c r="H1277" s="177"/>
      <c r="I1277" s="145"/>
      <c r="J1277" s="177"/>
      <c r="K1277" s="133"/>
      <c r="L1277" s="103"/>
      <c r="M1277" s="176"/>
      <c r="N1277" s="175"/>
    </row>
    <row r="1278" spans="1:14">
      <c r="A1278" s="177"/>
      <c r="B1278" s="177"/>
      <c r="C1278" s="177"/>
      <c r="D1278" s="177"/>
      <c r="E1278" s="177"/>
      <c r="F1278" s="177"/>
      <c r="G1278" s="177"/>
      <c r="H1278" s="177"/>
      <c r="I1278" s="145"/>
      <c r="J1278" s="177"/>
      <c r="K1278" s="133"/>
      <c r="L1278" s="103"/>
      <c r="M1278" s="176"/>
      <c r="N1278" s="175"/>
    </row>
    <row r="1279" spans="1:14">
      <c r="A1279" s="177"/>
      <c r="B1279" s="177"/>
      <c r="C1279" s="177"/>
      <c r="D1279" s="177"/>
      <c r="E1279" s="177"/>
      <c r="F1279" s="177"/>
      <c r="G1279" s="177"/>
      <c r="H1279" s="177"/>
      <c r="I1279" s="145"/>
      <c r="J1279" s="177"/>
      <c r="K1279" s="133"/>
      <c r="L1279" s="103"/>
      <c r="M1279" s="176"/>
      <c r="N1279" s="175"/>
    </row>
    <row r="1280" spans="1:14">
      <c r="A1280" s="177"/>
      <c r="B1280" s="177"/>
      <c r="C1280" s="177"/>
      <c r="D1280" s="177"/>
      <c r="E1280" s="177"/>
      <c r="F1280" s="177"/>
      <c r="G1280" s="177"/>
      <c r="H1280" s="177"/>
      <c r="I1280" s="145"/>
      <c r="J1280" s="177"/>
      <c r="K1280" s="133"/>
      <c r="L1280" s="103"/>
      <c r="M1280" s="176"/>
      <c r="N1280" s="175"/>
    </row>
    <row r="1281" spans="1:14">
      <c r="A1281" s="177"/>
      <c r="B1281" s="177"/>
      <c r="C1281" s="177"/>
      <c r="D1281" s="177"/>
      <c r="E1281" s="177"/>
      <c r="F1281" s="177"/>
      <c r="G1281" s="177"/>
      <c r="H1281" s="177"/>
      <c r="I1281" s="145"/>
      <c r="J1281" s="177"/>
      <c r="K1281" s="133"/>
      <c r="L1281" s="103"/>
      <c r="M1281" s="176"/>
      <c r="N1281" s="175"/>
    </row>
    <row r="1282" spans="1:14">
      <c r="A1282" s="177"/>
      <c r="B1282" s="177"/>
      <c r="C1282" s="177"/>
      <c r="D1282" s="177"/>
      <c r="E1282" s="177"/>
      <c r="F1282" s="177"/>
      <c r="G1282" s="177"/>
      <c r="H1282" s="177"/>
      <c r="I1282" s="145"/>
      <c r="J1282" s="177"/>
      <c r="K1282" s="133"/>
      <c r="L1282" s="103"/>
      <c r="M1282" s="176"/>
      <c r="N1282" s="175"/>
    </row>
    <row r="1283" spans="1:14">
      <c r="A1283" s="177"/>
      <c r="B1283" s="177"/>
      <c r="C1283" s="177"/>
      <c r="D1283" s="177"/>
      <c r="E1283" s="177"/>
      <c r="F1283" s="177"/>
      <c r="G1283" s="177"/>
      <c r="H1283" s="177"/>
      <c r="I1283" s="145"/>
      <c r="J1283" s="177"/>
      <c r="K1283" s="133"/>
      <c r="L1283" s="103"/>
      <c r="M1283" s="176"/>
      <c r="N1283" s="175"/>
    </row>
    <row r="1284" spans="1:14">
      <c r="A1284" s="177"/>
      <c r="B1284" s="177"/>
      <c r="C1284" s="177"/>
      <c r="D1284" s="177"/>
      <c r="E1284" s="177"/>
      <c r="F1284" s="177"/>
      <c r="G1284" s="177"/>
      <c r="H1284" s="177"/>
      <c r="I1284" s="145"/>
      <c r="J1284" s="177"/>
      <c r="K1284" s="133"/>
      <c r="L1284" s="103"/>
      <c r="M1284" s="176"/>
      <c r="N1284" s="175"/>
    </row>
    <row r="1285" spans="1:14">
      <c r="A1285" s="177"/>
      <c r="B1285" s="177"/>
      <c r="C1285" s="177"/>
      <c r="D1285" s="177"/>
      <c r="E1285" s="177"/>
      <c r="F1285" s="177"/>
      <c r="G1285" s="177"/>
      <c r="H1285" s="177"/>
      <c r="I1285" s="145"/>
      <c r="J1285" s="177"/>
      <c r="K1285" s="133"/>
      <c r="L1285" s="103"/>
      <c r="M1285" s="176"/>
      <c r="N1285" s="175"/>
    </row>
    <row r="1286" spans="1:14">
      <c r="A1286" s="177"/>
      <c r="B1286" s="177"/>
      <c r="C1286" s="177"/>
      <c r="D1286" s="177"/>
      <c r="E1286" s="177"/>
      <c r="F1286" s="177"/>
      <c r="G1286" s="177"/>
      <c r="H1286" s="177"/>
      <c r="I1286" s="145"/>
      <c r="J1286" s="177"/>
      <c r="K1286" s="133"/>
      <c r="L1286" s="103"/>
      <c r="M1286" s="176"/>
      <c r="N1286" s="175"/>
    </row>
    <row r="1287" spans="1:14">
      <c r="A1287" s="177"/>
      <c r="B1287" s="177"/>
      <c r="C1287" s="177"/>
      <c r="D1287" s="177"/>
      <c r="E1287" s="177"/>
      <c r="F1287" s="177"/>
      <c r="G1287" s="177"/>
      <c r="H1287" s="177"/>
      <c r="I1287" s="145"/>
      <c r="J1287" s="177"/>
      <c r="K1287" s="133"/>
      <c r="L1287" s="103"/>
      <c r="M1287" s="176"/>
      <c r="N1287" s="175"/>
    </row>
    <row r="1288" spans="1:14">
      <c r="A1288" s="177"/>
      <c r="B1288" s="177"/>
      <c r="C1288" s="177"/>
      <c r="D1288" s="177"/>
      <c r="E1288" s="177"/>
      <c r="F1288" s="177"/>
      <c r="G1288" s="177"/>
      <c r="H1288" s="177"/>
      <c r="I1288" s="145"/>
      <c r="J1288" s="177"/>
      <c r="K1288" s="133"/>
      <c r="L1288" s="103"/>
      <c r="M1288" s="176"/>
      <c r="N1288" s="175"/>
    </row>
    <row r="1289" spans="1:14">
      <c r="A1289" s="177"/>
      <c r="B1289" s="177"/>
      <c r="C1289" s="177"/>
      <c r="D1289" s="177"/>
      <c r="E1289" s="177"/>
      <c r="F1289" s="177"/>
      <c r="G1289" s="177"/>
      <c r="H1289" s="177"/>
      <c r="I1289" s="145"/>
      <c r="J1289" s="177"/>
      <c r="K1289" s="133"/>
      <c r="L1289" s="103"/>
      <c r="M1289" s="176"/>
      <c r="N1289" s="175"/>
    </row>
    <row r="1290" spans="1:14">
      <c r="A1290" s="177"/>
      <c r="B1290" s="177"/>
      <c r="C1290" s="177"/>
      <c r="D1290" s="177"/>
      <c r="E1290" s="177"/>
      <c r="F1290" s="177"/>
      <c r="G1290" s="177"/>
      <c r="H1290" s="177"/>
      <c r="I1290" s="145"/>
      <c r="J1290" s="177"/>
      <c r="K1290" s="133"/>
      <c r="L1290" s="103"/>
      <c r="M1290" s="176"/>
      <c r="N1290" s="175"/>
    </row>
    <row r="1291" spans="1:14">
      <c r="A1291" s="177"/>
      <c r="B1291" s="177"/>
      <c r="C1291" s="177"/>
      <c r="D1291" s="177"/>
      <c r="E1291" s="177"/>
      <c r="F1291" s="177"/>
      <c r="G1291" s="177"/>
      <c r="H1291" s="177"/>
      <c r="I1291" s="145"/>
      <c r="J1291" s="177"/>
      <c r="K1291" s="133"/>
      <c r="L1291" s="103"/>
      <c r="M1291" s="176"/>
      <c r="N1291" s="175"/>
    </row>
    <row r="1292" spans="1:14">
      <c r="A1292" s="177"/>
      <c r="B1292" s="177"/>
      <c r="C1292" s="177"/>
      <c r="D1292" s="177"/>
      <c r="E1292" s="177"/>
      <c r="F1292" s="177"/>
      <c r="G1292" s="177"/>
      <c r="H1292" s="177"/>
      <c r="I1292" s="145"/>
      <c r="J1292" s="177"/>
      <c r="K1292" s="133"/>
      <c r="L1292" s="103"/>
      <c r="M1292" s="176"/>
      <c r="N1292" s="175"/>
    </row>
    <row r="1293" spans="1:14">
      <c r="A1293" s="177"/>
      <c r="B1293" s="177"/>
      <c r="C1293" s="177"/>
      <c r="D1293" s="177"/>
      <c r="E1293" s="177"/>
      <c r="F1293" s="177"/>
      <c r="G1293" s="177"/>
      <c r="H1293" s="177"/>
      <c r="I1293" s="145"/>
      <c r="J1293" s="177"/>
      <c r="K1293" s="133"/>
      <c r="L1293" s="103"/>
      <c r="M1293" s="176"/>
      <c r="N1293" s="175"/>
    </row>
    <row r="1294" spans="1:14">
      <c r="A1294" s="177"/>
      <c r="B1294" s="177"/>
      <c r="C1294" s="177"/>
      <c r="D1294" s="177"/>
      <c r="E1294" s="177"/>
      <c r="F1294" s="177"/>
      <c r="G1294" s="177"/>
      <c r="H1294" s="177"/>
      <c r="I1294" s="145"/>
      <c r="J1294" s="177"/>
      <c r="K1294" s="133"/>
      <c r="L1294" s="103"/>
      <c r="M1294" s="176"/>
      <c r="N1294" s="175"/>
    </row>
    <row r="1295" spans="1:14">
      <c r="A1295" s="177"/>
      <c r="B1295" s="177"/>
      <c r="C1295" s="177"/>
      <c r="D1295" s="177"/>
      <c r="E1295" s="177"/>
      <c r="F1295" s="177"/>
      <c r="G1295" s="177"/>
      <c r="H1295" s="177"/>
      <c r="I1295" s="145"/>
      <c r="J1295" s="177"/>
      <c r="K1295" s="133"/>
      <c r="L1295" s="103"/>
      <c r="M1295" s="176"/>
      <c r="N1295" s="175"/>
    </row>
    <row r="1296" spans="1:14">
      <c r="A1296" s="177"/>
      <c r="B1296" s="177"/>
      <c r="C1296" s="177"/>
      <c r="D1296" s="177"/>
      <c r="E1296" s="177"/>
      <c r="F1296" s="177"/>
      <c r="G1296" s="177"/>
      <c r="H1296" s="177"/>
      <c r="I1296" s="145"/>
      <c r="J1296" s="177"/>
      <c r="K1296" s="133"/>
      <c r="L1296" s="103"/>
      <c r="M1296" s="176"/>
      <c r="N1296" s="175"/>
    </row>
    <row r="1297" spans="1:14">
      <c r="A1297" s="177"/>
      <c r="B1297" s="177"/>
      <c r="C1297" s="177"/>
      <c r="D1297" s="177"/>
      <c r="E1297" s="177"/>
      <c r="F1297" s="177"/>
      <c r="G1297" s="177"/>
      <c r="H1297" s="177"/>
      <c r="I1297" s="145"/>
      <c r="J1297" s="177"/>
      <c r="K1297" s="133"/>
      <c r="L1297" s="103"/>
      <c r="M1297" s="176"/>
      <c r="N1297" s="175"/>
    </row>
    <row r="1298" spans="1:14">
      <c r="A1298" s="177"/>
      <c r="B1298" s="177"/>
      <c r="C1298" s="177"/>
      <c r="D1298" s="177"/>
      <c r="E1298" s="177"/>
      <c r="F1298" s="177"/>
      <c r="G1298" s="177"/>
      <c r="H1298" s="177"/>
      <c r="I1298" s="145"/>
      <c r="J1298" s="177"/>
      <c r="K1298" s="133"/>
      <c r="L1298" s="103"/>
      <c r="M1298" s="176"/>
      <c r="N1298" s="175"/>
    </row>
    <row r="1299" spans="1:14">
      <c r="A1299" s="177"/>
      <c r="B1299" s="177"/>
      <c r="C1299" s="177"/>
      <c r="D1299" s="177"/>
      <c r="E1299" s="177"/>
      <c r="F1299" s="177"/>
      <c r="G1299" s="177"/>
      <c r="H1299" s="177"/>
      <c r="I1299" s="145"/>
      <c r="J1299" s="177"/>
      <c r="K1299" s="133"/>
      <c r="L1299" s="103"/>
      <c r="M1299" s="176"/>
      <c r="N1299" s="175"/>
    </row>
    <row r="1300" spans="1:14">
      <c r="A1300" s="177"/>
      <c r="B1300" s="177"/>
      <c r="C1300" s="177"/>
      <c r="D1300" s="177"/>
      <c r="E1300" s="177"/>
      <c r="F1300" s="177"/>
      <c r="G1300" s="177"/>
      <c r="H1300" s="177"/>
      <c r="I1300" s="145"/>
      <c r="J1300" s="177"/>
      <c r="K1300" s="133"/>
      <c r="L1300" s="103"/>
      <c r="M1300" s="176"/>
      <c r="N1300" s="175"/>
    </row>
    <row r="1301" spans="1:14">
      <c r="A1301" s="177"/>
      <c r="B1301" s="177"/>
      <c r="C1301" s="177"/>
      <c r="D1301" s="177"/>
      <c r="E1301" s="177"/>
      <c r="F1301" s="177"/>
      <c r="G1301" s="177"/>
      <c r="H1301" s="177"/>
      <c r="I1301" s="145"/>
      <c r="J1301" s="177"/>
      <c r="K1301" s="133"/>
      <c r="L1301" s="103"/>
      <c r="M1301" s="176"/>
      <c r="N1301" s="175"/>
    </row>
    <row r="1302" spans="1:14">
      <c r="A1302" s="177"/>
      <c r="B1302" s="177"/>
      <c r="C1302" s="177"/>
      <c r="D1302" s="177"/>
      <c r="E1302" s="177"/>
      <c r="F1302" s="177"/>
      <c r="G1302" s="177"/>
      <c r="H1302" s="177"/>
      <c r="I1302" s="145"/>
      <c r="J1302" s="177"/>
      <c r="K1302" s="133"/>
      <c r="L1302" s="103"/>
      <c r="M1302" s="176"/>
      <c r="N1302" s="175"/>
    </row>
    <row r="1303" spans="1:14">
      <c r="A1303" s="177"/>
      <c r="B1303" s="177"/>
      <c r="C1303" s="177"/>
      <c r="D1303" s="177"/>
      <c r="E1303" s="177"/>
      <c r="F1303" s="177"/>
      <c r="G1303" s="177"/>
      <c r="H1303" s="177"/>
      <c r="I1303" s="145"/>
      <c r="J1303" s="177"/>
      <c r="K1303" s="133"/>
      <c r="L1303" s="103"/>
      <c r="M1303" s="176"/>
      <c r="N1303" s="175"/>
    </row>
    <row r="1304" spans="1:14">
      <c r="A1304" s="177"/>
      <c r="B1304" s="177"/>
      <c r="C1304" s="177"/>
      <c r="D1304" s="177"/>
      <c r="E1304" s="177"/>
      <c r="F1304" s="177"/>
      <c r="G1304" s="177"/>
      <c r="H1304" s="177"/>
      <c r="I1304" s="145"/>
      <c r="J1304" s="177"/>
      <c r="K1304" s="133"/>
      <c r="L1304" s="103"/>
      <c r="M1304" s="176"/>
      <c r="N1304" s="175"/>
    </row>
    <row r="1305" spans="1:14">
      <c r="A1305" s="177"/>
      <c r="B1305" s="177"/>
      <c r="C1305" s="177"/>
      <c r="D1305" s="177"/>
      <c r="E1305" s="177"/>
      <c r="F1305" s="177"/>
      <c r="G1305" s="177"/>
      <c r="H1305" s="177"/>
      <c r="I1305" s="145"/>
      <c r="J1305" s="177"/>
      <c r="K1305" s="133"/>
      <c r="L1305" s="103"/>
      <c r="M1305" s="176"/>
      <c r="N1305" s="175"/>
    </row>
    <row r="1306" spans="1:14">
      <c r="A1306" s="177"/>
      <c r="B1306" s="177"/>
      <c r="C1306" s="177"/>
      <c r="D1306" s="177"/>
      <c r="E1306" s="177"/>
      <c r="F1306" s="177"/>
      <c r="G1306" s="177"/>
      <c r="H1306" s="177"/>
      <c r="I1306" s="145"/>
      <c r="J1306" s="177"/>
      <c r="K1306" s="133"/>
      <c r="L1306" s="103"/>
      <c r="M1306" s="176"/>
      <c r="N1306" s="175"/>
    </row>
    <row r="1307" spans="1:14">
      <c r="A1307" s="177"/>
      <c r="B1307" s="177"/>
      <c r="C1307" s="177"/>
      <c r="D1307" s="177"/>
      <c r="E1307" s="177"/>
      <c r="F1307" s="177"/>
      <c r="G1307" s="177"/>
      <c r="H1307" s="177"/>
      <c r="I1307" s="145"/>
      <c r="J1307" s="177"/>
      <c r="K1307" s="133"/>
      <c r="L1307" s="103"/>
      <c r="M1307" s="176"/>
      <c r="N1307" s="175"/>
    </row>
    <row r="1308" spans="1:14">
      <c r="A1308" s="177"/>
      <c r="B1308" s="177"/>
      <c r="C1308" s="177"/>
      <c r="D1308" s="177"/>
      <c r="E1308" s="177"/>
      <c r="F1308" s="177"/>
      <c r="G1308" s="177"/>
      <c r="H1308" s="177"/>
      <c r="I1308" s="145"/>
      <c r="J1308" s="177"/>
      <c r="K1308" s="133"/>
      <c r="L1308" s="103"/>
      <c r="M1308" s="176"/>
      <c r="N1308" s="175"/>
    </row>
    <row r="1309" spans="1:14">
      <c r="A1309" s="177"/>
      <c r="B1309" s="177"/>
      <c r="C1309" s="177"/>
      <c r="D1309" s="177"/>
      <c r="E1309" s="177"/>
      <c r="F1309" s="177"/>
      <c r="G1309" s="177"/>
      <c r="H1309" s="177"/>
      <c r="I1309" s="145"/>
      <c r="J1309" s="177"/>
      <c r="K1309" s="133"/>
      <c r="L1309" s="103"/>
      <c r="M1309" s="176"/>
      <c r="N1309" s="175"/>
    </row>
    <row r="1310" spans="1:14">
      <c r="A1310" s="177"/>
      <c r="B1310" s="177"/>
      <c r="C1310" s="177"/>
      <c r="D1310" s="177"/>
      <c r="E1310" s="177"/>
      <c r="F1310" s="177"/>
      <c r="G1310" s="177"/>
      <c r="H1310" s="177"/>
      <c r="I1310" s="145"/>
      <c r="J1310" s="177"/>
      <c r="K1310" s="133"/>
      <c r="L1310" s="103"/>
      <c r="M1310" s="176"/>
      <c r="N1310" s="175"/>
    </row>
    <row r="1311" spans="1:14">
      <c r="A1311" s="177"/>
      <c r="B1311" s="177"/>
      <c r="C1311" s="177"/>
      <c r="D1311" s="177"/>
      <c r="E1311" s="177"/>
      <c r="F1311" s="177"/>
      <c r="G1311" s="177"/>
      <c r="H1311" s="177"/>
      <c r="I1311" s="145"/>
      <c r="J1311" s="177"/>
      <c r="K1311" s="133"/>
      <c r="L1311" s="103"/>
      <c r="M1311" s="176"/>
      <c r="N1311" s="175"/>
    </row>
    <row r="1312" spans="1:14">
      <c r="A1312" s="177"/>
      <c r="B1312" s="177"/>
      <c r="C1312" s="177"/>
      <c r="D1312" s="177"/>
      <c r="E1312" s="177"/>
      <c r="F1312" s="177"/>
      <c r="G1312" s="177"/>
      <c r="H1312" s="177"/>
      <c r="I1312" s="145"/>
      <c r="J1312" s="177"/>
      <c r="K1312" s="133"/>
      <c r="L1312" s="103"/>
      <c r="M1312" s="176"/>
      <c r="N1312" s="175"/>
    </row>
    <row r="1313" spans="1:14">
      <c r="A1313" s="177"/>
      <c r="B1313" s="177"/>
      <c r="C1313" s="177"/>
      <c r="D1313" s="177"/>
      <c r="E1313" s="177"/>
      <c r="F1313" s="177"/>
      <c r="G1313" s="177"/>
      <c r="H1313" s="177"/>
      <c r="I1313" s="145"/>
      <c r="J1313" s="177"/>
      <c r="K1313" s="133"/>
      <c r="L1313" s="103"/>
      <c r="M1313" s="176"/>
      <c r="N1313" s="175"/>
    </row>
    <row r="1314" spans="1:14">
      <c r="A1314" s="177"/>
      <c r="B1314" s="177"/>
      <c r="C1314" s="177"/>
      <c r="D1314" s="177"/>
      <c r="E1314" s="177"/>
      <c r="F1314" s="177"/>
      <c r="G1314" s="177"/>
      <c r="H1314" s="177"/>
      <c r="I1314" s="145"/>
      <c r="J1314" s="177"/>
      <c r="K1314" s="133"/>
      <c r="L1314" s="103"/>
      <c r="M1314" s="176"/>
      <c r="N1314" s="175"/>
    </row>
    <row r="1315" spans="1:14">
      <c r="A1315" s="177"/>
      <c r="B1315" s="177"/>
      <c r="C1315" s="177"/>
      <c r="D1315" s="177"/>
      <c r="E1315" s="177"/>
      <c r="F1315" s="177"/>
      <c r="G1315" s="177"/>
      <c r="H1315" s="177"/>
      <c r="I1315" s="145"/>
      <c r="J1315" s="177"/>
      <c r="K1315" s="133"/>
      <c r="L1315" s="103"/>
      <c r="M1315" s="176"/>
      <c r="N1315" s="175"/>
    </row>
    <row r="1316" spans="1:14">
      <c r="A1316" s="177"/>
      <c r="B1316" s="177"/>
      <c r="C1316" s="177"/>
      <c r="D1316" s="177"/>
      <c r="E1316" s="177"/>
      <c r="F1316" s="177"/>
      <c r="G1316" s="177"/>
      <c r="H1316" s="177"/>
      <c r="I1316" s="145"/>
      <c r="J1316" s="177"/>
      <c r="K1316" s="133"/>
      <c r="L1316" s="103"/>
      <c r="M1316" s="176"/>
      <c r="N1316" s="175"/>
    </row>
    <row r="1317" spans="1:14">
      <c r="A1317" s="177"/>
      <c r="B1317" s="177"/>
      <c r="C1317" s="177"/>
      <c r="D1317" s="177"/>
      <c r="E1317" s="177"/>
      <c r="F1317" s="177"/>
      <c r="G1317" s="177"/>
      <c r="H1317" s="177"/>
      <c r="I1317" s="145"/>
      <c r="J1317" s="177"/>
      <c r="K1317" s="133"/>
      <c r="L1317" s="103"/>
      <c r="M1317" s="176"/>
      <c r="N1317" s="175"/>
    </row>
    <row r="1318" spans="1:14">
      <c r="A1318" s="177"/>
      <c r="B1318" s="177"/>
      <c r="C1318" s="177"/>
      <c r="D1318" s="177"/>
      <c r="E1318" s="177"/>
      <c r="F1318" s="177"/>
      <c r="G1318" s="177"/>
      <c r="H1318" s="177"/>
      <c r="I1318" s="145"/>
      <c r="J1318" s="177"/>
      <c r="K1318" s="133"/>
      <c r="L1318" s="103"/>
      <c r="M1318" s="176"/>
      <c r="N1318" s="175"/>
    </row>
    <row r="1319" spans="1:14">
      <c r="A1319" s="177"/>
      <c r="B1319" s="177"/>
      <c r="C1319" s="177"/>
      <c r="D1319" s="177"/>
      <c r="E1319" s="177"/>
      <c r="F1319" s="177"/>
      <c r="G1319" s="177"/>
      <c r="H1319" s="177"/>
      <c r="I1319" s="145"/>
      <c r="J1319" s="177"/>
      <c r="K1319" s="133"/>
      <c r="L1319" s="103"/>
      <c r="M1319" s="176"/>
      <c r="N1319" s="175"/>
    </row>
    <row r="1320" spans="1:14">
      <c r="A1320" s="177"/>
      <c r="B1320" s="177"/>
      <c r="C1320" s="177"/>
      <c r="D1320" s="177"/>
      <c r="E1320" s="177"/>
      <c r="F1320" s="177"/>
      <c r="G1320" s="177"/>
      <c r="H1320" s="177"/>
      <c r="I1320" s="145"/>
      <c r="J1320" s="177"/>
      <c r="K1320" s="133"/>
      <c r="L1320" s="103"/>
      <c r="M1320" s="176"/>
      <c r="N1320" s="175"/>
    </row>
    <row r="1321" spans="1:14">
      <c r="A1321" s="177"/>
      <c r="B1321" s="177"/>
      <c r="C1321" s="177"/>
      <c r="D1321" s="177"/>
      <c r="E1321" s="177"/>
      <c r="F1321" s="177"/>
      <c r="G1321" s="177"/>
      <c r="H1321" s="177"/>
      <c r="I1321" s="145"/>
      <c r="J1321" s="177"/>
      <c r="K1321" s="133"/>
      <c r="L1321" s="103"/>
      <c r="M1321" s="176"/>
      <c r="N1321" s="175"/>
    </row>
    <row r="1322" spans="1:14">
      <c r="A1322" s="177"/>
      <c r="B1322" s="177"/>
      <c r="C1322" s="177"/>
      <c r="D1322" s="177"/>
      <c r="E1322" s="177"/>
      <c r="F1322" s="177"/>
      <c r="G1322" s="177"/>
      <c r="H1322" s="177"/>
      <c r="I1322" s="145"/>
      <c r="J1322" s="177"/>
      <c r="K1322" s="133"/>
      <c r="L1322" s="103"/>
      <c r="M1322" s="176"/>
      <c r="N1322" s="175"/>
    </row>
    <row r="1323" spans="1:14">
      <c r="A1323" s="177"/>
      <c r="B1323" s="177"/>
      <c r="C1323" s="177"/>
      <c r="D1323" s="177"/>
      <c r="E1323" s="177"/>
      <c r="F1323" s="177"/>
      <c r="G1323" s="177"/>
      <c r="H1323" s="177"/>
      <c r="I1323" s="145"/>
      <c r="J1323" s="177"/>
      <c r="K1323" s="133"/>
      <c r="L1323" s="103"/>
      <c r="M1323" s="176"/>
      <c r="N1323" s="175"/>
    </row>
    <row r="1324" spans="1:14">
      <c r="A1324" s="177"/>
      <c r="B1324" s="177"/>
      <c r="C1324" s="177"/>
      <c r="D1324" s="177"/>
      <c r="E1324" s="177"/>
      <c r="F1324" s="177"/>
      <c r="G1324" s="177"/>
      <c r="H1324" s="177"/>
      <c r="I1324" s="145"/>
      <c r="J1324" s="177"/>
      <c r="K1324" s="133"/>
      <c r="L1324" s="103"/>
      <c r="M1324" s="176"/>
      <c r="N1324" s="175"/>
    </row>
    <row r="1325" spans="1:14">
      <c r="A1325" s="177"/>
      <c r="B1325" s="177"/>
      <c r="C1325" s="177"/>
      <c r="D1325" s="177"/>
      <c r="E1325" s="177"/>
      <c r="F1325" s="177"/>
      <c r="G1325" s="177"/>
      <c r="H1325" s="177"/>
      <c r="I1325" s="145"/>
      <c r="J1325" s="177"/>
      <c r="K1325" s="133"/>
      <c r="L1325" s="103"/>
      <c r="M1325" s="176"/>
      <c r="N1325" s="175"/>
    </row>
    <row r="1326" spans="1:14">
      <c r="A1326" s="177"/>
      <c r="B1326" s="177"/>
      <c r="C1326" s="177"/>
      <c r="D1326" s="177"/>
      <c r="E1326" s="177"/>
      <c r="F1326" s="177"/>
      <c r="G1326" s="177"/>
      <c r="H1326" s="177"/>
      <c r="I1326" s="145"/>
      <c r="J1326" s="177"/>
      <c r="K1326" s="133"/>
      <c r="L1326" s="103"/>
      <c r="M1326" s="176"/>
      <c r="N1326" s="175"/>
    </row>
    <row r="1327" spans="1:14">
      <c r="A1327" s="177"/>
      <c r="B1327" s="177"/>
      <c r="C1327" s="177"/>
      <c r="D1327" s="177"/>
      <c r="E1327" s="177"/>
      <c r="F1327" s="177"/>
      <c r="G1327" s="177"/>
      <c r="H1327" s="177"/>
      <c r="I1327" s="145"/>
      <c r="J1327" s="177"/>
      <c r="K1327" s="133"/>
      <c r="L1327" s="103"/>
      <c r="M1327" s="176"/>
      <c r="N1327" s="175"/>
    </row>
    <row r="1328" spans="1:14">
      <c r="A1328" s="177"/>
      <c r="B1328" s="177"/>
      <c r="C1328" s="177"/>
      <c r="D1328" s="177"/>
      <c r="E1328" s="177"/>
      <c r="F1328" s="177"/>
      <c r="G1328" s="177"/>
      <c r="H1328" s="177"/>
      <c r="I1328" s="145"/>
      <c r="J1328" s="177"/>
      <c r="K1328" s="133"/>
      <c r="L1328" s="103"/>
      <c r="M1328" s="176"/>
      <c r="N1328" s="175"/>
    </row>
    <row r="1329" spans="1:14">
      <c r="A1329" s="177"/>
      <c r="B1329" s="177"/>
      <c r="C1329" s="177"/>
      <c r="D1329" s="177"/>
      <c r="E1329" s="177"/>
      <c r="F1329" s="177"/>
      <c r="G1329" s="177"/>
      <c r="H1329" s="177"/>
      <c r="I1329" s="145"/>
      <c r="J1329" s="177"/>
      <c r="K1329" s="133"/>
      <c r="L1329" s="103"/>
      <c r="M1329" s="176"/>
      <c r="N1329" s="175"/>
    </row>
    <row r="1330" spans="1:14">
      <c r="A1330" s="177"/>
      <c r="B1330" s="177"/>
      <c r="C1330" s="177"/>
      <c r="D1330" s="177"/>
      <c r="E1330" s="177"/>
      <c r="F1330" s="177"/>
      <c r="G1330" s="177"/>
      <c r="H1330" s="177"/>
      <c r="I1330" s="145"/>
      <c r="J1330" s="177"/>
      <c r="K1330" s="133"/>
      <c r="L1330" s="103"/>
      <c r="M1330" s="176"/>
      <c r="N1330" s="175"/>
    </row>
    <row r="1331" spans="1:14">
      <c r="A1331" s="177"/>
      <c r="B1331" s="177"/>
      <c r="C1331" s="177"/>
      <c r="D1331" s="177"/>
      <c r="E1331" s="177"/>
      <c r="F1331" s="177"/>
      <c r="G1331" s="177"/>
      <c r="H1331" s="177"/>
      <c r="I1331" s="145"/>
      <c r="J1331" s="177"/>
      <c r="K1331" s="133"/>
      <c r="L1331" s="103"/>
      <c r="M1331" s="176"/>
      <c r="N1331" s="175"/>
    </row>
    <row r="1332" spans="1:14">
      <c r="A1332" s="177"/>
      <c r="B1332" s="177"/>
      <c r="C1332" s="177"/>
      <c r="D1332" s="177"/>
      <c r="E1332" s="177"/>
      <c r="F1332" s="177"/>
      <c r="G1332" s="177"/>
      <c r="H1332" s="177"/>
      <c r="I1332" s="145"/>
      <c r="J1332" s="177"/>
      <c r="K1332" s="133"/>
      <c r="L1332" s="103"/>
      <c r="M1332" s="176"/>
      <c r="N1332" s="175"/>
    </row>
    <row r="1333" spans="1:14">
      <c r="A1333" s="177"/>
      <c r="B1333" s="177"/>
      <c r="C1333" s="177"/>
      <c r="D1333" s="177"/>
      <c r="E1333" s="177"/>
      <c r="F1333" s="177"/>
      <c r="G1333" s="177"/>
      <c r="H1333" s="177"/>
      <c r="I1333" s="145"/>
      <c r="J1333" s="177"/>
      <c r="K1333" s="133"/>
      <c r="L1333" s="103"/>
      <c r="M1333" s="176"/>
      <c r="N1333" s="175"/>
    </row>
    <row r="1334" spans="1:14">
      <c r="A1334" s="177"/>
      <c r="B1334" s="177"/>
      <c r="C1334" s="177"/>
      <c r="D1334" s="177"/>
      <c r="E1334" s="177"/>
      <c r="F1334" s="177"/>
      <c r="G1334" s="177"/>
      <c r="H1334" s="177"/>
      <c r="I1334" s="145"/>
      <c r="J1334" s="177"/>
      <c r="K1334" s="133"/>
      <c r="L1334" s="103"/>
      <c r="M1334" s="176"/>
      <c r="N1334" s="175"/>
    </row>
    <row r="1335" spans="1:14">
      <c r="A1335" s="177"/>
      <c r="B1335" s="177"/>
      <c r="C1335" s="177"/>
      <c r="D1335" s="177"/>
      <c r="E1335" s="177"/>
      <c r="F1335" s="177"/>
      <c r="G1335" s="177"/>
      <c r="H1335" s="177"/>
      <c r="I1335" s="145"/>
      <c r="J1335" s="177"/>
      <c r="K1335" s="133"/>
      <c r="L1335" s="103"/>
      <c r="M1335" s="176"/>
      <c r="N1335" s="175"/>
    </row>
    <row r="1336" spans="1:14">
      <c r="A1336" s="177"/>
      <c r="B1336" s="177"/>
      <c r="C1336" s="177"/>
      <c r="D1336" s="177"/>
      <c r="E1336" s="177"/>
      <c r="F1336" s="177"/>
      <c r="G1336" s="177"/>
      <c r="H1336" s="177"/>
      <c r="I1336" s="145"/>
      <c r="J1336" s="177"/>
      <c r="K1336" s="133"/>
      <c r="L1336" s="103"/>
      <c r="M1336" s="176"/>
      <c r="N1336" s="175"/>
    </row>
    <row r="1337" spans="1:14">
      <c r="A1337" s="177"/>
      <c r="B1337" s="177"/>
      <c r="C1337" s="177"/>
      <c r="D1337" s="177"/>
      <c r="E1337" s="177"/>
      <c r="F1337" s="177"/>
      <c r="G1337" s="177"/>
      <c r="H1337" s="177"/>
      <c r="I1337" s="145"/>
      <c r="J1337" s="177"/>
      <c r="K1337" s="133"/>
      <c r="L1337" s="103"/>
      <c r="M1337" s="176"/>
      <c r="N1337" s="175"/>
    </row>
    <row r="1338" spans="1:14">
      <c r="A1338" s="177"/>
      <c r="B1338" s="177"/>
      <c r="C1338" s="177"/>
      <c r="D1338" s="177"/>
      <c r="E1338" s="177"/>
      <c r="F1338" s="177"/>
      <c r="G1338" s="177"/>
      <c r="H1338" s="177"/>
      <c r="I1338" s="145"/>
      <c r="J1338" s="177"/>
      <c r="K1338" s="133"/>
      <c r="L1338" s="103"/>
      <c r="M1338" s="176"/>
      <c r="N1338" s="175"/>
    </row>
    <row r="1339" spans="1:14">
      <c r="A1339" s="177"/>
      <c r="B1339" s="177"/>
      <c r="C1339" s="177"/>
      <c r="D1339" s="177"/>
      <c r="E1339" s="177"/>
      <c r="F1339" s="177"/>
      <c r="G1339" s="177"/>
      <c r="H1339" s="177"/>
      <c r="I1339" s="145"/>
      <c r="J1339" s="177"/>
      <c r="K1339" s="133"/>
      <c r="L1339" s="103"/>
      <c r="M1339" s="176"/>
      <c r="N1339" s="175"/>
    </row>
    <row r="1340" spans="1:14">
      <c r="A1340" s="177"/>
      <c r="B1340" s="177"/>
      <c r="C1340" s="177"/>
      <c r="D1340" s="177"/>
      <c r="E1340" s="177"/>
      <c r="F1340" s="177"/>
      <c r="G1340" s="177"/>
      <c r="H1340" s="177"/>
      <c r="I1340" s="145"/>
      <c r="J1340" s="177"/>
      <c r="K1340" s="133"/>
      <c r="L1340" s="103"/>
      <c r="M1340" s="176"/>
      <c r="N1340" s="175"/>
    </row>
    <row r="1341" spans="1:14">
      <c r="A1341" s="177"/>
      <c r="B1341" s="177"/>
      <c r="C1341" s="177"/>
      <c r="D1341" s="177"/>
      <c r="E1341" s="177"/>
      <c r="F1341" s="177"/>
      <c r="G1341" s="177"/>
      <c r="H1341" s="177"/>
      <c r="I1341" s="145"/>
      <c r="J1341" s="177"/>
      <c r="K1341" s="133"/>
      <c r="L1341" s="103"/>
      <c r="M1341" s="176"/>
      <c r="N1341" s="175"/>
    </row>
    <row r="1342" spans="1:14">
      <c r="A1342" s="177"/>
      <c r="B1342" s="177"/>
      <c r="C1342" s="177"/>
      <c r="D1342" s="177"/>
      <c r="E1342" s="177"/>
      <c r="F1342" s="177"/>
      <c r="G1342" s="177"/>
      <c r="H1342" s="177"/>
      <c r="I1342" s="145"/>
      <c r="J1342" s="177"/>
      <c r="K1342" s="133"/>
      <c r="L1342" s="103"/>
      <c r="M1342" s="176"/>
      <c r="N1342" s="175"/>
    </row>
    <row r="1343" spans="1:14">
      <c r="A1343" s="177"/>
      <c r="B1343" s="177"/>
      <c r="C1343" s="177"/>
      <c r="D1343" s="177"/>
      <c r="E1343" s="177"/>
      <c r="F1343" s="177"/>
      <c r="G1343" s="177"/>
      <c r="H1343" s="177"/>
      <c r="I1343" s="145"/>
      <c r="J1343" s="177"/>
      <c r="K1343" s="133"/>
      <c r="L1343" s="103"/>
      <c r="M1343" s="176"/>
      <c r="N1343" s="175"/>
    </row>
    <row r="1344" spans="1:14">
      <c r="A1344" s="177"/>
      <c r="B1344" s="177"/>
      <c r="C1344" s="177"/>
      <c r="D1344" s="177"/>
      <c r="E1344" s="177"/>
      <c r="F1344" s="177"/>
      <c r="G1344" s="177"/>
      <c r="H1344" s="177"/>
      <c r="I1344" s="145"/>
      <c r="J1344" s="177"/>
      <c r="K1344" s="133"/>
      <c r="L1344" s="103"/>
      <c r="M1344" s="176"/>
      <c r="N1344" s="175"/>
    </row>
    <row r="1345" spans="1:14">
      <c r="A1345" s="177"/>
      <c r="B1345" s="177"/>
      <c r="C1345" s="177"/>
      <c r="D1345" s="177"/>
      <c r="E1345" s="177"/>
      <c r="F1345" s="177"/>
      <c r="G1345" s="177"/>
      <c r="H1345" s="177"/>
      <c r="I1345" s="145"/>
      <c r="J1345" s="177"/>
      <c r="K1345" s="133"/>
      <c r="L1345" s="103"/>
      <c r="M1345" s="176"/>
      <c r="N1345" s="175"/>
    </row>
    <row r="1346" spans="1:14">
      <c r="A1346" s="177"/>
      <c r="B1346" s="177"/>
      <c r="C1346" s="177"/>
      <c r="D1346" s="177"/>
      <c r="E1346" s="177"/>
      <c r="F1346" s="177"/>
      <c r="G1346" s="177"/>
      <c r="H1346" s="177"/>
      <c r="I1346" s="145"/>
      <c r="J1346" s="177"/>
      <c r="K1346" s="133"/>
      <c r="L1346" s="103"/>
      <c r="M1346" s="176"/>
      <c r="N1346" s="175"/>
    </row>
    <row r="1347" spans="1:14">
      <c r="A1347" s="177"/>
      <c r="B1347" s="177"/>
      <c r="C1347" s="177"/>
      <c r="D1347" s="177"/>
      <c r="E1347" s="177"/>
      <c r="F1347" s="177"/>
      <c r="G1347" s="177"/>
      <c r="H1347" s="177"/>
      <c r="I1347" s="145"/>
      <c r="J1347" s="177"/>
      <c r="K1347" s="133"/>
      <c r="L1347" s="103"/>
      <c r="M1347" s="176"/>
      <c r="N1347" s="175"/>
    </row>
    <row r="1348" spans="1:14">
      <c r="A1348" s="177"/>
      <c r="B1348" s="177"/>
      <c r="C1348" s="177"/>
      <c r="D1348" s="177"/>
      <c r="E1348" s="177"/>
      <c r="F1348" s="177"/>
      <c r="G1348" s="177"/>
      <c r="H1348" s="177"/>
      <c r="I1348" s="145"/>
      <c r="J1348" s="177"/>
      <c r="K1348" s="133"/>
      <c r="L1348" s="103"/>
      <c r="M1348" s="176"/>
      <c r="N1348" s="175"/>
    </row>
    <row r="1349" spans="1:14">
      <c r="A1349" s="177"/>
      <c r="B1349" s="177"/>
      <c r="C1349" s="177"/>
      <c r="D1349" s="177"/>
      <c r="E1349" s="177"/>
      <c r="F1349" s="177"/>
      <c r="G1349" s="177"/>
      <c r="H1349" s="177"/>
      <c r="I1349" s="145"/>
      <c r="J1349" s="177"/>
      <c r="K1349" s="133"/>
      <c r="L1349" s="103"/>
      <c r="M1349" s="176"/>
      <c r="N1349" s="175"/>
    </row>
    <row r="1350" spans="1:14">
      <c r="A1350" s="177"/>
      <c r="B1350" s="177"/>
      <c r="C1350" s="177"/>
      <c r="D1350" s="177"/>
      <c r="E1350" s="177"/>
      <c r="F1350" s="177"/>
      <c r="G1350" s="177"/>
      <c r="H1350" s="177"/>
      <c r="I1350" s="145"/>
      <c r="J1350" s="177"/>
      <c r="K1350" s="133"/>
      <c r="L1350" s="103"/>
      <c r="M1350" s="176"/>
      <c r="N1350" s="175"/>
    </row>
    <row r="1351" spans="1:14">
      <c r="A1351" s="177"/>
      <c r="B1351" s="177"/>
      <c r="C1351" s="177"/>
      <c r="D1351" s="177"/>
      <c r="E1351" s="177"/>
      <c r="F1351" s="177"/>
      <c r="G1351" s="177"/>
      <c r="H1351" s="177"/>
      <c r="I1351" s="145"/>
      <c r="J1351" s="177"/>
      <c r="K1351" s="133"/>
      <c r="L1351" s="103"/>
      <c r="M1351" s="176"/>
      <c r="N1351" s="175"/>
    </row>
    <row r="1352" spans="1:14">
      <c r="A1352" s="177"/>
      <c r="B1352" s="177"/>
      <c r="C1352" s="177"/>
      <c r="D1352" s="177"/>
      <c r="E1352" s="177"/>
      <c r="F1352" s="177"/>
      <c r="G1352" s="177"/>
      <c r="H1352" s="177"/>
      <c r="I1352" s="145"/>
      <c r="J1352" s="177"/>
      <c r="K1352" s="133"/>
      <c r="L1352" s="103"/>
      <c r="M1352" s="176"/>
      <c r="N1352" s="175"/>
    </row>
    <row r="1353" spans="1:14">
      <c r="A1353" s="177"/>
      <c r="B1353" s="177"/>
      <c r="C1353" s="177"/>
      <c r="D1353" s="177"/>
      <c r="E1353" s="177"/>
      <c r="F1353" s="177"/>
      <c r="G1353" s="177"/>
      <c r="H1353" s="177"/>
      <c r="I1353" s="145"/>
      <c r="J1353" s="177"/>
      <c r="K1353" s="133"/>
      <c r="L1353" s="103"/>
      <c r="M1353" s="176"/>
      <c r="N1353" s="175"/>
    </row>
    <row r="1354" spans="1:14">
      <c r="A1354" s="177"/>
      <c r="B1354" s="177"/>
      <c r="C1354" s="177"/>
      <c r="D1354" s="177"/>
      <c r="E1354" s="177"/>
      <c r="F1354" s="177"/>
      <c r="G1354" s="177"/>
      <c r="H1354" s="177"/>
      <c r="I1354" s="145"/>
      <c r="J1354" s="177"/>
      <c r="K1354" s="133"/>
      <c r="L1354" s="103"/>
      <c r="M1354" s="176"/>
      <c r="N1354" s="175"/>
    </row>
    <row r="1355" spans="1:14">
      <c r="A1355" s="177"/>
      <c r="B1355" s="177"/>
      <c r="C1355" s="177"/>
      <c r="D1355" s="177"/>
      <c r="E1355" s="177"/>
      <c r="F1355" s="177"/>
      <c r="G1355" s="177"/>
      <c r="H1355" s="177"/>
      <c r="I1355" s="145"/>
      <c r="J1355" s="177"/>
      <c r="K1355" s="133"/>
      <c r="L1355" s="103"/>
      <c r="M1355" s="176"/>
      <c r="N1355" s="175"/>
    </row>
    <row r="1356" spans="1:14">
      <c r="A1356" s="177"/>
      <c r="B1356" s="177"/>
      <c r="C1356" s="177"/>
      <c r="D1356" s="177"/>
      <c r="E1356" s="177"/>
      <c r="F1356" s="177"/>
      <c r="G1356" s="177"/>
      <c r="H1356" s="177"/>
      <c r="I1356" s="145"/>
      <c r="J1356" s="177"/>
      <c r="K1356" s="133"/>
      <c r="L1356" s="103"/>
      <c r="M1356" s="176"/>
      <c r="N1356" s="175"/>
    </row>
    <row r="1357" spans="1:14">
      <c r="A1357" s="177"/>
      <c r="B1357" s="177"/>
      <c r="C1357" s="177"/>
      <c r="D1357" s="177"/>
      <c r="E1357" s="177"/>
      <c r="F1357" s="177"/>
      <c r="G1357" s="177"/>
      <c r="H1357" s="177"/>
      <c r="I1357" s="145"/>
      <c r="J1357" s="177"/>
      <c r="K1357" s="133"/>
      <c r="L1357" s="103"/>
      <c r="M1357" s="176"/>
      <c r="N1357" s="175"/>
    </row>
    <row r="1358" spans="1:14">
      <c r="A1358" s="177"/>
      <c r="B1358" s="177"/>
      <c r="C1358" s="177"/>
      <c r="D1358" s="177"/>
      <c r="E1358" s="177"/>
      <c r="F1358" s="177"/>
      <c r="G1358" s="177"/>
      <c r="H1358" s="177"/>
      <c r="I1358" s="145"/>
      <c r="J1358" s="177"/>
      <c r="K1358" s="133"/>
      <c r="L1358" s="103"/>
      <c r="M1358" s="176"/>
      <c r="N1358" s="175"/>
    </row>
    <row r="1359" spans="1:14">
      <c r="A1359" s="177"/>
      <c r="B1359" s="177"/>
      <c r="C1359" s="177"/>
      <c r="D1359" s="177"/>
      <c r="E1359" s="177"/>
      <c r="F1359" s="177"/>
      <c r="G1359" s="177"/>
      <c r="H1359" s="177"/>
      <c r="I1359" s="145"/>
      <c r="J1359" s="177"/>
      <c r="K1359" s="133"/>
      <c r="L1359" s="103"/>
      <c r="M1359" s="176"/>
      <c r="N1359" s="175"/>
    </row>
    <row r="1360" spans="1:14">
      <c r="A1360" s="177"/>
      <c r="B1360" s="177"/>
      <c r="C1360" s="177"/>
      <c r="D1360" s="177"/>
      <c r="E1360" s="177"/>
      <c r="F1360" s="177"/>
      <c r="G1360" s="177"/>
      <c r="H1360" s="177"/>
      <c r="I1360" s="145"/>
      <c r="J1360" s="177"/>
      <c r="K1360" s="133"/>
      <c r="L1360" s="103"/>
      <c r="M1360" s="176"/>
      <c r="N1360" s="175"/>
    </row>
    <row r="1361" spans="1:14">
      <c r="A1361" s="177"/>
      <c r="B1361" s="177"/>
      <c r="C1361" s="177"/>
      <c r="D1361" s="177"/>
      <c r="E1361" s="177"/>
      <c r="F1361" s="177"/>
      <c r="G1361" s="177"/>
      <c r="H1361" s="177"/>
      <c r="I1361" s="145"/>
      <c r="J1361" s="177"/>
      <c r="K1361" s="133"/>
      <c r="L1361" s="103"/>
      <c r="M1361" s="176"/>
      <c r="N1361" s="175"/>
    </row>
    <row r="1362" spans="1:14">
      <c r="A1362" s="177"/>
      <c r="B1362" s="177"/>
      <c r="C1362" s="177"/>
      <c r="D1362" s="177"/>
      <c r="E1362" s="177"/>
      <c r="F1362" s="177"/>
      <c r="G1362" s="177"/>
      <c r="H1362" s="177"/>
      <c r="I1362" s="145"/>
      <c r="J1362" s="177"/>
      <c r="K1362" s="133"/>
      <c r="L1362" s="103"/>
      <c r="M1362" s="176"/>
      <c r="N1362" s="175"/>
    </row>
    <row r="1363" spans="1:14">
      <c r="A1363" s="177"/>
      <c r="B1363" s="177"/>
      <c r="C1363" s="177"/>
      <c r="D1363" s="177"/>
      <c r="E1363" s="177"/>
      <c r="F1363" s="177"/>
      <c r="G1363" s="177"/>
      <c r="H1363" s="177"/>
      <c r="I1363" s="145"/>
      <c r="J1363" s="177"/>
      <c r="K1363" s="133"/>
      <c r="L1363" s="103"/>
      <c r="M1363" s="176"/>
      <c r="N1363" s="175"/>
    </row>
    <row r="1364" spans="1:14">
      <c r="A1364" s="177"/>
      <c r="B1364" s="177"/>
      <c r="C1364" s="177"/>
      <c r="D1364" s="177"/>
      <c r="E1364" s="177"/>
      <c r="F1364" s="177"/>
      <c r="G1364" s="177"/>
      <c r="H1364" s="177"/>
      <c r="I1364" s="145"/>
      <c r="J1364" s="177"/>
      <c r="K1364" s="133"/>
      <c r="L1364" s="103"/>
      <c r="M1364" s="176"/>
      <c r="N1364" s="175"/>
    </row>
    <row r="1365" spans="1:14">
      <c r="A1365" s="177"/>
      <c r="B1365" s="177"/>
      <c r="C1365" s="177"/>
      <c r="D1365" s="177"/>
      <c r="E1365" s="177"/>
      <c r="F1365" s="177"/>
      <c r="G1365" s="177"/>
      <c r="H1365" s="177"/>
      <c r="I1365" s="145"/>
      <c r="J1365" s="177"/>
      <c r="K1365" s="133"/>
      <c r="L1365" s="103"/>
      <c r="M1365" s="176"/>
      <c r="N1365" s="175"/>
    </row>
  </sheetData>
  <autoFilter ref="A3:P1135"/>
  <mergeCells count="433">
    <mergeCell ref="K1123:K1124"/>
    <mergeCell ref="K1125:K1126"/>
    <mergeCell ref="M1123:M1124"/>
    <mergeCell ref="N1123:N1124"/>
    <mergeCell ref="M1125:M1126"/>
    <mergeCell ref="N1125:N1126"/>
    <mergeCell ref="K1114:K1117"/>
    <mergeCell ref="M1114:M1117"/>
    <mergeCell ref="N1114:N1117"/>
    <mergeCell ref="K1073:K1074"/>
    <mergeCell ref="M1073:M1074"/>
    <mergeCell ref="N1073:N1074"/>
    <mergeCell ref="K1064:K1065"/>
    <mergeCell ref="M1064:M1065"/>
    <mergeCell ref="N1064:N1065"/>
    <mergeCell ref="K1091:K1094"/>
    <mergeCell ref="M1091:M1094"/>
    <mergeCell ref="N1091:N1094"/>
    <mergeCell ref="K1069:K1070"/>
    <mergeCell ref="M1069:M1070"/>
    <mergeCell ref="N1069:N1070"/>
    <mergeCell ref="K1071:K1072"/>
    <mergeCell ref="M1071:M1072"/>
    <mergeCell ref="N1071:N1072"/>
    <mergeCell ref="K1103:K1104"/>
    <mergeCell ref="M1103:M1104"/>
    <mergeCell ref="N1103:N1104"/>
    <mergeCell ref="K453:K454"/>
    <mergeCell ref="M453:M454"/>
    <mergeCell ref="N453:N454"/>
    <mergeCell ref="K455:K456"/>
    <mergeCell ref="M455:M456"/>
    <mergeCell ref="N455:N456"/>
    <mergeCell ref="K1051:K1052"/>
    <mergeCell ref="M1051:M1052"/>
    <mergeCell ref="N1051:N1052"/>
    <mergeCell ref="K942:K943"/>
    <mergeCell ref="M942:M943"/>
    <mergeCell ref="N942:N943"/>
    <mergeCell ref="K944:K945"/>
    <mergeCell ref="M944:M945"/>
    <mergeCell ref="N944:N945"/>
    <mergeCell ref="K854:K856"/>
    <mergeCell ref="M854:M856"/>
    <mergeCell ref="N854:N856"/>
    <mergeCell ref="K906:K909"/>
    <mergeCell ref="M906:M909"/>
    <mergeCell ref="N906:N909"/>
    <mergeCell ref="K910:K913"/>
    <mergeCell ref="M910:M913"/>
    <mergeCell ref="N910:N913"/>
    <mergeCell ref="K1118:K1121"/>
    <mergeCell ref="M1118:M1121"/>
    <mergeCell ref="N1118:N1121"/>
    <mergeCell ref="K1077:K1078"/>
    <mergeCell ref="M1077:M1078"/>
    <mergeCell ref="N1077:N1078"/>
    <mergeCell ref="K1079:K1080"/>
    <mergeCell ref="M1079:M1080"/>
    <mergeCell ref="N1079:N1080"/>
    <mergeCell ref="K1082:K1084"/>
    <mergeCell ref="M1082:M1084"/>
    <mergeCell ref="N1082:N1084"/>
    <mergeCell ref="K1085:K1086"/>
    <mergeCell ref="M1085:M1086"/>
    <mergeCell ref="N1085:N1086"/>
    <mergeCell ref="K1087:K1090"/>
    <mergeCell ref="M1087:M1090"/>
    <mergeCell ref="N1087:N1090"/>
    <mergeCell ref="K1105:K1108"/>
    <mergeCell ref="M1105:M1108"/>
    <mergeCell ref="N1105:N1108"/>
    <mergeCell ref="K1099:K1102"/>
    <mergeCell ref="M1099:M1102"/>
    <mergeCell ref="N1099:N1102"/>
    <mergeCell ref="K914:K915"/>
    <mergeCell ref="M914:M915"/>
    <mergeCell ref="N914:N915"/>
    <mergeCell ref="K916:K917"/>
    <mergeCell ref="M916:M917"/>
    <mergeCell ref="N916:N917"/>
    <mergeCell ref="K925:K927"/>
    <mergeCell ref="M925:M927"/>
    <mergeCell ref="N925:N927"/>
    <mergeCell ref="K918:K919"/>
    <mergeCell ref="M918:M919"/>
    <mergeCell ref="N918:N919"/>
    <mergeCell ref="K920:K921"/>
    <mergeCell ref="M920:M921"/>
    <mergeCell ref="N920:N921"/>
    <mergeCell ref="K922:K924"/>
    <mergeCell ref="M922:M924"/>
    <mergeCell ref="N922:N924"/>
    <mergeCell ref="K962:K963"/>
    <mergeCell ref="M962:M963"/>
    <mergeCell ref="N962:N963"/>
    <mergeCell ref="K831:K832"/>
    <mergeCell ref="M831:M832"/>
    <mergeCell ref="N831:N832"/>
    <mergeCell ref="K833:K834"/>
    <mergeCell ref="M833:M834"/>
    <mergeCell ref="N833:N834"/>
    <mergeCell ref="K837:K838"/>
    <mergeCell ref="M837:M838"/>
    <mergeCell ref="N837:N838"/>
    <mergeCell ref="K835:K836"/>
    <mergeCell ref="M835:M836"/>
    <mergeCell ref="N835:N836"/>
    <mergeCell ref="K850:K851"/>
    <mergeCell ref="M850:M851"/>
    <mergeCell ref="N850:N851"/>
    <mergeCell ref="K843:K844"/>
    <mergeCell ref="M843:M844"/>
    <mergeCell ref="N843:N844"/>
    <mergeCell ref="K845:K846"/>
    <mergeCell ref="M845:M846"/>
    <mergeCell ref="N845:N846"/>
    <mergeCell ref="K848:K849"/>
    <mergeCell ref="M848:M849"/>
    <mergeCell ref="N848:N849"/>
    <mergeCell ref="K825:K826"/>
    <mergeCell ref="M825:M826"/>
    <mergeCell ref="N825:N826"/>
    <mergeCell ref="K827:K828"/>
    <mergeCell ref="M827:M828"/>
    <mergeCell ref="N827:N828"/>
    <mergeCell ref="K724:K725"/>
    <mergeCell ref="M724:M725"/>
    <mergeCell ref="N724:N725"/>
    <mergeCell ref="K726:K727"/>
    <mergeCell ref="M726:M727"/>
    <mergeCell ref="N726:N727"/>
    <mergeCell ref="K803:K805"/>
    <mergeCell ref="M803:M805"/>
    <mergeCell ref="N803:N805"/>
    <mergeCell ref="K806:K808"/>
    <mergeCell ref="M806:M808"/>
    <mergeCell ref="N806:N808"/>
    <mergeCell ref="K728:K729"/>
    <mergeCell ref="M728:M729"/>
    <mergeCell ref="N728:N729"/>
    <mergeCell ref="K730:K731"/>
    <mergeCell ref="M730:M731"/>
    <mergeCell ref="N730:N731"/>
    <mergeCell ref="K707:K708"/>
    <mergeCell ref="M707:M708"/>
    <mergeCell ref="N707:N708"/>
    <mergeCell ref="K709:K710"/>
    <mergeCell ref="M709:M710"/>
    <mergeCell ref="N709:N710"/>
    <mergeCell ref="K711:K712"/>
    <mergeCell ref="M711:M712"/>
    <mergeCell ref="N711:N712"/>
    <mergeCell ref="K522:K525"/>
    <mergeCell ref="M522:M525"/>
    <mergeCell ref="N522:N525"/>
    <mergeCell ref="K526:K529"/>
    <mergeCell ref="M526:M529"/>
    <mergeCell ref="N526:N529"/>
    <mergeCell ref="K447:K448"/>
    <mergeCell ref="M447:M448"/>
    <mergeCell ref="N447:N448"/>
    <mergeCell ref="K449:K450"/>
    <mergeCell ref="M449:M450"/>
    <mergeCell ref="N449:N450"/>
    <mergeCell ref="K451:K452"/>
    <mergeCell ref="M451:M452"/>
    <mergeCell ref="N451:N452"/>
    <mergeCell ref="K459:K462"/>
    <mergeCell ref="M459:M462"/>
    <mergeCell ref="N459:N462"/>
    <mergeCell ref="K463:K466"/>
    <mergeCell ref="M463:M466"/>
    <mergeCell ref="N463:N466"/>
    <mergeCell ref="K474:K475"/>
    <mergeCell ref="M474:M475"/>
    <mergeCell ref="N474:N475"/>
    <mergeCell ref="K335:K338"/>
    <mergeCell ref="K339:K341"/>
    <mergeCell ref="M327:M328"/>
    <mergeCell ref="M329:M330"/>
    <mergeCell ref="M331:M334"/>
    <mergeCell ref="M335:M338"/>
    <mergeCell ref="M339:M341"/>
    <mergeCell ref="N335:N338"/>
    <mergeCell ref="N339:N341"/>
    <mergeCell ref="B2:N2"/>
    <mergeCell ref="K4:K5"/>
    <mergeCell ref="K6:K7"/>
    <mergeCell ref="M4:M5"/>
    <mergeCell ref="M6:M7"/>
    <mergeCell ref="N4:N5"/>
    <mergeCell ref="N6:N7"/>
    <mergeCell ref="N18:N19"/>
    <mergeCell ref="K20:K21"/>
    <mergeCell ref="M20:M21"/>
    <mergeCell ref="N20:N21"/>
    <mergeCell ref="K14:K15"/>
    <mergeCell ref="M14:M15"/>
    <mergeCell ref="N14:N15"/>
    <mergeCell ref="K16:K17"/>
    <mergeCell ref="M16:M17"/>
    <mergeCell ref="N16:N17"/>
    <mergeCell ref="M187:M188"/>
    <mergeCell ref="N187:N188"/>
    <mergeCell ref="K187:K188"/>
    <mergeCell ref="K18:K19"/>
    <mergeCell ref="M18:M19"/>
    <mergeCell ref="K178:K179"/>
    <mergeCell ref="M178:M179"/>
    <mergeCell ref="N178:N179"/>
    <mergeCell ref="K185:K186"/>
    <mergeCell ref="M185:M186"/>
    <mergeCell ref="N185:N186"/>
    <mergeCell ref="K160:K161"/>
    <mergeCell ref="M160:M161"/>
    <mergeCell ref="N160:N161"/>
    <mergeCell ref="K176:K177"/>
    <mergeCell ref="M176:M177"/>
    <mergeCell ref="N176:N177"/>
    <mergeCell ref="K199:K202"/>
    <mergeCell ref="M199:M202"/>
    <mergeCell ref="N199:N202"/>
    <mergeCell ref="K203:K204"/>
    <mergeCell ref="K205:K206"/>
    <mergeCell ref="M203:M204"/>
    <mergeCell ref="M205:M206"/>
    <mergeCell ref="N203:N204"/>
    <mergeCell ref="N205:N206"/>
    <mergeCell ref="K207:K210"/>
    <mergeCell ref="M207:M210"/>
    <mergeCell ref="N207:N210"/>
    <mergeCell ref="K211:K214"/>
    <mergeCell ref="M211:M214"/>
    <mergeCell ref="N211:N214"/>
    <mergeCell ref="K215:K218"/>
    <mergeCell ref="M215:M218"/>
    <mergeCell ref="N215:N218"/>
    <mergeCell ref="K219:K222"/>
    <mergeCell ref="M219:M222"/>
    <mergeCell ref="N219:N222"/>
    <mergeCell ref="K223:K224"/>
    <mergeCell ref="M223:M224"/>
    <mergeCell ref="N223:N224"/>
    <mergeCell ref="K225:K228"/>
    <mergeCell ref="M225:M228"/>
    <mergeCell ref="N225:N228"/>
    <mergeCell ref="K233:K234"/>
    <mergeCell ref="M233:M234"/>
    <mergeCell ref="N233:N234"/>
    <mergeCell ref="K229:K230"/>
    <mergeCell ref="M229:M230"/>
    <mergeCell ref="N229:N230"/>
    <mergeCell ref="N327:N328"/>
    <mergeCell ref="N329:N330"/>
    <mergeCell ref="N331:N334"/>
    <mergeCell ref="K235:K236"/>
    <mergeCell ref="M235:M236"/>
    <mergeCell ref="N235:N236"/>
    <mergeCell ref="K327:K328"/>
    <mergeCell ref="K329:K330"/>
    <mergeCell ref="K331:K334"/>
    <mergeCell ref="N342:N344"/>
    <mergeCell ref="K351:K353"/>
    <mergeCell ref="M351:M353"/>
    <mergeCell ref="N351:N353"/>
    <mergeCell ref="K354:K355"/>
    <mergeCell ref="M354:M355"/>
    <mergeCell ref="N354:N355"/>
    <mergeCell ref="K342:K344"/>
    <mergeCell ref="M342:M344"/>
    <mergeCell ref="K419:K421"/>
    <mergeCell ref="M419:M421"/>
    <mergeCell ref="N419:N421"/>
    <mergeCell ref="K422:K424"/>
    <mergeCell ref="M422:M424"/>
    <mergeCell ref="N422:N424"/>
    <mergeCell ref="K356:K357"/>
    <mergeCell ref="M356:M357"/>
    <mergeCell ref="N356:N357"/>
    <mergeCell ref="K407:K410"/>
    <mergeCell ref="M407:M410"/>
    <mergeCell ref="N407:N410"/>
    <mergeCell ref="K411:K414"/>
    <mergeCell ref="M411:M414"/>
    <mergeCell ref="N411:N414"/>
    <mergeCell ref="K367:K370"/>
    <mergeCell ref="M367:M370"/>
    <mergeCell ref="N367:N370"/>
    <mergeCell ref="K425:K427"/>
    <mergeCell ref="M425:M427"/>
    <mergeCell ref="N425:N427"/>
    <mergeCell ref="K428:K430"/>
    <mergeCell ref="M428:M430"/>
    <mergeCell ref="N428:N430"/>
    <mergeCell ref="K431:K432"/>
    <mergeCell ref="M431:M432"/>
    <mergeCell ref="N431:N432"/>
    <mergeCell ref="K433:K434"/>
    <mergeCell ref="M433:M434"/>
    <mergeCell ref="N433:N434"/>
    <mergeCell ref="K435:K436"/>
    <mergeCell ref="M435:M436"/>
    <mergeCell ref="N435:N436"/>
    <mergeCell ref="K437:K438"/>
    <mergeCell ref="M437:M438"/>
    <mergeCell ref="N437:N438"/>
    <mergeCell ref="K439:K441"/>
    <mergeCell ref="M439:M441"/>
    <mergeCell ref="N439:N441"/>
    <mergeCell ref="K442:K444"/>
    <mergeCell ref="M442:M444"/>
    <mergeCell ref="N442:N444"/>
    <mergeCell ref="K445:K446"/>
    <mergeCell ref="M445:M446"/>
    <mergeCell ref="N445:N446"/>
    <mergeCell ref="K488:K490"/>
    <mergeCell ref="M488:M490"/>
    <mergeCell ref="N488:N490"/>
    <mergeCell ref="K491:K493"/>
    <mergeCell ref="M491:M493"/>
    <mergeCell ref="N491:N493"/>
    <mergeCell ref="K476:K477"/>
    <mergeCell ref="M476:M477"/>
    <mergeCell ref="N476:N477"/>
    <mergeCell ref="K480:K483"/>
    <mergeCell ref="M480:M483"/>
    <mergeCell ref="N480:N483"/>
    <mergeCell ref="K484:K487"/>
    <mergeCell ref="M484:M487"/>
    <mergeCell ref="N484:N487"/>
    <mergeCell ref="K598:K599"/>
    <mergeCell ref="K600:K601"/>
    <mergeCell ref="M598:M599"/>
    <mergeCell ref="N598:N599"/>
    <mergeCell ref="M600:M601"/>
    <mergeCell ref="N600:N601"/>
    <mergeCell ref="K609:K611"/>
    <mergeCell ref="M609:M611"/>
    <mergeCell ref="N609:N611"/>
    <mergeCell ref="K602:K603"/>
    <mergeCell ref="M602:M603"/>
    <mergeCell ref="N602:N603"/>
    <mergeCell ref="K604:K605"/>
    <mergeCell ref="M604:M605"/>
    <mergeCell ref="N604:N605"/>
    <mergeCell ref="K606:K608"/>
    <mergeCell ref="M606:M608"/>
    <mergeCell ref="N606:N608"/>
    <mergeCell ref="K612:K614"/>
    <mergeCell ref="M612:M614"/>
    <mergeCell ref="N612:N614"/>
    <mergeCell ref="K902:K903"/>
    <mergeCell ref="M902:M903"/>
    <mergeCell ref="N902:N903"/>
    <mergeCell ref="K904:K905"/>
    <mergeCell ref="M904:M905"/>
    <mergeCell ref="N904:N905"/>
    <mergeCell ref="K615:K617"/>
    <mergeCell ref="M615:M617"/>
    <mergeCell ref="N615:N617"/>
    <mergeCell ref="K654:K656"/>
    <mergeCell ref="M654:M656"/>
    <mergeCell ref="N654:N656"/>
    <mergeCell ref="K647:K648"/>
    <mergeCell ref="M647:M648"/>
    <mergeCell ref="N647:N648"/>
    <mergeCell ref="K649:K650"/>
    <mergeCell ref="M649:M650"/>
    <mergeCell ref="N649:N650"/>
    <mergeCell ref="K651:K653"/>
    <mergeCell ref="M651:M653"/>
    <mergeCell ref="N651:N653"/>
    <mergeCell ref="K964:K965"/>
    <mergeCell ref="M964:M965"/>
    <mergeCell ref="N964:N965"/>
    <mergeCell ref="K956:K957"/>
    <mergeCell ref="M956:M957"/>
    <mergeCell ref="N956:N957"/>
    <mergeCell ref="K958:K960"/>
    <mergeCell ref="M958:M960"/>
    <mergeCell ref="N958:N960"/>
    <mergeCell ref="K987:K988"/>
    <mergeCell ref="M987:M988"/>
    <mergeCell ref="N987:N988"/>
    <mergeCell ref="K981:K982"/>
    <mergeCell ref="M981:M982"/>
    <mergeCell ref="N981:N982"/>
    <mergeCell ref="K983:K984"/>
    <mergeCell ref="M983:M984"/>
    <mergeCell ref="N983:N984"/>
    <mergeCell ref="K985:K986"/>
    <mergeCell ref="M985:M986"/>
    <mergeCell ref="N985:N986"/>
    <mergeCell ref="K1058:K1061"/>
    <mergeCell ref="M1058:M1061"/>
    <mergeCell ref="N1058:N1061"/>
    <mergeCell ref="K1021:K1022"/>
    <mergeCell ref="M1021:M1022"/>
    <mergeCell ref="N1021:N1022"/>
    <mergeCell ref="K1024:K1025"/>
    <mergeCell ref="M1024:M1025"/>
    <mergeCell ref="N1024:N1025"/>
    <mergeCell ref="K1034:K1035"/>
    <mergeCell ref="M1034:M1035"/>
    <mergeCell ref="N1034:N1035"/>
    <mergeCell ref="K1032:K1033"/>
    <mergeCell ref="M1032:M1033"/>
    <mergeCell ref="N1032:N1033"/>
    <mergeCell ref="K1130:K1132"/>
    <mergeCell ref="M1130:M1132"/>
    <mergeCell ref="N1130:N1132"/>
    <mergeCell ref="K1133:K1135"/>
    <mergeCell ref="M1133:M1135"/>
    <mergeCell ref="N1133:N1135"/>
    <mergeCell ref="K1036:K1038"/>
    <mergeCell ref="M1036:M1038"/>
    <mergeCell ref="N1036:N1038"/>
    <mergeCell ref="K1039:K1041"/>
    <mergeCell ref="M1039:M1041"/>
    <mergeCell ref="N1039:N1041"/>
    <mergeCell ref="K1067:K1068"/>
    <mergeCell ref="M1067:M1068"/>
    <mergeCell ref="N1067:N1068"/>
    <mergeCell ref="K1046:K1047"/>
    <mergeCell ref="M1046:M1047"/>
    <mergeCell ref="N1046:N1047"/>
    <mergeCell ref="K1049:K1050"/>
    <mergeCell ref="M1049:M1050"/>
    <mergeCell ref="N1049:N1050"/>
    <mergeCell ref="K1054:K1057"/>
    <mergeCell ref="M1054:M1057"/>
    <mergeCell ref="N1054:N1057"/>
  </mergeCells>
  <phoneticPr fontId="39" type="noConversion"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9"/>
  <sheetViews>
    <sheetView topLeftCell="C1" workbookViewId="0">
      <pane ySplit="3" topLeftCell="A4" activePane="bottomLeft" state="frozen"/>
      <selection pane="bottomLeft" activeCell="U14" sqref="U14"/>
    </sheetView>
  </sheetViews>
  <sheetFormatPr baseColWidth="10" defaultRowHeight="15"/>
  <cols>
    <col min="1" max="1" width="28.140625" style="61" customWidth="1"/>
    <col min="2" max="2" width="16.5703125" style="61" customWidth="1"/>
    <col min="3" max="3" width="11.42578125" style="61"/>
    <col min="4" max="4" width="9.85546875" style="61" customWidth="1"/>
    <col min="5" max="5" width="12.140625" style="61" customWidth="1"/>
    <col min="6" max="6" width="9.85546875" style="61" customWidth="1"/>
    <col min="7" max="7" width="11.7109375" style="61" customWidth="1"/>
    <col min="8" max="8" width="16.140625" style="61" customWidth="1"/>
    <col min="9" max="9" width="10" style="61" customWidth="1"/>
    <col min="10" max="10" width="11.42578125" style="61" customWidth="1"/>
    <col min="11" max="11" width="15" style="61" customWidth="1"/>
    <col min="12" max="12" width="11.42578125" style="62"/>
    <col min="13" max="13" width="12.7109375" style="148" customWidth="1"/>
    <col min="14" max="15" width="11.42578125" style="61"/>
    <col min="16" max="16" width="12.7109375" style="61" bestFit="1" customWidth="1"/>
    <col min="17" max="17" width="11.42578125" style="61"/>
    <col min="18" max="18" width="13.28515625" style="61" customWidth="1"/>
    <col min="19" max="16384" width="11.42578125" style="61"/>
  </cols>
  <sheetData>
    <row r="1" spans="1:26" s="84" customFormat="1">
      <c r="L1" s="107"/>
      <c r="M1" s="143"/>
    </row>
    <row r="2" spans="1:26" s="84" customFormat="1">
      <c r="B2" s="278" t="s">
        <v>206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S2" s="84" t="s">
        <v>735</v>
      </c>
      <c r="T2" s="84" t="s">
        <v>736</v>
      </c>
      <c r="U2" s="84" t="s">
        <v>734</v>
      </c>
      <c r="V2" s="84" t="s">
        <v>737</v>
      </c>
      <c r="W2" s="84" t="s">
        <v>740</v>
      </c>
      <c r="X2" s="84" t="s">
        <v>741</v>
      </c>
      <c r="Y2" s="84" t="s">
        <v>738</v>
      </c>
      <c r="Z2" s="84" t="s">
        <v>739</v>
      </c>
    </row>
    <row r="3" spans="1:26" s="84" customFormat="1" ht="45">
      <c r="A3" s="80" t="s">
        <v>208</v>
      </c>
      <c r="B3" s="93" t="s">
        <v>197</v>
      </c>
      <c r="C3" s="93" t="s">
        <v>198</v>
      </c>
      <c r="D3" s="93" t="s">
        <v>199</v>
      </c>
      <c r="E3" s="93" t="s">
        <v>209</v>
      </c>
      <c r="F3" s="93" t="s">
        <v>200</v>
      </c>
      <c r="G3" s="93" t="s">
        <v>211</v>
      </c>
      <c r="H3" s="93" t="s">
        <v>201</v>
      </c>
      <c r="I3" s="93" t="s">
        <v>202</v>
      </c>
      <c r="J3" s="93" t="s">
        <v>203</v>
      </c>
      <c r="K3" s="93" t="s">
        <v>204</v>
      </c>
      <c r="L3" s="108" t="s">
        <v>205</v>
      </c>
      <c r="M3" s="93" t="s">
        <v>141</v>
      </c>
      <c r="N3" s="93" t="s">
        <v>142</v>
      </c>
      <c r="O3" s="93" t="s">
        <v>143</v>
      </c>
      <c r="P3" s="84" t="s">
        <v>274</v>
      </c>
      <c r="Q3" s="84" t="s">
        <v>747</v>
      </c>
      <c r="S3" s="114">
        <f>L4+L6+L11+L72+L74+L76+L78+L86+L88+L120+L149+L151+L183+L185+L187</f>
        <v>1100</v>
      </c>
      <c r="T3" s="114">
        <f>L5+L7+L12+L73+L75+L77+L79+L87+L89+L99+L100+L101+L121+L150+L152+L184+L186</f>
        <v>3544.482</v>
      </c>
      <c r="U3" s="84">
        <f>M4+M6+M11+M72+M74+M76+M78+M86+M88+M120+M149+M151+M183+M185+M187</f>
        <v>358.012</v>
      </c>
      <c r="V3" s="84">
        <f>M5+M7+M12+M73+M75+M77+M79+M87+M89+M99+M100+M101+M121+M150+M152+M184+M186</f>
        <v>3945.5570000000007</v>
      </c>
      <c r="W3" s="84">
        <f>M9+M13+M16+M18+M20+M22+M24+M26+M28+M32+M34+M36+M38+M40+M42+M44+M46+M48+M50+M52+M54+M57+M59+M61+M63+M65+M67+M80+M83+M90+M92+M94+M97+M102+M104+M106+M108+M110+M112+M114+M116+M118+M125+M127+M129+M131+M133+M135+M137+M139+M141+M143+M144+M145+M153+M155+M157+M160+M162+M164+M166+M168+M170+M172+M174+M176+M178+M180</f>
        <v>3296.6239999999998</v>
      </c>
      <c r="X3" s="84">
        <f>M8+M10+M14+M15+M17+M19+M21+M23+M25+M27+M29+M30+M31+M33+M35+M37+M39+M41+M43+M45+M47+M49+M51+M53+M55+M56+M58+M60+M62+M64+M66+M68+M69+M70+M71+M81+M82+M84+M85+M91+M93+M95+M96+M98+M103+M105+M107+M109+M111+M113+M115+M117+M119+M122+M123+M124+M126+M128+M130+M132+M134+M136+M138+M140+M142+M146+M147+M148+M154+M156+M158+M159+M161+M163+M165+M167+M169+M171+M173+M175+M177+M179+M181+M182</f>
        <v>19992.635999999995</v>
      </c>
      <c r="Y3" s="114">
        <f>L9+L13+L16+L18+L20+L22+L24+L26+L28+L32+L34+L36+L38+L40+L42+L46+L48+L50+L52+L54+L57+L59+L61+L63+L65+L67+L80+L83+L90+L92+L94+L97+L102+L104+L106+L108+L110+L112+L114+L116+L118+L125+L127+L129+L131+L133+L135+L137+L139+L141+L143+L153+L155+L157+L160+L162+L164+L166+L168+L170+L172+L174+L176+L178+L180</f>
        <v>7783.237000000001</v>
      </c>
      <c r="Z3" s="114">
        <f>L8+L10+L14+L15+L17+L19+L21+L23+L25+L27+L29+L30+L31+L33+L35+L37+L39+L41+L43+L45+L47+L49+L51+L53+L55+L56+L58+L60+L62+L64+L66+L68+L69+L70+L71+L81+L82+L84+L85+L91+L93+L95+L96+L98+L103+L105+L107+L109+L111+L113+L115+L117+L119+L122+L123+L124+L126+L128+L130+L132+L134+L136+L138+L140+L142+L146+L154+L156+L158+L159+L161+L163+L165+L167+L169+L171+L173+L175+L177+L179+L181+L182</f>
        <v>15710.779999999997</v>
      </c>
    </row>
    <row r="4" spans="1:26">
      <c r="A4" s="129" t="s">
        <v>296</v>
      </c>
      <c r="B4" s="129" t="s">
        <v>293</v>
      </c>
      <c r="C4" s="91">
        <v>44246</v>
      </c>
      <c r="D4" s="121">
        <v>490</v>
      </c>
      <c r="E4" s="129" t="s">
        <v>294</v>
      </c>
      <c r="F4" s="129" t="s">
        <v>297</v>
      </c>
      <c r="G4" s="129" t="s">
        <v>213</v>
      </c>
      <c r="H4" s="129" t="s">
        <v>299</v>
      </c>
      <c r="I4" s="121">
        <v>966686</v>
      </c>
      <c r="J4" s="121"/>
      <c r="K4" s="129" t="s">
        <v>192</v>
      </c>
      <c r="L4" s="109">
        <v>275</v>
      </c>
      <c r="M4" s="101">
        <v>56.768999999999998</v>
      </c>
      <c r="N4" s="121">
        <f>L4-M4</f>
        <v>218.23099999999999</v>
      </c>
      <c r="O4" s="140">
        <f>M4/L4</f>
        <v>0.20643272727272727</v>
      </c>
      <c r="P4" s="61">
        <f>N4+N5</f>
        <v>1.1920000000000073</v>
      </c>
    </row>
    <row r="5" spans="1:26">
      <c r="A5" s="129" t="s">
        <v>296</v>
      </c>
      <c r="B5" s="129" t="s">
        <v>293</v>
      </c>
      <c r="C5" s="91">
        <v>44246</v>
      </c>
      <c r="D5" s="129">
        <v>490</v>
      </c>
      <c r="E5" s="129" t="s">
        <v>294</v>
      </c>
      <c r="F5" s="129" t="s">
        <v>297</v>
      </c>
      <c r="G5" s="129" t="s">
        <v>213</v>
      </c>
      <c r="H5" s="129" t="s">
        <v>299</v>
      </c>
      <c r="I5" s="129">
        <v>966686</v>
      </c>
      <c r="J5" s="121"/>
      <c r="K5" s="129" t="s">
        <v>193</v>
      </c>
      <c r="L5" s="109">
        <v>275</v>
      </c>
      <c r="M5" s="101">
        <v>492.03899999999999</v>
      </c>
      <c r="N5" s="129">
        <f t="shared" ref="N5:N7" si="0">L5-M5</f>
        <v>-217.03899999999999</v>
      </c>
      <c r="O5" s="140">
        <f t="shared" ref="O5:O7" si="1">M5/L5</f>
        <v>1.7892327272727273</v>
      </c>
    </row>
    <row r="6" spans="1:26">
      <c r="A6" s="129" t="s">
        <v>296</v>
      </c>
      <c r="B6" s="129" t="s">
        <v>293</v>
      </c>
      <c r="C6" s="91">
        <v>44246</v>
      </c>
      <c r="D6" s="129">
        <v>490</v>
      </c>
      <c r="E6" s="129" t="s">
        <v>294</v>
      </c>
      <c r="F6" s="129" t="s">
        <v>297</v>
      </c>
      <c r="G6" s="129" t="s">
        <v>213</v>
      </c>
      <c r="H6" s="129" t="s">
        <v>298</v>
      </c>
      <c r="I6" s="121">
        <v>951113</v>
      </c>
      <c r="J6" s="121"/>
      <c r="K6" s="129" t="s">
        <v>192</v>
      </c>
      <c r="L6" s="109">
        <v>275</v>
      </c>
      <c r="M6" s="101">
        <v>42.109000000000002</v>
      </c>
      <c r="N6" s="129">
        <f t="shared" si="0"/>
        <v>232.89099999999999</v>
      </c>
      <c r="O6" s="140">
        <f t="shared" si="1"/>
        <v>0.15312363636363638</v>
      </c>
      <c r="P6" s="61">
        <f>N6+N7</f>
        <v>5.5660000000000025</v>
      </c>
    </row>
    <row r="7" spans="1:26">
      <c r="A7" s="129" t="s">
        <v>296</v>
      </c>
      <c r="B7" s="129" t="s">
        <v>293</v>
      </c>
      <c r="C7" s="91">
        <v>44246</v>
      </c>
      <c r="D7" s="129">
        <v>490</v>
      </c>
      <c r="E7" s="129" t="s">
        <v>294</v>
      </c>
      <c r="F7" s="129" t="s">
        <v>297</v>
      </c>
      <c r="G7" s="129" t="s">
        <v>213</v>
      </c>
      <c r="H7" s="129" t="s">
        <v>298</v>
      </c>
      <c r="I7" s="129">
        <v>951113</v>
      </c>
      <c r="J7" s="121"/>
      <c r="K7" s="129" t="s">
        <v>193</v>
      </c>
      <c r="L7" s="109">
        <v>275</v>
      </c>
      <c r="M7" s="101">
        <v>502.32499999999999</v>
      </c>
      <c r="N7" s="129">
        <f t="shared" si="0"/>
        <v>-227.32499999999999</v>
      </c>
      <c r="O7" s="140">
        <f t="shared" si="1"/>
        <v>1.8266363636363636</v>
      </c>
    </row>
    <row r="8" spans="1:26">
      <c r="A8" s="121" t="s">
        <v>389</v>
      </c>
      <c r="B8" s="129" t="s">
        <v>293</v>
      </c>
      <c r="C8" s="91">
        <v>44260</v>
      </c>
      <c r="D8" s="121">
        <v>656</v>
      </c>
      <c r="E8" s="129" t="s">
        <v>294</v>
      </c>
      <c r="F8" s="129" t="s">
        <v>297</v>
      </c>
      <c r="G8" s="121" t="s">
        <v>212</v>
      </c>
      <c r="H8" s="121" t="s">
        <v>390</v>
      </c>
      <c r="I8" s="121">
        <v>951220</v>
      </c>
      <c r="J8" s="121"/>
      <c r="K8" s="129" t="s">
        <v>193</v>
      </c>
      <c r="L8" s="109">
        <v>390.45600000000002</v>
      </c>
      <c r="M8" s="101">
        <v>390.45600000000002</v>
      </c>
      <c r="N8" s="129">
        <f t="shared" ref="N8" si="2">L8-M8</f>
        <v>0</v>
      </c>
      <c r="O8" s="140">
        <f t="shared" ref="O8" si="3">M8/L8</f>
        <v>1</v>
      </c>
    </row>
    <row r="9" spans="1:26">
      <c r="A9" s="121" t="s">
        <v>404</v>
      </c>
      <c r="B9" s="129" t="s">
        <v>293</v>
      </c>
      <c r="C9" s="91">
        <v>44264</v>
      </c>
      <c r="D9" s="121">
        <v>683</v>
      </c>
      <c r="E9" s="129" t="s">
        <v>294</v>
      </c>
      <c r="F9" s="121" t="s">
        <v>287</v>
      </c>
      <c r="G9" s="129" t="s">
        <v>212</v>
      </c>
      <c r="H9" s="129" t="s">
        <v>390</v>
      </c>
      <c r="I9" s="129">
        <v>951220</v>
      </c>
      <c r="J9" s="121"/>
      <c r="K9" s="129" t="s">
        <v>192</v>
      </c>
      <c r="L9" s="109">
        <v>600</v>
      </c>
      <c r="M9" s="101">
        <v>69.320999999999998</v>
      </c>
      <c r="N9" s="129">
        <f>L9-M9</f>
        <v>530.67899999999997</v>
      </c>
      <c r="O9" s="140">
        <f>M9/L9</f>
        <v>0.115535</v>
      </c>
      <c r="P9" s="61">
        <f>N9+N10</f>
        <v>4.0000000000190994E-3</v>
      </c>
    </row>
    <row r="10" spans="1:26">
      <c r="A10" s="129" t="s">
        <v>404</v>
      </c>
      <c r="B10" s="129" t="s">
        <v>293</v>
      </c>
      <c r="C10" s="91">
        <v>44264</v>
      </c>
      <c r="D10" s="129">
        <v>683</v>
      </c>
      <c r="E10" s="129" t="s">
        <v>294</v>
      </c>
      <c r="F10" s="129" t="s">
        <v>287</v>
      </c>
      <c r="G10" s="129" t="s">
        <v>212</v>
      </c>
      <c r="H10" s="129" t="s">
        <v>390</v>
      </c>
      <c r="I10" s="129">
        <v>951220</v>
      </c>
      <c r="J10" s="121"/>
      <c r="K10" s="129" t="s">
        <v>193</v>
      </c>
      <c r="L10" s="109">
        <v>600</v>
      </c>
      <c r="M10" s="101">
        <v>1130.675</v>
      </c>
      <c r="N10" s="129">
        <f t="shared" ref="N10" si="4">L10-M10</f>
        <v>-530.67499999999995</v>
      </c>
      <c r="O10" s="140">
        <f t="shared" ref="O10" si="5">M10/L10</f>
        <v>1.8844583333333333</v>
      </c>
    </row>
    <row r="11" spans="1:26">
      <c r="A11" s="121" t="s">
        <v>300</v>
      </c>
      <c r="B11" s="121" t="s">
        <v>293</v>
      </c>
      <c r="C11" s="91">
        <v>44279</v>
      </c>
      <c r="D11" s="121">
        <v>861</v>
      </c>
      <c r="E11" s="121" t="s">
        <v>294</v>
      </c>
      <c r="F11" s="121" t="s">
        <v>287</v>
      </c>
      <c r="G11" s="121" t="s">
        <v>213</v>
      </c>
      <c r="H11" s="121" t="s">
        <v>490</v>
      </c>
      <c r="I11" s="121">
        <v>964021</v>
      </c>
      <c r="J11" s="121"/>
      <c r="K11" s="129" t="s">
        <v>192</v>
      </c>
      <c r="L11" s="109">
        <v>90</v>
      </c>
      <c r="M11" s="101"/>
      <c r="N11" s="129">
        <f>L11-M11</f>
        <v>90</v>
      </c>
      <c r="O11" s="140">
        <f>M11/L11</f>
        <v>0</v>
      </c>
      <c r="P11" s="211">
        <f>N11+N12</f>
        <v>-1.3000000000000114</v>
      </c>
      <c r="Q11" s="61" t="s">
        <v>768</v>
      </c>
    </row>
    <row r="12" spans="1:26">
      <c r="A12" s="129" t="s">
        <v>300</v>
      </c>
      <c r="B12" s="129" t="s">
        <v>293</v>
      </c>
      <c r="C12" s="91">
        <v>44279</v>
      </c>
      <c r="D12" s="129">
        <v>861</v>
      </c>
      <c r="E12" s="129" t="s">
        <v>294</v>
      </c>
      <c r="F12" s="129" t="s">
        <v>287</v>
      </c>
      <c r="G12" s="129" t="s">
        <v>213</v>
      </c>
      <c r="H12" s="129" t="s">
        <v>490</v>
      </c>
      <c r="I12" s="129">
        <v>964021</v>
      </c>
      <c r="J12" s="121"/>
      <c r="K12" s="129" t="s">
        <v>193</v>
      </c>
      <c r="L12" s="109">
        <v>80</v>
      </c>
      <c r="M12" s="101">
        <v>171.3</v>
      </c>
      <c r="N12" s="129">
        <f t="shared" ref="N12" si="6">L12-M12</f>
        <v>-91.300000000000011</v>
      </c>
      <c r="O12" s="140">
        <f t="shared" ref="O12" si="7">M12/L12</f>
        <v>2.1412500000000003</v>
      </c>
    </row>
    <row r="13" spans="1:26">
      <c r="A13" s="121" t="s">
        <v>493</v>
      </c>
      <c r="B13" s="121" t="s">
        <v>293</v>
      </c>
      <c r="C13" s="91">
        <v>44280</v>
      </c>
      <c r="D13" s="121">
        <v>881</v>
      </c>
      <c r="E13" s="121" t="s">
        <v>294</v>
      </c>
      <c r="F13" s="121" t="s">
        <v>297</v>
      </c>
      <c r="G13" s="129" t="s">
        <v>212</v>
      </c>
      <c r="H13" s="121" t="s">
        <v>494</v>
      </c>
      <c r="I13" s="121">
        <v>951206</v>
      </c>
      <c r="J13" s="121"/>
      <c r="K13" s="129" t="s">
        <v>192</v>
      </c>
      <c r="L13" s="109">
        <v>1562.127</v>
      </c>
      <c r="M13" s="101">
        <v>990.68100000000004</v>
      </c>
      <c r="N13" s="129">
        <f>L13-M13</f>
        <v>571.44599999999991</v>
      </c>
      <c r="O13" s="140">
        <f>M13/L13</f>
        <v>0.63418723317630388</v>
      </c>
      <c r="P13" s="61">
        <f>N13+N14</f>
        <v>1.6949999999999363</v>
      </c>
    </row>
    <row r="14" spans="1:26">
      <c r="A14" s="129" t="s">
        <v>493</v>
      </c>
      <c r="B14" s="129" t="s">
        <v>293</v>
      </c>
      <c r="C14" s="91">
        <v>44280</v>
      </c>
      <c r="D14" s="129">
        <v>881</v>
      </c>
      <c r="E14" s="129" t="s">
        <v>294</v>
      </c>
      <c r="F14" s="129" t="s">
        <v>297</v>
      </c>
      <c r="G14" s="129" t="s">
        <v>212</v>
      </c>
      <c r="H14" s="129" t="s">
        <v>494</v>
      </c>
      <c r="I14" s="129">
        <v>951206</v>
      </c>
      <c r="J14" s="129"/>
      <c r="K14" s="129" t="s">
        <v>193</v>
      </c>
      <c r="L14" s="109">
        <v>0</v>
      </c>
      <c r="M14" s="101">
        <v>569.75099999999998</v>
      </c>
      <c r="N14" s="129">
        <f t="shared" ref="N14" si="8">L14-M14</f>
        <v>-569.75099999999998</v>
      </c>
      <c r="O14" s="140" t="e">
        <f>M14/L14</f>
        <v>#DIV/0!</v>
      </c>
    </row>
    <row r="15" spans="1:26">
      <c r="A15" s="129" t="s">
        <v>493</v>
      </c>
      <c r="B15" s="129" t="s">
        <v>293</v>
      </c>
      <c r="C15" s="91">
        <v>44280</v>
      </c>
      <c r="D15" s="121">
        <v>882</v>
      </c>
      <c r="E15" s="129" t="s">
        <v>294</v>
      </c>
      <c r="F15" s="129" t="s">
        <v>297</v>
      </c>
      <c r="G15" s="129" t="s">
        <v>212</v>
      </c>
      <c r="H15" s="129" t="s">
        <v>494</v>
      </c>
      <c r="I15" s="129">
        <v>951206</v>
      </c>
      <c r="J15" s="121"/>
      <c r="K15" s="129" t="s">
        <v>193</v>
      </c>
      <c r="L15" s="109">
        <v>585.68399999999997</v>
      </c>
      <c r="M15" s="101">
        <v>584.68399999999997</v>
      </c>
      <c r="N15" s="129">
        <f t="shared" ref="N15" si="9">L15-M15</f>
        <v>1</v>
      </c>
      <c r="O15" s="140">
        <f t="shared" ref="O15" si="10">M15/L15</f>
        <v>0.99829259464147901</v>
      </c>
    </row>
    <row r="16" spans="1:26">
      <c r="A16" s="121" t="s">
        <v>499</v>
      </c>
      <c r="B16" s="121" t="s">
        <v>293</v>
      </c>
      <c r="C16" s="91">
        <v>44281</v>
      </c>
      <c r="D16" s="121">
        <v>939</v>
      </c>
      <c r="E16" s="129" t="s">
        <v>294</v>
      </c>
      <c r="F16" s="121" t="s">
        <v>287</v>
      </c>
      <c r="G16" s="129" t="s">
        <v>212</v>
      </c>
      <c r="H16" s="129" t="s">
        <v>589</v>
      </c>
      <c r="I16" s="121">
        <v>964972</v>
      </c>
      <c r="J16" s="121"/>
      <c r="K16" s="129" t="s">
        <v>192</v>
      </c>
      <c r="L16" s="109">
        <v>30</v>
      </c>
      <c r="M16" s="101"/>
      <c r="N16" s="129">
        <f>L16-M16</f>
        <v>30</v>
      </c>
      <c r="O16" s="140">
        <f>M16/L16</f>
        <v>0</v>
      </c>
      <c r="P16" s="61">
        <f>N16+N17</f>
        <v>0</v>
      </c>
    </row>
    <row r="17" spans="1:17">
      <c r="A17" s="129" t="s">
        <v>499</v>
      </c>
      <c r="B17" s="129" t="s">
        <v>293</v>
      </c>
      <c r="C17" s="91">
        <v>44281</v>
      </c>
      <c r="D17" s="129">
        <v>939</v>
      </c>
      <c r="E17" s="129" t="s">
        <v>294</v>
      </c>
      <c r="F17" s="129" t="s">
        <v>287</v>
      </c>
      <c r="G17" s="129" t="s">
        <v>212</v>
      </c>
      <c r="H17" s="129" t="s">
        <v>589</v>
      </c>
      <c r="I17" s="129">
        <v>964972</v>
      </c>
      <c r="J17" s="121"/>
      <c r="K17" s="129" t="s">
        <v>193</v>
      </c>
      <c r="L17" s="109">
        <v>270</v>
      </c>
      <c r="M17" s="101">
        <v>300</v>
      </c>
      <c r="N17" s="129">
        <f t="shared" ref="N17" si="11">L17-M17</f>
        <v>-30</v>
      </c>
      <c r="O17" s="140">
        <f t="shared" ref="O17" si="12">M17/L17</f>
        <v>1.1111111111111112</v>
      </c>
    </row>
    <row r="18" spans="1:17">
      <c r="A18" s="129" t="s">
        <v>502</v>
      </c>
      <c r="B18" s="129" t="s">
        <v>293</v>
      </c>
      <c r="C18" s="91">
        <v>44291</v>
      </c>
      <c r="D18" s="129">
        <v>975</v>
      </c>
      <c r="E18" s="129" t="s">
        <v>294</v>
      </c>
      <c r="F18" s="129" t="s">
        <v>297</v>
      </c>
      <c r="G18" s="129" t="s">
        <v>212</v>
      </c>
      <c r="H18" s="129" t="s">
        <v>503</v>
      </c>
      <c r="I18" s="129">
        <v>916067</v>
      </c>
      <c r="J18" s="129"/>
      <c r="K18" s="129" t="s">
        <v>192</v>
      </c>
      <c r="L18" s="109">
        <v>0</v>
      </c>
      <c r="M18" s="101">
        <v>17.599</v>
      </c>
      <c r="N18" s="129">
        <f>L18-M18</f>
        <v>-17.599</v>
      </c>
      <c r="O18" s="140" t="e">
        <f>M18/L18</f>
        <v>#DIV/0!</v>
      </c>
      <c r="P18" s="61">
        <f>N18+N19</f>
        <v>0.68400000000001526</v>
      </c>
    </row>
    <row r="19" spans="1:17">
      <c r="A19" s="121" t="s">
        <v>502</v>
      </c>
      <c r="B19" s="121" t="s">
        <v>293</v>
      </c>
      <c r="C19" s="91">
        <v>44291</v>
      </c>
      <c r="D19" s="121">
        <v>975</v>
      </c>
      <c r="E19" s="121" t="s">
        <v>294</v>
      </c>
      <c r="F19" s="121" t="s">
        <v>297</v>
      </c>
      <c r="G19" s="121" t="s">
        <v>212</v>
      </c>
      <c r="H19" s="121" t="s">
        <v>503</v>
      </c>
      <c r="I19" s="121">
        <v>916067</v>
      </c>
      <c r="J19" s="121"/>
      <c r="K19" s="129" t="s">
        <v>193</v>
      </c>
      <c r="L19" s="109">
        <v>585.68399999999997</v>
      </c>
      <c r="M19" s="101">
        <v>567.40099999999995</v>
      </c>
      <c r="N19" s="129">
        <f t="shared" ref="N19" si="13">L19-M19</f>
        <v>18.283000000000015</v>
      </c>
      <c r="O19" s="140">
        <f t="shared" ref="O19" si="14">M19/L19</f>
        <v>0.96878350783016098</v>
      </c>
    </row>
    <row r="20" spans="1:17" s="90" customFormat="1">
      <c r="A20" s="129" t="s">
        <v>423</v>
      </c>
      <c r="B20" s="129" t="s">
        <v>293</v>
      </c>
      <c r="C20" s="91">
        <v>44293</v>
      </c>
      <c r="D20" s="129">
        <v>999</v>
      </c>
      <c r="E20" s="129" t="s">
        <v>294</v>
      </c>
      <c r="F20" s="129" t="s">
        <v>297</v>
      </c>
      <c r="G20" s="129" t="s">
        <v>212</v>
      </c>
      <c r="H20" s="129" t="s">
        <v>514</v>
      </c>
      <c r="I20" s="129">
        <v>968071</v>
      </c>
      <c r="J20" s="129"/>
      <c r="K20" s="129" t="s">
        <v>192</v>
      </c>
      <c r="L20" s="127">
        <v>114</v>
      </c>
      <c r="M20" s="101"/>
      <c r="N20" s="128">
        <f>L20-M20</f>
        <v>114</v>
      </c>
      <c r="O20" s="94">
        <f>M20/L20</f>
        <v>0</v>
      </c>
      <c r="P20" s="116">
        <f>N20+N21</f>
        <v>0</v>
      </c>
    </row>
    <row r="21" spans="1:17" s="90" customFormat="1">
      <c r="A21" s="129" t="s">
        <v>423</v>
      </c>
      <c r="B21" s="129" t="s">
        <v>293</v>
      </c>
      <c r="C21" s="91">
        <v>44293</v>
      </c>
      <c r="D21" s="129">
        <v>999</v>
      </c>
      <c r="E21" s="129" t="s">
        <v>294</v>
      </c>
      <c r="F21" s="129" t="s">
        <v>297</v>
      </c>
      <c r="G21" s="129" t="s">
        <v>212</v>
      </c>
      <c r="H21" s="129" t="s">
        <v>514</v>
      </c>
      <c r="I21" s="129">
        <v>968071</v>
      </c>
      <c r="J21" s="129"/>
      <c r="K21" s="129" t="s">
        <v>193</v>
      </c>
      <c r="L21" s="127">
        <v>186</v>
      </c>
      <c r="M21" s="101">
        <v>300</v>
      </c>
      <c r="N21" s="128">
        <f>L21-M21</f>
        <v>-114</v>
      </c>
      <c r="O21" s="94">
        <f>M21/L21</f>
        <v>1.6129032258064515</v>
      </c>
    </row>
    <row r="22" spans="1:17" s="90" customFormat="1">
      <c r="A22" s="129" t="s">
        <v>423</v>
      </c>
      <c r="B22" s="129" t="s">
        <v>293</v>
      </c>
      <c r="C22" s="91">
        <v>44293</v>
      </c>
      <c r="D22" s="129">
        <v>999</v>
      </c>
      <c r="E22" s="129" t="s">
        <v>294</v>
      </c>
      <c r="F22" s="129" t="s">
        <v>297</v>
      </c>
      <c r="G22" s="129" t="s">
        <v>212</v>
      </c>
      <c r="H22" s="129" t="s">
        <v>515</v>
      </c>
      <c r="I22" s="129">
        <v>968475</v>
      </c>
      <c r="J22" s="129"/>
      <c r="K22" s="129" t="s">
        <v>192</v>
      </c>
      <c r="L22" s="127">
        <v>72</v>
      </c>
      <c r="M22" s="101"/>
      <c r="N22" s="128">
        <f>L22-M22</f>
        <v>72</v>
      </c>
      <c r="O22" s="94">
        <f>M22/L22</f>
        <v>0</v>
      </c>
      <c r="P22" s="116">
        <f t="shared" ref="P22" si="15">N22+N23</f>
        <v>0</v>
      </c>
    </row>
    <row r="23" spans="1:17" s="90" customFormat="1">
      <c r="A23" s="129" t="s">
        <v>423</v>
      </c>
      <c r="B23" s="129" t="s">
        <v>293</v>
      </c>
      <c r="C23" s="91">
        <v>44293</v>
      </c>
      <c r="D23" s="129">
        <v>999</v>
      </c>
      <c r="E23" s="129" t="s">
        <v>294</v>
      </c>
      <c r="F23" s="129" t="s">
        <v>297</v>
      </c>
      <c r="G23" s="129" t="s">
        <v>212</v>
      </c>
      <c r="H23" s="129" t="s">
        <v>515</v>
      </c>
      <c r="I23" s="129">
        <v>968475</v>
      </c>
      <c r="J23" s="129"/>
      <c r="K23" s="129" t="s">
        <v>193</v>
      </c>
      <c r="L23" s="127">
        <v>128</v>
      </c>
      <c r="M23" s="101">
        <v>200</v>
      </c>
      <c r="N23" s="128">
        <f>L23-M23</f>
        <v>-72</v>
      </c>
      <c r="O23" s="94">
        <f>M23/L23</f>
        <v>1.5625</v>
      </c>
    </row>
    <row r="24" spans="1:17">
      <c r="A24" s="121" t="s">
        <v>535</v>
      </c>
      <c r="B24" s="129" t="s">
        <v>293</v>
      </c>
      <c r="C24" s="91">
        <v>44299</v>
      </c>
      <c r="D24" s="121">
        <v>1085</v>
      </c>
      <c r="E24" s="129" t="s">
        <v>294</v>
      </c>
      <c r="F24" s="121" t="s">
        <v>287</v>
      </c>
      <c r="G24" s="121" t="s">
        <v>212</v>
      </c>
      <c r="H24" s="129" t="s">
        <v>589</v>
      </c>
      <c r="I24" s="129">
        <v>964972</v>
      </c>
      <c r="J24" s="129"/>
      <c r="K24" s="129" t="s">
        <v>192</v>
      </c>
      <c r="L24" s="109">
        <v>57.63</v>
      </c>
      <c r="M24" s="101">
        <v>28.748000000000001</v>
      </c>
      <c r="N24" s="129">
        <f>L24-M24</f>
        <v>28.882000000000001</v>
      </c>
      <c r="O24" s="140">
        <f>M24/L24</f>
        <v>0.49883741107062296</v>
      </c>
      <c r="P24" s="209">
        <f t="shared" ref="P24" si="16">N24+N25</f>
        <v>-4.9999999999990052E-3</v>
      </c>
      <c r="Q24" s="61" t="s">
        <v>769</v>
      </c>
    </row>
    <row r="25" spans="1:17">
      <c r="A25" s="129" t="s">
        <v>535</v>
      </c>
      <c r="B25" s="129" t="s">
        <v>293</v>
      </c>
      <c r="C25" s="91">
        <v>44299</v>
      </c>
      <c r="D25" s="129">
        <v>1085</v>
      </c>
      <c r="E25" s="129" t="s">
        <v>294</v>
      </c>
      <c r="F25" s="129" t="s">
        <v>287</v>
      </c>
      <c r="G25" s="129" t="s">
        <v>212</v>
      </c>
      <c r="H25" s="129" t="s">
        <v>589</v>
      </c>
      <c r="I25" s="129">
        <v>964972</v>
      </c>
      <c r="J25" s="129"/>
      <c r="K25" s="129" t="s">
        <v>193</v>
      </c>
      <c r="L25" s="109">
        <v>84.51</v>
      </c>
      <c r="M25" s="101">
        <v>113.39700000000001</v>
      </c>
      <c r="N25" s="129">
        <f t="shared" ref="N25" si="17">L25-M25</f>
        <v>-28.887</v>
      </c>
      <c r="O25" s="140">
        <f t="shared" ref="O25" si="18">M25/L25</f>
        <v>1.3418175363862264</v>
      </c>
      <c r="P25" s="90"/>
    </row>
    <row r="26" spans="1:17">
      <c r="A26" s="129" t="s">
        <v>535</v>
      </c>
      <c r="B26" s="129" t="s">
        <v>293</v>
      </c>
      <c r="C26" s="91">
        <v>44299</v>
      </c>
      <c r="D26" s="129">
        <v>1096</v>
      </c>
      <c r="E26" s="129" t="s">
        <v>294</v>
      </c>
      <c r="F26" s="129" t="s">
        <v>287</v>
      </c>
      <c r="G26" s="129" t="s">
        <v>212</v>
      </c>
      <c r="H26" s="129" t="s">
        <v>588</v>
      </c>
      <c r="I26" s="129">
        <v>956926</v>
      </c>
      <c r="J26" s="129"/>
      <c r="K26" s="129" t="s">
        <v>192</v>
      </c>
      <c r="L26" s="109">
        <v>57.63</v>
      </c>
      <c r="M26" s="101">
        <v>5.7350000000000003</v>
      </c>
      <c r="N26" s="129">
        <f>L26-M26</f>
        <v>51.895000000000003</v>
      </c>
      <c r="O26" s="140">
        <f>M26/L26</f>
        <v>9.9514141939961831E-2</v>
      </c>
      <c r="P26" s="116">
        <f t="shared" ref="P26" si="19">N26+N27</f>
        <v>0</v>
      </c>
    </row>
    <row r="27" spans="1:17">
      <c r="A27" s="129" t="s">
        <v>535</v>
      </c>
      <c r="B27" s="129" t="s">
        <v>293</v>
      </c>
      <c r="C27" s="91">
        <v>44299</v>
      </c>
      <c r="D27" s="129">
        <v>1096</v>
      </c>
      <c r="E27" s="129" t="s">
        <v>294</v>
      </c>
      <c r="F27" s="129" t="s">
        <v>287</v>
      </c>
      <c r="G27" s="129" t="s">
        <v>212</v>
      </c>
      <c r="H27" s="129" t="s">
        <v>588</v>
      </c>
      <c r="I27" s="129">
        <v>956926</v>
      </c>
      <c r="J27" s="129"/>
      <c r="K27" s="129" t="s">
        <v>193</v>
      </c>
      <c r="L27" s="109">
        <v>84.51</v>
      </c>
      <c r="M27" s="101">
        <v>136.405</v>
      </c>
      <c r="N27" s="129">
        <f t="shared" ref="N27" si="20">L27-M27</f>
        <v>-51.894999999999996</v>
      </c>
      <c r="O27" s="140">
        <f t="shared" ref="O27" si="21">M27/L27</f>
        <v>1.6140693409064015</v>
      </c>
      <c r="P27" s="90"/>
    </row>
    <row r="28" spans="1:17">
      <c r="A28" s="129" t="s">
        <v>535</v>
      </c>
      <c r="B28" s="129" t="s">
        <v>293</v>
      </c>
      <c r="C28" s="91">
        <v>44299</v>
      </c>
      <c r="D28" s="129">
        <v>1097</v>
      </c>
      <c r="E28" s="129" t="s">
        <v>294</v>
      </c>
      <c r="F28" s="129" t="s">
        <v>287</v>
      </c>
      <c r="G28" s="129" t="s">
        <v>212</v>
      </c>
      <c r="H28" s="129" t="s">
        <v>578</v>
      </c>
      <c r="I28" s="129">
        <v>961132</v>
      </c>
      <c r="J28" s="129"/>
      <c r="K28" s="129" t="s">
        <v>192</v>
      </c>
      <c r="L28" s="109">
        <v>57.63</v>
      </c>
      <c r="M28" s="101">
        <v>45.826999999999998</v>
      </c>
      <c r="N28" s="129">
        <f>L28-M28</f>
        <v>11.803000000000004</v>
      </c>
      <c r="O28" s="140">
        <f>M28/L28</f>
        <v>0.7951934756203366</v>
      </c>
      <c r="P28" s="116">
        <f t="shared" ref="P28" si="22">N28+N29</f>
        <v>0</v>
      </c>
    </row>
    <row r="29" spans="1:17">
      <c r="A29" s="129" t="s">
        <v>535</v>
      </c>
      <c r="B29" s="129" t="s">
        <v>293</v>
      </c>
      <c r="C29" s="91">
        <v>44299</v>
      </c>
      <c r="D29" s="129">
        <v>1097</v>
      </c>
      <c r="E29" s="129" t="s">
        <v>294</v>
      </c>
      <c r="F29" s="129" t="s">
        <v>287</v>
      </c>
      <c r="G29" s="129" t="s">
        <v>212</v>
      </c>
      <c r="H29" s="129" t="s">
        <v>578</v>
      </c>
      <c r="I29" s="129">
        <v>961132</v>
      </c>
      <c r="J29" s="129"/>
      <c r="K29" s="129" t="s">
        <v>193</v>
      </c>
      <c r="L29" s="109">
        <v>84.51</v>
      </c>
      <c r="M29" s="101">
        <v>96.313000000000002</v>
      </c>
      <c r="N29" s="129">
        <f t="shared" ref="N29" si="23">L29-M29</f>
        <v>-11.802999999999997</v>
      </c>
      <c r="O29" s="140">
        <f t="shared" ref="O29" si="24">M29/L29</f>
        <v>1.139663945095255</v>
      </c>
      <c r="P29" s="90"/>
    </row>
    <row r="30" spans="1:17">
      <c r="A30" s="121" t="s">
        <v>629</v>
      </c>
      <c r="B30" s="121" t="s">
        <v>293</v>
      </c>
      <c r="C30" s="91">
        <v>44312</v>
      </c>
      <c r="D30" s="121">
        <v>1198</v>
      </c>
      <c r="E30" s="121" t="s">
        <v>294</v>
      </c>
      <c r="F30" s="121" t="s">
        <v>297</v>
      </c>
      <c r="G30" s="121" t="s">
        <v>212</v>
      </c>
      <c r="H30" s="121" t="s">
        <v>589</v>
      </c>
      <c r="I30" s="121">
        <v>964972</v>
      </c>
      <c r="J30" s="121"/>
      <c r="K30" s="129" t="s">
        <v>193</v>
      </c>
      <c r="L30" s="109">
        <v>97.614000000000004</v>
      </c>
      <c r="M30" s="101">
        <v>97.614000000000004</v>
      </c>
      <c r="N30" s="129">
        <f t="shared" ref="N30" si="25">L30-M30</f>
        <v>0</v>
      </c>
      <c r="O30" s="140">
        <f t="shared" ref="O30" si="26">M30/L30</f>
        <v>1</v>
      </c>
    </row>
    <row r="31" spans="1:17">
      <c r="A31" s="121" t="s">
        <v>630</v>
      </c>
      <c r="B31" s="129" t="s">
        <v>293</v>
      </c>
      <c r="C31" s="91">
        <v>44312</v>
      </c>
      <c r="D31" s="121">
        <v>1202</v>
      </c>
      <c r="E31" s="129" t="s">
        <v>294</v>
      </c>
      <c r="F31" s="129" t="s">
        <v>297</v>
      </c>
      <c r="G31" s="129" t="s">
        <v>212</v>
      </c>
      <c r="H31" s="121" t="s">
        <v>582</v>
      </c>
      <c r="I31" s="121">
        <v>925404</v>
      </c>
      <c r="J31" s="121"/>
      <c r="K31" s="129" t="s">
        <v>193</v>
      </c>
      <c r="L31" s="109">
        <v>195.22800000000001</v>
      </c>
      <c r="M31" s="101">
        <v>195.22800000000001</v>
      </c>
      <c r="N31" s="129">
        <f t="shared" ref="N31" si="27">L31-M31</f>
        <v>0</v>
      </c>
      <c r="O31" s="140">
        <f t="shared" ref="O31" si="28">M31/L31</f>
        <v>1</v>
      </c>
    </row>
    <row r="32" spans="1:17">
      <c r="A32" s="121" t="s">
        <v>296</v>
      </c>
      <c r="B32" s="121" t="s">
        <v>293</v>
      </c>
      <c r="C32" s="91">
        <v>44312</v>
      </c>
      <c r="D32" s="121">
        <v>1203</v>
      </c>
      <c r="E32" s="129" t="s">
        <v>294</v>
      </c>
      <c r="F32" s="129" t="s">
        <v>297</v>
      </c>
      <c r="G32" s="129" t="s">
        <v>212</v>
      </c>
      <c r="H32" s="121" t="s">
        <v>583</v>
      </c>
      <c r="I32" s="121">
        <v>11718</v>
      </c>
      <c r="J32" s="121"/>
      <c r="K32" s="129" t="s">
        <v>192</v>
      </c>
      <c r="L32" s="109">
        <v>125</v>
      </c>
      <c r="M32" s="101">
        <v>58.377000000000002</v>
      </c>
      <c r="N32" s="129">
        <f>L32-M32</f>
        <v>66.62299999999999</v>
      </c>
      <c r="O32" s="140">
        <f>M32/L32</f>
        <v>0.46701600000000004</v>
      </c>
    </row>
    <row r="33" spans="1:17">
      <c r="A33" s="129" t="s">
        <v>296</v>
      </c>
      <c r="B33" s="129" t="s">
        <v>293</v>
      </c>
      <c r="C33" s="91">
        <v>44312</v>
      </c>
      <c r="D33" s="129">
        <v>1203</v>
      </c>
      <c r="E33" s="129" t="s">
        <v>294</v>
      </c>
      <c r="F33" s="129" t="s">
        <v>297</v>
      </c>
      <c r="G33" s="129" t="s">
        <v>212</v>
      </c>
      <c r="H33" s="129" t="s">
        <v>583</v>
      </c>
      <c r="I33" s="129">
        <v>11718</v>
      </c>
      <c r="J33" s="121"/>
      <c r="K33" s="129" t="s">
        <v>193</v>
      </c>
      <c r="L33" s="109">
        <v>125</v>
      </c>
      <c r="M33" s="101">
        <v>92.084000000000003</v>
      </c>
      <c r="N33" s="129">
        <f t="shared" ref="N33" si="29">L33-M33</f>
        <v>32.915999999999997</v>
      </c>
      <c r="O33" s="140">
        <f t="shared" ref="O33" si="30">M33/L33</f>
        <v>0.73667199999999999</v>
      </c>
    </row>
    <row r="34" spans="1:17">
      <c r="A34" s="129" t="s">
        <v>296</v>
      </c>
      <c r="B34" s="129" t="s">
        <v>293</v>
      </c>
      <c r="C34" s="91">
        <v>44312</v>
      </c>
      <c r="D34" s="129">
        <v>1203</v>
      </c>
      <c r="E34" s="129" t="s">
        <v>294</v>
      </c>
      <c r="F34" s="129" t="s">
        <v>297</v>
      </c>
      <c r="G34" s="129" t="s">
        <v>212</v>
      </c>
      <c r="H34" s="121" t="s">
        <v>588</v>
      </c>
      <c r="I34" s="121">
        <v>956926</v>
      </c>
      <c r="J34" s="121"/>
      <c r="K34" s="129" t="s">
        <v>192</v>
      </c>
      <c r="L34" s="109">
        <v>125</v>
      </c>
      <c r="M34" s="101">
        <v>69.176000000000002</v>
      </c>
      <c r="N34" s="129">
        <f>L34-M34</f>
        <v>55.823999999999998</v>
      </c>
      <c r="O34" s="140">
        <f>M34/L34</f>
        <v>0.55340800000000001</v>
      </c>
      <c r="P34" s="61">
        <f>N34+N35</f>
        <v>2.4270000000000067</v>
      </c>
    </row>
    <row r="35" spans="1:17">
      <c r="A35" s="129" t="s">
        <v>296</v>
      </c>
      <c r="B35" s="129" t="s">
        <v>293</v>
      </c>
      <c r="C35" s="91">
        <v>44312</v>
      </c>
      <c r="D35" s="129">
        <v>1203</v>
      </c>
      <c r="E35" s="129" t="s">
        <v>294</v>
      </c>
      <c r="F35" s="129" t="s">
        <v>297</v>
      </c>
      <c r="G35" s="129" t="s">
        <v>212</v>
      </c>
      <c r="H35" s="129" t="s">
        <v>588</v>
      </c>
      <c r="I35" s="129">
        <v>956926</v>
      </c>
      <c r="J35" s="121"/>
      <c r="K35" s="129" t="s">
        <v>193</v>
      </c>
      <c r="L35" s="109">
        <v>125</v>
      </c>
      <c r="M35" s="101">
        <v>178.39699999999999</v>
      </c>
      <c r="N35" s="129">
        <f t="shared" ref="N35" si="31">L35-M35</f>
        <v>-53.396999999999991</v>
      </c>
      <c r="O35" s="140">
        <f t="shared" ref="O35" si="32">M35/L35</f>
        <v>1.427176</v>
      </c>
    </row>
    <row r="36" spans="1:17">
      <c r="A36" s="129" t="s">
        <v>296</v>
      </c>
      <c r="B36" s="129" t="s">
        <v>293</v>
      </c>
      <c r="C36" s="91">
        <v>44312</v>
      </c>
      <c r="D36" s="129">
        <v>1203</v>
      </c>
      <c r="E36" s="129" t="s">
        <v>294</v>
      </c>
      <c r="F36" s="129" t="s">
        <v>297</v>
      </c>
      <c r="G36" s="129" t="s">
        <v>212</v>
      </c>
      <c r="H36" s="121" t="s">
        <v>584</v>
      </c>
      <c r="I36" s="121">
        <v>964500</v>
      </c>
      <c r="J36" s="121">
        <v>5</v>
      </c>
      <c r="K36" s="129" t="s">
        <v>192</v>
      </c>
      <c r="L36" s="109">
        <v>125</v>
      </c>
      <c r="M36" s="101">
        <v>20.219000000000001</v>
      </c>
      <c r="N36" s="129">
        <f>L36-M36</f>
        <v>104.78100000000001</v>
      </c>
      <c r="O36" s="140">
        <f>M36/L36</f>
        <v>0.16175200000000001</v>
      </c>
      <c r="P36" s="210">
        <f>N36+N37</f>
        <v>-4.9999999999982947E-2</v>
      </c>
      <c r="Q36" s="61" t="s">
        <v>770</v>
      </c>
    </row>
    <row r="37" spans="1:17">
      <c r="A37" s="129" t="s">
        <v>296</v>
      </c>
      <c r="B37" s="129" t="s">
        <v>293</v>
      </c>
      <c r="C37" s="91">
        <v>44312</v>
      </c>
      <c r="D37" s="129">
        <v>1203</v>
      </c>
      <c r="E37" s="129" t="s">
        <v>294</v>
      </c>
      <c r="F37" s="129" t="s">
        <v>297</v>
      </c>
      <c r="G37" s="129" t="s">
        <v>212</v>
      </c>
      <c r="H37" s="129" t="s">
        <v>584</v>
      </c>
      <c r="I37" s="129">
        <v>964500</v>
      </c>
      <c r="J37" s="121">
        <v>5</v>
      </c>
      <c r="K37" s="129" t="s">
        <v>193</v>
      </c>
      <c r="L37" s="109">
        <v>125</v>
      </c>
      <c r="M37" s="101">
        <v>229.83099999999999</v>
      </c>
      <c r="N37" s="129">
        <f t="shared" ref="N37" si="33">L37-M37</f>
        <v>-104.83099999999999</v>
      </c>
      <c r="O37" s="140">
        <f t="shared" ref="O37" si="34">M37/L37</f>
        <v>1.8386479999999998</v>
      </c>
    </row>
    <row r="38" spans="1:17">
      <c r="A38" s="129" t="s">
        <v>296</v>
      </c>
      <c r="B38" s="129" t="s">
        <v>293</v>
      </c>
      <c r="C38" s="91">
        <v>44312</v>
      </c>
      <c r="D38" s="129">
        <v>1203</v>
      </c>
      <c r="E38" s="129" t="s">
        <v>294</v>
      </c>
      <c r="F38" s="129" t="s">
        <v>297</v>
      </c>
      <c r="G38" s="129" t="s">
        <v>212</v>
      </c>
      <c r="H38" s="121" t="s">
        <v>631</v>
      </c>
      <c r="I38" s="121">
        <v>925451</v>
      </c>
      <c r="J38" s="121"/>
      <c r="K38" s="129" t="s">
        <v>192</v>
      </c>
      <c r="L38" s="109">
        <v>125</v>
      </c>
      <c r="M38" s="101">
        <v>39.229999999999997</v>
      </c>
      <c r="N38" s="129">
        <f>L38-M38</f>
        <v>85.77000000000001</v>
      </c>
      <c r="O38" s="140">
        <f>M38/L38</f>
        <v>0.31383999999999995</v>
      </c>
      <c r="P38" s="61">
        <f t="shared" ref="P38" si="35">N38+N39</f>
        <v>1</v>
      </c>
    </row>
    <row r="39" spans="1:17">
      <c r="A39" s="129" t="s">
        <v>296</v>
      </c>
      <c r="B39" s="129" t="s">
        <v>293</v>
      </c>
      <c r="C39" s="91">
        <v>44312</v>
      </c>
      <c r="D39" s="129">
        <v>1203</v>
      </c>
      <c r="E39" s="129" t="s">
        <v>294</v>
      </c>
      <c r="F39" s="129" t="s">
        <v>297</v>
      </c>
      <c r="G39" s="129" t="s">
        <v>212</v>
      </c>
      <c r="H39" s="129" t="s">
        <v>631</v>
      </c>
      <c r="I39" s="129">
        <v>925451</v>
      </c>
      <c r="J39" s="121"/>
      <c r="K39" s="129" t="s">
        <v>193</v>
      </c>
      <c r="L39" s="109">
        <v>125</v>
      </c>
      <c r="M39" s="101">
        <v>209.77</v>
      </c>
      <c r="N39" s="129">
        <f t="shared" ref="N39" si="36">L39-M39</f>
        <v>-84.77000000000001</v>
      </c>
      <c r="O39" s="140">
        <f t="shared" ref="O39" si="37">M39/L39</f>
        <v>1.6781600000000001</v>
      </c>
    </row>
    <row r="40" spans="1:17">
      <c r="A40" s="129" t="s">
        <v>296</v>
      </c>
      <c r="B40" s="129" t="s">
        <v>293</v>
      </c>
      <c r="C40" s="91">
        <v>44312</v>
      </c>
      <c r="D40" s="129">
        <v>1203</v>
      </c>
      <c r="E40" s="129" t="s">
        <v>294</v>
      </c>
      <c r="F40" s="129" t="s">
        <v>297</v>
      </c>
      <c r="G40" s="129" t="s">
        <v>212</v>
      </c>
      <c r="H40" s="121" t="s">
        <v>586</v>
      </c>
      <c r="I40" s="121">
        <v>953746</v>
      </c>
      <c r="J40" s="121"/>
      <c r="K40" s="129" t="s">
        <v>192</v>
      </c>
      <c r="L40" s="109">
        <v>125</v>
      </c>
      <c r="M40" s="101">
        <v>20.053000000000001</v>
      </c>
      <c r="N40" s="129">
        <f>L40-M40</f>
        <v>104.947</v>
      </c>
      <c r="O40" s="140">
        <f>M40/L40</f>
        <v>0.16042400000000001</v>
      </c>
      <c r="P40" s="61">
        <f t="shared" ref="P40" si="38">N40+N41</f>
        <v>44.22</v>
      </c>
    </row>
    <row r="41" spans="1:17">
      <c r="A41" s="129" t="s">
        <v>296</v>
      </c>
      <c r="B41" s="129" t="s">
        <v>293</v>
      </c>
      <c r="C41" s="91">
        <v>44312</v>
      </c>
      <c r="D41" s="129">
        <v>1203</v>
      </c>
      <c r="E41" s="129" t="s">
        <v>294</v>
      </c>
      <c r="F41" s="129" t="s">
        <v>297</v>
      </c>
      <c r="G41" s="129" t="s">
        <v>212</v>
      </c>
      <c r="H41" s="129" t="s">
        <v>586</v>
      </c>
      <c r="I41" s="129">
        <v>953746</v>
      </c>
      <c r="J41" s="121"/>
      <c r="K41" s="129" t="s">
        <v>193</v>
      </c>
      <c r="L41" s="109">
        <v>125</v>
      </c>
      <c r="M41" s="101">
        <v>185.727</v>
      </c>
      <c r="N41" s="129">
        <f t="shared" ref="N41" si="39">L41-M41</f>
        <v>-60.727000000000004</v>
      </c>
      <c r="O41" s="140">
        <f t="shared" ref="O41" si="40">M41/L41</f>
        <v>1.485816</v>
      </c>
    </row>
    <row r="42" spans="1:17">
      <c r="A42" s="129" t="s">
        <v>296</v>
      </c>
      <c r="B42" s="129" t="s">
        <v>293</v>
      </c>
      <c r="C42" s="91">
        <v>44312</v>
      </c>
      <c r="D42" s="129">
        <v>1203</v>
      </c>
      <c r="E42" s="129" t="s">
        <v>294</v>
      </c>
      <c r="F42" s="129" t="s">
        <v>297</v>
      </c>
      <c r="G42" s="129" t="s">
        <v>212</v>
      </c>
      <c r="H42" s="121" t="s">
        <v>587</v>
      </c>
      <c r="I42" s="121">
        <v>950656</v>
      </c>
      <c r="J42" s="121"/>
      <c r="K42" s="129" t="s">
        <v>192</v>
      </c>
      <c r="L42" s="109">
        <v>125</v>
      </c>
      <c r="M42" s="101">
        <v>86.965999999999994</v>
      </c>
      <c r="N42" s="129">
        <f>L42-M42</f>
        <v>38.034000000000006</v>
      </c>
      <c r="O42" s="140">
        <f>M42/L42</f>
        <v>0.6957279999999999</v>
      </c>
      <c r="P42" s="61">
        <f t="shared" ref="P42" si="41">N42+N43</f>
        <v>0</v>
      </c>
    </row>
    <row r="43" spans="1:17">
      <c r="A43" s="129" t="s">
        <v>296</v>
      </c>
      <c r="B43" s="129" t="s">
        <v>293</v>
      </c>
      <c r="C43" s="91">
        <v>44312</v>
      </c>
      <c r="D43" s="129">
        <v>1203</v>
      </c>
      <c r="E43" s="129" t="s">
        <v>294</v>
      </c>
      <c r="F43" s="129" t="s">
        <v>297</v>
      </c>
      <c r="G43" s="129" t="s">
        <v>212</v>
      </c>
      <c r="H43" s="129" t="s">
        <v>587</v>
      </c>
      <c r="I43" s="129">
        <v>950656</v>
      </c>
      <c r="J43" s="121"/>
      <c r="K43" s="129" t="s">
        <v>193</v>
      </c>
      <c r="L43" s="109">
        <v>125</v>
      </c>
      <c r="M43" s="101">
        <v>163.03399999999999</v>
      </c>
      <c r="N43" s="129">
        <f t="shared" ref="N43" si="42">L43-M43</f>
        <v>-38.033999999999992</v>
      </c>
      <c r="O43" s="140">
        <f t="shared" ref="O43" si="43">M43/L43</f>
        <v>1.3042719999999999</v>
      </c>
    </row>
    <row r="44" spans="1:17">
      <c r="A44" s="129" t="s">
        <v>296</v>
      </c>
      <c r="B44" s="129" t="s">
        <v>293</v>
      </c>
      <c r="C44" s="91">
        <v>44314</v>
      </c>
      <c r="D44" s="121">
        <v>1242</v>
      </c>
      <c r="E44" s="129" t="s">
        <v>294</v>
      </c>
      <c r="F44" s="129" t="s">
        <v>297</v>
      </c>
      <c r="G44" s="129" t="s">
        <v>212</v>
      </c>
      <c r="H44" s="129" t="s">
        <v>589</v>
      </c>
      <c r="I44" s="129">
        <v>964972</v>
      </c>
      <c r="J44" s="121"/>
      <c r="K44" s="129" t="s">
        <v>192</v>
      </c>
      <c r="L44" s="109">
        <v>75</v>
      </c>
      <c r="M44" s="101">
        <v>90.59</v>
      </c>
      <c r="N44" s="129">
        <f>L44-M44</f>
        <v>-15.590000000000003</v>
      </c>
      <c r="O44" s="140">
        <f>M44/L44</f>
        <v>1.2078666666666666</v>
      </c>
      <c r="P44" s="61">
        <f t="shared" ref="P44" si="44">N44+N45</f>
        <v>0</v>
      </c>
    </row>
    <row r="45" spans="1:17">
      <c r="A45" s="129" t="s">
        <v>296</v>
      </c>
      <c r="B45" s="129" t="s">
        <v>293</v>
      </c>
      <c r="C45" s="91">
        <v>44314</v>
      </c>
      <c r="D45" s="129">
        <v>1242</v>
      </c>
      <c r="E45" s="129" t="s">
        <v>294</v>
      </c>
      <c r="F45" s="129" t="s">
        <v>297</v>
      </c>
      <c r="G45" s="129" t="s">
        <v>212</v>
      </c>
      <c r="H45" s="129" t="s">
        <v>589</v>
      </c>
      <c r="I45" s="129">
        <v>964972</v>
      </c>
      <c r="J45" s="121"/>
      <c r="K45" s="129" t="s">
        <v>193</v>
      </c>
      <c r="L45" s="109">
        <v>75</v>
      </c>
      <c r="M45" s="101">
        <v>59.41</v>
      </c>
      <c r="N45" s="129">
        <f t="shared" ref="N45" si="45">L45-M45</f>
        <v>15.590000000000003</v>
      </c>
      <c r="O45" s="140">
        <f t="shared" ref="O45" si="46">M45/L45</f>
        <v>0.79213333333333324</v>
      </c>
    </row>
    <row r="46" spans="1:17">
      <c r="A46" s="129" t="s">
        <v>296</v>
      </c>
      <c r="B46" s="129" t="s">
        <v>293</v>
      </c>
      <c r="C46" s="91">
        <v>44314</v>
      </c>
      <c r="D46" s="129">
        <v>1242</v>
      </c>
      <c r="E46" s="129" t="s">
        <v>294</v>
      </c>
      <c r="F46" s="129" t="s">
        <v>297</v>
      </c>
      <c r="G46" s="129" t="s">
        <v>212</v>
      </c>
      <c r="H46" s="129" t="s">
        <v>390</v>
      </c>
      <c r="I46" s="129">
        <v>951220</v>
      </c>
      <c r="J46" s="121"/>
      <c r="K46" s="129" t="s">
        <v>192</v>
      </c>
      <c r="L46" s="109">
        <v>75</v>
      </c>
      <c r="M46" s="101">
        <v>2.6720000000000002</v>
      </c>
      <c r="N46" s="129">
        <f>L46-M46</f>
        <v>72.328000000000003</v>
      </c>
      <c r="O46" s="140">
        <f>M46/L46</f>
        <v>3.5626666666666668E-2</v>
      </c>
      <c r="P46" s="61">
        <f t="shared" ref="P46" si="47">N46+N47</f>
        <v>0</v>
      </c>
    </row>
    <row r="47" spans="1:17">
      <c r="A47" s="129" t="s">
        <v>296</v>
      </c>
      <c r="B47" s="129" t="s">
        <v>293</v>
      </c>
      <c r="C47" s="91">
        <v>44314</v>
      </c>
      <c r="D47" s="129">
        <v>1242</v>
      </c>
      <c r="E47" s="129" t="s">
        <v>294</v>
      </c>
      <c r="F47" s="129" t="s">
        <v>297</v>
      </c>
      <c r="G47" s="129" t="s">
        <v>212</v>
      </c>
      <c r="H47" s="129" t="s">
        <v>390</v>
      </c>
      <c r="I47" s="129">
        <v>951220</v>
      </c>
      <c r="J47" s="121"/>
      <c r="K47" s="129" t="s">
        <v>193</v>
      </c>
      <c r="L47" s="109">
        <v>75</v>
      </c>
      <c r="M47" s="101">
        <v>147.328</v>
      </c>
      <c r="N47" s="129">
        <f t="shared" ref="N47" si="48">L47-M47</f>
        <v>-72.328000000000003</v>
      </c>
      <c r="O47" s="140">
        <f t="shared" ref="O47" si="49">M47/L47</f>
        <v>1.9643733333333333</v>
      </c>
    </row>
    <row r="48" spans="1:17">
      <c r="A48" s="129" t="s">
        <v>296</v>
      </c>
      <c r="B48" s="129" t="s">
        <v>293</v>
      </c>
      <c r="C48" s="91">
        <v>44314</v>
      </c>
      <c r="D48" s="129">
        <v>1242</v>
      </c>
      <c r="E48" s="129" t="s">
        <v>294</v>
      </c>
      <c r="F48" s="129" t="s">
        <v>297</v>
      </c>
      <c r="G48" s="129" t="s">
        <v>212</v>
      </c>
      <c r="H48" s="121" t="s">
        <v>580</v>
      </c>
      <c r="I48" s="121">
        <v>957377</v>
      </c>
      <c r="J48" s="121"/>
      <c r="K48" s="129" t="s">
        <v>192</v>
      </c>
      <c r="L48" s="109">
        <v>75</v>
      </c>
      <c r="M48" s="101"/>
      <c r="N48" s="129">
        <f>L48-M48</f>
        <v>75</v>
      </c>
      <c r="O48" s="140">
        <f>M48/L48</f>
        <v>0</v>
      </c>
      <c r="P48" s="61">
        <f t="shared" ref="P48" si="50">N48+N49</f>
        <v>0</v>
      </c>
    </row>
    <row r="49" spans="1:16">
      <c r="A49" s="129" t="s">
        <v>296</v>
      </c>
      <c r="B49" s="129" t="s">
        <v>293</v>
      </c>
      <c r="C49" s="91">
        <v>44314</v>
      </c>
      <c r="D49" s="129">
        <v>1242</v>
      </c>
      <c r="E49" s="129" t="s">
        <v>294</v>
      </c>
      <c r="F49" s="129" t="s">
        <v>297</v>
      </c>
      <c r="G49" s="129" t="s">
        <v>212</v>
      </c>
      <c r="H49" s="129" t="s">
        <v>580</v>
      </c>
      <c r="I49" s="129">
        <v>957377</v>
      </c>
      <c r="J49" s="121"/>
      <c r="K49" s="129" t="s">
        <v>193</v>
      </c>
      <c r="L49" s="109">
        <v>75</v>
      </c>
      <c r="M49" s="101">
        <v>150</v>
      </c>
      <c r="N49" s="129">
        <f t="shared" ref="N49" si="51">L49-M49</f>
        <v>-75</v>
      </c>
      <c r="O49" s="140">
        <f t="shared" ref="O49" si="52">M49/L49</f>
        <v>2</v>
      </c>
    </row>
    <row r="50" spans="1:16">
      <c r="A50" s="129" t="s">
        <v>296</v>
      </c>
      <c r="B50" s="129" t="s">
        <v>293</v>
      </c>
      <c r="C50" s="91">
        <v>44314</v>
      </c>
      <c r="D50" s="129">
        <v>1242</v>
      </c>
      <c r="E50" s="129" t="s">
        <v>294</v>
      </c>
      <c r="F50" s="129" t="s">
        <v>297</v>
      </c>
      <c r="G50" s="129" t="s">
        <v>212</v>
      </c>
      <c r="H50" s="121" t="s">
        <v>579</v>
      </c>
      <c r="I50" s="121">
        <v>966969</v>
      </c>
      <c r="J50" s="121"/>
      <c r="K50" s="129" t="s">
        <v>192</v>
      </c>
      <c r="L50" s="109">
        <v>75</v>
      </c>
      <c r="M50" s="101">
        <v>56.542000000000002</v>
      </c>
      <c r="N50" s="129">
        <f>L50-M50</f>
        <v>18.457999999999998</v>
      </c>
      <c r="O50" s="140">
        <f>M50/L50</f>
        <v>0.7538933333333333</v>
      </c>
      <c r="P50" s="61">
        <f t="shared" ref="P50" si="53">N50+N51</f>
        <v>0.32500000000000284</v>
      </c>
    </row>
    <row r="51" spans="1:16">
      <c r="A51" s="129" t="s">
        <v>296</v>
      </c>
      <c r="B51" s="129" t="s">
        <v>293</v>
      </c>
      <c r="C51" s="91">
        <v>44314</v>
      </c>
      <c r="D51" s="129">
        <v>1242</v>
      </c>
      <c r="E51" s="129" t="s">
        <v>294</v>
      </c>
      <c r="F51" s="129" t="s">
        <v>297</v>
      </c>
      <c r="G51" s="129" t="s">
        <v>212</v>
      </c>
      <c r="H51" s="129" t="s">
        <v>579</v>
      </c>
      <c r="I51" s="129">
        <v>966969</v>
      </c>
      <c r="J51" s="121"/>
      <c r="K51" s="129" t="s">
        <v>193</v>
      </c>
      <c r="L51" s="109">
        <v>75</v>
      </c>
      <c r="M51" s="101">
        <v>93.132999999999996</v>
      </c>
      <c r="N51" s="129">
        <f t="shared" ref="N51" si="54">L51-M51</f>
        <v>-18.132999999999996</v>
      </c>
      <c r="O51" s="140">
        <f t="shared" ref="O51" si="55">M51/L51</f>
        <v>1.2417733333333332</v>
      </c>
    </row>
    <row r="52" spans="1:16">
      <c r="A52" s="129" t="s">
        <v>296</v>
      </c>
      <c r="B52" s="129" t="s">
        <v>293</v>
      </c>
      <c r="C52" s="91">
        <v>44314</v>
      </c>
      <c r="D52" s="129">
        <v>1242</v>
      </c>
      <c r="E52" s="129" t="s">
        <v>294</v>
      </c>
      <c r="F52" s="129" t="s">
        <v>297</v>
      </c>
      <c r="G52" s="129" t="s">
        <v>212</v>
      </c>
      <c r="H52" s="129" t="s">
        <v>581</v>
      </c>
      <c r="I52" s="121">
        <v>958703</v>
      </c>
      <c r="J52" s="121"/>
      <c r="K52" s="129" t="s">
        <v>192</v>
      </c>
      <c r="L52" s="109">
        <v>75</v>
      </c>
      <c r="M52" s="101">
        <v>115.214</v>
      </c>
      <c r="N52" s="129">
        <f>L52-M52</f>
        <v>-40.213999999999999</v>
      </c>
      <c r="O52" s="140">
        <f>M52/L52</f>
        <v>1.5361866666666666</v>
      </c>
      <c r="P52" s="61">
        <f t="shared" ref="P52" si="56">N52+N53</f>
        <v>1.7800000000000011</v>
      </c>
    </row>
    <row r="53" spans="1:16">
      <c r="A53" s="129" t="s">
        <v>296</v>
      </c>
      <c r="B53" s="129" t="s">
        <v>293</v>
      </c>
      <c r="C53" s="91">
        <v>44314</v>
      </c>
      <c r="D53" s="129">
        <v>1242</v>
      </c>
      <c r="E53" s="129" t="s">
        <v>294</v>
      </c>
      <c r="F53" s="129" t="s">
        <v>297</v>
      </c>
      <c r="G53" s="129" t="s">
        <v>212</v>
      </c>
      <c r="H53" s="129" t="s">
        <v>581</v>
      </c>
      <c r="I53" s="129">
        <v>958703</v>
      </c>
      <c r="J53" s="121"/>
      <c r="K53" s="129" t="s">
        <v>193</v>
      </c>
      <c r="L53" s="109">
        <v>75</v>
      </c>
      <c r="M53" s="101">
        <v>33.006</v>
      </c>
      <c r="N53" s="129">
        <f t="shared" ref="N53" si="57">L53-M53</f>
        <v>41.994</v>
      </c>
      <c r="O53" s="140">
        <f t="shared" ref="O53" si="58">M53/L53</f>
        <v>0.44008000000000003</v>
      </c>
    </row>
    <row r="54" spans="1:16">
      <c r="A54" s="129" t="s">
        <v>296</v>
      </c>
      <c r="B54" s="129" t="s">
        <v>293</v>
      </c>
      <c r="C54" s="91">
        <v>44314</v>
      </c>
      <c r="D54" s="129">
        <v>1242</v>
      </c>
      <c r="E54" s="129" t="s">
        <v>294</v>
      </c>
      <c r="F54" s="129" t="s">
        <v>297</v>
      </c>
      <c r="G54" s="129" t="s">
        <v>212</v>
      </c>
      <c r="H54" s="121" t="s">
        <v>590</v>
      </c>
      <c r="I54" s="121">
        <v>966293</v>
      </c>
      <c r="J54" s="121"/>
      <c r="K54" s="129" t="s">
        <v>192</v>
      </c>
      <c r="L54" s="109">
        <v>50</v>
      </c>
      <c r="M54" s="101">
        <v>1.516</v>
      </c>
      <c r="N54" s="129">
        <f>L54-M54</f>
        <v>48.484000000000002</v>
      </c>
      <c r="O54" s="140">
        <f>M54/L54</f>
        <v>3.032E-2</v>
      </c>
      <c r="P54" s="61">
        <f t="shared" ref="P54" si="59">N54+N55</f>
        <v>25.500000000000007</v>
      </c>
    </row>
    <row r="55" spans="1:16">
      <c r="A55" s="129" t="s">
        <v>296</v>
      </c>
      <c r="B55" s="129" t="s">
        <v>293</v>
      </c>
      <c r="C55" s="91">
        <v>44314</v>
      </c>
      <c r="D55" s="129">
        <v>1242</v>
      </c>
      <c r="E55" s="129" t="s">
        <v>294</v>
      </c>
      <c r="F55" s="129" t="s">
        <v>297</v>
      </c>
      <c r="G55" s="129" t="s">
        <v>212</v>
      </c>
      <c r="H55" s="129" t="s">
        <v>590</v>
      </c>
      <c r="I55" s="129">
        <v>966293</v>
      </c>
      <c r="J55" s="121"/>
      <c r="K55" s="129" t="s">
        <v>193</v>
      </c>
      <c r="L55" s="109">
        <v>50</v>
      </c>
      <c r="M55" s="101">
        <v>72.983999999999995</v>
      </c>
      <c r="N55" s="129">
        <f t="shared" ref="N55" si="60">L55-M55</f>
        <v>-22.983999999999995</v>
      </c>
      <c r="O55" s="140">
        <f t="shared" ref="O55" si="61">M55/L55</f>
        <v>1.4596799999999999</v>
      </c>
    </row>
    <row r="56" spans="1:16">
      <c r="A56" s="121" t="s">
        <v>648</v>
      </c>
      <c r="B56" s="121" t="s">
        <v>293</v>
      </c>
      <c r="C56" s="91">
        <v>44314</v>
      </c>
      <c r="D56" s="121">
        <v>1243</v>
      </c>
      <c r="E56" s="129" t="s">
        <v>294</v>
      </c>
      <c r="F56" s="129" t="s">
        <v>297</v>
      </c>
      <c r="G56" s="129" t="s">
        <v>212</v>
      </c>
      <c r="H56" s="121" t="s">
        <v>578</v>
      </c>
      <c r="I56" s="121">
        <v>961132</v>
      </c>
      <c r="J56" s="121"/>
      <c r="K56" s="129" t="s">
        <v>193</v>
      </c>
      <c r="L56" s="109">
        <v>121.824</v>
      </c>
      <c r="M56" s="101">
        <v>121.824</v>
      </c>
      <c r="N56" s="129">
        <f t="shared" ref="N56" si="62">L56-M56</f>
        <v>0</v>
      </c>
      <c r="O56" s="140">
        <f t="shared" ref="O56" si="63">M56/L56</f>
        <v>1</v>
      </c>
    </row>
    <row r="57" spans="1:16">
      <c r="A57" s="130" t="s">
        <v>296</v>
      </c>
      <c r="B57" s="130" t="s">
        <v>293</v>
      </c>
      <c r="C57" s="155">
        <v>44316</v>
      </c>
      <c r="D57" s="130">
        <v>1287</v>
      </c>
      <c r="E57" s="130" t="s">
        <v>294</v>
      </c>
      <c r="F57" s="130" t="s">
        <v>297</v>
      </c>
      <c r="G57" s="129" t="s">
        <v>212</v>
      </c>
      <c r="H57" s="130" t="s">
        <v>577</v>
      </c>
      <c r="I57" s="130">
        <v>915627</v>
      </c>
      <c r="J57" s="145"/>
      <c r="K57" s="129" t="s">
        <v>192</v>
      </c>
      <c r="L57" s="127">
        <v>75</v>
      </c>
      <c r="M57" s="101">
        <v>35.448</v>
      </c>
      <c r="N57" s="128">
        <f t="shared" ref="N57:N60" si="64">L57-M57</f>
        <v>39.552</v>
      </c>
      <c r="O57" s="94">
        <f t="shared" ref="O57:O60" si="65">M57/L57</f>
        <v>0.47264</v>
      </c>
      <c r="P57" s="207">
        <f>N57+N58</f>
        <v>0</v>
      </c>
    </row>
    <row r="58" spans="1:16">
      <c r="A58" s="130" t="s">
        <v>296</v>
      </c>
      <c r="B58" s="130" t="s">
        <v>293</v>
      </c>
      <c r="C58" s="155">
        <v>44316</v>
      </c>
      <c r="D58" s="130">
        <v>1287</v>
      </c>
      <c r="E58" s="130" t="s">
        <v>294</v>
      </c>
      <c r="F58" s="130" t="s">
        <v>297</v>
      </c>
      <c r="G58" s="129" t="s">
        <v>212</v>
      </c>
      <c r="H58" s="130" t="s">
        <v>577</v>
      </c>
      <c r="I58" s="130">
        <v>915627</v>
      </c>
      <c r="J58" s="145"/>
      <c r="K58" s="129" t="s">
        <v>193</v>
      </c>
      <c r="L58" s="127">
        <v>75</v>
      </c>
      <c r="M58" s="101">
        <v>114.55200000000001</v>
      </c>
      <c r="N58" s="128">
        <f t="shared" si="64"/>
        <v>-39.552000000000007</v>
      </c>
      <c r="O58" s="94">
        <f t="shared" si="65"/>
        <v>1.5273600000000001</v>
      </c>
    </row>
    <row r="59" spans="1:16">
      <c r="A59" s="130" t="s">
        <v>296</v>
      </c>
      <c r="B59" s="130" t="s">
        <v>293</v>
      </c>
      <c r="C59" s="155">
        <v>44316</v>
      </c>
      <c r="D59" s="130">
        <v>1287</v>
      </c>
      <c r="E59" s="130" t="s">
        <v>294</v>
      </c>
      <c r="F59" s="130" t="s">
        <v>297</v>
      </c>
      <c r="G59" s="129" t="s">
        <v>212</v>
      </c>
      <c r="H59" s="130" t="s">
        <v>657</v>
      </c>
      <c r="I59" s="130">
        <v>966133</v>
      </c>
      <c r="J59" s="145"/>
      <c r="K59" s="129" t="s">
        <v>192</v>
      </c>
      <c r="L59" s="127">
        <v>50</v>
      </c>
      <c r="M59" s="101">
        <v>11.917999999999999</v>
      </c>
      <c r="N59" s="128">
        <f t="shared" si="64"/>
        <v>38.082000000000001</v>
      </c>
      <c r="O59" s="94">
        <f t="shared" si="65"/>
        <v>0.23835999999999999</v>
      </c>
      <c r="P59" s="207">
        <f t="shared" ref="P59" si="66">N59+N60</f>
        <v>9.9999999999980105E-3</v>
      </c>
    </row>
    <row r="60" spans="1:16">
      <c r="A60" s="130" t="s">
        <v>296</v>
      </c>
      <c r="B60" s="130" t="s">
        <v>293</v>
      </c>
      <c r="C60" s="155">
        <v>44316</v>
      </c>
      <c r="D60" s="130">
        <v>1287</v>
      </c>
      <c r="E60" s="130" t="s">
        <v>294</v>
      </c>
      <c r="F60" s="130" t="s">
        <v>297</v>
      </c>
      <c r="G60" s="129" t="s">
        <v>212</v>
      </c>
      <c r="H60" s="130" t="s">
        <v>657</v>
      </c>
      <c r="I60" s="130">
        <v>966133</v>
      </c>
      <c r="J60" s="145"/>
      <c r="K60" s="129" t="s">
        <v>193</v>
      </c>
      <c r="L60" s="127">
        <v>50</v>
      </c>
      <c r="M60" s="101">
        <v>88.072000000000003</v>
      </c>
      <c r="N60" s="128">
        <f t="shared" si="64"/>
        <v>-38.072000000000003</v>
      </c>
      <c r="O60" s="94">
        <f t="shared" si="65"/>
        <v>1.7614400000000001</v>
      </c>
    </row>
    <row r="61" spans="1:16">
      <c r="A61" s="130" t="s">
        <v>296</v>
      </c>
      <c r="B61" s="130" t="s">
        <v>293</v>
      </c>
      <c r="C61" s="155">
        <v>44316</v>
      </c>
      <c r="D61" s="130">
        <v>1288</v>
      </c>
      <c r="E61" s="130" t="s">
        <v>294</v>
      </c>
      <c r="F61" s="130" t="s">
        <v>297</v>
      </c>
      <c r="G61" s="129" t="s">
        <v>212</v>
      </c>
      <c r="H61" s="129" t="s">
        <v>578</v>
      </c>
      <c r="I61" s="129">
        <v>961132</v>
      </c>
      <c r="J61" s="130"/>
      <c r="K61" s="129" t="s">
        <v>192</v>
      </c>
      <c r="L61" s="127">
        <v>125</v>
      </c>
      <c r="M61" s="101">
        <v>83.665999999999997</v>
      </c>
      <c r="N61" s="128">
        <f t="shared" ref="N61:N62" si="67">L61-M61</f>
        <v>41.334000000000003</v>
      </c>
      <c r="O61" s="94">
        <f t="shared" ref="O61:O62" si="68">M61/L61</f>
        <v>0.66932799999999992</v>
      </c>
      <c r="P61" s="207">
        <f t="shared" ref="P61" si="69">N61+N62</f>
        <v>1.0490000000000066</v>
      </c>
    </row>
    <row r="62" spans="1:16">
      <c r="A62" s="130" t="s">
        <v>296</v>
      </c>
      <c r="B62" s="130" t="s">
        <v>293</v>
      </c>
      <c r="C62" s="155">
        <v>44316</v>
      </c>
      <c r="D62" s="130">
        <v>1288</v>
      </c>
      <c r="E62" s="130" t="s">
        <v>294</v>
      </c>
      <c r="F62" s="130" t="s">
        <v>297</v>
      </c>
      <c r="G62" s="129" t="s">
        <v>212</v>
      </c>
      <c r="H62" s="129" t="s">
        <v>578</v>
      </c>
      <c r="I62" s="129">
        <v>961132</v>
      </c>
      <c r="J62" s="130"/>
      <c r="K62" s="129" t="s">
        <v>193</v>
      </c>
      <c r="L62" s="127">
        <v>125</v>
      </c>
      <c r="M62" s="101">
        <v>165.285</v>
      </c>
      <c r="N62" s="128">
        <f t="shared" si="67"/>
        <v>-40.284999999999997</v>
      </c>
      <c r="O62" s="94">
        <f t="shared" si="68"/>
        <v>1.3222799999999999</v>
      </c>
    </row>
    <row r="63" spans="1:16">
      <c r="A63" s="130" t="s">
        <v>296</v>
      </c>
      <c r="B63" s="130" t="s">
        <v>293</v>
      </c>
      <c r="C63" s="155">
        <v>44316</v>
      </c>
      <c r="D63" s="130">
        <v>1288</v>
      </c>
      <c r="E63" s="130" t="s">
        <v>294</v>
      </c>
      <c r="F63" s="130" t="s">
        <v>297</v>
      </c>
      <c r="G63" s="129" t="s">
        <v>212</v>
      </c>
      <c r="H63" s="129" t="s">
        <v>494</v>
      </c>
      <c r="I63" s="129">
        <v>951206</v>
      </c>
      <c r="J63" s="121"/>
      <c r="K63" s="129" t="s">
        <v>192</v>
      </c>
      <c r="L63" s="127">
        <v>125</v>
      </c>
      <c r="M63" s="101">
        <v>84.447999999999993</v>
      </c>
      <c r="N63" s="128">
        <f t="shared" ref="N63:N65" si="70">L63-M63</f>
        <v>40.552000000000007</v>
      </c>
      <c r="O63" s="94">
        <f t="shared" ref="O63:O65" si="71">M63/L63</f>
        <v>0.67558399999999996</v>
      </c>
      <c r="P63" s="207">
        <f t="shared" ref="P63" si="72">N63+N64</f>
        <v>0.9830000000000183</v>
      </c>
    </row>
    <row r="64" spans="1:16">
      <c r="A64" s="130" t="s">
        <v>296</v>
      </c>
      <c r="B64" s="130" t="s">
        <v>293</v>
      </c>
      <c r="C64" s="155">
        <v>44316</v>
      </c>
      <c r="D64" s="130">
        <v>1288</v>
      </c>
      <c r="E64" s="130" t="s">
        <v>294</v>
      </c>
      <c r="F64" s="130" t="s">
        <v>297</v>
      </c>
      <c r="G64" s="129" t="s">
        <v>212</v>
      </c>
      <c r="H64" s="129" t="s">
        <v>494</v>
      </c>
      <c r="I64" s="129">
        <v>951206</v>
      </c>
      <c r="J64" s="121"/>
      <c r="K64" s="129" t="s">
        <v>193</v>
      </c>
      <c r="L64" s="127">
        <v>125</v>
      </c>
      <c r="M64" s="101">
        <v>164.56899999999999</v>
      </c>
      <c r="N64" s="128">
        <f t="shared" si="70"/>
        <v>-39.568999999999988</v>
      </c>
      <c r="O64" s="94">
        <f t="shared" si="71"/>
        <v>1.3165519999999999</v>
      </c>
    </row>
    <row r="65" spans="1:16">
      <c r="A65" s="129" t="s">
        <v>663</v>
      </c>
      <c r="B65" s="121" t="s">
        <v>293</v>
      </c>
      <c r="C65" s="91">
        <v>44319</v>
      </c>
      <c r="D65" s="121">
        <v>1320</v>
      </c>
      <c r="E65" s="121" t="s">
        <v>294</v>
      </c>
      <c r="F65" s="121" t="s">
        <v>297</v>
      </c>
      <c r="G65" s="129" t="s">
        <v>212</v>
      </c>
      <c r="H65" s="129" t="s">
        <v>578</v>
      </c>
      <c r="I65" s="129">
        <v>961132</v>
      </c>
      <c r="J65" s="130"/>
      <c r="K65" s="129" t="s">
        <v>192</v>
      </c>
      <c r="L65" s="127">
        <v>905.58</v>
      </c>
      <c r="M65" s="101">
        <v>456.488</v>
      </c>
      <c r="N65" s="128">
        <f t="shared" si="70"/>
        <v>449.09200000000004</v>
      </c>
      <c r="O65" s="94">
        <f t="shared" si="71"/>
        <v>0.50408357075023735</v>
      </c>
      <c r="P65" s="207">
        <f t="shared" ref="P65" si="73">N65+N66</f>
        <v>0</v>
      </c>
    </row>
    <row r="66" spans="1:16">
      <c r="A66" s="129" t="s">
        <v>663</v>
      </c>
      <c r="B66" s="129" t="s">
        <v>293</v>
      </c>
      <c r="C66" s="91">
        <v>44319</v>
      </c>
      <c r="D66" s="129">
        <v>1320</v>
      </c>
      <c r="E66" s="129" t="s">
        <v>294</v>
      </c>
      <c r="F66" s="129" t="s">
        <v>297</v>
      </c>
      <c r="G66" s="129" t="s">
        <v>212</v>
      </c>
      <c r="H66" s="129" t="s">
        <v>578</v>
      </c>
      <c r="I66" s="129">
        <v>961132</v>
      </c>
      <c r="J66" s="191"/>
      <c r="K66" s="129" t="s">
        <v>193</v>
      </c>
      <c r="L66" s="127">
        <v>0</v>
      </c>
      <c r="M66" s="101">
        <v>449.09199999999998</v>
      </c>
      <c r="N66" s="128">
        <f t="shared" ref="N66" si="74">L66-M66</f>
        <v>-449.09199999999998</v>
      </c>
      <c r="O66" s="192" t="e">
        <f t="shared" ref="O66" si="75">M66/L66</f>
        <v>#DIV/0!</v>
      </c>
    </row>
    <row r="67" spans="1:16">
      <c r="A67" s="130" t="s">
        <v>296</v>
      </c>
      <c r="B67" s="130" t="s">
        <v>293</v>
      </c>
      <c r="C67" s="91">
        <v>44319</v>
      </c>
      <c r="D67" s="121">
        <v>1321</v>
      </c>
      <c r="E67" s="129" t="s">
        <v>294</v>
      </c>
      <c r="F67" s="129" t="s">
        <v>297</v>
      </c>
      <c r="G67" s="129" t="s">
        <v>212</v>
      </c>
      <c r="H67" s="129" t="s">
        <v>582</v>
      </c>
      <c r="I67" s="129">
        <v>925404</v>
      </c>
      <c r="J67" s="121"/>
      <c r="K67" s="129" t="s">
        <v>192</v>
      </c>
      <c r="L67" s="127">
        <v>125</v>
      </c>
      <c r="M67" s="101">
        <v>53.052</v>
      </c>
      <c r="N67" s="128">
        <f t="shared" ref="N67:N68" si="76">L67-M67</f>
        <v>71.948000000000008</v>
      </c>
      <c r="O67" s="94">
        <f t="shared" ref="O67:O68" si="77">M67/L67</f>
        <v>0.42441600000000002</v>
      </c>
      <c r="P67" s="207">
        <f t="shared" ref="P67" si="78">N67+N68</f>
        <v>0</v>
      </c>
    </row>
    <row r="68" spans="1:16">
      <c r="A68" s="130" t="s">
        <v>296</v>
      </c>
      <c r="B68" s="130" t="s">
        <v>293</v>
      </c>
      <c r="C68" s="91">
        <v>44319</v>
      </c>
      <c r="D68" s="129">
        <v>1321</v>
      </c>
      <c r="E68" s="129" t="s">
        <v>294</v>
      </c>
      <c r="F68" s="129" t="s">
        <v>297</v>
      </c>
      <c r="G68" s="129" t="s">
        <v>212</v>
      </c>
      <c r="H68" s="129" t="s">
        <v>582</v>
      </c>
      <c r="I68" s="129">
        <v>925404</v>
      </c>
      <c r="J68" s="121"/>
      <c r="K68" s="129" t="s">
        <v>193</v>
      </c>
      <c r="L68" s="127">
        <v>125</v>
      </c>
      <c r="M68" s="101">
        <v>196.94800000000001</v>
      </c>
      <c r="N68" s="128">
        <f t="shared" si="76"/>
        <v>-71.948000000000008</v>
      </c>
      <c r="O68" s="94">
        <f t="shared" si="77"/>
        <v>1.5755840000000001</v>
      </c>
    </row>
    <row r="69" spans="1:16">
      <c r="A69" s="121" t="s">
        <v>423</v>
      </c>
      <c r="B69" s="121" t="s">
        <v>293</v>
      </c>
      <c r="C69" s="91">
        <v>44320</v>
      </c>
      <c r="D69" s="121">
        <v>1326</v>
      </c>
      <c r="E69" s="129" t="s">
        <v>294</v>
      </c>
      <c r="F69" s="129" t="s">
        <v>297</v>
      </c>
      <c r="G69" s="129" t="s">
        <v>212</v>
      </c>
      <c r="H69" s="121" t="s">
        <v>664</v>
      </c>
      <c r="I69" s="121">
        <v>965526</v>
      </c>
      <c r="J69" s="121"/>
      <c r="K69" s="129" t="s">
        <v>193</v>
      </c>
      <c r="L69" s="127">
        <v>300</v>
      </c>
      <c r="M69" s="101">
        <v>300</v>
      </c>
      <c r="N69" s="128">
        <f t="shared" ref="N69:N71" si="79">L69-M69</f>
        <v>0</v>
      </c>
      <c r="O69" s="94">
        <f t="shared" ref="O69:O71" si="80">M69/L69</f>
        <v>1</v>
      </c>
    </row>
    <row r="70" spans="1:16">
      <c r="A70" s="129" t="s">
        <v>423</v>
      </c>
      <c r="B70" s="129" t="s">
        <v>293</v>
      </c>
      <c r="C70" s="91">
        <v>44320</v>
      </c>
      <c r="D70" s="129">
        <v>1326</v>
      </c>
      <c r="E70" s="129" t="s">
        <v>294</v>
      </c>
      <c r="F70" s="129" t="s">
        <v>297</v>
      </c>
      <c r="G70" s="129" t="s">
        <v>212</v>
      </c>
      <c r="H70" s="121" t="s">
        <v>515</v>
      </c>
      <c r="I70" s="121">
        <v>968475</v>
      </c>
      <c r="J70" s="121"/>
      <c r="K70" s="129" t="s">
        <v>193</v>
      </c>
      <c r="L70" s="127">
        <v>100</v>
      </c>
      <c r="M70" s="101">
        <v>100</v>
      </c>
      <c r="N70" s="128">
        <f t="shared" si="79"/>
        <v>0</v>
      </c>
      <c r="O70" s="94">
        <f t="shared" si="80"/>
        <v>1</v>
      </c>
    </row>
    <row r="71" spans="1:16">
      <c r="A71" s="129" t="s">
        <v>423</v>
      </c>
      <c r="B71" s="129" t="s">
        <v>293</v>
      </c>
      <c r="C71" s="91">
        <v>44320</v>
      </c>
      <c r="D71" s="129">
        <v>1326</v>
      </c>
      <c r="E71" s="129" t="s">
        <v>294</v>
      </c>
      <c r="F71" s="129" t="s">
        <v>297</v>
      </c>
      <c r="G71" s="129" t="s">
        <v>212</v>
      </c>
      <c r="H71" s="121" t="s">
        <v>591</v>
      </c>
      <c r="I71" s="121">
        <v>966254</v>
      </c>
      <c r="J71" s="121"/>
      <c r="K71" s="129" t="s">
        <v>193</v>
      </c>
      <c r="L71" s="127">
        <v>300</v>
      </c>
      <c r="M71" s="101">
        <v>300</v>
      </c>
      <c r="N71" s="128">
        <f t="shared" si="79"/>
        <v>0</v>
      </c>
      <c r="O71" s="94">
        <f t="shared" si="80"/>
        <v>1</v>
      </c>
    </row>
    <row r="72" spans="1:16">
      <c r="A72" s="129" t="s">
        <v>296</v>
      </c>
      <c r="B72" s="129" t="s">
        <v>293</v>
      </c>
      <c r="C72" s="91">
        <v>44336</v>
      </c>
      <c r="D72" s="121">
        <v>1523</v>
      </c>
      <c r="E72" s="129" t="s">
        <v>294</v>
      </c>
      <c r="F72" s="129" t="s">
        <v>297</v>
      </c>
      <c r="G72" s="129" t="s">
        <v>213</v>
      </c>
      <c r="H72" s="129" t="s">
        <v>299</v>
      </c>
      <c r="I72" s="129">
        <v>966686</v>
      </c>
      <c r="J72" s="129"/>
      <c r="K72" s="129" t="s">
        <v>192</v>
      </c>
      <c r="L72" s="109">
        <v>25</v>
      </c>
      <c r="M72" s="101">
        <v>17.532</v>
      </c>
      <c r="N72" s="129">
        <f>L72-M72</f>
        <v>7.468</v>
      </c>
      <c r="O72" s="140">
        <f>M72/L72</f>
        <v>0.70128000000000001</v>
      </c>
      <c r="P72" s="61">
        <f>N72+N73</f>
        <v>0.30999999999998451</v>
      </c>
    </row>
    <row r="73" spans="1:16">
      <c r="A73" s="129" t="s">
        <v>296</v>
      </c>
      <c r="B73" s="129" t="s">
        <v>293</v>
      </c>
      <c r="C73" s="91">
        <v>44336</v>
      </c>
      <c r="D73" s="129">
        <v>1523</v>
      </c>
      <c r="E73" s="129" t="s">
        <v>294</v>
      </c>
      <c r="F73" s="129" t="s">
        <v>297</v>
      </c>
      <c r="G73" s="129" t="s">
        <v>213</v>
      </c>
      <c r="H73" s="129" t="s">
        <v>299</v>
      </c>
      <c r="I73" s="129">
        <v>966686</v>
      </c>
      <c r="J73" s="129"/>
      <c r="K73" s="129" t="s">
        <v>193</v>
      </c>
      <c r="L73" s="109">
        <v>300</v>
      </c>
      <c r="M73" s="101">
        <v>307.15800000000002</v>
      </c>
      <c r="N73" s="129">
        <f t="shared" ref="N73:N75" si="81">L73-M73</f>
        <v>-7.1580000000000155</v>
      </c>
      <c r="O73" s="140">
        <f t="shared" ref="O73:O75" si="82">M73/L73</f>
        <v>1.02386</v>
      </c>
    </row>
    <row r="74" spans="1:16">
      <c r="A74" s="129" t="s">
        <v>296</v>
      </c>
      <c r="B74" s="129" t="s">
        <v>293</v>
      </c>
      <c r="C74" s="91">
        <v>44336</v>
      </c>
      <c r="D74" s="129">
        <v>1523</v>
      </c>
      <c r="E74" s="129" t="s">
        <v>294</v>
      </c>
      <c r="F74" s="129" t="s">
        <v>297</v>
      </c>
      <c r="G74" s="129" t="s">
        <v>213</v>
      </c>
      <c r="H74" s="129" t="s">
        <v>298</v>
      </c>
      <c r="I74" s="129">
        <v>951113</v>
      </c>
      <c r="J74" s="129"/>
      <c r="K74" s="129" t="s">
        <v>192</v>
      </c>
      <c r="L74" s="109">
        <v>25</v>
      </c>
      <c r="M74" s="101">
        <v>31.381</v>
      </c>
      <c r="N74" s="129">
        <f t="shared" si="81"/>
        <v>-6.3810000000000002</v>
      </c>
      <c r="O74" s="140">
        <f t="shared" si="82"/>
        <v>1.2552399999999999</v>
      </c>
      <c r="P74" s="61">
        <f t="shared" ref="P74" si="83">N74+N75</f>
        <v>0.89000000000001478</v>
      </c>
    </row>
    <row r="75" spans="1:16">
      <c r="A75" s="129" t="s">
        <v>296</v>
      </c>
      <c r="B75" s="129" t="s">
        <v>293</v>
      </c>
      <c r="C75" s="91">
        <v>44336</v>
      </c>
      <c r="D75" s="129">
        <v>1523</v>
      </c>
      <c r="E75" s="129" t="s">
        <v>294</v>
      </c>
      <c r="F75" s="129" t="s">
        <v>297</v>
      </c>
      <c r="G75" s="129" t="s">
        <v>213</v>
      </c>
      <c r="H75" s="129" t="s">
        <v>298</v>
      </c>
      <c r="I75" s="129">
        <v>951113</v>
      </c>
      <c r="J75" s="129"/>
      <c r="K75" s="129" t="s">
        <v>193</v>
      </c>
      <c r="L75" s="109">
        <v>300</v>
      </c>
      <c r="M75" s="101">
        <v>292.72899999999998</v>
      </c>
      <c r="N75" s="129">
        <f t="shared" si="81"/>
        <v>7.271000000000015</v>
      </c>
      <c r="O75" s="140">
        <f t="shared" si="82"/>
        <v>0.97576333333333332</v>
      </c>
    </row>
    <row r="76" spans="1:16">
      <c r="A76" s="129" t="s">
        <v>683</v>
      </c>
      <c r="B76" s="129" t="s">
        <v>293</v>
      </c>
      <c r="C76" s="91">
        <v>44340</v>
      </c>
      <c r="D76" s="121">
        <v>1532</v>
      </c>
      <c r="E76" s="129" t="s">
        <v>294</v>
      </c>
      <c r="F76" s="129" t="s">
        <v>287</v>
      </c>
      <c r="G76" s="129" t="s">
        <v>213</v>
      </c>
      <c r="H76" s="129" t="s">
        <v>298</v>
      </c>
      <c r="I76" s="121">
        <v>951113</v>
      </c>
      <c r="J76" s="121"/>
      <c r="K76" s="129" t="s">
        <v>192</v>
      </c>
      <c r="L76" s="109">
        <v>100</v>
      </c>
      <c r="M76" s="101">
        <v>18.617000000000001</v>
      </c>
      <c r="N76" s="129">
        <f t="shared" ref="N76:N77" si="84">L76-M76</f>
        <v>81.382999999999996</v>
      </c>
      <c r="O76" s="140">
        <f t="shared" ref="O76:O77" si="85">M76/L76</f>
        <v>0.18617</v>
      </c>
      <c r="P76" s="61">
        <f t="shared" ref="P76" si="86">N76+N77</f>
        <v>0</v>
      </c>
    </row>
    <row r="77" spans="1:16">
      <c r="A77" s="129" t="s">
        <v>683</v>
      </c>
      <c r="B77" s="129" t="s">
        <v>293</v>
      </c>
      <c r="C77" s="91">
        <v>44340</v>
      </c>
      <c r="D77" s="129">
        <v>1532</v>
      </c>
      <c r="E77" s="129" t="s">
        <v>294</v>
      </c>
      <c r="F77" s="129" t="s">
        <v>287</v>
      </c>
      <c r="G77" s="129" t="s">
        <v>213</v>
      </c>
      <c r="H77" s="129" t="s">
        <v>298</v>
      </c>
      <c r="I77" s="129">
        <v>951113</v>
      </c>
      <c r="J77" s="121"/>
      <c r="K77" s="129" t="s">
        <v>193</v>
      </c>
      <c r="L77" s="109">
        <v>100</v>
      </c>
      <c r="M77" s="101">
        <v>181.38300000000001</v>
      </c>
      <c r="N77" s="129">
        <f t="shared" si="84"/>
        <v>-81.38300000000001</v>
      </c>
      <c r="O77" s="140">
        <f t="shared" si="85"/>
        <v>1.8138300000000001</v>
      </c>
    </row>
    <row r="78" spans="1:16">
      <c r="A78" s="129" t="s">
        <v>683</v>
      </c>
      <c r="B78" s="129" t="s">
        <v>293</v>
      </c>
      <c r="C78" s="91">
        <v>44340</v>
      </c>
      <c r="D78" s="121">
        <v>1533</v>
      </c>
      <c r="E78" s="129" t="s">
        <v>294</v>
      </c>
      <c r="F78" s="129" t="s">
        <v>287</v>
      </c>
      <c r="G78" s="129" t="s">
        <v>213</v>
      </c>
      <c r="H78" s="129" t="s">
        <v>299</v>
      </c>
      <c r="I78" s="129">
        <v>966686</v>
      </c>
      <c r="J78" s="129"/>
      <c r="K78" s="129" t="s">
        <v>192</v>
      </c>
      <c r="L78" s="109">
        <v>100</v>
      </c>
      <c r="M78" s="101">
        <v>38.226999999999997</v>
      </c>
      <c r="N78" s="129">
        <f>L78-M78</f>
        <v>61.773000000000003</v>
      </c>
      <c r="O78" s="140">
        <f>M78/L78</f>
        <v>0.38226999999999994</v>
      </c>
      <c r="P78" s="61">
        <f t="shared" ref="P78" si="87">N78+N79</f>
        <v>4.700000000000415E-2</v>
      </c>
    </row>
    <row r="79" spans="1:16">
      <c r="A79" s="129" t="s">
        <v>683</v>
      </c>
      <c r="B79" s="129" t="s">
        <v>293</v>
      </c>
      <c r="C79" s="91">
        <v>44340</v>
      </c>
      <c r="D79" s="129">
        <v>1533</v>
      </c>
      <c r="E79" s="129" t="s">
        <v>294</v>
      </c>
      <c r="F79" s="129" t="s">
        <v>287</v>
      </c>
      <c r="G79" s="129" t="s">
        <v>213</v>
      </c>
      <c r="H79" s="129" t="s">
        <v>299</v>
      </c>
      <c r="I79" s="129">
        <v>966686</v>
      </c>
      <c r="J79" s="129"/>
      <c r="K79" s="129" t="s">
        <v>193</v>
      </c>
      <c r="L79" s="109">
        <v>100</v>
      </c>
      <c r="M79" s="101">
        <v>161.726</v>
      </c>
      <c r="N79" s="129">
        <f t="shared" ref="N79" si="88">L79-M79</f>
        <v>-61.725999999999999</v>
      </c>
      <c r="O79" s="140">
        <f t="shared" ref="O79" si="89">M79/L79</f>
        <v>1.6172599999999999</v>
      </c>
    </row>
    <row r="80" spans="1:16">
      <c r="A80" s="129" t="s">
        <v>683</v>
      </c>
      <c r="B80" s="129" t="s">
        <v>293</v>
      </c>
      <c r="C80" s="91">
        <v>44340</v>
      </c>
      <c r="D80" s="121">
        <v>1534</v>
      </c>
      <c r="E80" s="129" t="s">
        <v>294</v>
      </c>
      <c r="F80" s="129" t="s">
        <v>287</v>
      </c>
      <c r="G80" s="129" t="s">
        <v>212</v>
      </c>
      <c r="H80" s="129" t="s">
        <v>584</v>
      </c>
      <c r="I80" s="129">
        <v>964500</v>
      </c>
      <c r="J80" s="129">
        <v>5</v>
      </c>
      <c r="K80" s="129" t="s">
        <v>192</v>
      </c>
      <c r="L80" s="109">
        <v>50</v>
      </c>
      <c r="M80" s="101"/>
      <c r="N80" s="129">
        <f>L80-M80</f>
        <v>50</v>
      </c>
      <c r="O80" s="140">
        <f>M80/L80</f>
        <v>0</v>
      </c>
      <c r="P80" s="61">
        <f t="shared" ref="P80" si="90">N80+N81</f>
        <v>0</v>
      </c>
    </row>
    <row r="81" spans="1:17">
      <c r="A81" s="129" t="s">
        <v>683</v>
      </c>
      <c r="B81" s="129" t="s">
        <v>293</v>
      </c>
      <c r="C81" s="91">
        <v>44340</v>
      </c>
      <c r="D81" s="129">
        <v>1534</v>
      </c>
      <c r="E81" s="129" t="s">
        <v>294</v>
      </c>
      <c r="F81" s="129" t="s">
        <v>287</v>
      </c>
      <c r="G81" s="129" t="s">
        <v>212</v>
      </c>
      <c r="H81" s="129" t="s">
        <v>584</v>
      </c>
      <c r="I81" s="129">
        <v>964500</v>
      </c>
      <c r="J81" s="129">
        <v>5</v>
      </c>
      <c r="K81" s="129" t="s">
        <v>193</v>
      </c>
      <c r="L81" s="109">
        <v>150</v>
      </c>
      <c r="M81" s="101">
        <v>200</v>
      </c>
      <c r="N81" s="129">
        <f t="shared" ref="N81" si="91">L81-M81</f>
        <v>-50</v>
      </c>
      <c r="O81" s="140">
        <f t="shared" ref="O81" si="92">M81/L81</f>
        <v>1.3333333333333333</v>
      </c>
    </row>
    <row r="82" spans="1:17">
      <c r="A82" s="129" t="s">
        <v>629</v>
      </c>
      <c r="B82" s="129" t="s">
        <v>293</v>
      </c>
      <c r="C82" s="91">
        <v>44341</v>
      </c>
      <c r="D82" s="121">
        <v>1575</v>
      </c>
      <c r="E82" s="129" t="s">
        <v>294</v>
      </c>
      <c r="F82" s="129" t="s">
        <v>297</v>
      </c>
      <c r="G82" s="129" t="s">
        <v>212</v>
      </c>
      <c r="H82" s="129" t="s">
        <v>589</v>
      </c>
      <c r="I82" s="121">
        <v>964972</v>
      </c>
      <c r="J82" s="121"/>
      <c r="K82" s="129" t="s">
        <v>193</v>
      </c>
      <c r="L82" s="109">
        <v>24.21</v>
      </c>
      <c r="M82" s="101"/>
      <c r="N82" s="129">
        <f t="shared" ref="N82:N84" si="93">L82-M82</f>
        <v>24.21</v>
      </c>
      <c r="O82" s="140">
        <f t="shared" ref="O82:O84" si="94">M82/L82</f>
        <v>0</v>
      </c>
    </row>
    <row r="83" spans="1:17">
      <c r="A83" s="121" t="s">
        <v>535</v>
      </c>
      <c r="B83" s="121" t="s">
        <v>293</v>
      </c>
      <c r="C83" s="91">
        <v>44357</v>
      </c>
      <c r="D83" s="121">
        <v>1778</v>
      </c>
      <c r="E83" s="129" t="s">
        <v>294</v>
      </c>
      <c r="F83" s="121" t="s">
        <v>287</v>
      </c>
      <c r="G83" s="129" t="s">
        <v>212</v>
      </c>
      <c r="H83" s="129" t="s">
        <v>578</v>
      </c>
      <c r="I83" s="129">
        <v>961132</v>
      </c>
      <c r="J83" s="130"/>
      <c r="K83" s="129" t="s">
        <v>192</v>
      </c>
      <c r="L83" s="127">
        <v>69.64</v>
      </c>
      <c r="M83" s="101"/>
      <c r="N83" s="128">
        <f t="shared" si="93"/>
        <v>69.64</v>
      </c>
      <c r="O83" s="94">
        <f t="shared" si="94"/>
        <v>0</v>
      </c>
      <c r="P83" s="207">
        <f>N83+N84</f>
        <v>0</v>
      </c>
    </row>
    <row r="84" spans="1:17">
      <c r="A84" s="129" t="s">
        <v>535</v>
      </c>
      <c r="B84" s="129" t="s">
        <v>293</v>
      </c>
      <c r="C84" s="91">
        <v>44357</v>
      </c>
      <c r="D84" s="129">
        <v>1778</v>
      </c>
      <c r="E84" s="129" t="s">
        <v>294</v>
      </c>
      <c r="F84" s="129" t="s">
        <v>287</v>
      </c>
      <c r="G84" s="129" t="s">
        <v>212</v>
      </c>
      <c r="H84" s="129" t="s">
        <v>578</v>
      </c>
      <c r="I84" s="129">
        <v>961132</v>
      </c>
      <c r="J84" s="130"/>
      <c r="K84" s="129" t="s">
        <v>193</v>
      </c>
      <c r="L84" s="127">
        <v>169.43</v>
      </c>
      <c r="M84" s="101">
        <v>239.07</v>
      </c>
      <c r="N84" s="128">
        <f t="shared" si="93"/>
        <v>-69.639999999999986</v>
      </c>
      <c r="O84" s="94">
        <f t="shared" si="94"/>
        <v>1.4110252021483798</v>
      </c>
    </row>
    <row r="85" spans="1:17">
      <c r="A85" s="129" t="s">
        <v>389</v>
      </c>
      <c r="B85" s="129" t="s">
        <v>293</v>
      </c>
      <c r="C85" s="91">
        <v>44463</v>
      </c>
      <c r="D85" s="121">
        <v>2627</v>
      </c>
      <c r="E85" s="129" t="s">
        <v>294</v>
      </c>
      <c r="F85" s="129" t="s">
        <v>297</v>
      </c>
      <c r="G85" s="129" t="s">
        <v>212</v>
      </c>
      <c r="H85" s="129" t="s">
        <v>390</v>
      </c>
      <c r="I85" s="121">
        <v>951220</v>
      </c>
      <c r="J85" s="121">
        <v>5</v>
      </c>
      <c r="K85" s="129" t="s">
        <v>193</v>
      </c>
      <c r="L85" s="127">
        <v>301.96800000000002</v>
      </c>
      <c r="M85" s="101">
        <v>301.97199999999998</v>
      </c>
      <c r="N85" s="128">
        <f t="shared" ref="N85:N87" si="95">L85-M85</f>
        <v>-3.999999999962256E-3</v>
      </c>
      <c r="O85" s="94">
        <f t="shared" ref="O85:O87" si="96">M85/L85</f>
        <v>1.0000132464367084</v>
      </c>
      <c r="P85" s="209">
        <f>N85</f>
        <v>-3.999999999962256E-3</v>
      </c>
      <c r="Q85" s="61" t="s">
        <v>775</v>
      </c>
    </row>
    <row r="86" spans="1:17">
      <c r="A86" s="129" t="s">
        <v>678</v>
      </c>
      <c r="B86" s="129" t="s">
        <v>293</v>
      </c>
      <c r="C86" s="91">
        <v>44463</v>
      </c>
      <c r="D86" s="121">
        <v>2633</v>
      </c>
      <c r="E86" s="129" t="s">
        <v>294</v>
      </c>
      <c r="F86" s="129" t="s">
        <v>287</v>
      </c>
      <c r="G86" s="129" t="s">
        <v>213</v>
      </c>
      <c r="H86" s="129" t="s">
        <v>298</v>
      </c>
      <c r="I86" s="129">
        <v>951113</v>
      </c>
      <c r="J86" s="129"/>
      <c r="K86" s="129" t="s">
        <v>192</v>
      </c>
      <c r="L86" s="109">
        <v>50</v>
      </c>
      <c r="M86" s="101">
        <v>3.722</v>
      </c>
      <c r="N86" s="129">
        <f t="shared" si="95"/>
        <v>46.277999999999999</v>
      </c>
      <c r="O86" s="140">
        <f t="shared" si="96"/>
        <v>7.4440000000000006E-2</v>
      </c>
      <c r="P86" s="61">
        <f>N86+N87</f>
        <v>0</v>
      </c>
    </row>
    <row r="87" spans="1:17">
      <c r="A87" s="129" t="s">
        <v>678</v>
      </c>
      <c r="B87" s="129" t="s">
        <v>293</v>
      </c>
      <c r="C87" s="91">
        <v>44463</v>
      </c>
      <c r="D87" s="129">
        <v>2633</v>
      </c>
      <c r="E87" s="129" t="s">
        <v>294</v>
      </c>
      <c r="F87" s="129" t="s">
        <v>287</v>
      </c>
      <c r="G87" s="129" t="s">
        <v>213</v>
      </c>
      <c r="H87" s="129" t="s">
        <v>298</v>
      </c>
      <c r="I87" s="129">
        <v>951113</v>
      </c>
      <c r="J87" s="129"/>
      <c r="K87" s="129" t="s">
        <v>193</v>
      </c>
      <c r="L87" s="109">
        <v>152</v>
      </c>
      <c r="M87" s="101">
        <v>198.27799999999999</v>
      </c>
      <c r="N87" s="129">
        <f t="shared" si="95"/>
        <v>-46.277999999999992</v>
      </c>
      <c r="O87" s="140">
        <f t="shared" si="96"/>
        <v>1.3044605263157893</v>
      </c>
    </row>
    <row r="88" spans="1:17">
      <c r="A88" s="129" t="s">
        <v>678</v>
      </c>
      <c r="B88" s="129" t="s">
        <v>293</v>
      </c>
      <c r="C88" s="91">
        <v>44463</v>
      </c>
      <c r="D88" s="129">
        <v>2633</v>
      </c>
      <c r="E88" s="129" t="s">
        <v>294</v>
      </c>
      <c r="F88" s="129" t="s">
        <v>287</v>
      </c>
      <c r="G88" s="129" t="s">
        <v>213</v>
      </c>
      <c r="H88" s="129" t="s">
        <v>299</v>
      </c>
      <c r="I88" s="129">
        <v>966686</v>
      </c>
      <c r="J88" s="129"/>
      <c r="K88" s="129" t="s">
        <v>192</v>
      </c>
      <c r="L88" s="109">
        <v>50</v>
      </c>
      <c r="M88" s="101">
        <v>29.478000000000002</v>
      </c>
      <c r="N88" s="129">
        <f>L88-M88</f>
        <v>20.521999999999998</v>
      </c>
      <c r="O88" s="140">
        <f>M88/L88</f>
        <v>0.58956000000000008</v>
      </c>
      <c r="P88" s="61">
        <f t="shared" ref="P88" si="97">N88+N89</f>
        <v>2.7999999999998693E-2</v>
      </c>
    </row>
    <row r="89" spans="1:17">
      <c r="A89" s="129" t="s">
        <v>678</v>
      </c>
      <c r="B89" s="129" t="s">
        <v>293</v>
      </c>
      <c r="C89" s="91">
        <v>44463</v>
      </c>
      <c r="D89" s="129">
        <v>2633</v>
      </c>
      <c r="E89" s="129" t="s">
        <v>294</v>
      </c>
      <c r="F89" s="129" t="s">
        <v>287</v>
      </c>
      <c r="G89" s="129" t="s">
        <v>213</v>
      </c>
      <c r="H89" s="129" t="s">
        <v>299</v>
      </c>
      <c r="I89" s="129">
        <v>966686</v>
      </c>
      <c r="J89" s="129"/>
      <c r="K89" s="129" t="s">
        <v>193</v>
      </c>
      <c r="L89" s="109">
        <v>152</v>
      </c>
      <c r="M89" s="101">
        <v>172.494</v>
      </c>
      <c r="N89" s="129">
        <f t="shared" ref="N89:N90" si="98">L89-M89</f>
        <v>-20.494</v>
      </c>
      <c r="O89" s="140">
        <f t="shared" ref="O89:O90" si="99">M89/L89</f>
        <v>1.134828947368421</v>
      </c>
    </row>
    <row r="90" spans="1:17">
      <c r="A90" s="129" t="s">
        <v>423</v>
      </c>
      <c r="B90" s="129" t="s">
        <v>293</v>
      </c>
      <c r="C90" s="91">
        <v>44468</v>
      </c>
      <c r="D90" s="121">
        <v>2660</v>
      </c>
      <c r="E90" s="129" t="s">
        <v>294</v>
      </c>
      <c r="F90" s="129" t="s">
        <v>297</v>
      </c>
      <c r="G90" s="129" t="s">
        <v>212</v>
      </c>
      <c r="H90" s="129" t="s">
        <v>515</v>
      </c>
      <c r="I90" s="121">
        <v>968475</v>
      </c>
      <c r="J90" s="121"/>
      <c r="K90" s="129" t="s">
        <v>192</v>
      </c>
      <c r="L90" s="109">
        <v>5</v>
      </c>
      <c r="M90" s="101">
        <v>5</v>
      </c>
      <c r="N90" s="129">
        <f t="shared" si="98"/>
        <v>0</v>
      </c>
      <c r="O90" s="140">
        <f t="shared" si="99"/>
        <v>1</v>
      </c>
      <c r="P90" s="61">
        <f t="shared" ref="P90" si="100">N90+N91</f>
        <v>0</v>
      </c>
    </row>
    <row r="91" spans="1:17">
      <c r="A91" s="129" t="s">
        <v>423</v>
      </c>
      <c r="B91" s="129" t="s">
        <v>293</v>
      </c>
      <c r="C91" s="91">
        <v>44468</v>
      </c>
      <c r="D91" s="129">
        <v>2660</v>
      </c>
      <c r="E91" s="129" t="s">
        <v>294</v>
      </c>
      <c r="F91" s="129" t="s">
        <v>297</v>
      </c>
      <c r="G91" s="129" t="s">
        <v>212</v>
      </c>
      <c r="H91" s="129" t="s">
        <v>515</v>
      </c>
      <c r="I91" s="129">
        <v>968475</v>
      </c>
      <c r="J91" s="121"/>
      <c r="K91" s="129" t="s">
        <v>193</v>
      </c>
      <c r="L91" s="109">
        <v>145</v>
      </c>
      <c r="M91" s="101">
        <v>145</v>
      </c>
      <c r="N91" s="129">
        <f t="shared" ref="N91:N95" si="101">L91-M91</f>
        <v>0</v>
      </c>
      <c r="O91" s="140">
        <f t="shared" ref="O91:O95" si="102">M91/L91</f>
        <v>1</v>
      </c>
    </row>
    <row r="92" spans="1:17">
      <c r="A92" s="129" t="s">
        <v>423</v>
      </c>
      <c r="B92" s="129" t="s">
        <v>293</v>
      </c>
      <c r="C92" s="91">
        <v>44468</v>
      </c>
      <c r="D92" s="129">
        <v>2660</v>
      </c>
      <c r="E92" s="129" t="s">
        <v>294</v>
      </c>
      <c r="F92" s="129" t="s">
        <v>297</v>
      </c>
      <c r="G92" s="129" t="s">
        <v>212</v>
      </c>
      <c r="H92" s="129" t="s">
        <v>591</v>
      </c>
      <c r="I92" s="121">
        <v>966254</v>
      </c>
      <c r="J92" s="121"/>
      <c r="K92" s="129" t="s">
        <v>192</v>
      </c>
      <c r="L92" s="109">
        <v>5</v>
      </c>
      <c r="M92" s="101">
        <v>23.468</v>
      </c>
      <c r="N92" s="129">
        <f t="shared" si="101"/>
        <v>-18.468</v>
      </c>
      <c r="O92" s="140">
        <f t="shared" si="102"/>
        <v>4.6936</v>
      </c>
      <c r="P92" s="210">
        <f t="shared" ref="P92" si="103">N92+N93</f>
        <v>-0.57399999999999451</v>
      </c>
      <c r="Q92" s="61" t="s">
        <v>771</v>
      </c>
    </row>
    <row r="93" spans="1:17">
      <c r="A93" s="129" t="s">
        <v>423</v>
      </c>
      <c r="B93" s="129" t="s">
        <v>293</v>
      </c>
      <c r="C93" s="91">
        <v>44468</v>
      </c>
      <c r="D93" s="129">
        <v>2660</v>
      </c>
      <c r="E93" s="129" t="s">
        <v>294</v>
      </c>
      <c r="F93" s="129" t="s">
        <v>297</v>
      </c>
      <c r="G93" s="129" t="s">
        <v>212</v>
      </c>
      <c r="H93" s="129" t="s">
        <v>591</v>
      </c>
      <c r="I93" s="129">
        <v>966254</v>
      </c>
      <c r="J93" s="121"/>
      <c r="K93" s="129" t="s">
        <v>193</v>
      </c>
      <c r="L93" s="109">
        <v>175</v>
      </c>
      <c r="M93" s="101">
        <v>157.10599999999999</v>
      </c>
      <c r="N93" s="129">
        <f t="shared" si="101"/>
        <v>17.894000000000005</v>
      </c>
      <c r="O93" s="140">
        <f t="shared" si="102"/>
        <v>0.89774857142857145</v>
      </c>
    </row>
    <row r="94" spans="1:17">
      <c r="A94" s="129" t="s">
        <v>423</v>
      </c>
      <c r="B94" s="129" t="s">
        <v>293</v>
      </c>
      <c r="C94" s="91">
        <v>44468</v>
      </c>
      <c r="D94" s="129">
        <v>2660</v>
      </c>
      <c r="E94" s="129" t="s">
        <v>294</v>
      </c>
      <c r="F94" s="129" t="s">
        <v>297</v>
      </c>
      <c r="G94" s="129" t="s">
        <v>212</v>
      </c>
      <c r="H94" s="129" t="s">
        <v>664</v>
      </c>
      <c r="I94" s="121">
        <v>965526</v>
      </c>
      <c r="J94" s="121"/>
      <c r="K94" s="129" t="s">
        <v>192</v>
      </c>
      <c r="L94" s="109">
        <v>5</v>
      </c>
      <c r="M94" s="101">
        <v>2.0009999999999999</v>
      </c>
      <c r="N94" s="129">
        <f t="shared" si="101"/>
        <v>2.9990000000000001</v>
      </c>
      <c r="O94" s="140">
        <f t="shared" si="102"/>
        <v>0.4002</v>
      </c>
      <c r="P94" s="212">
        <f t="shared" ref="P94" si="104">N94+N95</f>
        <v>4.8849813083506888E-15</v>
      </c>
    </row>
    <row r="95" spans="1:17">
      <c r="A95" s="129" t="s">
        <v>423</v>
      </c>
      <c r="B95" s="129" t="s">
        <v>293</v>
      </c>
      <c r="C95" s="91">
        <v>44468</v>
      </c>
      <c r="D95" s="129">
        <v>2660</v>
      </c>
      <c r="E95" s="129" t="s">
        <v>294</v>
      </c>
      <c r="F95" s="129" t="s">
        <v>297</v>
      </c>
      <c r="G95" s="129" t="s">
        <v>212</v>
      </c>
      <c r="H95" s="129" t="s">
        <v>664</v>
      </c>
      <c r="I95" s="129">
        <v>965526</v>
      </c>
      <c r="J95" s="121"/>
      <c r="K95" s="129" t="s">
        <v>193</v>
      </c>
      <c r="L95" s="109">
        <v>175</v>
      </c>
      <c r="M95" s="101">
        <v>177.999</v>
      </c>
      <c r="N95" s="129">
        <f t="shared" si="101"/>
        <v>-2.9989999999999952</v>
      </c>
      <c r="O95" s="140">
        <f t="shared" si="102"/>
        <v>1.0171371428571427</v>
      </c>
    </row>
    <row r="96" spans="1:17">
      <c r="A96" s="129" t="s">
        <v>535</v>
      </c>
      <c r="B96" s="129" t="s">
        <v>293</v>
      </c>
      <c r="C96" s="91">
        <v>44474</v>
      </c>
      <c r="D96" s="121">
        <v>2699</v>
      </c>
      <c r="E96" s="129" t="s">
        <v>294</v>
      </c>
      <c r="F96" s="129" t="s">
        <v>287</v>
      </c>
      <c r="G96" s="129" t="s">
        <v>212</v>
      </c>
      <c r="H96" s="129" t="s">
        <v>709</v>
      </c>
      <c r="I96" s="121">
        <v>698145</v>
      </c>
      <c r="J96" s="121">
        <v>8</v>
      </c>
      <c r="K96" s="129" t="s">
        <v>193</v>
      </c>
      <c r="L96" s="109">
        <v>207.7</v>
      </c>
      <c r="M96" s="101">
        <v>205.376</v>
      </c>
      <c r="N96" s="129">
        <f t="shared" ref="N96:N99" si="105">L96-M96</f>
        <v>2.3239999999999839</v>
      </c>
      <c r="O96" s="140">
        <f t="shared" ref="O96:O99" si="106">M96/L96</f>
        <v>0.9888107847857488</v>
      </c>
      <c r="P96" s="210">
        <f t="shared" ref="P96" si="107">N96+N97</f>
        <v>-2.0000000000016005E-2</v>
      </c>
      <c r="Q96" s="61" t="s">
        <v>759</v>
      </c>
    </row>
    <row r="97" spans="1:16">
      <c r="A97" s="129" t="s">
        <v>535</v>
      </c>
      <c r="B97" s="129" t="s">
        <v>293</v>
      </c>
      <c r="C97" s="91">
        <v>44474</v>
      </c>
      <c r="D97" s="129">
        <v>2699</v>
      </c>
      <c r="E97" s="129" t="s">
        <v>294</v>
      </c>
      <c r="F97" s="129" t="s">
        <v>287</v>
      </c>
      <c r="G97" s="129" t="s">
        <v>212</v>
      </c>
      <c r="H97" s="129" t="s">
        <v>709</v>
      </c>
      <c r="I97" s="129">
        <v>698145</v>
      </c>
      <c r="J97" s="129">
        <v>8</v>
      </c>
      <c r="K97" s="129" t="s">
        <v>192</v>
      </c>
      <c r="L97" s="109">
        <v>0</v>
      </c>
      <c r="M97" s="101">
        <v>2.3439999999999999</v>
      </c>
      <c r="N97" s="129">
        <f t="shared" si="105"/>
        <v>-2.3439999999999999</v>
      </c>
      <c r="O97" s="140" t="e">
        <f t="shared" si="106"/>
        <v>#DIV/0!</v>
      </c>
    </row>
    <row r="98" spans="1:16">
      <c r="A98" s="129" t="s">
        <v>493</v>
      </c>
      <c r="B98" s="129" t="s">
        <v>293</v>
      </c>
      <c r="C98" s="91">
        <v>44474</v>
      </c>
      <c r="D98" s="121">
        <v>2700</v>
      </c>
      <c r="E98" s="129" t="s">
        <v>294</v>
      </c>
      <c r="F98" s="129" t="s">
        <v>297</v>
      </c>
      <c r="G98" s="129" t="s">
        <v>212</v>
      </c>
      <c r="H98" s="129" t="s">
        <v>494</v>
      </c>
      <c r="I98" s="129">
        <v>951206</v>
      </c>
      <c r="J98" s="129"/>
      <c r="K98" s="129" t="s">
        <v>193</v>
      </c>
      <c r="L98" s="127">
        <v>452.952</v>
      </c>
      <c r="M98" s="101">
        <v>452.952</v>
      </c>
      <c r="N98" s="128">
        <f t="shared" si="105"/>
        <v>0</v>
      </c>
      <c r="O98" s="94">
        <f t="shared" si="106"/>
        <v>1</v>
      </c>
    </row>
    <row r="99" spans="1:16">
      <c r="A99" s="129" t="s">
        <v>707</v>
      </c>
      <c r="B99" s="129" t="s">
        <v>293</v>
      </c>
      <c r="C99" s="91">
        <v>44477</v>
      </c>
      <c r="D99" s="121">
        <v>2752</v>
      </c>
      <c r="E99" s="129" t="s">
        <v>294</v>
      </c>
      <c r="F99" s="129" t="s">
        <v>287</v>
      </c>
      <c r="G99" s="129" t="s">
        <v>213</v>
      </c>
      <c r="H99" s="129" t="s">
        <v>575</v>
      </c>
      <c r="I99" s="121">
        <v>965369</v>
      </c>
      <c r="J99" s="121"/>
      <c r="K99" s="129" t="s">
        <v>193</v>
      </c>
      <c r="L99" s="109">
        <v>325</v>
      </c>
      <c r="M99" s="101">
        <v>323.572</v>
      </c>
      <c r="N99" s="129">
        <f t="shared" si="105"/>
        <v>1.4279999999999973</v>
      </c>
      <c r="O99" s="140">
        <f t="shared" si="106"/>
        <v>0.99560615384615381</v>
      </c>
    </row>
    <row r="100" spans="1:16">
      <c r="A100" s="129" t="s">
        <v>707</v>
      </c>
      <c r="B100" s="129" t="s">
        <v>293</v>
      </c>
      <c r="C100" s="91">
        <v>44477</v>
      </c>
      <c r="D100" s="129">
        <v>2752</v>
      </c>
      <c r="E100" s="129" t="s">
        <v>294</v>
      </c>
      <c r="F100" s="129" t="s">
        <v>287</v>
      </c>
      <c r="G100" s="129" t="s">
        <v>213</v>
      </c>
      <c r="H100" s="129" t="s">
        <v>708</v>
      </c>
      <c r="I100" s="121">
        <v>697263</v>
      </c>
      <c r="J100" s="121"/>
      <c r="K100" s="129" t="s">
        <v>193</v>
      </c>
      <c r="L100" s="109">
        <v>325</v>
      </c>
      <c r="M100" s="101">
        <v>101.289</v>
      </c>
      <c r="N100" s="129">
        <f t="shared" ref="N100:N103" si="108">L100-M100</f>
        <v>223.71100000000001</v>
      </c>
      <c r="O100" s="140">
        <f t="shared" ref="O100:O103" si="109">M100/L100</f>
        <v>0.31165846153846155</v>
      </c>
    </row>
    <row r="101" spans="1:16">
      <c r="A101" s="129" t="s">
        <v>707</v>
      </c>
      <c r="B101" s="129" t="s">
        <v>293</v>
      </c>
      <c r="C101" s="91">
        <v>44477</v>
      </c>
      <c r="D101" s="129">
        <v>2752</v>
      </c>
      <c r="E101" s="129" t="s">
        <v>294</v>
      </c>
      <c r="F101" s="129" t="s">
        <v>287</v>
      </c>
      <c r="G101" s="129" t="s">
        <v>213</v>
      </c>
      <c r="H101" s="129" t="s">
        <v>490</v>
      </c>
      <c r="I101" s="121">
        <v>964021</v>
      </c>
      <c r="J101" s="121"/>
      <c r="K101" s="129" t="s">
        <v>193</v>
      </c>
      <c r="L101" s="127">
        <v>250</v>
      </c>
      <c r="M101" s="101">
        <v>244.422</v>
      </c>
      <c r="N101" s="128">
        <f t="shared" si="108"/>
        <v>5.578000000000003</v>
      </c>
      <c r="O101" s="94">
        <f t="shared" si="109"/>
        <v>0.977688</v>
      </c>
    </row>
    <row r="102" spans="1:16">
      <c r="A102" s="129" t="s">
        <v>296</v>
      </c>
      <c r="B102" s="129" t="s">
        <v>293</v>
      </c>
      <c r="C102" s="91">
        <v>44482</v>
      </c>
      <c r="D102" s="121">
        <v>2767</v>
      </c>
      <c r="E102" s="129" t="s">
        <v>294</v>
      </c>
      <c r="F102" s="129" t="s">
        <v>297</v>
      </c>
      <c r="G102" s="129" t="s">
        <v>212</v>
      </c>
      <c r="H102" s="129" t="s">
        <v>709</v>
      </c>
      <c r="I102" s="121">
        <v>698145</v>
      </c>
      <c r="J102" s="129">
        <v>8</v>
      </c>
      <c r="K102" s="129" t="s">
        <v>192</v>
      </c>
      <c r="L102" s="109">
        <v>20</v>
      </c>
      <c r="M102" s="101">
        <v>19.622</v>
      </c>
      <c r="N102" s="129">
        <f t="shared" si="108"/>
        <v>0.37800000000000011</v>
      </c>
      <c r="O102" s="140">
        <f t="shared" si="109"/>
        <v>0.98109999999999997</v>
      </c>
      <c r="P102" s="61">
        <f>N102+N103</f>
        <v>0</v>
      </c>
    </row>
    <row r="103" spans="1:16">
      <c r="A103" s="129" t="s">
        <v>296</v>
      </c>
      <c r="B103" s="129" t="s">
        <v>293</v>
      </c>
      <c r="C103" s="91">
        <v>44482</v>
      </c>
      <c r="D103" s="129">
        <v>2767</v>
      </c>
      <c r="E103" s="129" t="s">
        <v>294</v>
      </c>
      <c r="F103" s="129" t="s">
        <v>297</v>
      </c>
      <c r="G103" s="129" t="s">
        <v>212</v>
      </c>
      <c r="H103" s="129" t="s">
        <v>709</v>
      </c>
      <c r="I103" s="129">
        <v>698145</v>
      </c>
      <c r="J103" s="129">
        <v>8</v>
      </c>
      <c r="K103" s="129" t="s">
        <v>193</v>
      </c>
      <c r="L103" s="109">
        <v>85</v>
      </c>
      <c r="M103" s="101">
        <v>85.378</v>
      </c>
      <c r="N103" s="129">
        <f t="shared" si="108"/>
        <v>-0.37800000000000011</v>
      </c>
      <c r="O103" s="140">
        <f t="shared" si="109"/>
        <v>1.0044470588235295</v>
      </c>
    </row>
    <row r="104" spans="1:16">
      <c r="A104" s="129" t="s">
        <v>296</v>
      </c>
      <c r="B104" s="129" t="s">
        <v>293</v>
      </c>
      <c r="C104" s="91">
        <v>44482</v>
      </c>
      <c r="D104" s="129">
        <v>2767</v>
      </c>
      <c r="E104" s="129" t="s">
        <v>294</v>
      </c>
      <c r="F104" s="129" t="s">
        <v>297</v>
      </c>
      <c r="G104" s="129" t="s">
        <v>212</v>
      </c>
      <c r="H104" s="129" t="s">
        <v>577</v>
      </c>
      <c r="I104" s="121">
        <v>915627</v>
      </c>
      <c r="J104" s="121"/>
      <c r="K104" s="129" t="s">
        <v>192</v>
      </c>
      <c r="L104" s="109">
        <v>15</v>
      </c>
      <c r="M104" s="101">
        <v>10.144</v>
      </c>
      <c r="N104" s="129">
        <f t="shared" ref="N104:N105" si="110">L104-M104</f>
        <v>4.8559999999999999</v>
      </c>
      <c r="O104" s="140">
        <f t="shared" ref="O104:O105" si="111">M104/L104</f>
        <v>0.67626666666666668</v>
      </c>
      <c r="P104" s="61">
        <f t="shared" ref="P104" si="112">N104+N105</f>
        <v>20.797000000000004</v>
      </c>
    </row>
    <row r="105" spans="1:16">
      <c r="A105" s="129" t="s">
        <v>296</v>
      </c>
      <c r="B105" s="129" t="s">
        <v>293</v>
      </c>
      <c r="C105" s="91">
        <v>44482</v>
      </c>
      <c r="D105" s="129">
        <v>2767</v>
      </c>
      <c r="E105" s="129" t="s">
        <v>294</v>
      </c>
      <c r="F105" s="129" t="s">
        <v>297</v>
      </c>
      <c r="G105" s="129" t="s">
        <v>212</v>
      </c>
      <c r="H105" s="129" t="s">
        <v>577</v>
      </c>
      <c r="I105" s="129">
        <v>915627</v>
      </c>
      <c r="J105" s="121"/>
      <c r="K105" s="129" t="s">
        <v>193</v>
      </c>
      <c r="L105" s="109">
        <v>90</v>
      </c>
      <c r="M105" s="101">
        <v>74.058999999999997</v>
      </c>
      <c r="N105" s="129">
        <f t="shared" si="110"/>
        <v>15.941000000000003</v>
      </c>
      <c r="O105" s="140">
        <f t="shared" si="111"/>
        <v>0.82287777777777771</v>
      </c>
    </row>
    <row r="106" spans="1:16">
      <c r="A106" s="129" t="s">
        <v>296</v>
      </c>
      <c r="B106" s="129" t="s">
        <v>293</v>
      </c>
      <c r="C106" s="91">
        <v>44482</v>
      </c>
      <c r="D106" s="121">
        <v>2768</v>
      </c>
      <c r="E106" s="129" t="s">
        <v>294</v>
      </c>
      <c r="F106" s="129" t="s">
        <v>297</v>
      </c>
      <c r="G106" s="129" t="s">
        <v>212</v>
      </c>
      <c r="H106" s="129" t="s">
        <v>494</v>
      </c>
      <c r="I106" s="129">
        <v>951206</v>
      </c>
      <c r="J106" s="121"/>
      <c r="K106" s="129" t="s">
        <v>192</v>
      </c>
      <c r="L106" s="109">
        <v>22</v>
      </c>
      <c r="M106" s="101">
        <v>5.742</v>
      </c>
      <c r="N106" s="129">
        <f t="shared" ref="N106:N107" si="113">L106-M106</f>
        <v>16.257999999999999</v>
      </c>
      <c r="O106" s="140">
        <f t="shared" ref="O106:O107" si="114">M106/L106</f>
        <v>0.26100000000000001</v>
      </c>
      <c r="P106" s="61">
        <f t="shared" ref="P106" si="115">N106+N107</f>
        <v>0.99800000000000821</v>
      </c>
    </row>
    <row r="107" spans="1:16">
      <c r="A107" s="129" t="s">
        <v>296</v>
      </c>
      <c r="B107" s="129" t="s">
        <v>293</v>
      </c>
      <c r="C107" s="91">
        <v>44482</v>
      </c>
      <c r="D107" s="129">
        <v>2768</v>
      </c>
      <c r="E107" s="129" t="s">
        <v>294</v>
      </c>
      <c r="F107" s="129" t="s">
        <v>297</v>
      </c>
      <c r="G107" s="129" t="s">
        <v>212</v>
      </c>
      <c r="H107" s="129" t="s">
        <v>494</v>
      </c>
      <c r="I107" s="129">
        <v>951206</v>
      </c>
      <c r="J107" s="121"/>
      <c r="K107" s="129" t="s">
        <v>193</v>
      </c>
      <c r="L107" s="109">
        <v>323</v>
      </c>
      <c r="M107" s="101">
        <v>338.26</v>
      </c>
      <c r="N107" s="129">
        <f t="shared" si="113"/>
        <v>-15.259999999999991</v>
      </c>
      <c r="O107" s="140">
        <f t="shared" si="114"/>
        <v>1.0472445820433436</v>
      </c>
    </row>
    <row r="108" spans="1:16">
      <c r="A108" s="129" t="s">
        <v>296</v>
      </c>
      <c r="B108" s="129" t="s">
        <v>293</v>
      </c>
      <c r="C108" s="91">
        <v>44482</v>
      </c>
      <c r="D108" s="129">
        <v>2768</v>
      </c>
      <c r="E108" s="129" t="s">
        <v>294</v>
      </c>
      <c r="F108" s="129" t="s">
        <v>297</v>
      </c>
      <c r="G108" s="129" t="s">
        <v>212</v>
      </c>
      <c r="H108" s="129" t="s">
        <v>578</v>
      </c>
      <c r="I108" s="129">
        <v>961132</v>
      </c>
      <c r="J108" s="121"/>
      <c r="K108" s="129" t="s">
        <v>192</v>
      </c>
      <c r="L108" s="109">
        <v>22</v>
      </c>
      <c r="M108" s="101">
        <v>7.92</v>
      </c>
      <c r="N108" s="129">
        <f t="shared" ref="N108:N119" si="116">L108-M108</f>
        <v>14.08</v>
      </c>
      <c r="O108" s="140">
        <f t="shared" ref="O108:O119" si="117">M108/L108</f>
        <v>0.36</v>
      </c>
      <c r="P108" s="212">
        <f t="shared" ref="P108" si="118">N108+N109</f>
        <v>1.5987211554602254E-14</v>
      </c>
    </row>
    <row r="109" spans="1:16">
      <c r="A109" s="129" t="s">
        <v>296</v>
      </c>
      <c r="B109" s="129" t="s">
        <v>293</v>
      </c>
      <c r="C109" s="91">
        <v>44482</v>
      </c>
      <c r="D109" s="129">
        <v>2768</v>
      </c>
      <c r="E109" s="129" t="s">
        <v>294</v>
      </c>
      <c r="F109" s="129" t="s">
        <v>297</v>
      </c>
      <c r="G109" s="129" t="s">
        <v>212</v>
      </c>
      <c r="H109" s="129" t="s">
        <v>578</v>
      </c>
      <c r="I109" s="129">
        <v>961132</v>
      </c>
      <c r="J109" s="121"/>
      <c r="K109" s="129" t="s">
        <v>193</v>
      </c>
      <c r="L109" s="109">
        <v>323</v>
      </c>
      <c r="M109" s="101">
        <v>337.08</v>
      </c>
      <c r="N109" s="129">
        <f t="shared" si="116"/>
        <v>-14.079999999999984</v>
      </c>
      <c r="O109" s="140">
        <f t="shared" si="117"/>
        <v>1.0435913312693499</v>
      </c>
    </row>
    <row r="110" spans="1:16">
      <c r="A110" s="129" t="s">
        <v>296</v>
      </c>
      <c r="B110" s="129" t="s">
        <v>293</v>
      </c>
      <c r="C110" s="91">
        <v>44482</v>
      </c>
      <c r="D110" s="129">
        <v>2768</v>
      </c>
      <c r="E110" s="129" t="s">
        <v>294</v>
      </c>
      <c r="F110" s="129" t="s">
        <v>297</v>
      </c>
      <c r="G110" s="129" t="s">
        <v>212</v>
      </c>
      <c r="H110" s="129" t="s">
        <v>579</v>
      </c>
      <c r="I110" s="129">
        <v>966969</v>
      </c>
      <c r="J110" s="121"/>
      <c r="K110" s="129" t="s">
        <v>192</v>
      </c>
      <c r="L110" s="109">
        <v>22</v>
      </c>
      <c r="M110" s="101">
        <v>28.169</v>
      </c>
      <c r="N110" s="129">
        <f t="shared" si="116"/>
        <v>-6.1690000000000005</v>
      </c>
      <c r="O110" s="140">
        <f t="shared" si="117"/>
        <v>1.2804090909090908</v>
      </c>
      <c r="P110" s="61">
        <f t="shared" ref="P110" si="119">N110+N111</f>
        <v>41.434999999999988</v>
      </c>
    </row>
    <row r="111" spans="1:16">
      <c r="A111" s="129" t="s">
        <v>296</v>
      </c>
      <c r="B111" s="129" t="s">
        <v>293</v>
      </c>
      <c r="C111" s="91">
        <v>44482</v>
      </c>
      <c r="D111" s="129">
        <v>2768</v>
      </c>
      <c r="E111" s="129" t="s">
        <v>294</v>
      </c>
      <c r="F111" s="129" t="s">
        <v>297</v>
      </c>
      <c r="G111" s="129" t="s">
        <v>212</v>
      </c>
      <c r="H111" s="129" t="s">
        <v>579</v>
      </c>
      <c r="I111" s="129">
        <v>966969</v>
      </c>
      <c r="J111" s="121"/>
      <c r="K111" s="129" t="s">
        <v>193</v>
      </c>
      <c r="L111" s="109">
        <v>323</v>
      </c>
      <c r="M111" s="101">
        <v>275.39600000000002</v>
      </c>
      <c r="N111" s="129">
        <f t="shared" si="116"/>
        <v>47.603999999999985</v>
      </c>
      <c r="O111" s="140">
        <f t="shared" si="117"/>
        <v>0.85261919504643968</v>
      </c>
    </row>
    <row r="112" spans="1:16">
      <c r="A112" s="129" t="s">
        <v>296</v>
      </c>
      <c r="B112" s="129" t="s">
        <v>293</v>
      </c>
      <c r="C112" s="91">
        <v>44482</v>
      </c>
      <c r="D112" s="129">
        <v>2768</v>
      </c>
      <c r="E112" s="129" t="s">
        <v>294</v>
      </c>
      <c r="F112" s="129" t="s">
        <v>297</v>
      </c>
      <c r="G112" s="129" t="s">
        <v>212</v>
      </c>
      <c r="H112" s="129" t="s">
        <v>580</v>
      </c>
      <c r="I112" s="129">
        <v>957377</v>
      </c>
      <c r="J112" s="129"/>
      <c r="K112" s="129" t="s">
        <v>192</v>
      </c>
      <c r="L112" s="109">
        <v>22</v>
      </c>
      <c r="M112" s="101">
        <v>41.219000000000001</v>
      </c>
      <c r="N112" s="129">
        <f t="shared" si="116"/>
        <v>-19.219000000000001</v>
      </c>
      <c r="O112" s="140">
        <f t="shared" si="117"/>
        <v>1.8735909090909091</v>
      </c>
      <c r="P112" s="61">
        <f t="shared" ref="P112" si="120">N112+N113</f>
        <v>0</v>
      </c>
    </row>
    <row r="113" spans="1:17">
      <c r="A113" s="129" t="s">
        <v>296</v>
      </c>
      <c r="B113" s="129" t="s">
        <v>293</v>
      </c>
      <c r="C113" s="91">
        <v>44482</v>
      </c>
      <c r="D113" s="129">
        <v>2768</v>
      </c>
      <c r="E113" s="129" t="s">
        <v>294</v>
      </c>
      <c r="F113" s="129" t="s">
        <v>297</v>
      </c>
      <c r="G113" s="129" t="s">
        <v>212</v>
      </c>
      <c r="H113" s="129" t="s">
        <v>580</v>
      </c>
      <c r="I113" s="129">
        <v>957377</v>
      </c>
      <c r="J113" s="129"/>
      <c r="K113" s="129" t="s">
        <v>193</v>
      </c>
      <c r="L113" s="109">
        <v>323</v>
      </c>
      <c r="M113" s="101">
        <v>303.78100000000001</v>
      </c>
      <c r="N113" s="129">
        <f t="shared" si="116"/>
        <v>19.218999999999994</v>
      </c>
      <c r="O113" s="140">
        <f t="shared" si="117"/>
        <v>0.94049845201238391</v>
      </c>
    </row>
    <row r="114" spans="1:17">
      <c r="A114" s="129" t="s">
        <v>296</v>
      </c>
      <c r="B114" s="129" t="s">
        <v>293</v>
      </c>
      <c r="C114" s="91">
        <v>44482</v>
      </c>
      <c r="D114" s="129">
        <v>2768</v>
      </c>
      <c r="E114" s="129" t="s">
        <v>294</v>
      </c>
      <c r="F114" s="129" t="s">
        <v>297</v>
      </c>
      <c r="G114" s="129" t="s">
        <v>212</v>
      </c>
      <c r="H114" s="129" t="s">
        <v>582</v>
      </c>
      <c r="I114" s="129">
        <v>925404</v>
      </c>
      <c r="J114" s="129"/>
      <c r="K114" s="129" t="s">
        <v>192</v>
      </c>
      <c r="L114" s="109">
        <v>22</v>
      </c>
      <c r="M114" s="101">
        <v>4.3550000000000004</v>
      </c>
      <c r="N114" s="129">
        <f t="shared" si="116"/>
        <v>17.645</v>
      </c>
      <c r="O114" s="140">
        <f t="shared" si="117"/>
        <v>0.19795454545454547</v>
      </c>
      <c r="P114" s="61">
        <f t="shared" ref="P114" si="121">N114+N115</f>
        <v>0</v>
      </c>
    </row>
    <row r="115" spans="1:17">
      <c r="A115" s="129" t="s">
        <v>296</v>
      </c>
      <c r="B115" s="129" t="s">
        <v>293</v>
      </c>
      <c r="C115" s="91">
        <v>44482</v>
      </c>
      <c r="D115" s="129">
        <v>2768</v>
      </c>
      <c r="E115" s="129" t="s">
        <v>294</v>
      </c>
      <c r="F115" s="129" t="s">
        <v>297</v>
      </c>
      <c r="G115" s="129" t="s">
        <v>212</v>
      </c>
      <c r="H115" s="129" t="s">
        <v>582</v>
      </c>
      <c r="I115" s="129">
        <v>925404</v>
      </c>
      <c r="J115" s="129"/>
      <c r="K115" s="129" t="s">
        <v>193</v>
      </c>
      <c r="L115" s="109">
        <v>323</v>
      </c>
      <c r="M115" s="101">
        <v>340.64499999999998</v>
      </c>
      <c r="N115" s="129">
        <f t="shared" si="116"/>
        <v>-17.644999999999982</v>
      </c>
      <c r="O115" s="140">
        <f t="shared" si="117"/>
        <v>1.0546284829721362</v>
      </c>
    </row>
    <row r="116" spans="1:17">
      <c r="A116" s="129" t="s">
        <v>296</v>
      </c>
      <c r="B116" s="129" t="s">
        <v>293</v>
      </c>
      <c r="C116" s="91">
        <v>44482</v>
      </c>
      <c r="D116" s="129">
        <v>2768</v>
      </c>
      <c r="E116" s="129" t="s">
        <v>294</v>
      </c>
      <c r="F116" s="129" t="s">
        <v>297</v>
      </c>
      <c r="G116" s="129" t="s">
        <v>212</v>
      </c>
      <c r="H116" s="129" t="s">
        <v>631</v>
      </c>
      <c r="I116" s="129">
        <v>969610</v>
      </c>
      <c r="J116" s="129"/>
      <c r="K116" s="129" t="s">
        <v>192</v>
      </c>
      <c r="L116" s="109">
        <v>22</v>
      </c>
      <c r="M116" s="101">
        <v>56.463999999999999</v>
      </c>
      <c r="N116" s="129">
        <f t="shared" si="116"/>
        <v>-34.463999999999999</v>
      </c>
      <c r="O116" s="140">
        <f t="shared" si="117"/>
        <v>2.5665454545454547</v>
      </c>
      <c r="P116" s="61">
        <f t="shared" ref="P116" si="122">N116+N117</f>
        <v>3.6200000000000045</v>
      </c>
    </row>
    <row r="117" spans="1:17">
      <c r="A117" s="129" t="s">
        <v>296</v>
      </c>
      <c r="B117" s="129" t="s">
        <v>293</v>
      </c>
      <c r="C117" s="91">
        <v>44482</v>
      </c>
      <c r="D117" s="129">
        <v>2768</v>
      </c>
      <c r="E117" s="129" t="s">
        <v>294</v>
      </c>
      <c r="F117" s="129" t="s">
        <v>297</v>
      </c>
      <c r="G117" s="129" t="s">
        <v>212</v>
      </c>
      <c r="H117" s="129" t="s">
        <v>631</v>
      </c>
      <c r="I117" s="129">
        <v>969610</v>
      </c>
      <c r="J117" s="129"/>
      <c r="K117" s="129" t="s">
        <v>193</v>
      </c>
      <c r="L117" s="109">
        <v>323</v>
      </c>
      <c r="M117" s="101">
        <v>284.916</v>
      </c>
      <c r="N117" s="129">
        <f t="shared" si="116"/>
        <v>38.084000000000003</v>
      </c>
      <c r="O117" s="140">
        <f t="shared" si="117"/>
        <v>0.88209287925696589</v>
      </c>
    </row>
    <row r="118" spans="1:17">
      <c r="A118" s="129" t="s">
        <v>296</v>
      </c>
      <c r="B118" s="129" t="s">
        <v>293</v>
      </c>
      <c r="C118" s="91">
        <v>44482</v>
      </c>
      <c r="D118" s="129">
        <v>2768</v>
      </c>
      <c r="E118" s="129" t="s">
        <v>294</v>
      </c>
      <c r="F118" s="129" t="s">
        <v>297</v>
      </c>
      <c r="G118" s="129" t="s">
        <v>212</v>
      </c>
      <c r="H118" s="129" t="s">
        <v>503</v>
      </c>
      <c r="I118" s="129">
        <v>916067</v>
      </c>
      <c r="J118" s="129"/>
      <c r="K118" s="129" t="s">
        <v>192</v>
      </c>
      <c r="L118" s="109">
        <v>22</v>
      </c>
      <c r="M118" s="101">
        <v>61.738</v>
      </c>
      <c r="N118" s="129">
        <f t="shared" si="116"/>
        <v>-39.738</v>
      </c>
      <c r="O118" s="140">
        <f t="shared" si="117"/>
        <v>2.8062727272727273</v>
      </c>
      <c r="P118" s="61">
        <f t="shared" ref="P118" si="123">N118+N119</f>
        <v>0.61099999999999</v>
      </c>
    </row>
    <row r="119" spans="1:17">
      <c r="A119" s="129" t="s">
        <v>296</v>
      </c>
      <c r="B119" s="129" t="s">
        <v>293</v>
      </c>
      <c r="C119" s="91">
        <v>44482</v>
      </c>
      <c r="D119" s="129">
        <v>2768</v>
      </c>
      <c r="E119" s="129" t="s">
        <v>294</v>
      </c>
      <c r="F119" s="129" t="s">
        <v>297</v>
      </c>
      <c r="G119" s="129" t="s">
        <v>212</v>
      </c>
      <c r="H119" s="129" t="s">
        <v>503</v>
      </c>
      <c r="I119" s="129">
        <v>916067</v>
      </c>
      <c r="J119" s="129"/>
      <c r="K119" s="129" t="s">
        <v>193</v>
      </c>
      <c r="L119" s="109">
        <v>323</v>
      </c>
      <c r="M119" s="101">
        <v>282.65100000000001</v>
      </c>
      <c r="N119" s="129">
        <f t="shared" si="116"/>
        <v>40.34899999999999</v>
      </c>
      <c r="O119" s="140">
        <f t="shared" si="117"/>
        <v>0.87508049535603716</v>
      </c>
    </row>
    <row r="120" spans="1:17">
      <c r="A120" s="129" t="s">
        <v>296</v>
      </c>
      <c r="B120" s="129" t="s">
        <v>293</v>
      </c>
      <c r="C120" s="91">
        <v>44490</v>
      </c>
      <c r="D120" s="129">
        <v>2821</v>
      </c>
      <c r="E120" s="129" t="s">
        <v>294</v>
      </c>
      <c r="F120" s="129" t="s">
        <v>297</v>
      </c>
      <c r="G120" s="129" t="s">
        <v>213</v>
      </c>
      <c r="H120" s="129" t="s">
        <v>575</v>
      </c>
      <c r="I120" s="129">
        <v>965369</v>
      </c>
      <c r="J120" s="129"/>
      <c r="K120" s="129" t="s">
        <v>192</v>
      </c>
      <c r="L120" s="109">
        <v>35</v>
      </c>
      <c r="M120" s="101">
        <v>48.789000000000001</v>
      </c>
      <c r="N120" s="129">
        <f t="shared" ref="N120:N121" si="124">L120-M120</f>
        <v>-13.789000000000001</v>
      </c>
      <c r="O120" s="140">
        <f t="shared" ref="O120:O121" si="125">M120/L120</f>
        <v>1.3939714285714286</v>
      </c>
      <c r="P120" s="211">
        <f t="shared" ref="P120" si="126">N120+N121</f>
        <v>-35.553000000000011</v>
      </c>
      <c r="Q120" s="61" t="s">
        <v>772</v>
      </c>
    </row>
    <row r="121" spans="1:17">
      <c r="A121" s="129" t="s">
        <v>296</v>
      </c>
      <c r="B121" s="129" t="s">
        <v>293</v>
      </c>
      <c r="C121" s="91">
        <v>44490</v>
      </c>
      <c r="D121" s="129">
        <v>2821</v>
      </c>
      <c r="E121" s="129" t="s">
        <v>294</v>
      </c>
      <c r="F121" s="129" t="s">
        <v>297</v>
      </c>
      <c r="G121" s="129" t="s">
        <v>213</v>
      </c>
      <c r="H121" s="129" t="s">
        <v>575</v>
      </c>
      <c r="I121" s="129">
        <v>965369</v>
      </c>
      <c r="J121" s="129"/>
      <c r="K121" s="129" t="s">
        <v>193</v>
      </c>
      <c r="L121" s="109">
        <v>260</v>
      </c>
      <c r="M121" s="101">
        <v>281.76400000000001</v>
      </c>
      <c r="N121" s="129">
        <f t="shared" si="124"/>
        <v>-21.76400000000001</v>
      </c>
      <c r="O121" s="140">
        <f t="shared" si="125"/>
        <v>1.0837076923076923</v>
      </c>
    </row>
    <row r="122" spans="1:17" ht="13.5" customHeight="1">
      <c r="A122" s="129" t="s">
        <v>629</v>
      </c>
      <c r="B122" s="129" t="s">
        <v>293</v>
      </c>
      <c r="C122" s="91">
        <v>44490</v>
      </c>
      <c r="D122" s="129">
        <v>2832</v>
      </c>
      <c r="E122" s="129" t="s">
        <v>294</v>
      </c>
      <c r="F122" s="129" t="s">
        <v>297</v>
      </c>
      <c r="G122" s="129" t="s">
        <v>212</v>
      </c>
      <c r="H122" s="129" t="s">
        <v>589</v>
      </c>
      <c r="I122" s="129">
        <v>964972</v>
      </c>
      <c r="J122" s="129"/>
      <c r="K122" s="129" t="s">
        <v>193</v>
      </c>
      <c r="L122" s="109">
        <v>51.281999999999996</v>
      </c>
      <c r="M122" s="101">
        <v>51.281999999999996</v>
      </c>
      <c r="N122" s="129">
        <f t="shared" ref="N122" si="127">L122-M122</f>
        <v>0</v>
      </c>
      <c r="O122" s="140">
        <f t="shared" ref="O122" si="128">M122/L122</f>
        <v>1</v>
      </c>
    </row>
    <row r="123" spans="1:17">
      <c r="A123" s="129" t="s">
        <v>648</v>
      </c>
      <c r="B123" s="129" t="s">
        <v>293</v>
      </c>
      <c r="C123" s="91">
        <v>44490</v>
      </c>
      <c r="D123" s="129">
        <v>2833</v>
      </c>
      <c r="E123" s="129" t="s">
        <v>294</v>
      </c>
      <c r="F123" s="129" t="s">
        <v>297</v>
      </c>
      <c r="G123" s="129" t="s">
        <v>212</v>
      </c>
      <c r="H123" s="129" t="s">
        <v>578</v>
      </c>
      <c r="I123" s="129">
        <v>961132</v>
      </c>
      <c r="J123" s="129"/>
      <c r="K123" s="129" t="s">
        <v>193</v>
      </c>
      <c r="L123" s="109">
        <v>51.281999999999996</v>
      </c>
      <c r="M123" s="101">
        <v>51.281999999999996</v>
      </c>
      <c r="N123" s="129">
        <f t="shared" ref="N123:N128" si="129">L123-M123</f>
        <v>0</v>
      </c>
      <c r="O123" s="140">
        <f t="shared" ref="O123:O128" si="130">M123/L123</f>
        <v>1</v>
      </c>
    </row>
    <row r="124" spans="1:17">
      <c r="A124" s="129" t="s">
        <v>630</v>
      </c>
      <c r="B124" s="129" t="s">
        <v>293</v>
      </c>
      <c r="C124" s="91">
        <v>44491</v>
      </c>
      <c r="D124" s="129">
        <v>2855</v>
      </c>
      <c r="E124" s="129" t="s">
        <v>294</v>
      </c>
      <c r="F124" s="129" t="s">
        <v>297</v>
      </c>
      <c r="G124" s="129" t="s">
        <v>212</v>
      </c>
      <c r="H124" s="129" t="s">
        <v>582</v>
      </c>
      <c r="I124" s="129">
        <v>925404</v>
      </c>
      <c r="J124" s="129"/>
      <c r="K124" s="129" t="s">
        <v>193</v>
      </c>
      <c r="L124" s="109">
        <v>150.98400000000001</v>
      </c>
      <c r="M124" s="101">
        <v>150.983</v>
      </c>
      <c r="N124" s="129">
        <f t="shared" si="129"/>
        <v>1.0000000000047748E-3</v>
      </c>
      <c r="O124" s="140">
        <f t="shared" si="130"/>
        <v>0.99999337678164568</v>
      </c>
    </row>
    <row r="125" spans="1:17">
      <c r="A125" s="129" t="s">
        <v>716</v>
      </c>
      <c r="B125" s="129" t="s">
        <v>293</v>
      </c>
      <c r="C125" s="91">
        <v>44491</v>
      </c>
      <c r="D125" s="129">
        <v>2864</v>
      </c>
      <c r="E125" s="129" t="s">
        <v>294</v>
      </c>
      <c r="F125" s="129" t="s">
        <v>297</v>
      </c>
      <c r="G125" s="129" t="s">
        <v>212</v>
      </c>
      <c r="H125" s="129" t="s">
        <v>589</v>
      </c>
      <c r="I125" s="129">
        <v>964972</v>
      </c>
      <c r="J125" s="129"/>
      <c r="K125" s="129" t="s">
        <v>192</v>
      </c>
      <c r="L125" s="109">
        <v>134</v>
      </c>
      <c r="M125" s="101">
        <v>44.094999999999999</v>
      </c>
      <c r="N125" s="129">
        <f t="shared" si="129"/>
        <v>89.905000000000001</v>
      </c>
      <c r="O125" s="140">
        <f t="shared" si="130"/>
        <v>0.32906716417910448</v>
      </c>
      <c r="P125" s="61">
        <f>N125+N126</f>
        <v>0</v>
      </c>
    </row>
    <row r="126" spans="1:17">
      <c r="A126" s="129" t="s">
        <v>716</v>
      </c>
      <c r="B126" s="129" t="s">
        <v>293</v>
      </c>
      <c r="C126" s="91">
        <v>44491</v>
      </c>
      <c r="D126" s="129">
        <v>2864</v>
      </c>
      <c r="E126" s="129" t="s">
        <v>294</v>
      </c>
      <c r="F126" s="129" t="s">
        <v>297</v>
      </c>
      <c r="G126" s="129" t="s">
        <v>212</v>
      </c>
      <c r="H126" s="129" t="s">
        <v>589</v>
      </c>
      <c r="I126" s="129">
        <v>964972</v>
      </c>
      <c r="J126" s="129"/>
      <c r="K126" s="129" t="s">
        <v>193</v>
      </c>
      <c r="L126" s="109">
        <v>0</v>
      </c>
      <c r="M126" s="101">
        <v>89.905000000000001</v>
      </c>
      <c r="N126" s="129">
        <f t="shared" ref="N126" si="131">L126-M126</f>
        <v>-89.905000000000001</v>
      </c>
      <c r="O126" s="140" t="e">
        <f t="shared" ref="O126" si="132">M126/L126</f>
        <v>#DIV/0!</v>
      </c>
    </row>
    <row r="127" spans="1:17">
      <c r="A127" s="129" t="s">
        <v>296</v>
      </c>
      <c r="B127" s="129" t="s">
        <v>293</v>
      </c>
      <c r="C127" s="91">
        <v>44491</v>
      </c>
      <c r="D127" s="129">
        <v>2865</v>
      </c>
      <c r="E127" s="129" t="s">
        <v>294</v>
      </c>
      <c r="F127" s="129" t="s">
        <v>297</v>
      </c>
      <c r="G127" s="129" t="s">
        <v>212</v>
      </c>
      <c r="H127" s="129" t="s">
        <v>390</v>
      </c>
      <c r="I127" s="129">
        <v>951220</v>
      </c>
      <c r="J127" s="129">
        <v>5</v>
      </c>
      <c r="K127" s="129" t="s">
        <v>192</v>
      </c>
      <c r="L127" s="109">
        <v>22</v>
      </c>
      <c r="M127" s="101">
        <v>83.278999999999996</v>
      </c>
      <c r="N127" s="129">
        <f t="shared" si="129"/>
        <v>-61.278999999999996</v>
      </c>
      <c r="O127" s="140">
        <f t="shared" si="130"/>
        <v>3.7854090909090909</v>
      </c>
      <c r="P127" s="61">
        <f t="shared" ref="P127" si="133">N127+N128</f>
        <v>0</v>
      </c>
    </row>
    <row r="128" spans="1:17">
      <c r="A128" s="129" t="s">
        <v>296</v>
      </c>
      <c r="B128" s="129" t="s">
        <v>293</v>
      </c>
      <c r="C128" s="91">
        <v>44491</v>
      </c>
      <c r="D128" s="129">
        <v>2865</v>
      </c>
      <c r="E128" s="129" t="s">
        <v>294</v>
      </c>
      <c r="F128" s="129" t="s">
        <v>297</v>
      </c>
      <c r="G128" s="129" t="s">
        <v>212</v>
      </c>
      <c r="H128" s="129" t="s">
        <v>390</v>
      </c>
      <c r="I128" s="129">
        <v>951220</v>
      </c>
      <c r="J128" s="129">
        <v>5</v>
      </c>
      <c r="K128" s="129" t="s">
        <v>193</v>
      </c>
      <c r="L128" s="109">
        <v>323</v>
      </c>
      <c r="M128" s="101">
        <v>261.721</v>
      </c>
      <c r="N128" s="129">
        <f t="shared" si="129"/>
        <v>61.278999999999996</v>
      </c>
      <c r="O128" s="140">
        <f t="shared" si="130"/>
        <v>0.81028173374613</v>
      </c>
    </row>
    <row r="129" spans="1:16">
      <c r="A129" s="129" t="s">
        <v>296</v>
      </c>
      <c r="B129" s="129" t="s">
        <v>293</v>
      </c>
      <c r="C129" s="91">
        <v>44491</v>
      </c>
      <c r="D129" s="129">
        <v>2865</v>
      </c>
      <c r="E129" s="129" t="s">
        <v>294</v>
      </c>
      <c r="F129" s="129" t="s">
        <v>297</v>
      </c>
      <c r="G129" s="129" t="s">
        <v>212</v>
      </c>
      <c r="H129" s="129" t="s">
        <v>581</v>
      </c>
      <c r="I129" s="129">
        <v>958703</v>
      </c>
      <c r="J129" s="129"/>
      <c r="K129" s="129" t="s">
        <v>192</v>
      </c>
      <c r="L129" s="109">
        <v>22</v>
      </c>
      <c r="M129" s="101">
        <v>12.861000000000001</v>
      </c>
      <c r="N129" s="129">
        <f t="shared" ref="N129:N132" si="134">L129-M129</f>
        <v>9.1389999999999993</v>
      </c>
      <c r="O129" s="140">
        <f t="shared" ref="O129:O132" si="135">M129/L129</f>
        <v>0.58459090909090916</v>
      </c>
      <c r="P129" s="212">
        <f t="shared" ref="P129" si="136">N129+N130</f>
        <v>4.6185277824406512E-14</v>
      </c>
    </row>
    <row r="130" spans="1:16">
      <c r="A130" s="129" t="s">
        <v>296</v>
      </c>
      <c r="B130" s="129" t="s">
        <v>293</v>
      </c>
      <c r="C130" s="91">
        <v>44491</v>
      </c>
      <c r="D130" s="129">
        <v>2865</v>
      </c>
      <c r="E130" s="129" t="s">
        <v>294</v>
      </c>
      <c r="F130" s="129" t="s">
        <v>297</v>
      </c>
      <c r="G130" s="129" t="s">
        <v>212</v>
      </c>
      <c r="H130" s="129" t="s">
        <v>581</v>
      </c>
      <c r="I130" s="129">
        <v>958703</v>
      </c>
      <c r="J130" s="129"/>
      <c r="K130" s="129" t="s">
        <v>193</v>
      </c>
      <c r="L130" s="109">
        <v>423</v>
      </c>
      <c r="M130" s="101">
        <f>376.655+55.484</f>
        <v>432.13899999999995</v>
      </c>
      <c r="N130" s="129">
        <f t="shared" si="134"/>
        <v>-9.1389999999999532</v>
      </c>
      <c r="O130" s="140">
        <f t="shared" si="135"/>
        <v>1.0216052009456265</v>
      </c>
      <c r="P130" s="212"/>
    </row>
    <row r="131" spans="1:16">
      <c r="A131" s="129" t="s">
        <v>296</v>
      </c>
      <c r="B131" s="129" t="s">
        <v>293</v>
      </c>
      <c r="C131" s="91">
        <v>44491</v>
      </c>
      <c r="D131" s="129">
        <v>2865</v>
      </c>
      <c r="E131" s="129" t="s">
        <v>294</v>
      </c>
      <c r="F131" s="129" t="s">
        <v>297</v>
      </c>
      <c r="G131" s="129" t="s">
        <v>212</v>
      </c>
      <c r="H131" s="129" t="s">
        <v>583</v>
      </c>
      <c r="I131" s="129">
        <v>11718</v>
      </c>
      <c r="J131" s="129"/>
      <c r="K131" s="129" t="s">
        <v>192</v>
      </c>
      <c r="L131" s="109">
        <v>22</v>
      </c>
      <c r="M131" s="101">
        <v>7.109</v>
      </c>
      <c r="N131" s="129">
        <f t="shared" si="134"/>
        <v>14.891</v>
      </c>
      <c r="O131" s="140">
        <f t="shared" si="135"/>
        <v>0.32313636363636361</v>
      </c>
      <c r="P131" s="212">
        <f t="shared" ref="P131" si="137">N131+N132</f>
        <v>-1.9539925233402755E-14</v>
      </c>
    </row>
    <row r="132" spans="1:16">
      <c r="A132" s="129" t="s">
        <v>296</v>
      </c>
      <c r="B132" s="129" t="s">
        <v>293</v>
      </c>
      <c r="C132" s="91">
        <v>44491</v>
      </c>
      <c r="D132" s="129">
        <v>2865</v>
      </c>
      <c r="E132" s="129" t="s">
        <v>294</v>
      </c>
      <c r="F132" s="129" t="s">
        <v>297</v>
      </c>
      <c r="G132" s="129" t="s">
        <v>212</v>
      </c>
      <c r="H132" s="129" t="s">
        <v>583</v>
      </c>
      <c r="I132" s="129">
        <v>11718</v>
      </c>
      <c r="J132" s="129"/>
      <c r="K132" s="129" t="s">
        <v>193</v>
      </c>
      <c r="L132" s="109">
        <v>323</v>
      </c>
      <c r="M132" s="101">
        <v>337.89100000000002</v>
      </c>
      <c r="N132" s="129">
        <f t="shared" si="134"/>
        <v>-14.89100000000002</v>
      </c>
      <c r="O132" s="140">
        <f t="shared" si="135"/>
        <v>1.0461021671826627</v>
      </c>
    </row>
    <row r="133" spans="1:16">
      <c r="A133" s="129" t="s">
        <v>296</v>
      </c>
      <c r="B133" s="129" t="s">
        <v>293</v>
      </c>
      <c r="C133" s="91">
        <v>44491</v>
      </c>
      <c r="D133" s="129">
        <v>2865</v>
      </c>
      <c r="E133" s="129" t="s">
        <v>294</v>
      </c>
      <c r="F133" s="129" t="s">
        <v>297</v>
      </c>
      <c r="G133" s="129" t="s">
        <v>212</v>
      </c>
      <c r="H133" s="129" t="s">
        <v>584</v>
      </c>
      <c r="I133" s="129">
        <v>964500</v>
      </c>
      <c r="J133" s="129">
        <v>5</v>
      </c>
      <c r="K133" s="129" t="s">
        <v>192</v>
      </c>
      <c r="L133" s="109">
        <v>22</v>
      </c>
      <c r="M133" s="101">
        <v>2.69</v>
      </c>
      <c r="N133" s="129">
        <f t="shared" ref="N133:N142" si="138">L133-M133</f>
        <v>19.309999999999999</v>
      </c>
      <c r="O133" s="140">
        <f t="shared" ref="O133:O142" si="139">M133/L133</f>
        <v>0.12227272727272727</v>
      </c>
      <c r="P133" s="61">
        <f t="shared" ref="P133" si="140">N133+N134</f>
        <v>0</v>
      </c>
    </row>
    <row r="134" spans="1:16">
      <c r="A134" s="129" t="s">
        <v>296</v>
      </c>
      <c r="B134" s="129" t="s">
        <v>293</v>
      </c>
      <c r="C134" s="91">
        <v>44491</v>
      </c>
      <c r="D134" s="129">
        <v>2865</v>
      </c>
      <c r="E134" s="129" t="s">
        <v>294</v>
      </c>
      <c r="F134" s="129" t="s">
        <v>297</v>
      </c>
      <c r="G134" s="129" t="s">
        <v>212</v>
      </c>
      <c r="H134" s="129" t="s">
        <v>584</v>
      </c>
      <c r="I134" s="129">
        <v>964500</v>
      </c>
      <c r="J134" s="129">
        <v>5</v>
      </c>
      <c r="K134" s="129" t="s">
        <v>193</v>
      </c>
      <c r="L134" s="109">
        <v>323</v>
      </c>
      <c r="M134" s="101">
        <v>342.31</v>
      </c>
      <c r="N134" s="129">
        <f t="shared" si="138"/>
        <v>-19.310000000000002</v>
      </c>
      <c r="O134" s="140">
        <f t="shared" si="139"/>
        <v>1.059783281733746</v>
      </c>
    </row>
    <row r="135" spans="1:16">
      <c r="A135" s="129" t="s">
        <v>296</v>
      </c>
      <c r="B135" s="129" t="s">
        <v>293</v>
      </c>
      <c r="C135" s="91">
        <v>44491</v>
      </c>
      <c r="D135" s="129">
        <v>2865</v>
      </c>
      <c r="E135" s="129" t="s">
        <v>294</v>
      </c>
      <c r="F135" s="129" t="s">
        <v>297</v>
      </c>
      <c r="G135" s="129" t="s">
        <v>212</v>
      </c>
      <c r="H135" s="129" t="s">
        <v>586</v>
      </c>
      <c r="I135" s="129">
        <v>953746</v>
      </c>
      <c r="J135" s="129"/>
      <c r="K135" s="129" t="s">
        <v>192</v>
      </c>
      <c r="L135" s="109">
        <v>22</v>
      </c>
      <c r="M135" s="101">
        <v>21</v>
      </c>
      <c r="N135" s="129">
        <f t="shared" si="138"/>
        <v>1</v>
      </c>
      <c r="O135" s="140">
        <f t="shared" si="139"/>
        <v>0.95454545454545459</v>
      </c>
      <c r="P135" s="61">
        <f t="shared" ref="P135" si="141">N135+N136</f>
        <v>0.61500000000000909</v>
      </c>
    </row>
    <row r="136" spans="1:16">
      <c r="A136" s="129" t="s">
        <v>296</v>
      </c>
      <c r="B136" s="129" t="s">
        <v>293</v>
      </c>
      <c r="C136" s="91">
        <v>44491</v>
      </c>
      <c r="D136" s="129">
        <v>2865</v>
      </c>
      <c r="E136" s="129" t="s">
        <v>294</v>
      </c>
      <c r="F136" s="129" t="s">
        <v>297</v>
      </c>
      <c r="G136" s="129" t="s">
        <v>212</v>
      </c>
      <c r="H136" s="129" t="s">
        <v>586</v>
      </c>
      <c r="I136" s="129">
        <v>953746</v>
      </c>
      <c r="J136" s="129"/>
      <c r="K136" s="129" t="s">
        <v>193</v>
      </c>
      <c r="L136" s="109">
        <v>323</v>
      </c>
      <c r="M136" s="101">
        <v>323.38499999999999</v>
      </c>
      <c r="N136" s="129">
        <f t="shared" si="138"/>
        <v>-0.38499999999999091</v>
      </c>
      <c r="O136" s="140">
        <f t="shared" si="139"/>
        <v>1.0011919504643962</v>
      </c>
    </row>
    <row r="137" spans="1:16">
      <c r="A137" s="129" t="s">
        <v>296</v>
      </c>
      <c r="B137" s="129" t="s">
        <v>293</v>
      </c>
      <c r="C137" s="91">
        <v>44491</v>
      </c>
      <c r="D137" s="129">
        <v>2865</v>
      </c>
      <c r="E137" s="129" t="s">
        <v>294</v>
      </c>
      <c r="F137" s="129" t="s">
        <v>297</v>
      </c>
      <c r="G137" s="129" t="s">
        <v>212</v>
      </c>
      <c r="H137" s="129" t="s">
        <v>587</v>
      </c>
      <c r="I137" s="129">
        <v>950656</v>
      </c>
      <c r="J137" s="129"/>
      <c r="K137" s="129" t="s">
        <v>192</v>
      </c>
      <c r="L137" s="109">
        <v>22</v>
      </c>
      <c r="M137" s="101">
        <v>33.21</v>
      </c>
      <c r="N137" s="129">
        <f t="shared" si="138"/>
        <v>-11.21</v>
      </c>
      <c r="O137" s="140">
        <f t="shared" si="139"/>
        <v>1.5095454545454545</v>
      </c>
      <c r="P137" s="212">
        <f t="shared" ref="P137" si="142">N137+N138</f>
        <v>-2.1316282072803006E-14</v>
      </c>
    </row>
    <row r="138" spans="1:16">
      <c r="A138" s="129" t="s">
        <v>296</v>
      </c>
      <c r="B138" s="129" t="s">
        <v>293</v>
      </c>
      <c r="C138" s="91">
        <v>44491</v>
      </c>
      <c r="D138" s="129">
        <v>2865</v>
      </c>
      <c r="E138" s="129" t="s">
        <v>294</v>
      </c>
      <c r="F138" s="129" t="s">
        <v>297</v>
      </c>
      <c r="G138" s="129" t="s">
        <v>212</v>
      </c>
      <c r="H138" s="129" t="s">
        <v>587</v>
      </c>
      <c r="I138" s="129">
        <v>950656</v>
      </c>
      <c r="J138" s="129"/>
      <c r="K138" s="129" t="s">
        <v>193</v>
      </c>
      <c r="L138" s="109">
        <v>323</v>
      </c>
      <c r="M138" s="101">
        <v>311.79000000000002</v>
      </c>
      <c r="N138" s="129">
        <f t="shared" si="138"/>
        <v>11.20999999999998</v>
      </c>
      <c r="O138" s="140">
        <f t="shared" si="139"/>
        <v>0.96529411764705886</v>
      </c>
    </row>
    <row r="139" spans="1:16">
      <c r="A139" s="129" t="s">
        <v>296</v>
      </c>
      <c r="B139" s="129" t="s">
        <v>293</v>
      </c>
      <c r="C139" s="91">
        <v>44491</v>
      </c>
      <c r="D139" s="129">
        <v>2865</v>
      </c>
      <c r="E139" s="129" t="s">
        <v>294</v>
      </c>
      <c r="F139" s="129" t="s">
        <v>297</v>
      </c>
      <c r="G139" s="129" t="s">
        <v>212</v>
      </c>
      <c r="H139" s="129" t="s">
        <v>588</v>
      </c>
      <c r="I139" s="129">
        <v>956926</v>
      </c>
      <c r="J139" s="129"/>
      <c r="K139" s="129" t="s">
        <v>192</v>
      </c>
      <c r="L139" s="109">
        <v>22</v>
      </c>
      <c r="M139" s="101">
        <v>41.828000000000003</v>
      </c>
      <c r="N139" s="129">
        <f t="shared" si="138"/>
        <v>-19.828000000000003</v>
      </c>
      <c r="O139" s="140">
        <f t="shared" si="139"/>
        <v>1.9012727272727274</v>
      </c>
      <c r="P139" s="61">
        <f t="shared" ref="P139" si="143">N139+N140</f>
        <v>9.0999999999979764E-2</v>
      </c>
    </row>
    <row r="140" spans="1:16">
      <c r="A140" s="129" t="s">
        <v>296</v>
      </c>
      <c r="B140" s="129" t="s">
        <v>293</v>
      </c>
      <c r="C140" s="91">
        <v>44491</v>
      </c>
      <c r="D140" s="129">
        <v>2865</v>
      </c>
      <c r="E140" s="129" t="s">
        <v>294</v>
      </c>
      <c r="F140" s="129" t="s">
        <v>297</v>
      </c>
      <c r="G140" s="129" t="s">
        <v>212</v>
      </c>
      <c r="H140" s="129" t="s">
        <v>588</v>
      </c>
      <c r="I140" s="129">
        <v>956926</v>
      </c>
      <c r="J140" s="129"/>
      <c r="K140" s="129" t="s">
        <v>193</v>
      </c>
      <c r="L140" s="109">
        <v>323</v>
      </c>
      <c r="M140" s="101">
        <v>303.08100000000002</v>
      </c>
      <c r="N140" s="129">
        <f t="shared" si="138"/>
        <v>19.918999999999983</v>
      </c>
      <c r="O140" s="140">
        <f t="shared" si="139"/>
        <v>0.93833126934984523</v>
      </c>
    </row>
    <row r="141" spans="1:16">
      <c r="A141" s="129" t="s">
        <v>296</v>
      </c>
      <c r="B141" s="129" t="s">
        <v>293</v>
      </c>
      <c r="C141" s="91">
        <v>44491</v>
      </c>
      <c r="D141" s="129">
        <v>2865</v>
      </c>
      <c r="E141" s="129" t="s">
        <v>294</v>
      </c>
      <c r="F141" s="129" t="s">
        <v>297</v>
      </c>
      <c r="G141" s="129" t="s">
        <v>212</v>
      </c>
      <c r="H141" s="129" t="s">
        <v>589</v>
      </c>
      <c r="I141" s="129">
        <v>964972</v>
      </c>
      <c r="J141" s="129"/>
      <c r="K141" s="129" t="s">
        <v>192</v>
      </c>
      <c r="L141" s="109">
        <v>22</v>
      </c>
      <c r="M141" s="101">
        <v>52.747999999999998</v>
      </c>
      <c r="N141" s="129">
        <f t="shared" si="138"/>
        <v>-30.747999999999998</v>
      </c>
      <c r="O141" s="140">
        <f t="shared" si="139"/>
        <v>2.3976363636363636</v>
      </c>
      <c r="P141" s="61">
        <f t="shared" ref="P141" si="144">N141+N142</f>
        <v>9.9999999999837996E-3</v>
      </c>
    </row>
    <row r="142" spans="1:16">
      <c r="A142" s="129" t="s">
        <v>296</v>
      </c>
      <c r="B142" s="129" t="s">
        <v>293</v>
      </c>
      <c r="C142" s="91">
        <v>44491</v>
      </c>
      <c r="D142" s="129">
        <v>2865</v>
      </c>
      <c r="E142" s="129" t="s">
        <v>294</v>
      </c>
      <c r="F142" s="129" t="s">
        <v>297</v>
      </c>
      <c r="G142" s="129" t="s">
        <v>212</v>
      </c>
      <c r="H142" s="129" t="s">
        <v>589</v>
      </c>
      <c r="I142" s="129">
        <v>964972</v>
      </c>
      <c r="J142" s="129"/>
      <c r="K142" s="129" t="s">
        <v>193</v>
      </c>
      <c r="L142" s="109">
        <v>323</v>
      </c>
      <c r="M142" s="101">
        <v>292.24200000000002</v>
      </c>
      <c r="N142" s="129">
        <f t="shared" si="138"/>
        <v>30.757999999999981</v>
      </c>
      <c r="O142" s="140">
        <f t="shared" si="139"/>
        <v>0.90477399380804957</v>
      </c>
    </row>
    <row r="143" spans="1:16">
      <c r="A143" s="129" t="s">
        <v>721</v>
      </c>
      <c r="B143" s="129" t="s">
        <v>288</v>
      </c>
      <c r="C143" s="91">
        <v>44504</v>
      </c>
      <c r="D143" s="129">
        <v>2954</v>
      </c>
      <c r="E143" s="129" t="s">
        <v>294</v>
      </c>
      <c r="F143" s="129" t="s">
        <v>287</v>
      </c>
      <c r="G143" s="129" t="s">
        <v>212</v>
      </c>
      <c r="H143" s="217" t="s">
        <v>709</v>
      </c>
      <c r="I143" s="129">
        <v>698145</v>
      </c>
      <c r="J143" s="129">
        <v>8</v>
      </c>
      <c r="K143" s="129" t="s">
        <v>192</v>
      </c>
      <c r="L143" s="282">
        <v>600</v>
      </c>
      <c r="M143" s="101">
        <v>39.82</v>
      </c>
      <c r="N143" s="285">
        <f>L143-(M143+M144+M145)</f>
        <v>560.17999999999995</v>
      </c>
      <c r="O143" s="288">
        <f>(M143+M144+M145)/L143</f>
        <v>6.6366666666666671E-2</v>
      </c>
      <c r="P143" s="207">
        <f>N143+N146</f>
        <v>8.4999999999922693E-2</v>
      </c>
    </row>
    <row r="144" spans="1:16">
      <c r="A144" s="129" t="s">
        <v>721</v>
      </c>
      <c r="B144" s="129" t="s">
        <v>288</v>
      </c>
      <c r="C144" s="91">
        <v>44504</v>
      </c>
      <c r="D144" s="129">
        <v>2954</v>
      </c>
      <c r="E144" s="129" t="s">
        <v>294</v>
      </c>
      <c r="F144" s="129" t="s">
        <v>287</v>
      </c>
      <c r="G144" s="129" t="s">
        <v>212</v>
      </c>
      <c r="H144" s="217" t="s">
        <v>578</v>
      </c>
      <c r="I144" s="129">
        <v>961132</v>
      </c>
      <c r="J144" s="129"/>
      <c r="K144" s="129" t="s">
        <v>192</v>
      </c>
      <c r="L144" s="283"/>
      <c r="M144" s="101"/>
      <c r="N144" s="286"/>
      <c r="O144" s="289"/>
    </row>
    <row r="145" spans="1:16">
      <c r="A145" s="129" t="s">
        <v>721</v>
      </c>
      <c r="B145" s="129" t="s">
        <v>288</v>
      </c>
      <c r="C145" s="91">
        <v>44504</v>
      </c>
      <c r="D145" s="129">
        <v>2954</v>
      </c>
      <c r="E145" s="129" t="s">
        <v>294</v>
      </c>
      <c r="F145" s="129" t="s">
        <v>287</v>
      </c>
      <c r="G145" s="129" t="s">
        <v>212</v>
      </c>
      <c r="H145" s="217" t="s">
        <v>589</v>
      </c>
      <c r="I145" s="129">
        <v>964972</v>
      </c>
      <c r="J145" s="129"/>
      <c r="K145" s="129" t="s">
        <v>192</v>
      </c>
      <c r="L145" s="284"/>
      <c r="M145" s="101"/>
      <c r="N145" s="287"/>
      <c r="O145" s="290"/>
    </row>
    <row r="146" spans="1:16">
      <c r="A146" s="129" t="s">
        <v>721</v>
      </c>
      <c r="B146" s="129" t="s">
        <v>288</v>
      </c>
      <c r="C146" s="91">
        <v>44504</v>
      </c>
      <c r="D146" s="129">
        <v>2954</v>
      </c>
      <c r="E146" s="129" t="s">
        <v>294</v>
      </c>
      <c r="F146" s="129" t="s">
        <v>287</v>
      </c>
      <c r="G146" s="129" t="s">
        <v>212</v>
      </c>
      <c r="H146" s="217" t="s">
        <v>709</v>
      </c>
      <c r="I146" s="129">
        <v>698145</v>
      </c>
      <c r="J146" s="129">
        <v>8</v>
      </c>
      <c r="K146" s="129" t="s">
        <v>193</v>
      </c>
      <c r="L146" s="282">
        <v>400</v>
      </c>
      <c r="M146" s="101">
        <v>397.09500000000003</v>
      </c>
      <c r="N146" s="285">
        <f>L146-(M146+M147+M148)</f>
        <v>-560.09500000000003</v>
      </c>
      <c r="O146" s="288">
        <f>(M146+M147+M148)/L146</f>
        <v>2.4002375000000002</v>
      </c>
    </row>
    <row r="147" spans="1:16">
      <c r="A147" s="129" t="s">
        <v>721</v>
      </c>
      <c r="B147" s="129" t="s">
        <v>288</v>
      </c>
      <c r="C147" s="91">
        <v>44504</v>
      </c>
      <c r="D147" s="129">
        <v>2954</v>
      </c>
      <c r="E147" s="129" t="s">
        <v>294</v>
      </c>
      <c r="F147" s="129" t="s">
        <v>287</v>
      </c>
      <c r="G147" s="129" t="s">
        <v>212</v>
      </c>
      <c r="H147" s="217" t="s">
        <v>578</v>
      </c>
      <c r="I147" s="129">
        <v>961132</v>
      </c>
      <c r="J147" s="129"/>
      <c r="K147" s="129" t="s">
        <v>193</v>
      </c>
      <c r="L147" s="283"/>
      <c r="M147" s="101">
        <v>63</v>
      </c>
      <c r="N147" s="286"/>
      <c r="O147" s="289"/>
    </row>
    <row r="148" spans="1:16">
      <c r="A148" s="129" t="s">
        <v>721</v>
      </c>
      <c r="B148" s="129" t="s">
        <v>288</v>
      </c>
      <c r="C148" s="91">
        <v>44504</v>
      </c>
      <c r="D148" s="129">
        <v>2954</v>
      </c>
      <c r="E148" s="129" t="s">
        <v>294</v>
      </c>
      <c r="F148" s="129" t="s">
        <v>287</v>
      </c>
      <c r="G148" s="129" t="s">
        <v>212</v>
      </c>
      <c r="H148" s="217" t="s">
        <v>589</v>
      </c>
      <c r="I148" s="129">
        <v>964972</v>
      </c>
      <c r="J148" s="129"/>
      <c r="K148" s="129" t="s">
        <v>193</v>
      </c>
      <c r="L148" s="284"/>
      <c r="M148" s="101">
        <v>500</v>
      </c>
      <c r="N148" s="287"/>
      <c r="O148" s="290"/>
    </row>
    <row r="149" spans="1:16">
      <c r="A149" s="129" t="s">
        <v>683</v>
      </c>
      <c r="B149" s="129" t="s">
        <v>293</v>
      </c>
      <c r="C149" s="91">
        <v>44510</v>
      </c>
      <c r="D149" s="129">
        <v>1</v>
      </c>
      <c r="E149" s="129" t="s">
        <v>726</v>
      </c>
      <c r="F149" s="129" t="s">
        <v>287</v>
      </c>
      <c r="G149" s="129" t="s">
        <v>213</v>
      </c>
      <c r="H149" s="129" t="s">
        <v>298</v>
      </c>
      <c r="I149" s="129">
        <v>951113</v>
      </c>
      <c r="J149" s="129"/>
      <c r="K149" s="129" t="s">
        <v>192</v>
      </c>
      <c r="L149" s="109">
        <v>18</v>
      </c>
      <c r="M149" s="101">
        <v>21.349</v>
      </c>
      <c r="N149" s="129">
        <f t="shared" ref="N149:N150" si="145">L149-M149</f>
        <v>-3.3490000000000002</v>
      </c>
      <c r="O149" s="140">
        <f t="shared" ref="O149:O150" si="146">M149/L149</f>
        <v>1.1860555555555556</v>
      </c>
      <c r="P149" s="212">
        <f>N149+N150</f>
        <v>-1.0658141036401503E-14</v>
      </c>
    </row>
    <row r="150" spans="1:16">
      <c r="A150" s="129" t="s">
        <v>683</v>
      </c>
      <c r="B150" s="129" t="s">
        <v>293</v>
      </c>
      <c r="C150" s="91">
        <v>44510</v>
      </c>
      <c r="D150" s="129">
        <v>1</v>
      </c>
      <c r="E150" s="129" t="s">
        <v>726</v>
      </c>
      <c r="F150" s="129" t="s">
        <v>287</v>
      </c>
      <c r="G150" s="129" t="s">
        <v>213</v>
      </c>
      <c r="H150" s="129" t="s">
        <v>298</v>
      </c>
      <c r="I150" s="129">
        <v>951113</v>
      </c>
      <c r="J150" s="129"/>
      <c r="K150" s="129" t="s">
        <v>193</v>
      </c>
      <c r="L150" s="109">
        <v>200</v>
      </c>
      <c r="M150" s="101">
        <v>196.65100000000001</v>
      </c>
      <c r="N150" s="129">
        <f t="shared" si="145"/>
        <v>3.3489999999999895</v>
      </c>
      <c r="O150" s="140">
        <f t="shared" si="146"/>
        <v>0.9832550000000001</v>
      </c>
    </row>
    <row r="151" spans="1:16">
      <c r="A151" s="129" t="s">
        <v>683</v>
      </c>
      <c r="B151" s="129" t="s">
        <v>293</v>
      </c>
      <c r="C151" s="91">
        <v>44510</v>
      </c>
      <c r="D151" s="129">
        <v>1</v>
      </c>
      <c r="E151" s="129" t="s">
        <v>726</v>
      </c>
      <c r="F151" s="129" t="s">
        <v>287</v>
      </c>
      <c r="G151" s="129" t="s">
        <v>213</v>
      </c>
      <c r="H151" s="129" t="s">
        <v>299</v>
      </c>
      <c r="I151" s="129">
        <v>966686</v>
      </c>
      <c r="J151" s="129"/>
      <c r="K151" s="129" t="s">
        <v>192</v>
      </c>
      <c r="L151" s="109">
        <v>18</v>
      </c>
      <c r="M151" s="101">
        <v>22.343</v>
      </c>
      <c r="N151" s="129">
        <f>L151-M151</f>
        <v>-4.343</v>
      </c>
      <c r="O151" s="140">
        <f>M151/L151</f>
        <v>1.2412777777777777</v>
      </c>
      <c r="P151" s="212">
        <f t="shared" ref="P151" si="147">N151+N152</f>
        <v>33.251999999999995</v>
      </c>
    </row>
    <row r="152" spans="1:16">
      <c r="A152" s="129" t="s">
        <v>683</v>
      </c>
      <c r="B152" s="129" t="s">
        <v>293</v>
      </c>
      <c r="C152" s="91">
        <v>44510</v>
      </c>
      <c r="D152" s="129">
        <v>1</v>
      </c>
      <c r="E152" s="129" t="s">
        <v>726</v>
      </c>
      <c r="F152" s="129" t="s">
        <v>287</v>
      </c>
      <c r="G152" s="129" t="s">
        <v>213</v>
      </c>
      <c r="H152" s="129" t="s">
        <v>299</v>
      </c>
      <c r="I152" s="129">
        <v>966686</v>
      </c>
      <c r="J152" s="129"/>
      <c r="K152" s="129" t="s">
        <v>193</v>
      </c>
      <c r="L152" s="109">
        <v>200</v>
      </c>
      <c r="M152" s="101">
        <v>162.405</v>
      </c>
      <c r="N152" s="129">
        <f t="shared" ref="N152:N156" si="148">L152-M152</f>
        <v>37.594999999999999</v>
      </c>
      <c r="O152" s="140">
        <f t="shared" ref="O152:O156" si="149">M152/L152</f>
        <v>0.812025</v>
      </c>
    </row>
    <row r="153" spans="1:16">
      <c r="A153" s="129" t="s">
        <v>683</v>
      </c>
      <c r="B153" s="129" t="s">
        <v>293</v>
      </c>
      <c r="C153" s="91">
        <v>44510</v>
      </c>
      <c r="D153" s="129">
        <v>1</v>
      </c>
      <c r="E153" s="129" t="s">
        <v>726</v>
      </c>
      <c r="F153" s="129" t="s">
        <v>287</v>
      </c>
      <c r="G153" s="129" t="s">
        <v>212</v>
      </c>
      <c r="H153" s="129" t="s">
        <v>584</v>
      </c>
      <c r="I153" s="129">
        <v>964500</v>
      </c>
      <c r="J153" s="129">
        <v>5</v>
      </c>
      <c r="K153" s="129" t="s">
        <v>192</v>
      </c>
      <c r="L153" s="109">
        <v>100</v>
      </c>
      <c r="M153" s="101">
        <v>16.603000000000002</v>
      </c>
      <c r="N153" s="129">
        <f t="shared" si="148"/>
        <v>83.396999999999991</v>
      </c>
      <c r="O153" s="140">
        <f t="shared" si="149"/>
        <v>0.16603000000000001</v>
      </c>
      <c r="P153" s="212">
        <f t="shared" ref="P153" si="150">N153+N154</f>
        <v>0</v>
      </c>
    </row>
    <row r="154" spans="1:16">
      <c r="A154" s="129" t="s">
        <v>683</v>
      </c>
      <c r="B154" s="129" t="s">
        <v>293</v>
      </c>
      <c r="C154" s="91">
        <v>44510</v>
      </c>
      <c r="D154" s="129">
        <v>1</v>
      </c>
      <c r="E154" s="129" t="s">
        <v>726</v>
      </c>
      <c r="F154" s="129" t="s">
        <v>287</v>
      </c>
      <c r="G154" s="129" t="s">
        <v>212</v>
      </c>
      <c r="H154" s="129" t="s">
        <v>584</v>
      </c>
      <c r="I154" s="129">
        <v>964500</v>
      </c>
      <c r="J154" s="129">
        <v>5</v>
      </c>
      <c r="K154" s="129" t="s">
        <v>193</v>
      </c>
      <c r="L154" s="109">
        <v>100</v>
      </c>
      <c r="M154" s="101">
        <v>183.39699999999999</v>
      </c>
      <c r="N154" s="129">
        <f t="shared" si="148"/>
        <v>-83.396999999999991</v>
      </c>
      <c r="O154" s="140">
        <f t="shared" si="149"/>
        <v>1.8339699999999999</v>
      </c>
    </row>
    <row r="155" spans="1:16">
      <c r="A155" s="129" t="s">
        <v>683</v>
      </c>
      <c r="B155" s="129" t="s">
        <v>293</v>
      </c>
      <c r="C155" s="91">
        <v>44510</v>
      </c>
      <c r="D155" s="129">
        <v>1</v>
      </c>
      <c r="E155" s="129" t="s">
        <v>726</v>
      </c>
      <c r="F155" s="129" t="s">
        <v>287</v>
      </c>
      <c r="G155" s="129" t="s">
        <v>212</v>
      </c>
      <c r="H155" s="129" t="s">
        <v>583</v>
      </c>
      <c r="I155" s="129">
        <v>11718</v>
      </c>
      <c r="J155" s="129"/>
      <c r="K155" s="129" t="s">
        <v>192</v>
      </c>
      <c r="L155" s="109">
        <v>5</v>
      </c>
      <c r="M155" s="101"/>
      <c r="N155" s="129">
        <f t="shared" si="148"/>
        <v>5</v>
      </c>
      <c r="O155" s="140">
        <f t="shared" si="149"/>
        <v>0</v>
      </c>
      <c r="P155" s="212">
        <f t="shared" ref="P155" si="151">N155+N156</f>
        <v>-5.000000000002558E-3</v>
      </c>
    </row>
    <row r="156" spans="1:16">
      <c r="A156" s="129" t="s">
        <v>683</v>
      </c>
      <c r="B156" s="129" t="s">
        <v>293</v>
      </c>
      <c r="C156" s="91">
        <v>44510</v>
      </c>
      <c r="D156" s="129">
        <v>1</v>
      </c>
      <c r="E156" s="129" t="s">
        <v>726</v>
      </c>
      <c r="F156" s="129" t="s">
        <v>287</v>
      </c>
      <c r="G156" s="129" t="s">
        <v>212</v>
      </c>
      <c r="H156" s="129" t="s">
        <v>583</v>
      </c>
      <c r="I156" s="129">
        <v>11718</v>
      </c>
      <c r="J156" s="129"/>
      <c r="K156" s="129" t="s">
        <v>193</v>
      </c>
      <c r="L156" s="109">
        <v>50</v>
      </c>
      <c r="M156" s="101">
        <v>55.005000000000003</v>
      </c>
      <c r="N156" s="129">
        <f t="shared" si="148"/>
        <v>-5.0050000000000026</v>
      </c>
      <c r="O156" s="140">
        <f t="shared" si="149"/>
        <v>1.1001000000000001</v>
      </c>
    </row>
    <row r="157" spans="1:16">
      <c r="A157" s="129" t="s">
        <v>683</v>
      </c>
      <c r="B157" s="129" t="s">
        <v>293</v>
      </c>
      <c r="C157" s="91">
        <v>44510</v>
      </c>
      <c r="D157" s="129">
        <v>1</v>
      </c>
      <c r="E157" s="129" t="s">
        <v>726</v>
      </c>
      <c r="F157" s="129" t="s">
        <v>287</v>
      </c>
      <c r="G157" s="129" t="s">
        <v>212</v>
      </c>
      <c r="H157" s="129" t="s">
        <v>709</v>
      </c>
      <c r="I157" s="129">
        <v>698145</v>
      </c>
      <c r="J157" s="129">
        <v>8</v>
      </c>
      <c r="K157" s="129" t="s">
        <v>192</v>
      </c>
      <c r="L157" s="109">
        <v>62</v>
      </c>
      <c r="M157" s="101">
        <v>10.708</v>
      </c>
      <c r="N157" s="129">
        <f t="shared" ref="N157:N174" si="152">L157-M157</f>
        <v>51.292000000000002</v>
      </c>
      <c r="O157" s="140">
        <f t="shared" ref="O157:O174" si="153">M157/L157</f>
        <v>0.17270967741935483</v>
      </c>
      <c r="P157" s="212">
        <f t="shared" ref="P157" si="154">N157+N158</f>
        <v>0</v>
      </c>
    </row>
    <row r="158" spans="1:16">
      <c r="A158" s="129" t="s">
        <v>683</v>
      </c>
      <c r="B158" s="129" t="s">
        <v>293</v>
      </c>
      <c r="C158" s="91">
        <v>44510</v>
      </c>
      <c r="D158" s="129">
        <v>1</v>
      </c>
      <c r="E158" s="129" t="s">
        <v>726</v>
      </c>
      <c r="F158" s="129" t="s">
        <v>287</v>
      </c>
      <c r="G158" s="129" t="s">
        <v>212</v>
      </c>
      <c r="H158" s="129" t="s">
        <v>709</v>
      </c>
      <c r="I158" s="129">
        <v>698145</v>
      </c>
      <c r="J158" s="129">
        <v>8</v>
      </c>
      <c r="K158" s="129" t="s">
        <v>193</v>
      </c>
      <c r="L158" s="109">
        <v>78</v>
      </c>
      <c r="M158" s="101">
        <v>129.292</v>
      </c>
      <c r="N158" s="129">
        <f t="shared" si="152"/>
        <v>-51.292000000000002</v>
      </c>
      <c r="O158" s="140">
        <f t="shared" si="153"/>
        <v>1.6575897435897435</v>
      </c>
    </row>
    <row r="159" spans="1:16">
      <c r="A159" s="129" t="s">
        <v>502</v>
      </c>
      <c r="B159" s="129" t="s">
        <v>293</v>
      </c>
      <c r="C159" s="91">
        <v>44537</v>
      </c>
      <c r="D159" s="129">
        <v>3186</v>
      </c>
      <c r="E159" s="129" t="s">
        <v>294</v>
      </c>
      <c r="F159" s="129" t="s">
        <v>297</v>
      </c>
      <c r="G159" s="129" t="s">
        <v>212</v>
      </c>
      <c r="H159" s="129" t="s">
        <v>503</v>
      </c>
      <c r="I159" s="129">
        <v>916067</v>
      </c>
      <c r="J159" s="129"/>
      <c r="K159" s="129" t="s">
        <v>193</v>
      </c>
      <c r="L159" s="109">
        <v>452.952</v>
      </c>
      <c r="M159" s="101">
        <v>451.56599999999997</v>
      </c>
      <c r="N159" s="129">
        <f t="shared" si="152"/>
        <v>1.3860000000000241</v>
      </c>
      <c r="O159" s="140">
        <f t="shared" si="153"/>
        <v>0.99694007312033062</v>
      </c>
    </row>
    <row r="160" spans="1:16">
      <c r="A160" s="194" t="s">
        <v>728</v>
      </c>
      <c r="B160" s="194" t="s">
        <v>293</v>
      </c>
      <c r="C160" s="155">
        <v>44523</v>
      </c>
      <c r="D160" s="194">
        <v>3108</v>
      </c>
      <c r="E160" s="194" t="s">
        <v>294</v>
      </c>
      <c r="F160" s="194" t="s">
        <v>287</v>
      </c>
      <c r="G160" s="129" t="s">
        <v>212</v>
      </c>
      <c r="H160" s="194" t="s">
        <v>494</v>
      </c>
      <c r="I160" s="194">
        <v>951206</v>
      </c>
      <c r="J160" s="109">
        <v>2</v>
      </c>
      <c r="K160" s="194" t="s">
        <v>192</v>
      </c>
      <c r="L160" s="133">
        <v>1</v>
      </c>
      <c r="M160" s="103">
        <v>78.602999999999994</v>
      </c>
      <c r="N160" s="128">
        <f t="shared" si="152"/>
        <v>-77.602999999999994</v>
      </c>
      <c r="O160" s="195">
        <f t="shared" si="153"/>
        <v>78.602999999999994</v>
      </c>
      <c r="P160" s="207">
        <f>N160+N161</f>
        <v>1.0000000000000142</v>
      </c>
    </row>
    <row r="161" spans="1:16">
      <c r="A161" s="194" t="s">
        <v>728</v>
      </c>
      <c r="B161" s="194" t="s">
        <v>293</v>
      </c>
      <c r="C161" s="155">
        <v>44523</v>
      </c>
      <c r="D161" s="194">
        <v>3108</v>
      </c>
      <c r="E161" s="194" t="s">
        <v>294</v>
      </c>
      <c r="F161" s="194" t="s">
        <v>287</v>
      </c>
      <c r="G161" s="129" t="s">
        <v>212</v>
      </c>
      <c r="H161" s="194" t="s">
        <v>494</v>
      </c>
      <c r="I161" s="194">
        <v>951206</v>
      </c>
      <c r="J161" s="109">
        <v>2</v>
      </c>
      <c r="K161" s="194" t="s">
        <v>193</v>
      </c>
      <c r="L161" s="133">
        <v>212</v>
      </c>
      <c r="M161" s="103">
        <v>133.39699999999999</v>
      </c>
      <c r="N161" s="128">
        <f t="shared" si="152"/>
        <v>78.603000000000009</v>
      </c>
      <c r="O161" s="195">
        <f t="shared" si="153"/>
        <v>0.62923113207547166</v>
      </c>
    </row>
    <row r="162" spans="1:16">
      <c r="A162" s="194" t="s">
        <v>729</v>
      </c>
      <c r="B162" s="194" t="s">
        <v>293</v>
      </c>
      <c r="C162" s="155">
        <v>44530</v>
      </c>
      <c r="D162" s="194">
        <v>3151</v>
      </c>
      <c r="E162" s="194" t="s">
        <v>294</v>
      </c>
      <c r="F162" s="194" t="s">
        <v>287</v>
      </c>
      <c r="G162" s="129" t="s">
        <v>212</v>
      </c>
      <c r="H162" s="194" t="s">
        <v>578</v>
      </c>
      <c r="I162" s="194">
        <v>961132</v>
      </c>
      <c r="J162" s="145"/>
      <c r="K162" s="194" t="s">
        <v>192</v>
      </c>
      <c r="L162" s="133">
        <v>300</v>
      </c>
      <c r="M162" s="103">
        <v>74.831999999999994</v>
      </c>
      <c r="N162" s="128">
        <f t="shared" si="152"/>
        <v>225.16800000000001</v>
      </c>
      <c r="O162" s="195">
        <f t="shared" si="153"/>
        <v>0.24943999999999997</v>
      </c>
      <c r="P162" s="207">
        <f t="shared" ref="P162" si="155">N162+N163</f>
        <v>0</v>
      </c>
    </row>
    <row r="163" spans="1:16">
      <c r="A163" s="197" t="s">
        <v>729</v>
      </c>
      <c r="B163" s="197" t="s">
        <v>293</v>
      </c>
      <c r="C163" s="155">
        <v>44530</v>
      </c>
      <c r="D163" s="197">
        <v>3151</v>
      </c>
      <c r="E163" s="197" t="s">
        <v>294</v>
      </c>
      <c r="F163" s="197" t="s">
        <v>287</v>
      </c>
      <c r="G163" s="129" t="s">
        <v>212</v>
      </c>
      <c r="H163" s="197" t="s">
        <v>578</v>
      </c>
      <c r="I163" s="197">
        <v>961132</v>
      </c>
      <c r="J163" s="145"/>
      <c r="K163" s="197" t="s">
        <v>193</v>
      </c>
      <c r="L163" s="133">
        <v>0</v>
      </c>
      <c r="M163" s="103">
        <v>225.16800000000001</v>
      </c>
      <c r="N163" s="128">
        <f t="shared" ref="N163" si="156">L163-M163</f>
        <v>-225.16800000000001</v>
      </c>
      <c r="O163" s="198" t="e">
        <f t="shared" ref="O163" si="157">M163/L163</f>
        <v>#DIV/0!</v>
      </c>
    </row>
    <row r="164" spans="1:16">
      <c r="A164" s="194" t="s">
        <v>729</v>
      </c>
      <c r="B164" s="194" t="s">
        <v>293</v>
      </c>
      <c r="C164" s="155">
        <v>44530</v>
      </c>
      <c r="D164" s="194">
        <v>3167</v>
      </c>
      <c r="E164" s="194" t="s">
        <v>294</v>
      </c>
      <c r="F164" s="194" t="s">
        <v>287</v>
      </c>
      <c r="G164" s="129" t="s">
        <v>212</v>
      </c>
      <c r="H164" s="194" t="s">
        <v>709</v>
      </c>
      <c r="I164" s="194">
        <v>698145</v>
      </c>
      <c r="J164" s="129">
        <v>8</v>
      </c>
      <c r="K164" s="194" t="s">
        <v>192</v>
      </c>
      <c r="L164" s="133">
        <v>250</v>
      </c>
      <c r="M164" s="103">
        <v>0.88200000000000001</v>
      </c>
      <c r="N164" s="128">
        <f t="shared" si="152"/>
        <v>249.11799999999999</v>
      </c>
      <c r="O164" s="195">
        <f t="shared" si="153"/>
        <v>3.5279999999999999E-3</v>
      </c>
      <c r="P164" s="207">
        <f t="shared" ref="P164" si="158">N164+N165</f>
        <v>0</v>
      </c>
    </row>
    <row r="165" spans="1:16">
      <c r="A165" s="197" t="s">
        <v>729</v>
      </c>
      <c r="B165" s="197" t="s">
        <v>293</v>
      </c>
      <c r="C165" s="155">
        <v>44530</v>
      </c>
      <c r="D165" s="197">
        <v>3167</v>
      </c>
      <c r="E165" s="197" t="s">
        <v>294</v>
      </c>
      <c r="F165" s="197" t="s">
        <v>287</v>
      </c>
      <c r="G165" s="129" t="s">
        <v>212</v>
      </c>
      <c r="H165" s="197" t="s">
        <v>709</v>
      </c>
      <c r="I165" s="197">
        <v>698145</v>
      </c>
      <c r="J165" s="129">
        <v>8</v>
      </c>
      <c r="K165" s="197" t="s">
        <v>193</v>
      </c>
      <c r="L165" s="133">
        <v>0</v>
      </c>
      <c r="M165" s="103">
        <v>249.11799999999999</v>
      </c>
      <c r="N165" s="128">
        <f t="shared" si="152"/>
        <v>-249.11799999999999</v>
      </c>
      <c r="O165" s="198" t="e">
        <f t="shared" si="153"/>
        <v>#DIV/0!</v>
      </c>
    </row>
    <row r="166" spans="1:16">
      <c r="A166" s="194" t="s">
        <v>721</v>
      </c>
      <c r="B166" s="194" t="s">
        <v>293</v>
      </c>
      <c r="C166" s="155">
        <v>44530</v>
      </c>
      <c r="D166" s="194">
        <v>3168</v>
      </c>
      <c r="E166" s="194" t="s">
        <v>294</v>
      </c>
      <c r="F166" s="194" t="s">
        <v>287</v>
      </c>
      <c r="G166" s="129" t="s">
        <v>212</v>
      </c>
      <c r="H166" s="194" t="s">
        <v>589</v>
      </c>
      <c r="I166" s="194">
        <v>964972</v>
      </c>
      <c r="J166" s="145"/>
      <c r="K166" s="194" t="s">
        <v>192</v>
      </c>
      <c r="L166" s="133">
        <v>215</v>
      </c>
      <c r="M166" s="103">
        <v>3.9359999999999999</v>
      </c>
      <c r="N166" s="196">
        <f t="shared" si="152"/>
        <v>211.06399999999999</v>
      </c>
      <c r="O166" s="195">
        <f t="shared" si="153"/>
        <v>1.8306976744186045E-2</v>
      </c>
      <c r="P166" s="207">
        <f t="shared" ref="P166" si="159">N166+N167</f>
        <v>0</v>
      </c>
    </row>
    <row r="167" spans="1:16">
      <c r="A167" s="194" t="s">
        <v>721</v>
      </c>
      <c r="B167" s="194" t="s">
        <v>293</v>
      </c>
      <c r="C167" s="155">
        <v>44530</v>
      </c>
      <c r="D167" s="194">
        <v>3168</v>
      </c>
      <c r="E167" s="194" t="s">
        <v>294</v>
      </c>
      <c r="F167" s="194" t="s">
        <v>287</v>
      </c>
      <c r="G167" s="129" t="s">
        <v>212</v>
      </c>
      <c r="H167" s="194" t="s">
        <v>589</v>
      </c>
      <c r="I167" s="194">
        <v>964972</v>
      </c>
      <c r="J167" s="145"/>
      <c r="K167" s="194" t="s">
        <v>193</v>
      </c>
      <c r="L167" s="133">
        <v>195</v>
      </c>
      <c r="M167" s="103">
        <v>406.06400000000002</v>
      </c>
      <c r="N167" s="196">
        <f t="shared" si="152"/>
        <v>-211.06400000000002</v>
      </c>
      <c r="O167" s="195">
        <f t="shared" si="153"/>
        <v>2.0823794871794874</v>
      </c>
    </row>
    <row r="168" spans="1:16">
      <c r="A168" s="194" t="s">
        <v>314</v>
      </c>
      <c r="B168" s="194" t="s">
        <v>293</v>
      </c>
      <c r="C168" s="155">
        <v>44537</v>
      </c>
      <c r="D168" s="194">
        <v>3185</v>
      </c>
      <c r="E168" s="194" t="s">
        <v>294</v>
      </c>
      <c r="F168" s="194" t="s">
        <v>287</v>
      </c>
      <c r="G168" s="129" t="s">
        <v>212</v>
      </c>
      <c r="H168" s="194" t="s">
        <v>584</v>
      </c>
      <c r="I168" s="194">
        <v>964500</v>
      </c>
      <c r="J168" s="145">
        <v>5</v>
      </c>
      <c r="K168" s="194" t="s">
        <v>192</v>
      </c>
      <c r="L168" s="133">
        <v>150</v>
      </c>
      <c r="M168" s="103">
        <v>7.9550000000000001</v>
      </c>
      <c r="N168" s="196">
        <f t="shared" si="152"/>
        <v>142.04499999999999</v>
      </c>
      <c r="O168" s="195">
        <f t="shared" si="153"/>
        <v>5.3033333333333335E-2</v>
      </c>
      <c r="P168" s="207">
        <f t="shared" ref="P168" si="160">N168+N169</f>
        <v>0</v>
      </c>
    </row>
    <row r="169" spans="1:16">
      <c r="A169" s="194" t="s">
        <v>314</v>
      </c>
      <c r="B169" s="194" t="s">
        <v>293</v>
      </c>
      <c r="C169" s="155">
        <v>44537</v>
      </c>
      <c r="D169" s="194">
        <v>3185</v>
      </c>
      <c r="E169" s="194" t="s">
        <v>294</v>
      </c>
      <c r="F169" s="194" t="s">
        <v>287</v>
      </c>
      <c r="G169" s="129" t="s">
        <v>212</v>
      </c>
      <c r="H169" s="194" t="s">
        <v>584</v>
      </c>
      <c r="I169" s="194">
        <v>964500</v>
      </c>
      <c r="J169" s="145">
        <v>5</v>
      </c>
      <c r="K169" s="194" t="s">
        <v>193</v>
      </c>
      <c r="L169" s="133">
        <v>75</v>
      </c>
      <c r="M169" s="103">
        <v>217.04499999999999</v>
      </c>
      <c r="N169" s="196">
        <f t="shared" si="152"/>
        <v>-142.04499999999999</v>
      </c>
      <c r="O169" s="195">
        <f t="shared" si="153"/>
        <v>2.893933333333333</v>
      </c>
    </row>
    <row r="170" spans="1:16">
      <c r="A170" s="194" t="s">
        <v>314</v>
      </c>
      <c r="B170" s="194" t="s">
        <v>293</v>
      </c>
      <c r="C170" s="155">
        <v>44537</v>
      </c>
      <c r="D170" s="194">
        <v>3185</v>
      </c>
      <c r="E170" s="194" t="s">
        <v>294</v>
      </c>
      <c r="F170" s="194" t="s">
        <v>287</v>
      </c>
      <c r="G170" s="129" t="s">
        <v>212</v>
      </c>
      <c r="H170" s="194" t="s">
        <v>494</v>
      </c>
      <c r="I170" s="194">
        <v>951206</v>
      </c>
      <c r="J170" s="145"/>
      <c r="K170" s="194" t="s">
        <v>192</v>
      </c>
      <c r="L170" s="133">
        <v>150</v>
      </c>
      <c r="M170" s="103">
        <v>0.34799999999999998</v>
      </c>
      <c r="N170" s="196">
        <f t="shared" si="152"/>
        <v>149.65199999999999</v>
      </c>
      <c r="O170" s="195">
        <f t="shared" si="153"/>
        <v>2.32E-3</v>
      </c>
      <c r="P170" s="207">
        <f t="shared" ref="P170" si="161">N170+N171</f>
        <v>1</v>
      </c>
    </row>
    <row r="171" spans="1:16">
      <c r="A171" s="194" t="s">
        <v>314</v>
      </c>
      <c r="B171" s="194" t="s">
        <v>293</v>
      </c>
      <c r="C171" s="155">
        <v>44537</v>
      </c>
      <c r="D171" s="194">
        <v>3185</v>
      </c>
      <c r="E171" s="194" t="s">
        <v>294</v>
      </c>
      <c r="F171" s="194" t="s">
        <v>287</v>
      </c>
      <c r="G171" s="129" t="s">
        <v>212</v>
      </c>
      <c r="H171" s="194" t="s">
        <v>494</v>
      </c>
      <c r="I171" s="194">
        <v>951206</v>
      </c>
      <c r="J171" s="145"/>
      <c r="K171" s="194" t="s">
        <v>193</v>
      </c>
      <c r="L171" s="133">
        <v>75</v>
      </c>
      <c r="M171" s="103">
        <v>223.65199999999999</v>
      </c>
      <c r="N171" s="196">
        <f t="shared" si="152"/>
        <v>-148.65199999999999</v>
      </c>
      <c r="O171" s="195">
        <f t="shared" si="153"/>
        <v>2.9820266666666666</v>
      </c>
    </row>
    <row r="172" spans="1:16">
      <c r="A172" s="197" t="s">
        <v>727</v>
      </c>
      <c r="B172" s="197" t="s">
        <v>293</v>
      </c>
      <c r="C172" s="155">
        <v>44537</v>
      </c>
      <c r="D172" s="197">
        <v>3184</v>
      </c>
      <c r="E172" s="197" t="s">
        <v>294</v>
      </c>
      <c r="F172" s="197" t="s">
        <v>287</v>
      </c>
      <c r="G172" s="129" t="s">
        <v>212</v>
      </c>
      <c r="H172" s="197" t="s">
        <v>583</v>
      </c>
      <c r="I172" s="197">
        <v>11718</v>
      </c>
      <c r="J172" s="145"/>
      <c r="K172" s="197" t="s">
        <v>192</v>
      </c>
      <c r="L172" s="133">
        <v>0</v>
      </c>
      <c r="M172" s="103">
        <v>13.202</v>
      </c>
      <c r="N172" s="199">
        <f t="shared" ref="N172" si="162">L172-M172</f>
        <v>-13.202</v>
      </c>
      <c r="O172" s="198" t="e">
        <f t="shared" ref="O172" si="163">M172/L172</f>
        <v>#DIV/0!</v>
      </c>
      <c r="P172" s="207">
        <f t="shared" ref="P172" si="164">N172+N173</f>
        <v>4.9999999999936762E-3</v>
      </c>
    </row>
    <row r="173" spans="1:16">
      <c r="A173" s="194" t="s">
        <v>727</v>
      </c>
      <c r="B173" s="194" t="s">
        <v>293</v>
      </c>
      <c r="C173" s="155">
        <v>44537</v>
      </c>
      <c r="D173" s="194">
        <v>3184</v>
      </c>
      <c r="E173" s="194" t="s">
        <v>294</v>
      </c>
      <c r="F173" s="194" t="s">
        <v>287</v>
      </c>
      <c r="G173" s="129" t="s">
        <v>212</v>
      </c>
      <c r="H173" s="194" t="s">
        <v>583</v>
      </c>
      <c r="I173" s="194">
        <v>11718</v>
      </c>
      <c r="J173" s="145"/>
      <c r="K173" s="194" t="s">
        <v>193</v>
      </c>
      <c r="L173" s="133">
        <v>300</v>
      </c>
      <c r="M173" s="103">
        <v>286.79300000000001</v>
      </c>
      <c r="N173" s="196">
        <f t="shared" si="152"/>
        <v>13.206999999999994</v>
      </c>
      <c r="O173" s="195">
        <f t="shared" si="153"/>
        <v>0.9559766666666667</v>
      </c>
    </row>
    <row r="174" spans="1:16">
      <c r="A174" s="129" t="s">
        <v>683</v>
      </c>
      <c r="B174" s="129" t="s">
        <v>293</v>
      </c>
      <c r="C174" s="91">
        <v>44531</v>
      </c>
      <c r="D174" s="129">
        <v>2</v>
      </c>
      <c r="E174" s="129" t="s">
        <v>726</v>
      </c>
      <c r="F174" s="129" t="s">
        <v>287</v>
      </c>
      <c r="G174" s="129" t="s">
        <v>212</v>
      </c>
      <c r="H174" s="200" t="s">
        <v>583</v>
      </c>
      <c r="I174" s="200">
        <v>11718</v>
      </c>
      <c r="J174" s="145"/>
      <c r="K174" s="200" t="s">
        <v>192</v>
      </c>
      <c r="L174" s="133">
        <v>50</v>
      </c>
      <c r="M174" s="103">
        <v>4.21</v>
      </c>
      <c r="N174" s="202">
        <f t="shared" si="152"/>
        <v>45.79</v>
      </c>
      <c r="O174" s="201">
        <f t="shared" si="153"/>
        <v>8.4199999999999997E-2</v>
      </c>
      <c r="P174" s="207">
        <f t="shared" ref="P174" si="165">N174+N175</f>
        <v>0</v>
      </c>
    </row>
    <row r="175" spans="1:16">
      <c r="A175" s="129" t="s">
        <v>683</v>
      </c>
      <c r="B175" s="129" t="s">
        <v>293</v>
      </c>
      <c r="C175" s="91">
        <v>44531</v>
      </c>
      <c r="D175" s="129">
        <v>2</v>
      </c>
      <c r="E175" s="129" t="s">
        <v>726</v>
      </c>
      <c r="F175" s="129" t="s">
        <v>287</v>
      </c>
      <c r="G175" s="129" t="s">
        <v>212</v>
      </c>
      <c r="H175" s="200" t="s">
        <v>583</v>
      </c>
      <c r="I175" s="200">
        <v>11718</v>
      </c>
      <c r="J175" s="145"/>
      <c r="K175" s="200" t="s">
        <v>193</v>
      </c>
      <c r="L175" s="133">
        <v>135</v>
      </c>
      <c r="M175" s="103">
        <v>180.79</v>
      </c>
      <c r="N175" s="202">
        <f t="shared" ref="N175:N176" si="166">L175-M175</f>
        <v>-45.789999999999992</v>
      </c>
      <c r="O175" s="201">
        <f t="shared" ref="O175:O176" si="167">M175/L175</f>
        <v>1.339185185185185</v>
      </c>
    </row>
    <row r="176" spans="1:16">
      <c r="A176" s="129" t="s">
        <v>683</v>
      </c>
      <c r="B176" s="129" t="s">
        <v>293</v>
      </c>
      <c r="C176" s="91">
        <v>44531</v>
      </c>
      <c r="D176" s="129">
        <v>2</v>
      </c>
      <c r="E176" s="129" t="s">
        <v>726</v>
      </c>
      <c r="F176" s="129" t="s">
        <v>287</v>
      </c>
      <c r="G176" s="129" t="s">
        <v>212</v>
      </c>
      <c r="H176" s="200" t="s">
        <v>578</v>
      </c>
      <c r="I176" s="200">
        <v>961132</v>
      </c>
      <c r="J176" s="129"/>
      <c r="K176" s="200" t="s">
        <v>192</v>
      </c>
      <c r="L176" s="133">
        <v>50</v>
      </c>
      <c r="M176" s="103">
        <v>15.025</v>
      </c>
      <c r="N176" s="202">
        <f t="shared" si="166"/>
        <v>34.975000000000001</v>
      </c>
      <c r="O176" s="201">
        <f t="shared" si="167"/>
        <v>0.30049999999999999</v>
      </c>
      <c r="P176" s="207">
        <f t="shared" ref="P176" si="168">N176+N177</f>
        <v>0</v>
      </c>
    </row>
    <row r="177" spans="1:17">
      <c r="A177" s="129" t="s">
        <v>683</v>
      </c>
      <c r="B177" s="129" t="s">
        <v>293</v>
      </c>
      <c r="C177" s="91">
        <v>44531</v>
      </c>
      <c r="D177" s="129">
        <v>2</v>
      </c>
      <c r="E177" s="129" t="s">
        <v>726</v>
      </c>
      <c r="F177" s="129" t="s">
        <v>287</v>
      </c>
      <c r="G177" s="129" t="s">
        <v>212</v>
      </c>
      <c r="H177" s="200" t="s">
        <v>578</v>
      </c>
      <c r="I177" s="200">
        <v>961132</v>
      </c>
      <c r="J177" s="129"/>
      <c r="K177" s="200" t="s">
        <v>193</v>
      </c>
      <c r="L177" s="133">
        <v>166</v>
      </c>
      <c r="M177" s="103">
        <v>200.97499999999999</v>
      </c>
      <c r="N177" s="202">
        <f t="shared" ref="N177:N179" si="169">L177-M177</f>
        <v>-34.974999999999994</v>
      </c>
      <c r="O177" s="201">
        <f t="shared" ref="O177:O179" si="170">M177/L177</f>
        <v>1.2106927710843374</v>
      </c>
    </row>
    <row r="178" spans="1:17">
      <c r="A178" s="129" t="s">
        <v>683</v>
      </c>
      <c r="B178" s="129" t="s">
        <v>293</v>
      </c>
      <c r="C178" s="91">
        <v>44531</v>
      </c>
      <c r="D178" s="129">
        <v>2</v>
      </c>
      <c r="E178" s="129" t="s">
        <v>726</v>
      </c>
      <c r="F178" s="129" t="s">
        <v>287</v>
      </c>
      <c r="G178" s="129" t="s">
        <v>212</v>
      </c>
      <c r="H178" s="129" t="s">
        <v>582</v>
      </c>
      <c r="I178" s="129">
        <v>925404</v>
      </c>
      <c r="J178" s="129"/>
      <c r="K178" s="200" t="s">
        <v>192</v>
      </c>
      <c r="L178" s="133">
        <v>80</v>
      </c>
      <c r="M178" s="103">
        <v>19.245000000000001</v>
      </c>
      <c r="N178" s="202">
        <f t="shared" si="169"/>
        <v>60.754999999999995</v>
      </c>
      <c r="O178" s="201">
        <f t="shared" si="170"/>
        <v>0.24056250000000001</v>
      </c>
      <c r="P178" s="207">
        <f t="shared" ref="P178" si="171">N178+N179</f>
        <v>0</v>
      </c>
    </row>
    <row r="179" spans="1:17">
      <c r="A179" s="129" t="s">
        <v>683</v>
      </c>
      <c r="B179" s="129" t="s">
        <v>293</v>
      </c>
      <c r="C179" s="91">
        <v>44531</v>
      </c>
      <c r="D179" s="129">
        <v>2</v>
      </c>
      <c r="E179" s="129" t="s">
        <v>726</v>
      </c>
      <c r="F179" s="129" t="s">
        <v>287</v>
      </c>
      <c r="G179" s="129" t="s">
        <v>212</v>
      </c>
      <c r="H179" s="129" t="s">
        <v>582</v>
      </c>
      <c r="I179" s="129">
        <v>925404</v>
      </c>
      <c r="J179" s="129"/>
      <c r="K179" s="200" t="s">
        <v>193</v>
      </c>
      <c r="L179" s="133">
        <v>54</v>
      </c>
      <c r="M179" s="103">
        <v>114.755</v>
      </c>
      <c r="N179" s="202">
        <f t="shared" si="169"/>
        <v>-60.754999999999995</v>
      </c>
      <c r="O179" s="201">
        <f t="shared" si="170"/>
        <v>2.1250925925925923</v>
      </c>
    </row>
    <row r="180" spans="1:17">
      <c r="A180" s="129" t="s">
        <v>683</v>
      </c>
      <c r="B180" s="129" t="s">
        <v>293</v>
      </c>
      <c r="C180" s="91">
        <v>44531</v>
      </c>
      <c r="D180" s="129">
        <v>2</v>
      </c>
      <c r="E180" s="129" t="s">
        <v>726</v>
      </c>
      <c r="F180" s="129" t="s">
        <v>287</v>
      </c>
      <c r="G180" s="129" t="s">
        <v>212</v>
      </c>
      <c r="H180" s="200" t="s">
        <v>584</v>
      </c>
      <c r="I180" s="200">
        <v>964500</v>
      </c>
      <c r="J180" s="129">
        <v>5</v>
      </c>
      <c r="K180" s="200" t="s">
        <v>192</v>
      </c>
      <c r="L180" s="133">
        <v>80</v>
      </c>
      <c r="M180" s="103">
        <v>0.76300000000000001</v>
      </c>
      <c r="N180" s="202">
        <f t="shared" ref="N180:N182" si="172">L180-M180</f>
        <v>79.236999999999995</v>
      </c>
      <c r="O180" s="201">
        <f t="shared" ref="O180:O182" si="173">M180/L180</f>
        <v>9.5375000000000008E-3</v>
      </c>
      <c r="P180" s="208">
        <f t="shared" ref="P180" si="174">N180+N181</f>
        <v>-4.9999999999954525E-3</v>
      </c>
      <c r="Q180" s="61" t="s">
        <v>770</v>
      </c>
    </row>
    <row r="181" spans="1:17">
      <c r="A181" s="129" t="s">
        <v>683</v>
      </c>
      <c r="B181" s="129" t="s">
        <v>293</v>
      </c>
      <c r="C181" s="91">
        <v>44531</v>
      </c>
      <c r="D181" s="129">
        <v>2</v>
      </c>
      <c r="E181" s="129" t="s">
        <v>726</v>
      </c>
      <c r="F181" s="129" t="s">
        <v>287</v>
      </c>
      <c r="G181" s="129" t="s">
        <v>212</v>
      </c>
      <c r="H181" s="200" t="s">
        <v>584</v>
      </c>
      <c r="I181" s="200">
        <v>964500</v>
      </c>
      <c r="J181" s="129">
        <v>5</v>
      </c>
      <c r="K181" s="200" t="s">
        <v>193</v>
      </c>
      <c r="L181" s="133">
        <v>54</v>
      </c>
      <c r="M181" s="103">
        <v>133.24199999999999</v>
      </c>
      <c r="N181" s="202">
        <f t="shared" si="172"/>
        <v>-79.24199999999999</v>
      </c>
      <c r="O181" s="201">
        <f t="shared" si="173"/>
        <v>2.4674444444444443</v>
      </c>
    </row>
    <row r="182" spans="1:17">
      <c r="A182" s="129" t="s">
        <v>730</v>
      </c>
      <c r="B182" s="129" t="s">
        <v>293</v>
      </c>
      <c r="C182" s="91">
        <v>44537</v>
      </c>
      <c r="D182" s="129">
        <v>3190</v>
      </c>
      <c r="E182" s="129" t="s">
        <v>294</v>
      </c>
      <c r="F182" s="129" t="s">
        <v>287</v>
      </c>
      <c r="G182" s="129" t="s">
        <v>212</v>
      </c>
      <c r="H182" s="200" t="s">
        <v>494</v>
      </c>
      <c r="I182" s="200">
        <v>951206</v>
      </c>
      <c r="J182" s="145"/>
      <c r="K182" s="200" t="s">
        <v>193</v>
      </c>
      <c r="L182" s="133">
        <v>400</v>
      </c>
      <c r="M182" s="103">
        <v>395.66</v>
      </c>
      <c r="N182" s="202">
        <f t="shared" si="172"/>
        <v>4.339999999999975</v>
      </c>
      <c r="O182" s="201">
        <f t="shared" si="173"/>
        <v>0.98915000000000008</v>
      </c>
    </row>
    <row r="183" spans="1:17">
      <c r="A183" s="129" t="s">
        <v>731</v>
      </c>
      <c r="B183" s="129" t="s">
        <v>293</v>
      </c>
      <c r="C183" s="91">
        <v>44490</v>
      </c>
      <c r="D183" s="129">
        <v>2837</v>
      </c>
      <c r="E183" s="129" t="s">
        <v>294</v>
      </c>
      <c r="F183" s="129" t="s">
        <v>287</v>
      </c>
      <c r="G183" s="129" t="s">
        <v>213</v>
      </c>
      <c r="H183" s="129" t="s">
        <v>708</v>
      </c>
      <c r="I183" s="129">
        <v>697263</v>
      </c>
      <c r="J183" s="129"/>
      <c r="K183" s="200" t="s">
        <v>192</v>
      </c>
      <c r="L183" s="133">
        <v>1</v>
      </c>
      <c r="M183" s="103">
        <v>13.731</v>
      </c>
      <c r="N183" s="202">
        <f t="shared" ref="N183:N184" si="175">L183-M183</f>
        <v>-12.731</v>
      </c>
      <c r="O183" s="201">
        <f t="shared" ref="O183:O184" si="176">M183/L183</f>
        <v>13.731</v>
      </c>
      <c r="P183" s="207">
        <f>N183+N184</f>
        <v>54.285999999999994</v>
      </c>
    </row>
    <row r="184" spans="1:17">
      <c r="A184" s="129" t="s">
        <v>731</v>
      </c>
      <c r="B184" s="129" t="s">
        <v>293</v>
      </c>
      <c r="C184" s="91">
        <v>44490</v>
      </c>
      <c r="D184" s="129">
        <v>2837</v>
      </c>
      <c r="E184" s="129" t="s">
        <v>294</v>
      </c>
      <c r="F184" s="129" t="s">
        <v>287</v>
      </c>
      <c r="G184" s="129" t="s">
        <v>213</v>
      </c>
      <c r="H184" s="129" t="s">
        <v>708</v>
      </c>
      <c r="I184" s="129">
        <v>697263</v>
      </c>
      <c r="J184" s="129"/>
      <c r="K184" s="200" t="s">
        <v>193</v>
      </c>
      <c r="L184" s="133">
        <v>125.241</v>
      </c>
      <c r="M184" s="103">
        <v>58.223999999999997</v>
      </c>
      <c r="N184" s="202">
        <f t="shared" si="175"/>
        <v>67.016999999999996</v>
      </c>
      <c r="O184" s="201">
        <f t="shared" si="176"/>
        <v>0.46489568112678753</v>
      </c>
    </row>
    <row r="185" spans="1:17">
      <c r="A185" s="129" t="s">
        <v>731</v>
      </c>
      <c r="B185" s="129" t="s">
        <v>293</v>
      </c>
      <c r="C185" s="91">
        <v>44490</v>
      </c>
      <c r="D185" s="129">
        <v>2837</v>
      </c>
      <c r="E185" s="129" t="s">
        <v>294</v>
      </c>
      <c r="F185" s="129" t="s">
        <v>287</v>
      </c>
      <c r="G185" s="129" t="s">
        <v>213</v>
      </c>
      <c r="H185" s="129" t="s">
        <v>490</v>
      </c>
      <c r="I185" s="129">
        <v>964021</v>
      </c>
      <c r="J185" s="129"/>
      <c r="K185" s="200" t="s">
        <v>192</v>
      </c>
      <c r="L185" s="133">
        <v>1</v>
      </c>
      <c r="M185" s="103">
        <v>13.965</v>
      </c>
      <c r="N185" s="202">
        <f t="shared" ref="N185:N186" si="177">L185-M185</f>
        <v>-12.965</v>
      </c>
      <c r="O185" s="201">
        <f t="shared" ref="O185:O186" si="178">M185/L185</f>
        <v>13.965</v>
      </c>
      <c r="P185" s="207">
        <f>N185+N186</f>
        <v>14.477999999999998</v>
      </c>
    </row>
    <row r="186" spans="1:17">
      <c r="A186" s="129" t="s">
        <v>731</v>
      </c>
      <c r="B186" s="129" t="s">
        <v>293</v>
      </c>
      <c r="C186" s="91">
        <v>44490</v>
      </c>
      <c r="D186" s="129">
        <v>2837</v>
      </c>
      <c r="E186" s="129" t="s">
        <v>294</v>
      </c>
      <c r="F186" s="129" t="s">
        <v>287</v>
      </c>
      <c r="G186" s="129" t="s">
        <v>213</v>
      </c>
      <c r="H186" s="129" t="s">
        <v>490</v>
      </c>
      <c r="I186" s="129">
        <v>964021</v>
      </c>
      <c r="J186" s="129"/>
      <c r="K186" s="200" t="s">
        <v>193</v>
      </c>
      <c r="L186" s="133">
        <v>125.241</v>
      </c>
      <c r="M186" s="103">
        <v>97.798000000000002</v>
      </c>
      <c r="N186" s="202">
        <f t="shared" si="177"/>
        <v>27.442999999999998</v>
      </c>
      <c r="O186" s="201">
        <f t="shared" si="178"/>
        <v>0.78087846631694091</v>
      </c>
    </row>
    <row r="187" spans="1:17">
      <c r="A187" s="129" t="s">
        <v>707</v>
      </c>
      <c r="B187" s="129" t="s">
        <v>293</v>
      </c>
      <c r="C187" s="91">
        <v>44557</v>
      </c>
      <c r="D187" s="129">
        <v>3360</v>
      </c>
      <c r="E187" s="129" t="s">
        <v>294</v>
      </c>
      <c r="F187" s="129" t="s">
        <v>287</v>
      </c>
      <c r="G187" s="129" t="s">
        <v>213</v>
      </c>
      <c r="H187" s="129" t="s">
        <v>575</v>
      </c>
      <c r="I187" s="129">
        <v>965369</v>
      </c>
      <c r="J187" s="129"/>
      <c r="K187" s="203" t="s">
        <v>192</v>
      </c>
      <c r="L187" s="133">
        <v>37</v>
      </c>
      <c r="M187" s="103">
        <v>0</v>
      </c>
      <c r="N187" s="205">
        <f t="shared" ref="N187" si="179">L187-M187</f>
        <v>37</v>
      </c>
      <c r="O187" s="204">
        <f t="shared" ref="O187" si="180">M187/L187</f>
        <v>0</v>
      </c>
    </row>
    <row r="188" spans="1:17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09"/>
      <c r="M188" s="101"/>
      <c r="N188" s="129"/>
      <c r="O188" s="129"/>
    </row>
    <row r="189" spans="1:17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09"/>
      <c r="M189" s="101"/>
      <c r="N189" s="129"/>
      <c r="O189" s="129"/>
    </row>
    <row r="190" spans="1:17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09"/>
      <c r="M190" s="101"/>
      <c r="N190" s="129"/>
      <c r="O190" s="129"/>
    </row>
    <row r="191" spans="1:17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09"/>
      <c r="M191" s="101"/>
      <c r="N191" s="129"/>
      <c r="O191" s="129"/>
    </row>
    <row r="192" spans="1:17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09"/>
      <c r="M192" s="101"/>
      <c r="N192" s="129"/>
      <c r="O192" s="129"/>
    </row>
    <row r="193" spans="1:1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09"/>
      <c r="M193" s="101"/>
      <c r="N193" s="129"/>
      <c r="O193" s="129"/>
    </row>
    <row r="194" spans="1:1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09"/>
      <c r="M194" s="101"/>
      <c r="N194" s="129"/>
      <c r="O194" s="129"/>
    </row>
    <row r="195" spans="1:1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09"/>
      <c r="M195" s="101"/>
      <c r="N195" s="129"/>
      <c r="O195" s="129"/>
    </row>
    <row r="196" spans="1:1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09"/>
      <c r="M196" s="101"/>
      <c r="N196" s="129"/>
      <c r="O196" s="129"/>
    </row>
    <row r="197" spans="1:15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09"/>
      <c r="M197" s="101"/>
      <c r="N197" s="129"/>
      <c r="O197" s="129"/>
    </row>
    <row r="198" spans="1:1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09"/>
      <c r="M198" s="101"/>
      <c r="N198" s="129"/>
      <c r="O198" s="129"/>
    </row>
    <row r="199" spans="1:15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09"/>
      <c r="M199" s="101"/>
      <c r="N199" s="129"/>
      <c r="O199" s="129"/>
    </row>
    <row r="200" spans="1:1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09"/>
      <c r="M200" s="101"/>
      <c r="N200" s="129"/>
      <c r="O200" s="129"/>
    </row>
    <row r="201" spans="1:1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09"/>
      <c r="M201" s="101"/>
      <c r="N201" s="129"/>
      <c r="O201" s="129"/>
    </row>
    <row r="202" spans="1:1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09"/>
      <c r="M202" s="101"/>
      <c r="N202" s="129"/>
      <c r="O202" s="129"/>
    </row>
    <row r="203" spans="1:1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09"/>
      <c r="M203" s="101"/>
      <c r="N203" s="129"/>
      <c r="O203" s="129"/>
    </row>
    <row r="204" spans="1:1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09"/>
      <c r="M204" s="101"/>
      <c r="N204" s="129"/>
      <c r="O204" s="129"/>
    </row>
    <row r="205" spans="1:1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09"/>
      <c r="M205" s="101"/>
      <c r="N205" s="129"/>
      <c r="O205" s="129"/>
    </row>
    <row r="206" spans="1:1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09"/>
      <c r="M206" s="101"/>
      <c r="N206" s="129"/>
      <c r="O206" s="129"/>
    </row>
    <row r="207" spans="1:1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09"/>
      <c r="M207" s="101"/>
      <c r="N207" s="129"/>
      <c r="O207" s="129"/>
    </row>
    <row r="208" spans="1:1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09"/>
      <c r="M208" s="101"/>
      <c r="N208" s="129"/>
      <c r="O208" s="129"/>
    </row>
    <row r="209" spans="1:1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09"/>
      <c r="M209" s="101"/>
      <c r="N209" s="129"/>
      <c r="O209" s="129"/>
    </row>
    <row r="210" spans="1:1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09"/>
      <c r="M210" s="101"/>
      <c r="N210" s="129"/>
      <c r="O210" s="129"/>
    </row>
    <row r="211" spans="1:1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09"/>
      <c r="M211" s="101"/>
      <c r="N211" s="129"/>
      <c r="O211" s="129"/>
    </row>
    <row r="212" spans="1:1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09"/>
      <c r="M212" s="101"/>
      <c r="N212" s="129"/>
      <c r="O212" s="129"/>
    </row>
    <row r="213" spans="1:1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09"/>
      <c r="M213" s="101"/>
      <c r="N213" s="129"/>
      <c r="O213" s="129"/>
    </row>
    <row r="214" spans="1:1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09"/>
      <c r="M214" s="101"/>
      <c r="N214" s="129"/>
      <c r="O214" s="129"/>
    </row>
    <row r="215" spans="1:1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09"/>
      <c r="M215" s="101"/>
      <c r="N215" s="129"/>
      <c r="O215" s="129"/>
    </row>
    <row r="216" spans="1:1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09"/>
      <c r="M216" s="101"/>
      <c r="N216" s="129"/>
      <c r="O216" s="129"/>
    </row>
    <row r="217" spans="1:1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09"/>
      <c r="M217" s="101"/>
      <c r="N217" s="129"/>
      <c r="O217" s="129"/>
    </row>
    <row r="218" spans="1:15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09"/>
      <c r="M218" s="101"/>
      <c r="N218" s="129"/>
      <c r="O218" s="129"/>
    </row>
    <row r="219" spans="1:1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09"/>
      <c r="M219" s="101"/>
      <c r="N219" s="129"/>
      <c r="O219" s="129"/>
    </row>
    <row r="220" spans="1:1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09"/>
      <c r="M220" s="101"/>
      <c r="N220" s="129"/>
      <c r="O220" s="129"/>
    </row>
    <row r="221" spans="1:1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09"/>
      <c r="M221" s="101"/>
      <c r="N221" s="129"/>
      <c r="O221" s="129"/>
    </row>
    <row r="222" spans="1:15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09"/>
      <c r="M222" s="101"/>
      <c r="N222" s="129"/>
      <c r="O222" s="129"/>
    </row>
    <row r="223" spans="1:1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09"/>
      <c r="M223" s="101"/>
      <c r="N223" s="129"/>
      <c r="O223" s="129"/>
    </row>
    <row r="224" spans="1:1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09"/>
      <c r="M224" s="101"/>
      <c r="N224" s="129"/>
      <c r="O224" s="129"/>
    </row>
    <row r="225" spans="1:1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09"/>
      <c r="M225" s="101"/>
      <c r="N225" s="129"/>
      <c r="O225" s="129"/>
    </row>
    <row r="226" spans="1:1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09"/>
      <c r="M226" s="101"/>
      <c r="N226" s="129"/>
      <c r="O226" s="129"/>
    </row>
    <row r="227" spans="1:1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09"/>
      <c r="M227" s="101"/>
      <c r="N227" s="129"/>
      <c r="O227" s="129"/>
    </row>
    <row r="228" spans="1:15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09"/>
      <c r="M228" s="101"/>
      <c r="N228" s="129"/>
      <c r="O228" s="129"/>
    </row>
    <row r="229" spans="1:15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09"/>
      <c r="M229" s="101"/>
      <c r="N229" s="129"/>
      <c r="O229" s="129"/>
    </row>
    <row r="230" spans="1:15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09"/>
      <c r="M230" s="101"/>
      <c r="N230" s="129"/>
      <c r="O230" s="129"/>
    </row>
    <row r="231" spans="1:1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09"/>
      <c r="M231" s="101"/>
      <c r="N231" s="129"/>
      <c r="O231" s="129"/>
    </row>
    <row r="232" spans="1:15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09"/>
      <c r="M232" s="101"/>
      <c r="N232" s="129"/>
      <c r="O232" s="129"/>
    </row>
    <row r="233" spans="1:1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09"/>
      <c r="M233" s="101"/>
      <c r="N233" s="129"/>
      <c r="O233" s="129"/>
    </row>
    <row r="234" spans="1:15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09"/>
      <c r="M234" s="101"/>
      <c r="N234" s="129"/>
      <c r="O234" s="129"/>
    </row>
    <row r="235" spans="1:1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09"/>
      <c r="M235" s="101"/>
      <c r="N235" s="129"/>
      <c r="O235" s="129"/>
    </row>
    <row r="236" spans="1:15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09"/>
      <c r="M236" s="101"/>
      <c r="N236" s="129"/>
      <c r="O236" s="129"/>
    </row>
    <row r="237" spans="1:1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09"/>
      <c r="M237" s="101"/>
      <c r="N237" s="129"/>
      <c r="O237" s="129"/>
    </row>
    <row r="238" spans="1:1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09"/>
      <c r="M238" s="101"/>
      <c r="N238" s="129"/>
      <c r="O238" s="129"/>
    </row>
    <row r="239" spans="1:1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09"/>
      <c r="M239" s="101"/>
      <c r="N239" s="129"/>
      <c r="O239" s="129"/>
    </row>
    <row r="240" spans="1:1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09"/>
      <c r="M240" s="101"/>
      <c r="N240" s="129"/>
      <c r="O240" s="129"/>
    </row>
    <row r="241" spans="1:1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09"/>
      <c r="M241" s="101"/>
      <c r="N241" s="129"/>
      <c r="O241" s="129"/>
    </row>
    <row r="242" spans="1:1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09"/>
      <c r="M242" s="101"/>
      <c r="N242" s="129"/>
      <c r="O242" s="129"/>
    </row>
    <row r="243" spans="1:1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09"/>
      <c r="M243" s="101"/>
      <c r="N243" s="129"/>
      <c r="O243" s="129"/>
    </row>
    <row r="244" spans="1:1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09"/>
      <c r="M244" s="101"/>
      <c r="N244" s="129"/>
      <c r="O244" s="129"/>
    </row>
    <row r="245" spans="1:1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09"/>
      <c r="M245" s="101"/>
      <c r="N245" s="129"/>
      <c r="O245" s="129"/>
    </row>
    <row r="246" spans="1:1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09"/>
      <c r="M246" s="101"/>
      <c r="N246" s="129"/>
      <c r="O246" s="129"/>
    </row>
    <row r="247" spans="1:1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09"/>
      <c r="M247" s="101"/>
      <c r="N247" s="129"/>
      <c r="O247" s="129"/>
    </row>
    <row r="248" spans="1:1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09"/>
      <c r="M248" s="101"/>
      <c r="N248" s="129"/>
      <c r="O248" s="129"/>
    </row>
    <row r="249" spans="1:1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09"/>
      <c r="M249" s="101"/>
      <c r="N249" s="129"/>
      <c r="O249" s="129"/>
    </row>
    <row r="250" spans="1:1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09"/>
      <c r="M250" s="101"/>
      <c r="N250" s="129"/>
      <c r="O250" s="129"/>
    </row>
    <row r="251" spans="1:1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09"/>
      <c r="M251" s="101"/>
      <c r="N251" s="129"/>
      <c r="O251" s="129"/>
    </row>
    <row r="252" spans="1:1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09"/>
      <c r="M252" s="101"/>
      <c r="N252" s="129"/>
      <c r="O252" s="129"/>
    </row>
    <row r="253" spans="1:1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09"/>
      <c r="M253" s="101"/>
      <c r="N253" s="129"/>
      <c r="O253" s="129"/>
    </row>
    <row r="254" spans="1:1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09"/>
      <c r="M254" s="101"/>
      <c r="N254" s="129"/>
      <c r="O254" s="129"/>
    </row>
    <row r="255" spans="1:1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09"/>
      <c r="M255" s="101"/>
      <c r="N255" s="129"/>
      <c r="O255" s="129"/>
    </row>
    <row r="256" spans="1:15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09"/>
      <c r="M256" s="101"/>
      <c r="N256" s="129"/>
      <c r="O256" s="129"/>
    </row>
    <row r="257" spans="1:1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09"/>
      <c r="M257" s="101"/>
      <c r="N257" s="129"/>
      <c r="O257" s="129"/>
    </row>
    <row r="258" spans="1:15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09"/>
      <c r="M258" s="101"/>
      <c r="N258" s="129"/>
      <c r="O258" s="129"/>
    </row>
    <row r="259" spans="1:15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09"/>
      <c r="M259" s="101"/>
      <c r="N259" s="129"/>
      <c r="O259" s="129"/>
    </row>
    <row r="260" spans="1:1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09"/>
      <c r="M260" s="101"/>
      <c r="N260" s="129"/>
      <c r="O260" s="129"/>
    </row>
    <row r="261" spans="1:15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09"/>
      <c r="M261" s="101"/>
      <c r="N261" s="129"/>
      <c r="O261" s="129"/>
    </row>
    <row r="262" spans="1:1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09"/>
      <c r="M262" s="101"/>
      <c r="N262" s="129"/>
      <c r="O262" s="129"/>
    </row>
    <row r="263" spans="1:1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09"/>
      <c r="M263" s="101"/>
      <c r="N263" s="129"/>
      <c r="O263" s="129"/>
    </row>
    <row r="264" spans="1:1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09"/>
      <c r="M264" s="101"/>
      <c r="N264" s="129"/>
      <c r="O264" s="129"/>
    </row>
    <row r="265" spans="1:1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09"/>
      <c r="M265" s="101"/>
      <c r="N265" s="129"/>
      <c r="O265" s="129"/>
    </row>
    <row r="266" spans="1:15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09"/>
      <c r="M266" s="101"/>
      <c r="N266" s="129"/>
      <c r="O266" s="129"/>
    </row>
    <row r="267" spans="1:15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09"/>
      <c r="M267" s="101"/>
      <c r="N267" s="129"/>
      <c r="O267" s="129"/>
    </row>
    <row r="268" spans="1:1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09"/>
      <c r="M268" s="101"/>
      <c r="N268" s="129"/>
      <c r="O268" s="129"/>
    </row>
    <row r="269" spans="1:15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09"/>
      <c r="M269" s="101"/>
      <c r="N269" s="129"/>
      <c r="O269" s="129"/>
    </row>
    <row r="270" spans="1:15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09"/>
      <c r="M270" s="101"/>
      <c r="N270" s="129"/>
      <c r="O270" s="129"/>
    </row>
    <row r="271" spans="1:15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09"/>
      <c r="M271" s="101"/>
      <c r="N271" s="129"/>
      <c r="O271" s="129"/>
    </row>
    <row r="272" spans="1:1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09"/>
      <c r="M272" s="101"/>
      <c r="N272" s="129"/>
      <c r="O272" s="129"/>
    </row>
    <row r="273" spans="1:15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09"/>
      <c r="M273" s="101"/>
      <c r="N273" s="129"/>
      <c r="O273" s="129"/>
    </row>
    <row r="274" spans="1:1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09"/>
      <c r="M274" s="101"/>
      <c r="N274" s="129"/>
      <c r="O274" s="129"/>
    </row>
    <row r="275" spans="1:1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09"/>
      <c r="M275" s="101"/>
      <c r="N275" s="129"/>
      <c r="O275" s="129"/>
    </row>
    <row r="276" spans="1:15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09"/>
      <c r="M276" s="101"/>
      <c r="N276" s="129"/>
      <c r="O276" s="129"/>
    </row>
    <row r="277" spans="1:15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09"/>
      <c r="M277" s="101"/>
      <c r="N277" s="129"/>
      <c r="O277" s="129"/>
    </row>
    <row r="278" spans="1:1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09"/>
      <c r="M278" s="101"/>
      <c r="N278" s="129"/>
      <c r="O278" s="129"/>
    </row>
    <row r="279" spans="1:15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09"/>
      <c r="M279" s="101"/>
      <c r="N279" s="129"/>
      <c r="O279" s="129"/>
    </row>
    <row r="280" spans="1:15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09"/>
      <c r="M280" s="101"/>
      <c r="N280" s="129"/>
      <c r="O280" s="129"/>
    </row>
    <row r="281" spans="1:1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09"/>
      <c r="M281" s="101"/>
      <c r="N281" s="129"/>
      <c r="O281" s="129"/>
    </row>
    <row r="282" spans="1:15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09"/>
      <c r="M282" s="101"/>
      <c r="N282" s="129"/>
      <c r="O282" s="129"/>
    </row>
    <row r="283" spans="1:15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09"/>
      <c r="M283" s="101"/>
      <c r="N283" s="129"/>
      <c r="O283" s="129"/>
    </row>
    <row r="284" spans="1:15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09"/>
      <c r="M284" s="101"/>
      <c r="N284" s="129"/>
      <c r="O284" s="129"/>
    </row>
    <row r="285" spans="1:1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09"/>
      <c r="M285" s="101"/>
      <c r="N285" s="129"/>
      <c r="O285" s="129"/>
    </row>
    <row r="286" spans="1:15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09"/>
      <c r="M286" s="101"/>
      <c r="N286" s="129"/>
      <c r="O286" s="129"/>
    </row>
    <row r="287" spans="1:1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09"/>
      <c r="M287" s="101"/>
      <c r="N287" s="129"/>
      <c r="O287" s="129"/>
    </row>
    <row r="288" spans="1:15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09"/>
      <c r="M288" s="101"/>
      <c r="N288" s="129"/>
      <c r="O288" s="129"/>
    </row>
    <row r="289" spans="1:1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09"/>
      <c r="M289" s="101"/>
      <c r="N289" s="129"/>
      <c r="O289" s="129"/>
    </row>
    <row r="290" spans="1:15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09"/>
      <c r="M290" s="101"/>
      <c r="N290" s="129"/>
      <c r="O290" s="129"/>
    </row>
    <row r="291" spans="1:15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09"/>
      <c r="M291" s="101"/>
      <c r="N291" s="129"/>
      <c r="O291" s="129"/>
    </row>
    <row r="292" spans="1:1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09"/>
      <c r="M292" s="101"/>
      <c r="N292" s="129"/>
      <c r="O292" s="129"/>
    </row>
    <row r="293" spans="1:1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09"/>
      <c r="M293" s="101"/>
      <c r="N293" s="129"/>
      <c r="O293" s="129"/>
    </row>
    <row r="294" spans="1:15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09"/>
      <c r="M294" s="101"/>
      <c r="N294" s="129"/>
      <c r="O294" s="129"/>
    </row>
    <row r="295" spans="1:1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09"/>
      <c r="M295" s="101"/>
      <c r="N295" s="129"/>
      <c r="O295" s="129"/>
    </row>
    <row r="296" spans="1:15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09"/>
      <c r="M296" s="101"/>
      <c r="N296" s="129"/>
      <c r="O296" s="129"/>
    </row>
    <row r="297" spans="1:15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09"/>
      <c r="M297" s="101"/>
      <c r="N297" s="129"/>
      <c r="O297" s="129"/>
    </row>
    <row r="298" spans="1:1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09"/>
      <c r="M298" s="101"/>
      <c r="N298" s="129"/>
      <c r="O298" s="129"/>
    </row>
    <row r="299" spans="1:1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09"/>
      <c r="M299" s="101"/>
      <c r="N299" s="129"/>
      <c r="O299" s="129"/>
    </row>
    <row r="300" spans="1:15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09"/>
      <c r="M300" s="101"/>
      <c r="N300" s="129"/>
      <c r="O300" s="129"/>
    </row>
    <row r="301" spans="1:1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09"/>
      <c r="M301" s="101"/>
      <c r="N301" s="129"/>
      <c r="O301" s="129"/>
    </row>
    <row r="302" spans="1:1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09"/>
      <c r="M302" s="101"/>
      <c r="N302" s="129"/>
      <c r="O302" s="129"/>
    </row>
    <row r="303" spans="1:15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09"/>
      <c r="M303" s="101"/>
      <c r="N303" s="129"/>
      <c r="O303" s="129"/>
    </row>
    <row r="304" spans="1:1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09"/>
      <c r="M304" s="101"/>
      <c r="N304" s="129"/>
      <c r="O304" s="129"/>
    </row>
    <row r="305" spans="1:1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09"/>
      <c r="M305" s="101"/>
      <c r="N305" s="129"/>
      <c r="O305" s="129"/>
    </row>
    <row r="306" spans="1:1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09"/>
      <c r="M306" s="101"/>
      <c r="N306" s="129"/>
      <c r="O306" s="129"/>
    </row>
    <row r="307" spans="1:1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09"/>
      <c r="M307" s="101"/>
      <c r="N307" s="129"/>
      <c r="O307" s="129"/>
    </row>
    <row r="308" spans="1:1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09"/>
      <c r="M308" s="101"/>
      <c r="N308" s="129"/>
      <c r="O308" s="129"/>
    </row>
    <row r="309" spans="1:1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09"/>
      <c r="M309" s="101"/>
      <c r="N309" s="129"/>
      <c r="O309" s="129"/>
    </row>
    <row r="310" spans="1:15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09"/>
      <c r="M310" s="101"/>
      <c r="N310" s="129"/>
      <c r="O310" s="129"/>
    </row>
    <row r="311" spans="1:15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09"/>
      <c r="M311" s="101"/>
      <c r="N311" s="129"/>
      <c r="O311" s="129"/>
    </row>
    <row r="312" spans="1:1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09"/>
      <c r="M312" s="101"/>
      <c r="N312" s="129"/>
      <c r="O312" s="129"/>
    </row>
    <row r="313" spans="1:1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09"/>
      <c r="M313" s="101"/>
      <c r="N313" s="129"/>
      <c r="O313" s="129"/>
    </row>
    <row r="314" spans="1:1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09"/>
      <c r="M314" s="101"/>
      <c r="N314" s="129"/>
      <c r="O314" s="129"/>
    </row>
    <row r="315" spans="1:1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09"/>
      <c r="M315" s="101"/>
      <c r="N315" s="129"/>
      <c r="O315" s="129"/>
    </row>
    <row r="316" spans="1:1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09"/>
      <c r="M316" s="101"/>
      <c r="N316" s="129"/>
      <c r="O316" s="129"/>
    </row>
    <row r="317" spans="1:1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09"/>
      <c r="M317" s="101"/>
      <c r="N317" s="129"/>
      <c r="O317" s="129"/>
    </row>
    <row r="318" spans="1:1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09"/>
      <c r="M318" s="101"/>
      <c r="N318" s="129"/>
      <c r="O318" s="129"/>
    </row>
    <row r="319" spans="1:1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09"/>
      <c r="M319" s="101"/>
      <c r="N319" s="129"/>
      <c r="O319" s="129"/>
    </row>
    <row r="320" spans="1:1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09"/>
      <c r="M320" s="101"/>
      <c r="N320" s="129"/>
      <c r="O320" s="129"/>
    </row>
    <row r="321" spans="1:1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09"/>
      <c r="M321" s="101"/>
      <c r="N321" s="129"/>
      <c r="O321" s="129"/>
    </row>
    <row r="322" spans="1:1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09"/>
      <c r="M322" s="101"/>
      <c r="N322" s="129"/>
      <c r="O322" s="129"/>
    </row>
    <row r="323" spans="1:1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09"/>
      <c r="M323" s="101"/>
      <c r="N323" s="129"/>
      <c r="O323" s="129"/>
    </row>
    <row r="324" spans="1:1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09"/>
      <c r="M324" s="101"/>
      <c r="N324" s="129"/>
      <c r="O324" s="129"/>
    </row>
    <row r="325" spans="1:15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09"/>
      <c r="M325" s="101"/>
      <c r="N325" s="129"/>
      <c r="O325" s="129"/>
    </row>
    <row r="326" spans="1:1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09"/>
      <c r="M326" s="101"/>
      <c r="N326" s="129"/>
      <c r="O326" s="129"/>
    </row>
    <row r="327" spans="1:15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09"/>
      <c r="M327" s="101"/>
      <c r="N327" s="129"/>
      <c r="O327" s="129"/>
    </row>
    <row r="328" spans="1:15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09"/>
      <c r="M328" s="101"/>
      <c r="N328" s="129"/>
      <c r="O328" s="129"/>
    </row>
    <row r="329" spans="1:1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09"/>
      <c r="M329" s="101"/>
      <c r="N329" s="129"/>
      <c r="O329" s="129"/>
    </row>
  </sheetData>
  <autoFilter ref="A3:Q187"/>
  <mergeCells count="7">
    <mergeCell ref="B2:O2"/>
    <mergeCell ref="L143:L145"/>
    <mergeCell ref="N143:N145"/>
    <mergeCell ref="O143:O145"/>
    <mergeCell ref="L146:L148"/>
    <mergeCell ref="N146:N148"/>
    <mergeCell ref="O146:O148"/>
  </mergeCells>
  <phoneticPr fontId="39" type="noConversion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195"/>
  <sheetViews>
    <sheetView workbookViewId="0">
      <pane ySplit="5" topLeftCell="A6" activePane="bottomLeft" state="frozen"/>
      <selection pane="bottomLeft" activeCell="M6" sqref="M6:M195"/>
    </sheetView>
  </sheetViews>
  <sheetFormatPr baseColWidth="10" defaultRowHeight="15"/>
  <cols>
    <col min="1" max="1" width="11.42578125" style="84"/>
    <col min="2" max="2" width="9.5703125" style="84" bestFit="1" customWidth="1"/>
    <col min="3" max="3" width="19.42578125" style="84" customWidth="1"/>
    <col min="4" max="4" width="9.140625" style="84" customWidth="1"/>
    <col min="5" max="5" width="22.28515625" style="84" bestFit="1" customWidth="1"/>
    <col min="6" max="6" width="16.85546875" style="84" customWidth="1"/>
    <col min="7" max="7" width="18.28515625" style="84" customWidth="1"/>
    <col min="8" max="8" width="12.28515625" style="84" customWidth="1"/>
    <col min="9" max="9" width="12.85546875" style="84" customWidth="1"/>
    <col min="10" max="10" width="13.85546875" style="84" customWidth="1"/>
    <col min="11" max="11" width="13.5703125" style="84" customWidth="1"/>
    <col min="12" max="12" width="12.7109375" style="84" customWidth="1"/>
    <col min="13" max="13" width="11.85546875" style="84" customWidth="1"/>
    <col min="14" max="14" width="13.140625" style="84" customWidth="1"/>
    <col min="15" max="16384" width="11.42578125" style="84"/>
  </cols>
  <sheetData>
    <row r="2" spans="2:15">
      <c r="B2" s="259" t="s">
        <v>690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2:15">
      <c r="B3" s="260">
        <f>RESUMEN!B3</f>
        <v>44201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5" spans="2:15" s="157" customFormat="1" ht="60">
      <c r="B5" s="153" t="s">
        <v>38</v>
      </c>
      <c r="C5" s="153" t="s">
        <v>35</v>
      </c>
      <c r="D5" s="153" t="s">
        <v>202</v>
      </c>
      <c r="E5" s="153" t="s">
        <v>0</v>
      </c>
      <c r="F5" s="153" t="s">
        <v>650</v>
      </c>
      <c r="G5" s="153" t="s">
        <v>651</v>
      </c>
      <c r="H5" s="153" t="s">
        <v>679</v>
      </c>
      <c r="I5" s="153" t="s">
        <v>652</v>
      </c>
      <c r="J5" s="153" t="s">
        <v>653</v>
      </c>
      <c r="K5" s="153" t="s">
        <v>688</v>
      </c>
      <c r="L5" s="153" t="s">
        <v>654</v>
      </c>
      <c r="M5" s="153" t="s">
        <v>161</v>
      </c>
      <c r="N5" s="153" t="s">
        <v>6</v>
      </c>
      <c r="O5" s="153" t="s">
        <v>37</v>
      </c>
    </row>
    <row r="6" spans="2:15">
      <c r="B6" s="302" t="s">
        <v>540</v>
      </c>
      <c r="C6" s="165" t="s">
        <v>541</v>
      </c>
      <c r="D6" s="165">
        <v>962297</v>
      </c>
      <c r="E6" s="130" t="s">
        <v>673</v>
      </c>
      <c r="F6" s="165">
        <v>2.2999999999999687E-2</v>
      </c>
      <c r="G6" s="166">
        <v>0</v>
      </c>
      <c r="H6" s="166">
        <f t="shared" ref="H6:H69" si="0">((F6+G6)*0.6)</f>
        <v>1.3799999999999812E-2</v>
      </c>
      <c r="I6" s="130">
        <v>0.40200000000000002</v>
      </c>
      <c r="J6" s="130">
        <v>0</v>
      </c>
      <c r="K6" s="130">
        <f t="shared" ref="K6:K47" si="1">F6-I6</f>
        <v>-0.37900000000000034</v>
      </c>
      <c r="L6" s="130">
        <f>G6-J6</f>
        <v>0</v>
      </c>
      <c r="M6" s="130">
        <f>K6+L6</f>
        <v>-0.37900000000000034</v>
      </c>
      <c r="N6" s="94">
        <f>(I6+J6)/(F6+G6)</f>
        <v>17.478260869565457</v>
      </c>
      <c r="O6" s="130"/>
    </row>
    <row r="7" spans="2:15">
      <c r="B7" s="302"/>
      <c r="C7" s="165" t="s">
        <v>424</v>
      </c>
      <c r="D7" s="165">
        <v>958563</v>
      </c>
      <c r="E7" s="130" t="s">
        <v>673</v>
      </c>
      <c r="F7" s="165">
        <v>28.439999999999984</v>
      </c>
      <c r="G7" s="166">
        <v>63.215000000000003</v>
      </c>
      <c r="H7" s="171">
        <f t="shared" si="0"/>
        <v>54.992999999999988</v>
      </c>
      <c r="I7" s="130">
        <v>9.9550000000000001</v>
      </c>
      <c r="J7" s="130">
        <v>259.41500000000002</v>
      </c>
      <c r="K7" s="130">
        <f t="shared" si="1"/>
        <v>18.484999999999985</v>
      </c>
      <c r="L7" s="130">
        <f t="shared" ref="L7:L104" si="2">G7-J7</f>
        <v>-196.20000000000002</v>
      </c>
      <c r="M7" s="130">
        <f t="shared" ref="M7:M104" si="3">K7+L7</f>
        <v>-177.71500000000003</v>
      </c>
      <c r="N7" s="94">
        <f t="shared" ref="N7:N104" si="4">(I7+J7)/(F7+G7)</f>
        <v>2.9389558671103599</v>
      </c>
      <c r="O7" s="130"/>
    </row>
    <row r="8" spans="2:15">
      <c r="B8" s="302"/>
      <c r="C8" s="165" t="s">
        <v>384</v>
      </c>
      <c r="D8" s="165">
        <v>31015</v>
      </c>
      <c r="E8" s="130" t="s">
        <v>673</v>
      </c>
      <c r="F8" s="165">
        <v>42.195999999999984</v>
      </c>
      <c r="G8" s="166">
        <v>151.38900000000001</v>
      </c>
      <c r="H8" s="171">
        <f t="shared" si="0"/>
        <v>116.15099999999998</v>
      </c>
      <c r="I8" s="130">
        <v>310.84300000000002</v>
      </c>
      <c r="J8" s="130">
        <v>321.62</v>
      </c>
      <c r="K8" s="130">
        <f t="shared" si="1"/>
        <v>-268.64700000000005</v>
      </c>
      <c r="L8" s="130">
        <f t="shared" si="2"/>
        <v>-170.23099999999999</v>
      </c>
      <c r="M8" s="130">
        <f t="shared" si="3"/>
        <v>-438.87800000000004</v>
      </c>
      <c r="N8" s="94">
        <f t="shared" si="4"/>
        <v>3.2671074721698479</v>
      </c>
      <c r="O8" s="130"/>
    </row>
    <row r="9" spans="2:15">
      <c r="B9" s="302"/>
      <c r="C9" s="165" t="s">
        <v>281</v>
      </c>
      <c r="D9" s="165">
        <v>954552</v>
      </c>
      <c r="E9" s="130" t="s">
        <v>673</v>
      </c>
      <c r="F9" s="165">
        <v>35.025000000000006</v>
      </c>
      <c r="G9" s="166">
        <v>0</v>
      </c>
      <c r="H9" s="171">
        <f t="shared" si="0"/>
        <v>21.015000000000004</v>
      </c>
      <c r="I9" s="130">
        <v>52.414999999999999</v>
      </c>
      <c r="J9" s="130">
        <v>0</v>
      </c>
      <c r="K9" s="130">
        <f t="shared" si="1"/>
        <v>-17.389999999999993</v>
      </c>
      <c r="L9" s="130">
        <f t="shared" si="2"/>
        <v>0</v>
      </c>
      <c r="M9" s="130">
        <f t="shared" si="3"/>
        <v>-17.389999999999993</v>
      </c>
      <c r="N9" s="94">
        <f t="shared" si="4"/>
        <v>1.4965024982155601</v>
      </c>
      <c r="O9" s="130"/>
    </row>
    <row r="10" spans="2:15">
      <c r="B10" s="302"/>
      <c r="C10" s="165" t="s">
        <v>542</v>
      </c>
      <c r="D10" s="165">
        <v>952452</v>
      </c>
      <c r="E10" s="130" t="s">
        <v>673</v>
      </c>
      <c r="F10" s="165">
        <v>98.61999999999999</v>
      </c>
      <c r="G10" s="166">
        <v>123</v>
      </c>
      <c r="H10" s="171">
        <f t="shared" si="0"/>
        <v>132.97200000000001</v>
      </c>
      <c r="I10" s="130">
        <v>98.468000000000004</v>
      </c>
      <c r="J10" s="130">
        <v>387.12299999999999</v>
      </c>
      <c r="K10" s="130">
        <f t="shared" si="1"/>
        <v>0.15199999999998681</v>
      </c>
      <c r="L10" s="130">
        <f t="shared" si="2"/>
        <v>-264.12299999999999</v>
      </c>
      <c r="M10" s="130">
        <f t="shared" si="3"/>
        <v>-263.971</v>
      </c>
      <c r="N10" s="94">
        <f t="shared" si="4"/>
        <v>2.1910973738832236</v>
      </c>
      <c r="O10" s="130"/>
    </row>
    <row r="11" spans="2:15">
      <c r="B11" s="302"/>
      <c r="C11" s="165" t="s">
        <v>397</v>
      </c>
      <c r="D11" s="165">
        <v>962899</v>
      </c>
      <c r="E11" s="130" t="s">
        <v>673</v>
      </c>
      <c r="F11" s="165">
        <v>89.675000000000011</v>
      </c>
      <c r="G11" s="166">
        <v>0</v>
      </c>
      <c r="H11" s="171">
        <f t="shared" si="0"/>
        <v>53.805000000000007</v>
      </c>
      <c r="I11" s="130">
        <v>115.64700000000001</v>
      </c>
      <c r="J11" s="130">
        <v>0</v>
      </c>
      <c r="K11" s="130">
        <f t="shared" si="1"/>
        <v>-25.971999999999994</v>
      </c>
      <c r="L11" s="130">
        <f t="shared" si="2"/>
        <v>0</v>
      </c>
      <c r="M11" s="130">
        <f t="shared" si="3"/>
        <v>-25.971999999999994</v>
      </c>
      <c r="N11" s="94">
        <f t="shared" si="4"/>
        <v>1.2896236409255644</v>
      </c>
      <c r="O11" s="130"/>
    </row>
    <row r="12" spans="2:15">
      <c r="B12" s="302"/>
      <c r="C12" s="165" t="s">
        <v>368</v>
      </c>
      <c r="D12" s="165">
        <v>960106</v>
      </c>
      <c r="E12" s="130" t="s">
        <v>673</v>
      </c>
      <c r="F12" s="165">
        <v>6.0999999999999943E-2</v>
      </c>
      <c r="G12" s="166">
        <v>0</v>
      </c>
      <c r="H12" s="171">
        <f t="shared" si="0"/>
        <v>3.6599999999999966E-2</v>
      </c>
      <c r="I12" s="130">
        <v>6.9610000000000003</v>
      </c>
      <c r="J12" s="130">
        <v>0</v>
      </c>
      <c r="K12" s="154">
        <f t="shared" si="1"/>
        <v>-6.9</v>
      </c>
      <c r="L12" s="130">
        <f t="shared" si="2"/>
        <v>0</v>
      </c>
      <c r="M12" s="130">
        <f t="shared" si="3"/>
        <v>-6.9</v>
      </c>
      <c r="N12" s="94">
        <f t="shared" si="4"/>
        <v>114.11475409836076</v>
      </c>
      <c r="O12" s="130"/>
    </row>
    <row r="13" spans="2:15">
      <c r="B13" s="302"/>
      <c r="C13" s="170" t="s">
        <v>331</v>
      </c>
      <c r="D13" s="165">
        <v>958067</v>
      </c>
      <c r="E13" s="130" t="s">
        <v>673</v>
      </c>
      <c r="F13" s="165">
        <v>0.2900000000000027</v>
      </c>
      <c r="G13" s="166">
        <v>0</v>
      </c>
      <c r="H13" s="171">
        <f t="shared" si="0"/>
        <v>0.17400000000000163</v>
      </c>
      <c r="I13" s="130">
        <v>0</v>
      </c>
      <c r="J13" s="130">
        <v>0</v>
      </c>
      <c r="K13" s="130">
        <f t="shared" si="1"/>
        <v>0.2900000000000027</v>
      </c>
      <c r="L13" s="130">
        <f t="shared" si="2"/>
        <v>0</v>
      </c>
      <c r="M13" s="130">
        <f t="shared" si="3"/>
        <v>0.2900000000000027</v>
      </c>
      <c r="N13" s="94">
        <f t="shared" si="4"/>
        <v>0</v>
      </c>
      <c r="O13" s="130"/>
    </row>
    <row r="14" spans="2:15">
      <c r="B14" s="302"/>
      <c r="C14" s="165" t="s">
        <v>543</v>
      </c>
      <c r="D14" s="165">
        <v>969231</v>
      </c>
      <c r="E14" s="130" t="s">
        <v>673</v>
      </c>
      <c r="F14" s="165">
        <v>15.876999999999995</v>
      </c>
      <c r="G14" s="166">
        <v>184.66300000000001</v>
      </c>
      <c r="H14" s="171">
        <f t="shared" si="0"/>
        <v>120.32400000000001</v>
      </c>
      <c r="I14" s="130">
        <v>0</v>
      </c>
      <c r="J14" s="130">
        <v>0</v>
      </c>
      <c r="K14" s="130">
        <f t="shared" si="1"/>
        <v>15.876999999999995</v>
      </c>
      <c r="L14" s="130">
        <f t="shared" si="2"/>
        <v>184.66300000000001</v>
      </c>
      <c r="M14" s="130">
        <f t="shared" si="3"/>
        <v>200.54000000000002</v>
      </c>
      <c r="N14" s="94">
        <f t="shared" si="4"/>
        <v>0</v>
      </c>
      <c r="O14" s="130"/>
    </row>
    <row r="15" spans="2:15">
      <c r="B15" s="302"/>
      <c r="C15" s="165" t="s">
        <v>308</v>
      </c>
      <c r="D15" s="165">
        <v>961564</v>
      </c>
      <c r="E15" s="130" t="s">
        <v>673</v>
      </c>
      <c r="F15" s="165">
        <v>58</v>
      </c>
      <c r="G15" s="166">
        <v>121.18</v>
      </c>
      <c r="H15" s="171">
        <f t="shared" si="0"/>
        <v>107.508</v>
      </c>
      <c r="I15" s="130">
        <v>73.418000000000006</v>
      </c>
      <c r="J15" s="130">
        <v>118.203</v>
      </c>
      <c r="K15" s="130">
        <f t="shared" si="1"/>
        <v>-15.418000000000006</v>
      </c>
      <c r="L15" s="130">
        <f t="shared" si="2"/>
        <v>2.9770000000000039</v>
      </c>
      <c r="M15" s="130">
        <f t="shared" si="3"/>
        <v>-12.441000000000003</v>
      </c>
      <c r="N15" s="94">
        <f t="shared" si="4"/>
        <v>1.0694329724299587</v>
      </c>
      <c r="O15" s="130"/>
    </row>
    <row r="16" spans="2:15">
      <c r="B16" s="302"/>
      <c r="C16" s="165" t="s">
        <v>426</v>
      </c>
      <c r="D16" s="165">
        <v>954711</v>
      </c>
      <c r="E16" s="130" t="s">
        <v>673</v>
      </c>
      <c r="F16" s="165">
        <v>57</v>
      </c>
      <c r="G16" s="166">
        <v>143</v>
      </c>
      <c r="H16" s="171">
        <f t="shared" si="0"/>
        <v>120</v>
      </c>
      <c r="I16" s="130">
        <v>29.190999999999999</v>
      </c>
      <c r="J16" s="130">
        <v>169.459</v>
      </c>
      <c r="K16" s="130">
        <f t="shared" si="1"/>
        <v>27.809000000000001</v>
      </c>
      <c r="L16" s="130">
        <f t="shared" si="2"/>
        <v>-26.459000000000003</v>
      </c>
      <c r="M16" s="130">
        <f t="shared" si="3"/>
        <v>1.3499999999999979</v>
      </c>
      <c r="N16" s="94">
        <f t="shared" si="4"/>
        <v>0.99325000000000008</v>
      </c>
      <c r="O16" s="130"/>
    </row>
    <row r="17" spans="2:15">
      <c r="B17" s="302"/>
      <c r="C17" s="165" t="s">
        <v>469</v>
      </c>
      <c r="D17" s="165">
        <v>969362</v>
      </c>
      <c r="E17" s="130" t="s">
        <v>673</v>
      </c>
      <c r="F17" s="165">
        <v>86.278999999999996</v>
      </c>
      <c r="G17" s="166">
        <v>0</v>
      </c>
      <c r="H17" s="171">
        <f t="shared" si="0"/>
        <v>51.767399999999995</v>
      </c>
      <c r="I17" s="130">
        <v>108.105</v>
      </c>
      <c r="J17" s="130">
        <v>0</v>
      </c>
      <c r="K17" s="130">
        <f t="shared" si="1"/>
        <v>-21.826000000000008</v>
      </c>
      <c r="L17" s="130">
        <f t="shared" si="2"/>
        <v>0</v>
      </c>
      <c r="M17" s="130">
        <f t="shared" si="3"/>
        <v>-21.826000000000008</v>
      </c>
      <c r="N17" s="94">
        <f t="shared" si="4"/>
        <v>1.2529700158787191</v>
      </c>
      <c r="O17" s="130"/>
    </row>
    <row r="18" spans="2:15">
      <c r="B18" s="302"/>
      <c r="C18" s="165" t="s">
        <v>348</v>
      </c>
      <c r="D18" s="165">
        <v>955511</v>
      </c>
      <c r="E18" s="130" t="s">
        <v>673</v>
      </c>
      <c r="F18" s="165">
        <v>34.375999999999983</v>
      </c>
      <c r="G18" s="166">
        <v>150.99799999999999</v>
      </c>
      <c r="H18" s="171">
        <f t="shared" si="0"/>
        <v>111.22439999999997</v>
      </c>
      <c r="I18" s="130">
        <v>61.311999999999998</v>
      </c>
      <c r="J18" s="130">
        <v>268.56599999999997</v>
      </c>
      <c r="K18" s="130">
        <f t="shared" si="1"/>
        <v>-26.936000000000014</v>
      </c>
      <c r="L18" s="130">
        <f t="shared" si="2"/>
        <v>-117.56799999999998</v>
      </c>
      <c r="M18" s="130">
        <f t="shared" si="3"/>
        <v>-144.50399999999999</v>
      </c>
      <c r="N18" s="94">
        <f t="shared" si="4"/>
        <v>1.7795267944803481</v>
      </c>
      <c r="O18" s="130"/>
    </row>
    <row r="19" spans="2:15">
      <c r="B19" s="302"/>
      <c r="C19" s="165" t="s">
        <v>544</v>
      </c>
      <c r="D19" s="165">
        <v>955374</v>
      </c>
      <c r="E19" s="130" t="s">
        <v>673</v>
      </c>
      <c r="F19" s="165">
        <v>18.170000000000002</v>
      </c>
      <c r="G19" s="166">
        <v>42.470999999999997</v>
      </c>
      <c r="H19" s="171">
        <f t="shared" si="0"/>
        <v>36.384599999999999</v>
      </c>
      <c r="I19" s="130">
        <v>0</v>
      </c>
      <c r="J19" s="130">
        <v>0</v>
      </c>
      <c r="K19" s="130">
        <f t="shared" si="1"/>
        <v>18.170000000000002</v>
      </c>
      <c r="L19" s="130">
        <f t="shared" si="2"/>
        <v>42.470999999999997</v>
      </c>
      <c r="M19" s="130">
        <f t="shared" si="3"/>
        <v>60.640999999999998</v>
      </c>
      <c r="N19" s="94">
        <f t="shared" si="4"/>
        <v>0</v>
      </c>
      <c r="O19" s="130"/>
    </row>
    <row r="20" spans="2:15">
      <c r="B20" s="302"/>
      <c r="C20" s="165" t="s">
        <v>545</v>
      </c>
      <c r="D20" s="165">
        <v>963966</v>
      </c>
      <c r="E20" s="130" t="s">
        <v>673</v>
      </c>
      <c r="F20" s="165">
        <v>20</v>
      </c>
      <c r="G20" s="166">
        <v>90</v>
      </c>
      <c r="H20" s="171">
        <f t="shared" si="0"/>
        <v>66</v>
      </c>
      <c r="I20" s="130">
        <v>25.077999999999999</v>
      </c>
      <c r="J20" s="130">
        <v>239.845</v>
      </c>
      <c r="K20" s="130">
        <f t="shared" si="1"/>
        <v>-5.0779999999999994</v>
      </c>
      <c r="L20" s="130">
        <f t="shared" si="2"/>
        <v>-149.845</v>
      </c>
      <c r="M20" s="130">
        <f t="shared" si="3"/>
        <v>-154.923</v>
      </c>
      <c r="N20" s="94">
        <f t="shared" si="4"/>
        <v>2.408390909090909</v>
      </c>
      <c r="O20" s="130"/>
    </row>
    <row r="21" spans="2:15">
      <c r="B21" s="302"/>
      <c r="C21" s="171" t="s">
        <v>386</v>
      </c>
      <c r="D21" s="171">
        <v>955516</v>
      </c>
      <c r="E21" s="130" t="s">
        <v>673</v>
      </c>
      <c r="F21" s="171">
        <v>0</v>
      </c>
      <c r="G21" s="171">
        <v>8.1300000000000008</v>
      </c>
      <c r="H21" s="171">
        <f t="shared" si="0"/>
        <v>4.8780000000000001</v>
      </c>
      <c r="I21" s="130">
        <v>0</v>
      </c>
      <c r="J21" s="130">
        <v>522.09100000000001</v>
      </c>
      <c r="K21" s="130">
        <f t="shared" ref="K21" si="5">F21-I21</f>
        <v>0</v>
      </c>
      <c r="L21" s="130">
        <f t="shared" ref="L21" si="6">G21-J21</f>
        <v>-513.96100000000001</v>
      </c>
      <c r="M21" s="130">
        <f t="shared" ref="M21" si="7">K21+L21</f>
        <v>-513.96100000000001</v>
      </c>
      <c r="N21" s="94">
        <f t="shared" ref="N21" si="8">(I21+J21)/(F21+G21)</f>
        <v>64.217835178351777</v>
      </c>
      <c r="O21" s="130"/>
    </row>
    <row r="22" spans="2:15">
      <c r="B22" s="302"/>
      <c r="C22" s="165" t="s">
        <v>546</v>
      </c>
      <c r="D22" s="165">
        <v>913375</v>
      </c>
      <c r="E22" s="130" t="s">
        <v>673</v>
      </c>
      <c r="F22" s="165">
        <v>61.890999999999991</v>
      </c>
      <c r="G22" s="166">
        <v>124.16200000000001</v>
      </c>
      <c r="H22" s="171">
        <f t="shared" si="0"/>
        <v>111.6318</v>
      </c>
      <c r="I22" s="130">
        <v>425.202</v>
      </c>
      <c r="J22" s="130">
        <v>710.15899999999999</v>
      </c>
      <c r="K22" s="130">
        <f t="shared" si="1"/>
        <v>-363.31100000000004</v>
      </c>
      <c r="L22" s="130">
        <f t="shared" si="2"/>
        <v>-585.99699999999996</v>
      </c>
      <c r="M22" s="130">
        <f t="shared" si="3"/>
        <v>-949.30799999999999</v>
      </c>
      <c r="N22" s="94">
        <f t="shared" si="4"/>
        <v>6.1023525554546278</v>
      </c>
      <c r="O22" s="130"/>
    </row>
    <row r="23" spans="2:15">
      <c r="B23" s="302"/>
      <c r="C23" s="170" t="s">
        <v>592</v>
      </c>
      <c r="D23" s="165">
        <v>962492</v>
      </c>
      <c r="E23" s="130" t="s">
        <v>673</v>
      </c>
      <c r="F23" s="165">
        <v>65</v>
      </c>
      <c r="G23" s="166">
        <v>92.15</v>
      </c>
      <c r="H23" s="171">
        <f t="shared" si="0"/>
        <v>94.29</v>
      </c>
      <c r="I23" s="130">
        <v>327.37099999999998</v>
      </c>
      <c r="J23" s="130">
        <v>183.072</v>
      </c>
      <c r="K23" s="130">
        <f t="shared" si="1"/>
        <v>-262.37099999999998</v>
      </c>
      <c r="L23" s="130">
        <f t="shared" si="2"/>
        <v>-90.921999999999997</v>
      </c>
      <c r="M23" s="130">
        <f t="shared" si="3"/>
        <v>-353.29300000000001</v>
      </c>
      <c r="N23" s="94">
        <f t="shared" si="4"/>
        <v>3.2481259942729874</v>
      </c>
      <c r="O23" s="130"/>
    </row>
    <row r="24" spans="2:15">
      <c r="B24" s="302"/>
      <c r="C24" s="171" t="s">
        <v>593</v>
      </c>
      <c r="D24" s="171">
        <v>966110</v>
      </c>
      <c r="E24" s="130" t="s">
        <v>673</v>
      </c>
      <c r="F24" s="171">
        <v>0</v>
      </c>
      <c r="G24" s="171">
        <v>46.767000000000003</v>
      </c>
      <c r="H24" s="171">
        <f t="shared" si="0"/>
        <v>28.060200000000002</v>
      </c>
      <c r="I24" s="130">
        <v>0</v>
      </c>
      <c r="J24" s="130">
        <v>377.94799999999998</v>
      </c>
      <c r="K24" s="130">
        <f t="shared" ref="K24" si="9">F24-I24</f>
        <v>0</v>
      </c>
      <c r="L24" s="130">
        <f t="shared" ref="L24" si="10">G24-J24</f>
        <v>-331.18099999999998</v>
      </c>
      <c r="M24" s="130">
        <f t="shared" ref="M24" si="11">K24+L24</f>
        <v>-331.18099999999998</v>
      </c>
      <c r="N24" s="94">
        <f t="shared" ref="N24" si="12">(I24+J24)/(F24+G24)</f>
        <v>8.0815104667821309</v>
      </c>
      <c r="O24" s="130"/>
    </row>
    <row r="25" spans="2:15">
      <c r="B25" s="302"/>
      <c r="C25" s="171" t="s">
        <v>371</v>
      </c>
      <c r="D25" s="171">
        <v>955079</v>
      </c>
      <c r="E25" s="130" t="s">
        <v>673</v>
      </c>
      <c r="F25" s="171">
        <v>0</v>
      </c>
      <c r="G25" s="171">
        <v>3.4000000000000002E-2</v>
      </c>
      <c r="H25" s="171">
        <f t="shared" si="0"/>
        <v>2.0400000000000001E-2</v>
      </c>
      <c r="I25" s="130">
        <v>0</v>
      </c>
      <c r="J25" s="130">
        <v>0</v>
      </c>
      <c r="K25" s="130">
        <f t="shared" ref="K25" si="13">F25-I25</f>
        <v>0</v>
      </c>
      <c r="L25" s="130">
        <f t="shared" ref="L25" si="14">G25-J25</f>
        <v>3.4000000000000002E-2</v>
      </c>
      <c r="M25" s="130">
        <f t="shared" ref="M25" si="15">K25+L25</f>
        <v>3.4000000000000002E-2</v>
      </c>
      <c r="N25" s="94">
        <f t="shared" ref="N25" si="16">(I25+J25)/(F25+G25)</f>
        <v>0</v>
      </c>
      <c r="O25" s="130"/>
    </row>
    <row r="26" spans="2:15">
      <c r="B26" s="302"/>
      <c r="C26" s="165" t="s">
        <v>481</v>
      </c>
      <c r="D26" s="165">
        <v>924603</v>
      </c>
      <c r="E26" s="130" t="s">
        <v>673</v>
      </c>
      <c r="F26" s="165">
        <v>5.2000000000020918E-2</v>
      </c>
      <c r="G26" s="166">
        <v>12.815</v>
      </c>
      <c r="H26" s="171">
        <f t="shared" si="0"/>
        <v>7.7202000000000117</v>
      </c>
      <c r="I26" s="130">
        <v>17.065000000000001</v>
      </c>
      <c r="J26" s="130">
        <v>186.16800000000001</v>
      </c>
      <c r="K26" s="130">
        <f t="shared" si="1"/>
        <v>-17.01299999999998</v>
      </c>
      <c r="L26" s="130">
        <f t="shared" si="2"/>
        <v>-173.35300000000001</v>
      </c>
      <c r="M26" s="130">
        <f t="shared" si="3"/>
        <v>-190.36599999999999</v>
      </c>
      <c r="N26" s="94">
        <f t="shared" si="4"/>
        <v>15.794901686484781</v>
      </c>
      <c r="O26" s="130"/>
    </row>
    <row r="27" spans="2:15">
      <c r="B27" s="302"/>
      <c r="C27" s="165" t="s">
        <v>418</v>
      </c>
      <c r="D27" s="165">
        <v>953832</v>
      </c>
      <c r="E27" s="130" t="s">
        <v>673</v>
      </c>
      <c r="F27" s="165">
        <v>1.7419999999999973</v>
      </c>
      <c r="G27" s="166">
        <v>40.161999999999999</v>
      </c>
      <c r="H27" s="171">
        <f t="shared" si="0"/>
        <v>25.142399999999999</v>
      </c>
      <c r="I27" s="130">
        <v>17.782</v>
      </c>
      <c r="J27" s="130">
        <v>45.268999999999998</v>
      </c>
      <c r="K27" s="130">
        <f t="shared" si="1"/>
        <v>-16.040000000000003</v>
      </c>
      <c r="L27" s="130">
        <f t="shared" si="2"/>
        <v>-5.1069999999999993</v>
      </c>
      <c r="M27" s="130">
        <f t="shared" si="3"/>
        <v>-21.147000000000002</v>
      </c>
      <c r="N27" s="94">
        <f t="shared" si="4"/>
        <v>1.5046534936998857</v>
      </c>
      <c r="O27" s="130"/>
    </row>
    <row r="28" spans="2:15">
      <c r="B28" s="302"/>
      <c r="C28" s="165" t="s">
        <v>547</v>
      </c>
      <c r="D28" s="165">
        <v>957939</v>
      </c>
      <c r="E28" s="130" t="s">
        <v>673</v>
      </c>
      <c r="F28" s="165">
        <v>85.837999999999994</v>
      </c>
      <c r="G28" s="166">
        <v>190.85499999999999</v>
      </c>
      <c r="H28" s="171">
        <f t="shared" si="0"/>
        <v>166.01579999999998</v>
      </c>
      <c r="I28" s="130">
        <v>211.572</v>
      </c>
      <c r="J28" s="130">
        <v>297.88799999999998</v>
      </c>
      <c r="K28" s="130">
        <f t="shared" si="1"/>
        <v>-125.73400000000001</v>
      </c>
      <c r="L28" s="130">
        <f t="shared" si="2"/>
        <v>-107.03299999999999</v>
      </c>
      <c r="M28" s="130">
        <f t="shared" si="3"/>
        <v>-232.767</v>
      </c>
      <c r="N28" s="94">
        <f t="shared" si="4"/>
        <v>1.841246435580228</v>
      </c>
      <c r="O28" s="130"/>
    </row>
    <row r="29" spans="2:15">
      <c r="B29" s="302"/>
      <c r="C29" s="171" t="s">
        <v>594</v>
      </c>
      <c r="D29" s="171">
        <v>955587</v>
      </c>
      <c r="E29" s="130" t="s">
        <v>673</v>
      </c>
      <c r="F29" s="171">
        <v>0</v>
      </c>
      <c r="G29" s="171">
        <v>89.879000000000005</v>
      </c>
      <c r="H29" s="171">
        <f t="shared" si="0"/>
        <v>53.927399999999999</v>
      </c>
      <c r="I29" s="130">
        <v>0</v>
      </c>
      <c r="J29" s="130">
        <v>117.07</v>
      </c>
      <c r="K29" s="130">
        <f t="shared" ref="K29:K30" si="17">F29-I29</f>
        <v>0</v>
      </c>
      <c r="L29" s="130">
        <f t="shared" ref="L29:L30" si="18">G29-J29</f>
        <v>-27.190999999999988</v>
      </c>
      <c r="M29" s="130">
        <f t="shared" ref="M29:M30" si="19">K29+L29</f>
        <v>-27.190999999999988</v>
      </c>
      <c r="N29" s="94">
        <f t="shared" ref="N29:N30" si="20">(I29+J29)/(F29+G29)</f>
        <v>1.3025289555958566</v>
      </c>
      <c r="O29" s="130"/>
    </row>
    <row r="30" spans="2:15">
      <c r="B30" s="302"/>
      <c r="C30" s="171" t="s">
        <v>421</v>
      </c>
      <c r="D30" s="171">
        <v>960670</v>
      </c>
      <c r="E30" s="130" t="s">
        <v>673</v>
      </c>
      <c r="F30" s="171">
        <v>0</v>
      </c>
      <c r="G30" s="171">
        <v>3.6320000000000001</v>
      </c>
      <c r="H30" s="171">
        <f t="shared" si="0"/>
        <v>2.1791999999999998</v>
      </c>
      <c r="I30" s="130">
        <v>0</v>
      </c>
      <c r="J30" s="130">
        <v>71.012</v>
      </c>
      <c r="K30" s="130">
        <f t="shared" si="17"/>
        <v>0</v>
      </c>
      <c r="L30" s="130">
        <f t="shared" si="18"/>
        <v>-67.38</v>
      </c>
      <c r="M30" s="130">
        <f t="shared" si="19"/>
        <v>-67.38</v>
      </c>
      <c r="N30" s="94">
        <f t="shared" si="20"/>
        <v>19.551762114537443</v>
      </c>
      <c r="O30" s="130"/>
    </row>
    <row r="31" spans="2:15">
      <c r="B31" s="302"/>
      <c r="C31" s="165" t="s">
        <v>548</v>
      </c>
      <c r="D31" s="165">
        <v>910367</v>
      </c>
      <c r="E31" s="130" t="s">
        <v>673</v>
      </c>
      <c r="F31" s="165">
        <v>65</v>
      </c>
      <c r="G31" s="166">
        <v>54.814</v>
      </c>
      <c r="H31" s="171">
        <f t="shared" si="0"/>
        <v>71.88839999999999</v>
      </c>
      <c r="I31" s="130">
        <v>68.491</v>
      </c>
      <c r="J31" s="130">
        <v>151.68299999999999</v>
      </c>
      <c r="K31" s="130">
        <f t="shared" si="1"/>
        <v>-3.4909999999999997</v>
      </c>
      <c r="L31" s="130">
        <f t="shared" si="2"/>
        <v>-96.869</v>
      </c>
      <c r="M31" s="130">
        <f t="shared" si="3"/>
        <v>-100.36</v>
      </c>
      <c r="N31" s="94">
        <f t="shared" si="4"/>
        <v>1.8376316624100688</v>
      </c>
      <c r="O31" s="130"/>
    </row>
    <row r="32" spans="2:15">
      <c r="B32" s="302"/>
      <c r="C32" s="165" t="s">
        <v>549</v>
      </c>
      <c r="D32" s="165">
        <v>964249</v>
      </c>
      <c r="E32" s="130" t="s">
        <v>673</v>
      </c>
      <c r="F32" s="165">
        <v>0.96399999999999864</v>
      </c>
      <c r="G32" s="166">
        <v>0.17299999999999999</v>
      </c>
      <c r="H32" s="171">
        <f t="shared" si="0"/>
        <v>0.68219999999999914</v>
      </c>
      <c r="I32" s="130">
        <v>35.689</v>
      </c>
      <c r="J32" s="130">
        <v>182.11699999999999</v>
      </c>
      <c r="K32" s="130">
        <f t="shared" si="1"/>
        <v>-34.725000000000001</v>
      </c>
      <c r="L32" s="130">
        <f t="shared" si="2"/>
        <v>-181.94399999999999</v>
      </c>
      <c r="M32" s="130">
        <f t="shared" si="3"/>
        <v>-216.66899999999998</v>
      </c>
      <c r="N32" s="94">
        <f t="shared" si="4"/>
        <v>191.56200527704507</v>
      </c>
      <c r="O32" s="130"/>
    </row>
    <row r="33" spans="2:15">
      <c r="B33" s="302"/>
      <c r="C33" s="165" t="s">
        <v>344</v>
      </c>
      <c r="D33" s="165">
        <v>956044</v>
      </c>
      <c r="E33" s="130" t="s">
        <v>673</v>
      </c>
      <c r="F33" s="165">
        <v>2.4190000000000111</v>
      </c>
      <c r="G33" s="166">
        <v>0</v>
      </c>
      <c r="H33" s="171">
        <f t="shared" si="0"/>
        <v>1.4514000000000067</v>
      </c>
      <c r="I33" s="130">
        <v>177.91200000000001</v>
      </c>
      <c r="J33" s="130">
        <v>0</v>
      </c>
      <c r="K33" s="130">
        <f t="shared" si="1"/>
        <v>-175.49299999999999</v>
      </c>
      <c r="L33" s="130">
        <f t="shared" si="2"/>
        <v>0</v>
      </c>
      <c r="M33" s="130">
        <f t="shared" si="3"/>
        <v>-175.49299999999999</v>
      </c>
      <c r="N33" s="94">
        <f t="shared" si="4"/>
        <v>73.547747002893416</v>
      </c>
      <c r="O33" s="130"/>
    </row>
    <row r="34" spans="2:15">
      <c r="B34" s="302"/>
      <c r="C34" s="165" t="s">
        <v>295</v>
      </c>
      <c r="D34" s="165">
        <v>962795</v>
      </c>
      <c r="E34" s="130" t="s">
        <v>673</v>
      </c>
      <c r="F34" s="165">
        <v>0.51599999999999824</v>
      </c>
      <c r="G34" s="166">
        <v>0</v>
      </c>
      <c r="H34" s="171">
        <f t="shared" si="0"/>
        <v>0.30959999999999893</v>
      </c>
      <c r="I34" s="130">
        <v>445.41500000000002</v>
      </c>
      <c r="J34" s="130">
        <v>0</v>
      </c>
      <c r="K34" s="130">
        <f t="shared" si="1"/>
        <v>-444.899</v>
      </c>
      <c r="L34" s="130">
        <f t="shared" si="2"/>
        <v>0</v>
      </c>
      <c r="M34" s="130">
        <f t="shared" si="3"/>
        <v>-444.899</v>
      </c>
      <c r="N34" s="94">
        <f t="shared" si="4"/>
        <v>863.20736434108824</v>
      </c>
      <c r="O34" s="130"/>
    </row>
    <row r="35" spans="2:15">
      <c r="B35" s="302"/>
      <c r="C35" s="171" t="s">
        <v>595</v>
      </c>
      <c r="D35" s="171">
        <v>954609</v>
      </c>
      <c r="E35" s="130" t="s">
        <v>673</v>
      </c>
      <c r="F35" s="171">
        <v>0</v>
      </c>
      <c r="G35" s="171">
        <v>158.94499999999999</v>
      </c>
      <c r="H35" s="171">
        <f t="shared" si="0"/>
        <v>95.36699999999999</v>
      </c>
      <c r="I35" s="130">
        <v>0</v>
      </c>
      <c r="J35" s="130">
        <v>239.483</v>
      </c>
      <c r="K35" s="130">
        <f t="shared" si="1"/>
        <v>0</v>
      </c>
      <c r="L35" s="130">
        <f t="shared" si="2"/>
        <v>-80.538000000000011</v>
      </c>
      <c r="M35" s="130">
        <f t="shared" si="3"/>
        <v>-80.538000000000011</v>
      </c>
      <c r="N35" s="94">
        <f t="shared" si="4"/>
        <v>1.5067035767089245</v>
      </c>
      <c r="O35" s="130"/>
    </row>
    <row r="36" spans="2:15">
      <c r="B36" s="302"/>
      <c r="C36" s="165" t="s">
        <v>430</v>
      </c>
      <c r="D36" s="165">
        <v>955330</v>
      </c>
      <c r="E36" s="130" t="s">
        <v>673</v>
      </c>
      <c r="F36" s="165">
        <v>2.8709999999999951</v>
      </c>
      <c r="G36" s="166">
        <v>80.698999999999998</v>
      </c>
      <c r="H36" s="171">
        <f t="shared" si="0"/>
        <v>50.141999999999996</v>
      </c>
      <c r="I36" s="130">
        <v>86.37</v>
      </c>
      <c r="J36" s="130">
        <v>74.510999999999996</v>
      </c>
      <c r="K36" s="130">
        <f t="shared" si="1"/>
        <v>-83.499000000000009</v>
      </c>
      <c r="L36" s="130">
        <f t="shared" si="2"/>
        <v>6.1880000000000024</v>
      </c>
      <c r="M36" s="130">
        <f t="shared" si="3"/>
        <v>-77.311000000000007</v>
      </c>
      <c r="N36" s="94">
        <f t="shared" si="4"/>
        <v>1.9251047026444899</v>
      </c>
      <c r="O36" s="130"/>
    </row>
    <row r="37" spans="2:15" s="11" customFormat="1">
      <c r="B37" s="302"/>
      <c r="C37" s="165" t="s">
        <v>430</v>
      </c>
      <c r="D37" s="165">
        <v>955588</v>
      </c>
      <c r="E37" s="130" t="s">
        <v>673</v>
      </c>
      <c r="F37" s="165">
        <v>34</v>
      </c>
      <c r="G37" s="166">
        <v>33.520000000000003</v>
      </c>
      <c r="H37" s="171">
        <f t="shared" si="0"/>
        <v>40.512000000000008</v>
      </c>
      <c r="I37" s="39">
        <v>0</v>
      </c>
      <c r="J37" s="39">
        <v>47.41</v>
      </c>
      <c r="K37" s="130">
        <f t="shared" si="1"/>
        <v>34</v>
      </c>
      <c r="L37" s="130">
        <f t="shared" si="2"/>
        <v>-13.889999999999993</v>
      </c>
      <c r="M37" s="130">
        <f t="shared" si="3"/>
        <v>20.110000000000007</v>
      </c>
      <c r="N37" s="94">
        <f t="shared" si="4"/>
        <v>0.7021623222748814</v>
      </c>
      <c r="O37" s="1"/>
    </row>
    <row r="38" spans="2:15">
      <c r="B38" s="302"/>
      <c r="C38" s="165" t="s">
        <v>357</v>
      </c>
      <c r="D38" s="165">
        <v>953555</v>
      </c>
      <c r="E38" s="130" t="s">
        <v>673</v>
      </c>
      <c r="F38" s="165">
        <v>0.31799999999999784</v>
      </c>
      <c r="G38" s="166">
        <v>0.23200000000000001</v>
      </c>
      <c r="H38" s="171">
        <f t="shared" si="0"/>
        <v>0.32999999999999868</v>
      </c>
      <c r="I38" s="130">
        <v>32.9</v>
      </c>
      <c r="J38" s="130">
        <v>4.9000000000000004</v>
      </c>
      <c r="K38" s="130">
        <f t="shared" si="1"/>
        <v>-32.582000000000001</v>
      </c>
      <c r="L38" s="130">
        <f t="shared" si="2"/>
        <v>-4.6680000000000001</v>
      </c>
      <c r="M38" s="130">
        <f t="shared" si="3"/>
        <v>-37.25</v>
      </c>
      <c r="N38" s="94">
        <f t="shared" si="4"/>
        <v>68.72727272727299</v>
      </c>
      <c r="O38" s="130"/>
    </row>
    <row r="39" spans="2:15">
      <c r="B39" s="302"/>
      <c r="C39" s="171" t="s">
        <v>431</v>
      </c>
      <c r="D39" s="171">
        <v>958198</v>
      </c>
      <c r="E39" s="130" t="s">
        <v>673</v>
      </c>
      <c r="F39" s="171">
        <v>0</v>
      </c>
      <c r="G39" s="171">
        <v>62.38</v>
      </c>
      <c r="H39" s="171">
        <f t="shared" si="0"/>
        <v>37.427999999999997</v>
      </c>
      <c r="I39" s="130">
        <v>0</v>
      </c>
      <c r="J39" s="130">
        <v>105.916</v>
      </c>
      <c r="K39" s="130">
        <f t="shared" ref="K39:K40" si="21">F39-I39</f>
        <v>0</v>
      </c>
      <c r="L39" s="130">
        <f t="shared" ref="L39:L40" si="22">G39-J39</f>
        <v>-43.535999999999994</v>
      </c>
      <c r="M39" s="130">
        <f t="shared" ref="M39:M40" si="23">K39+L39</f>
        <v>-43.535999999999994</v>
      </c>
      <c r="N39" s="94">
        <f t="shared" ref="N39:N40" si="24">(I39+J39)/(F39+G39)</f>
        <v>1.6979159987175376</v>
      </c>
      <c r="O39" s="130"/>
    </row>
    <row r="40" spans="2:15">
      <c r="B40" s="302"/>
      <c r="C40" s="171" t="s">
        <v>432</v>
      </c>
      <c r="D40" s="171">
        <v>955486</v>
      </c>
      <c r="E40" s="130" t="s">
        <v>673</v>
      </c>
      <c r="F40" s="171">
        <v>0</v>
      </c>
      <c r="G40" s="171">
        <v>60.451000000000001</v>
      </c>
      <c r="H40" s="171">
        <f t="shared" si="0"/>
        <v>36.270600000000002</v>
      </c>
      <c r="I40" s="130">
        <v>0</v>
      </c>
      <c r="J40" s="130">
        <v>136.80099999999999</v>
      </c>
      <c r="K40" s="130">
        <f t="shared" si="21"/>
        <v>0</v>
      </c>
      <c r="L40" s="130">
        <f t="shared" si="22"/>
        <v>-76.349999999999994</v>
      </c>
      <c r="M40" s="130">
        <f t="shared" si="23"/>
        <v>-76.349999999999994</v>
      </c>
      <c r="N40" s="94">
        <f t="shared" si="24"/>
        <v>2.2630064018792075</v>
      </c>
      <c r="O40" s="130"/>
    </row>
    <row r="41" spans="2:15">
      <c r="B41" s="302"/>
      <c r="C41" s="165" t="s">
        <v>356</v>
      </c>
      <c r="D41" s="165">
        <v>958069</v>
      </c>
      <c r="E41" s="130" t="s">
        <v>673</v>
      </c>
      <c r="F41" s="165">
        <v>0.50000000000001421</v>
      </c>
      <c r="G41" s="166">
        <v>0</v>
      </c>
      <c r="H41" s="171">
        <f t="shared" si="0"/>
        <v>0.30000000000000854</v>
      </c>
      <c r="I41" s="130">
        <v>0</v>
      </c>
      <c r="J41" s="130">
        <v>0</v>
      </c>
      <c r="K41" s="130">
        <f t="shared" si="1"/>
        <v>0.50000000000001421</v>
      </c>
      <c r="L41" s="130">
        <f t="shared" si="2"/>
        <v>0</v>
      </c>
      <c r="M41" s="130">
        <f t="shared" si="3"/>
        <v>0.50000000000001421</v>
      </c>
      <c r="N41" s="94">
        <f t="shared" si="4"/>
        <v>0</v>
      </c>
      <c r="O41" s="130"/>
    </row>
    <row r="42" spans="2:15">
      <c r="B42" s="302"/>
      <c r="C42" s="165" t="s">
        <v>550</v>
      </c>
      <c r="D42" s="165">
        <v>924717</v>
      </c>
      <c r="E42" s="130" t="s">
        <v>673</v>
      </c>
      <c r="F42" s="165">
        <v>81.564999999999998</v>
      </c>
      <c r="G42" s="166">
        <v>60.734000000000002</v>
      </c>
      <c r="H42" s="171">
        <f t="shared" si="0"/>
        <v>85.379400000000004</v>
      </c>
      <c r="I42" s="130">
        <v>26.95</v>
      </c>
      <c r="J42" s="130">
        <v>168.98500000000001</v>
      </c>
      <c r="K42" s="130">
        <f t="shared" si="1"/>
        <v>54.614999999999995</v>
      </c>
      <c r="L42" s="130">
        <f t="shared" si="2"/>
        <v>-108.251</v>
      </c>
      <c r="M42" s="130">
        <f t="shared" si="3"/>
        <v>-53.63600000000001</v>
      </c>
      <c r="N42" s="94">
        <f t="shared" si="4"/>
        <v>1.376924644586399</v>
      </c>
      <c r="O42" s="130"/>
    </row>
    <row r="43" spans="2:15">
      <c r="B43" s="302"/>
      <c r="C43" s="165" t="s">
        <v>338</v>
      </c>
      <c r="D43" s="165">
        <v>965019</v>
      </c>
      <c r="E43" s="130" t="s">
        <v>673</v>
      </c>
      <c r="F43" s="165">
        <v>35</v>
      </c>
      <c r="G43" s="166">
        <v>22.695</v>
      </c>
      <c r="H43" s="171">
        <f t="shared" si="0"/>
        <v>34.616999999999997</v>
      </c>
      <c r="I43" s="130">
        <v>77.665999999999997</v>
      </c>
      <c r="J43" s="130">
        <v>35</v>
      </c>
      <c r="K43" s="130">
        <f t="shared" si="1"/>
        <v>-42.665999999999997</v>
      </c>
      <c r="L43" s="130">
        <f t="shared" si="2"/>
        <v>-12.305</v>
      </c>
      <c r="M43" s="130">
        <f t="shared" si="3"/>
        <v>-54.970999999999997</v>
      </c>
      <c r="N43" s="94">
        <f t="shared" si="4"/>
        <v>1.9527862033105121</v>
      </c>
      <c r="O43" s="130"/>
    </row>
    <row r="44" spans="2:15">
      <c r="B44" s="302"/>
      <c r="C44" s="171" t="s">
        <v>596</v>
      </c>
      <c r="D44" s="171">
        <v>951916</v>
      </c>
      <c r="E44" s="130" t="s">
        <v>673</v>
      </c>
      <c r="F44" s="171">
        <v>0</v>
      </c>
      <c r="G44" s="171">
        <v>12.33</v>
      </c>
      <c r="H44" s="171">
        <f t="shared" si="0"/>
        <v>7.3979999999999997</v>
      </c>
      <c r="I44" s="130">
        <v>0</v>
      </c>
      <c r="J44" s="130">
        <v>15.994</v>
      </c>
      <c r="K44" s="130">
        <f t="shared" ref="K44:K45" si="25">F44-I44</f>
        <v>0</v>
      </c>
      <c r="L44" s="130">
        <f t="shared" ref="L44:L45" si="26">G44-J44</f>
        <v>-3.6639999999999997</v>
      </c>
      <c r="M44" s="130">
        <f t="shared" ref="M44:M45" si="27">K44+L44</f>
        <v>-3.6639999999999997</v>
      </c>
      <c r="N44" s="94">
        <f t="shared" ref="N44:N45" si="28">(I44+J44)/(F44+G44)</f>
        <v>1.2971613949716139</v>
      </c>
      <c r="O44" s="130"/>
    </row>
    <row r="45" spans="2:15">
      <c r="B45" s="302"/>
      <c r="C45" s="171" t="s">
        <v>394</v>
      </c>
      <c r="D45" s="171">
        <v>953964</v>
      </c>
      <c r="E45" s="130" t="s">
        <v>673</v>
      </c>
      <c r="F45" s="171">
        <v>0</v>
      </c>
      <c r="G45" s="171">
        <v>30.655000000000001</v>
      </c>
      <c r="H45" s="171">
        <f t="shared" si="0"/>
        <v>18.393000000000001</v>
      </c>
      <c r="I45" s="130">
        <v>0</v>
      </c>
      <c r="J45" s="130">
        <v>242.74299999999999</v>
      </c>
      <c r="K45" s="130">
        <f t="shared" si="25"/>
        <v>0</v>
      </c>
      <c r="L45" s="130">
        <f t="shared" si="26"/>
        <v>-212.08799999999999</v>
      </c>
      <c r="M45" s="130">
        <f t="shared" si="27"/>
        <v>-212.08799999999999</v>
      </c>
      <c r="N45" s="94">
        <f t="shared" si="28"/>
        <v>7.9185450986788446</v>
      </c>
      <c r="O45" s="130"/>
    </row>
    <row r="46" spans="2:15">
      <c r="B46" s="302"/>
      <c r="C46" s="165" t="s">
        <v>352</v>
      </c>
      <c r="D46" s="165">
        <v>967906</v>
      </c>
      <c r="E46" s="130" t="s">
        <v>673</v>
      </c>
      <c r="F46" s="165">
        <v>1.0000000000047748E-3</v>
      </c>
      <c r="G46" s="166">
        <v>0</v>
      </c>
      <c r="H46" s="171">
        <f t="shared" si="0"/>
        <v>6.0000000000286484E-4</v>
      </c>
      <c r="I46" s="130">
        <v>0</v>
      </c>
      <c r="J46" s="130">
        <v>0</v>
      </c>
      <c r="K46" s="130">
        <f t="shared" si="1"/>
        <v>1.0000000000047748E-3</v>
      </c>
      <c r="L46" s="130">
        <f t="shared" si="2"/>
        <v>0</v>
      </c>
      <c r="M46" s="130">
        <f t="shared" si="3"/>
        <v>1.0000000000047748E-3</v>
      </c>
      <c r="N46" s="94">
        <f t="shared" si="4"/>
        <v>0</v>
      </c>
      <c r="O46" s="130"/>
    </row>
    <row r="47" spans="2:15">
      <c r="B47" s="302"/>
      <c r="C47" s="165" t="s">
        <v>551</v>
      </c>
      <c r="D47" s="165">
        <v>959954</v>
      </c>
      <c r="E47" s="130" t="s">
        <v>673</v>
      </c>
      <c r="F47" s="165">
        <v>106.91499999999999</v>
      </c>
      <c r="G47" s="166">
        <v>167.25</v>
      </c>
      <c r="H47" s="171">
        <f t="shared" si="0"/>
        <v>164.49899999999997</v>
      </c>
      <c r="I47" s="130">
        <v>164.84899999999999</v>
      </c>
      <c r="J47" s="130">
        <v>330.221</v>
      </c>
      <c r="K47" s="130">
        <f t="shared" si="1"/>
        <v>-57.933999999999997</v>
      </c>
      <c r="L47" s="130">
        <f t="shared" si="2"/>
        <v>-162.971</v>
      </c>
      <c r="M47" s="130">
        <f t="shared" si="3"/>
        <v>-220.905</v>
      </c>
      <c r="N47" s="94">
        <f t="shared" si="4"/>
        <v>1.8057374208961758</v>
      </c>
      <c r="O47" s="130"/>
    </row>
    <row r="48" spans="2:15">
      <c r="B48" s="302"/>
      <c r="C48" s="172" t="s">
        <v>474</v>
      </c>
      <c r="D48" s="171">
        <v>924718</v>
      </c>
      <c r="E48" s="130" t="s">
        <v>673</v>
      </c>
      <c r="F48" s="171">
        <v>0</v>
      </c>
      <c r="G48" s="171">
        <v>9.6150000000000002</v>
      </c>
      <c r="H48" s="171">
        <f t="shared" si="0"/>
        <v>5.7690000000000001</v>
      </c>
      <c r="I48" s="130">
        <v>0</v>
      </c>
      <c r="J48" s="130">
        <v>632.12800000000004</v>
      </c>
      <c r="K48" s="130">
        <f t="shared" ref="K48" si="29">F48-I48</f>
        <v>0</v>
      </c>
      <c r="L48" s="130">
        <f t="shared" ref="L48" si="30">G48-J48</f>
        <v>-622.51300000000003</v>
      </c>
      <c r="M48" s="130">
        <f t="shared" ref="M48" si="31">K48+L48</f>
        <v>-622.51300000000003</v>
      </c>
      <c r="N48" s="94">
        <f t="shared" ref="N48" si="32">(I48+J48)/(F48+G48)</f>
        <v>65.743941757670314</v>
      </c>
      <c r="O48" s="130"/>
    </row>
    <row r="49" spans="2:15">
      <c r="B49" s="302"/>
      <c r="C49" s="165" t="s">
        <v>552</v>
      </c>
      <c r="D49" s="165">
        <v>964621</v>
      </c>
      <c r="E49" s="130" t="s">
        <v>673</v>
      </c>
      <c r="F49" s="165">
        <v>23.305000000000007</v>
      </c>
      <c r="G49" s="166">
        <v>0</v>
      </c>
      <c r="H49" s="171">
        <f t="shared" si="0"/>
        <v>13.983000000000004</v>
      </c>
      <c r="I49" s="130">
        <v>16.754000000000001</v>
      </c>
      <c r="J49" s="130">
        <v>19.841999999999999</v>
      </c>
      <c r="K49" s="130">
        <f t="shared" ref="K49:K103" si="33">F49-I49</f>
        <v>6.5510000000000055</v>
      </c>
      <c r="L49" s="130">
        <f t="shared" si="2"/>
        <v>-19.841999999999999</v>
      </c>
      <c r="M49" s="130">
        <f t="shared" si="3"/>
        <v>-13.290999999999993</v>
      </c>
      <c r="N49" s="94">
        <f t="shared" si="4"/>
        <v>1.57030680111564</v>
      </c>
      <c r="O49" s="130"/>
    </row>
    <row r="50" spans="2:15">
      <c r="B50" s="302"/>
      <c r="C50" s="165" t="s">
        <v>528</v>
      </c>
      <c r="D50" s="165">
        <v>968718</v>
      </c>
      <c r="E50" s="130" t="s">
        <v>673</v>
      </c>
      <c r="F50" s="165">
        <v>1.8100000000000023</v>
      </c>
      <c r="G50" s="166">
        <v>86.06</v>
      </c>
      <c r="H50" s="171">
        <f t="shared" si="0"/>
        <v>52.722000000000001</v>
      </c>
      <c r="I50" s="130">
        <v>6.1269999999999998</v>
      </c>
      <c r="J50" s="130">
        <v>0.53300000000000003</v>
      </c>
      <c r="K50" s="130">
        <f t="shared" si="33"/>
        <v>-4.3169999999999975</v>
      </c>
      <c r="L50" s="130">
        <f t="shared" si="2"/>
        <v>85.527000000000001</v>
      </c>
      <c r="M50" s="130">
        <f t="shared" si="3"/>
        <v>81.210000000000008</v>
      </c>
      <c r="N50" s="94">
        <f t="shared" si="4"/>
        <v>7.5793786275179242E-2</v>
      </c>
      <c r="O50" s="130"/>
    </row>
    <row r="51" spans="2:15">
      <c r="B51" s="302"/>
      <c r="C51" s="165" t="s">
        <v>553</v>
      </c>
      <c r="D51" s="165">
        <v>965002</v>
      </c>
      <c r="E51" s="130" t="s">
        <v>673</v>
      </c>
      <c r="F51" s="165">
        <v>3.1999999999999993</v>
      </c>
      <c r="G51" s="166">
        <v>90</v>
      </c>
      <c r="H51" s="171">
        <f t="shared" si="0"/>
        <v>55.92</v>
      </c>
      <c r="I51" s="130">
        <v>62.911000000000001</v>
      </c>
      <c r="J51" s="130">
        <v>279.89699999999999</v>
      </c>
      <c r="K51" s="130">
        <f t="shared" si="33"/>
        <v>-59.710999999999999</v>
      </c>
      <c r="L51" s="130">
        <f t="shared" si="2"/>
        <v>-189.89699999999999</v>
      </c>
      <c r="M51" s="130">
        <f t="shared" si="3"/>
        <v>-249.608</v>
      </c>
      <c r="N51" s="94">
        <f t="shared" si="4"/>
        <v>3.6781974248927036</v>
      </c>
      <c r="O51" s="130"/>
    </row>
    <row r="52" spans="2:15">
      <c r="B52" s="302"/>
      <c r="C52" s="165" t="s">
        <v>554</v>
      </c>
      <c r="D52" s="165">
        <v>964409</v>
      </c>
      <c r="E52" s="130" t="s">
        <v>673</v>
      </c>
      <c r="F52" s="165">
        <v>50.568999999999974</v>
      </c>
      <c r="G52" s="166">
        <v>0</v>
      </c>
      <c r="H52" s="171">
        <f t="shared" si="0"/>
        <v>30.341399999999982</v>
      </c>
      <c r="I52" s="130">
        <v>100.35299999999999</v>
      </c>
      <c r="J52" s="130">
        <v>0</v>
      </c>
      <c r="K52" s="130">
        <f t="shared" si="33"/>
        <v>-49.78400000000002</v>
      </c>
      <c r="L52" s="130">
        <f t="shared" si="2"/>
        <v>0</v>
      </c>
      <c r="M52" s="130">
        <f t="shared" si="3"/>
        <v>-49.78400000000002</v>
      </c>
      <c r="N52" s="94">
        <f t="shared" si="4"/>
        <v>1.984476655658606</v>
      </c>
      <c r="O52" s="130"/>
    </row>
    <row r="53" spans="2:15">
      <c r="B53" s="302"/>
      <c r="C53" s="170" t="s">
        <v>385</v>
      </c>
      <c r="D53" s="170">
        <v>952004</v>
      </c>
      <c r="E53" s="130" t="s">
        <v>673</v>
      </c>
      <c r="F53" s="170">
        <v>0</v>
      </c>
      <c r="G53" s="170">
        <v>0.245</v>
      </c>
      <c r="H53" s="171">
        <f t="shared" si="0"/>
        <v>0.14699999999999999</v>
      </c>
      <c r="I53" s="130">
        <v>0</v>
      </c>
      <c r="J53" s="130">
        <v>124.748</v>
      </c>
      <c r="K53" s="130">
        <f t="shared" ref="K53:K55" si="34">F53-I53</f>
        <v>0</v>
      </c>
      <c r="L53" s="130">
        <f t="shared" ref="L53:L55" si="35">G53-J53</f>
        <v>-124.503</v>
      </c>
      <c r="M53" s="130">
        <f t="shared" ref="M53:M55" si="36">K53+L53</f>
        <v>-124.503</v>
      </c>
      <c r="N53" s="94">
        <f t="shared" ref="N53:N55" si="37">(I53+J53)/(F53+G53)</f>
        <v>509.17551020408166</v>
      </c>
      <c r="O53" s="130"/>
    </row>
    <row r="54" spans="2:15">
      <c r="B54" s="302"/>
      <c r="C54" s="170" t="s">
        <v>597</v>
      </c>
      <c r="D54" s="170">
        <v>963843</v>
      </c>
      <c r="E54" s="130" t="s">
        <v>673</v>
      </c>
      <c r="F54" s="170">
        <v>0</v>
      </c>
      <c r="G54" s="170">
        <v>15.321</v>
      </c>
      <c r="H54" s="171">
        <f t="shared" si="0"/>
        <v>9.1925999999999988</v>
      </c>
      <c r="I54" s="130">
        <v>0</v>
      </c>
      <c r="J54" s="130">
        <v>141.44300000000001</v>
      </c>
      <c r="K54" s="130">
        <f t="shared" si="34"/>
        <v>0</v>
      </c>
      <c r="L54" s="130">
        <f t="shared" si="35"/>
        <v>-126.12200000000001</v>
      </c>
      <c r="M54" s="130">
        <f t="shared" si="36"/>
        <v>-126.12200000000001</v>
      </c>
      <c r="N54" s="94">
        <f t="shared" si="37"/>
        <v>9.2319691926114498</v>
      </c>
      <c r="O54" s="130"/>
    </row>
    <row r="55" spans="2:15">
      <c r="B55" s="302"/>
      <c r="C55" s="171" t="s">
        <v>598</v>
      </c>
      <c r="D55" s="171">
        <v>958085</v>
      </c>
      <c r="E55" s="130" t="s">
        <v>673</v>
      </c>
      <c r="F55" s="171">
        <v>0</v>
      </c>
      <c r="G55" s="171">
        <v>78.81</v>
      </c>
      <c r="H55" s="171">
        <f t="shared" si="0"/>
        <v>47.286000000000001</v>
      </c>
      <c r="I55" s="130">
        <v>105.098</v>
      </c>
      <c r="J55" s="130">
        <v>54.817999999999998</v>
      </c>
      <c r="K55" s="130">
        <f t="shared" si="34"/>
        <v>-105.098</v>
      </c>
      <c r="L55" s="130">
        <f t="shared" si="35"/>
        <v>23.992000000000004</v>
      </c>
      <c r="M55" s="130">
        <f t="shared" si="36"/>
        <v>-81.105999999999995</v>
      </c>
      <c r="N55" s="94">
        <f t="shared" si="37"/>
        <v>2.0291333587108236</v>
      </c>
      <c r="O55" s="130"/>
    </row>
    <row r="56" spans="2:15">
      <c r="B56" s="302"/>
      <c r="C56" s="165" t="s">
        <v>393</v>
      </c>
      <c r="D56" s="165">
        <v>950991</v>
      </c>
      <c r="E56" s="130" t="s">
        <v>673</v>
      </c>
      <c r="F56" s="165">
        <v>39</v>
      </c>
      <c r="G56" s="166">
        <v>101</v>
      </c>
      <c r="H56" s="171">
        <f t="shared" si="0"/>
        <v>84</v>
      </c>
      <c r="I56" s="130">
        <v>141.90899999999999</v>
      </c>
      <c r="J56" s="130">
        <v>287.31200000000001</v>
      </c>
      <c r="K56" s="130">
        <f t="shared" si="33"/>
        <v>-102.90899999999999</v>
      </c>
      <c r="L56" s="130">
        <f t="shared" si="2"/>
        <v>-186.31200000000001</v>
      </c>
      <c r="M56" s="130">
        <f t="shared" si="3"/>
        <v>-289.221</v>
      </c>
      <c r="N56" s="94">
        <f t="shared" si="4"/>
        <v>3.0658642857142859</v>
      </c>
      <c r="O56" s="130"/>
    </row>
    <row r="57" spans="2:15">
      <c r="B57" s="302"/>
      <c r="C57" s="171" t="s">
        <v>461</v>
      </c>
      <c r="D57" s="171">
        <v>961133</v>
      </c>
      <c r="E57" s="130" t="s">
        <v>673</v>
      </c>
      <c r="F57" s="171">
        <v>0</v>
      </c>
      <c r="G57" s="171">
        <v>5.601</v>
      </c>
      <c r="H57" s="171">
        <f t="shared" si="0"/>
        <v>3.3605999999999998</v>
      </c>
      <c r="I57" s="130">
        <v>0</v>
      </c>
      <c r="J57" s="130">
        <v>0</v>
      </c>
      <c r="K57" s="130">
        <f t="shared" ref="K57:K58" si="38">F57-I57</f>
        <v>0</v>
      </c>
      <c r="L57" s="130">
        <f t="shared" ref="L57:L58" si="39">G57-J57</f>
        <v>5.601</v>
      </c>
      <c r="M57" s="130">
        <f t="shared" ref="M57:M58" si="40">K57+L57</f>
        <v>5.601</v>
      </c>
      <c r="N57" s="94">
        <f t="shared" ref="N57:N58" si="41">(I57+J57)/(F57+G57)</f>
        <v>0</v>
      </c>
      <c r="O57" s="130"/>
    </row>
    <row r="58" spans="2:15">
      <c r="B58" s="302"/>
      <c r="C58" s="171" t="s">
        <v>599</v>
      </c>
      <c r="D58" s="171">
        <v>952296</v>
      </c>
      <c r="E58" s="130" t="s">
        <v>673</v>
      </c>
      <c r="F58" s="171">
        <v>0</v>
      </c>
      <c r="G58" s="171">
        <v>3.004</v>
      </c>
      <c r="H58" s="171">
        <f t="shared" si="0"/>
        <v>1.8024</v>
      </c>
      <c r="I58" s="130">
        <v>0</v>
      </c>
      <c r="J58" s="130">
        <v>879.44399999999996</v>
      </c>
      <c r="K58" s="130">
        <f t="shared" si="38"/>
        <v>0</v>
      </c>
      <c r="L58" s="130">
        <f t="shared" si="39"/>
        <v>-876.43999999999994</v>
      </c>
      <c r="M58" s="130">
        <f t="shared" si="40"/>
        <v>-876.43999999999994</v>
      </c>
      <c r="N58" s="94">
        <f t="shared" si="41"/>
        <v>292.75765645805592</v>
      </c>
      <c r="O58" s="130"/>
    </row>
    <row r="59" spans="2:15">
      <c r="B59" s="302"/>
      <c r="C59" s="165" t="s">
        <v>555</v>
      </c>
      <c r="D59" s="165">
        <v>964877</v>
      </c>
      <c r="E59" s="130" t="s">
        <v>673</v>
      </c>
      <c r="F59" s="165">
        <v>0.64500000000000002</v>
      </c>
      <c r="G59" s="171">
        <v>0.49299999999999999</v>
      </c>
      <c r="H59" s="171">
        <f t="shared" si="0"/>
        <v>0.68279999999999996</v>
      </c>
      <c r="I59" s="130">
        <v>0</v>
      </c>
      <c r="J59" s="130">
        <v>0</v>
      </c>
      <c r="K59" s="130">
        <f t="shared" si="33"/>
        <v>0.64500000000000002</v>
      </c>
      <c r="L59" s="130">
        <f t="shared" si="2"/>
        <v>0.49299999999999999</v>
      </c>
      <c r="M59" s="130">
        <f t="shared" si="3"/>
        <v>1.1379999999999999</v>
      </c>
      <c r="N59" s="94">
        <f t="shared" si="4"/>
        <v>0</v>
      </c>
      <c r="O59" s="130"/>
    </row>
    <row r="60" spans="2:15">
      <c r="B60" s="302"/>
      <c r="C60" s="165" t="s">
        <v>530</v>
      </c>
      <c r="D60" s="165">
        <v>965098</v>
      </c>
      <c r="E60" s="130" t="s">
        <v>673</v>
      </c>
      <c r="F60" s="165">
        <v>130.12700000000001</v>
      </c>
      <c r="G60" s="166">
        <v>64.594999999999999</v>
      </c>
      <c r="H60" s="171">
        <f t="shared" si="0"/>
        <v>116.83320000000001</v>
      </c>
      <c r="I60" s="130">
        <v>74.661000000000001</v>
      </c>
      <c r="J60" s="130">
        <v>270.404</v>
      </c>
      <c r="K60" s="130">
        <f t="shared" si="33"/>
        <v>55.466000000000008</v>
      </c>
      <c r="L60" s="130">
        <f t="shared" si="2"/>
        <v>-205.809</v>
      </c>
      <c r="M60" s="130">
        <f t="shared" si="3"/>
        <v>-150.34299999999999</v>
      </c>
      <c r="N60" s="94">
        <f t="shared" si="4"/>
        <v>1.7720904674356261</v>
      </c>
      <c r="O60" s="130"/>
    </row>
    <row r="61" spans="2:15">
      <c r="B61" s="302"/>
      <c r="C61" s="170" t="s">
        <v>600</v>
      </c>
      <c r="D61" s="170">
        <v>955448</v>
      </c>
      <c r="E61" s="130" t="s">
        <v>673</v>
      </c>
      <c r="F61" s="170">
        <v>0</v>
      </c>
      <c r="G61" s="170">
        <v>0.11</v>
      </c>
      <c r="H61" s="171">
        <f t="shared" si="0"/>
        <v>6.6000000000000003E-2</v>
      </c>
      <c r="I61" s="130">
        <v>0</v>
      </c>
      <c r="J61" s="130">
        <v>351.41800000000001</v>
      </c>
      <c r="K61" s="130">
        <f t="shared" ref="K61" si="42">F61-I61</f>
        <v>0</v>
      </c>
      <c r="L61" s="130">
        <f t="shared" ref="L61" si="43">G61-J61</f>
        <v>-351.30799999999999</v>
      </c>
      <c r="M61" s="130">
        <f t="shared" ref="M61" si="44">K61+L61</f>
        <v>-351.30799999999999</v>
      </c>
      <c r="N61" s="94">
        <f t="shared" ref="N61" si="45">(I61+J61)/(F61+G61)</f>
        <v>3194.7090909090912</v>
      </c>
      <c r="O61" s="130"/>
    </row>
    <row r="62" spans="2:15">
      <c r="B62" s="302"/>
      <c r="C62" s="165" t="s">
        <v>306</v>
      </c>
      <c r="D62" s="165">
        <v>962640</v>
      </c>
      <c r="E62" s="130" t="s">
        <v>673</v>
      </c>
      <c r="F62" s="165">
        <v>10</v>
      </c>
      <c r="G62" s="166">
        <v>2.93</v>
      </c>
      <c r="H62" s="171">
        <f t="shared" si="0"/>
        <v>7.7579999999999991</v>
      </c>
      <c r="I62" s="130">
        <v>21.997</v>
      </c>
      <c r="J62" s="130">
        <v>47.343000000000004</v>
      </c>
      <c r="K62" s="130">
        <f t="shared" si="33"/>
        <v>-11.997</v>
      </c>
      <c r="L62" s="130">
        <f t="shared" si="2"/>
        <v>-44.413000000000004</v>
      </c>
      <c r="M62" s="130">
        <f t="shared" si="3"/>
        <v>-56.410000000000004</v>
      </c>
      <c r="N62" s="94">
        <f t="shared" si="4"/>
        <v>5.3627223511214233</v>
      </c>
      <c r="O62" s="130"/>
    </row>
    <row r="63" spans="2:15">
      <c r="B63" s="302"/>
      <c r="C63" s="165" t="s">
        <v>340</v>
      </c>
      <c r="D63" s="165">
        <v>966342</v>
      </c>
      <c r="E63" s="130" t="s">
        <v>673</v>
      </c>
      <c r="F63" s="165">
        <v>18.663</v>
      </c>
      <c r="G63" s="166">
        <v>90</v>
      </c>
      <c r="H63" s="171">
        <f t="shared" si="0"/>
        <v>65.197800000000001</v>
      </c>
      <c r="I63" s="130">
        <v>132.518</v>
      </c>
      <c r="J63" s="130">
        <v>435.45299999999997</v>
      </c>
      <c r="K63" s="130">
        <f t="shared" si="33"/>
        <v>-113.855</v>
      </c>
      <c r="L63" s="130">
        <f t="shared" si="2"/>
        <v>-345.45299999999997</v>
      </c>
      <c r="M63" s="130">
        <f t="shared" si="3"/>
        <v>-459.30799999999999</v>
      </c>
      <c r="N63" s="94">
        <f t="shared" si="4"/>
        <v>5.2269033617698755</v>
      </c>
      <c r="O63" s="130"/>
    </row>
    <row r="64" spans="2:15">
      <c r="B64" s="302"/>
      <c r="C64" s="171" t="s">
        <v>601</v>
      </c>
      <c r="D64" s="171">
        <v>968857</v>
      </c>
      <c r="E64" s="130" t="s">
        <v>673</v>
      </c>
      <c r="F64" s="171">
        <v>0</v>
      </c>
      <c r="G64" s="171">
        <v>1.369</v>
      </c>
      <c r="H64" s="171">
        <f t="shared" si="0"/>
        <v>0.82140000000000002</v>
      </c>
      <c r="I64" s="130">
        <v>0</v>
      </c>
      <c r="J64" s="130">
        <v>84.84</v>
      </c>
      <c r="K64" s="130">
        <f t="shared" ref="K64" si="46">F64-I64</f>
        <v>0</v>
      </c>
      <c r="L64" s="130">
        <f t="shared" ref="L64" si="47">G64-J64</f>
        <v>-83.471000000000004</v>
      </c>
      <c r="M64" s="130">
        <f t="shared" ref="M64" si="48">K64+L64</f>
        <v>-83.471000000000004</v>
      </c>
      <c r="N64" s="94">
        <f t="shared" ref="N64" si="49">(I64+J64)/(F64+G64)</f>
        <v>61.972242512783055</v>
      </c>
      <c r="O64" s="130"/>
    </row>
    <row r="65" spans="2:15">
      <c r="B65" s="302"/>
      <c r="C65" s="165" t="s">
        <v>437</v>
      </c>
      <c r="D65" s="165">
        <v>964344</v>
      </c>
      <c r="E65" s="130" t="s">
        <v>673</v>
      </c>
      <c r="F65" s="165">
        <v>21.930999999999997</v>
      </c>
      <c r="G65" s="166">
        <v>50.548999999999999</v>
      </c>
      <c r="H65" s="171">
        <f t="shared" si="0"/>
        <v>43.487999999999992</v>
      </c>
      <c r="I65" s="130">
        <v>46.744999999999997</v>
      </c>
      <c r="J65" s="130">
        <v>38.911000000000001</v>
      </c>
      <c r="K65" s="130">
        <f t="shared" si="33"/>
        <v>-24.814</v>
      </c>
      <c r="L65" s="130">
        <f t="shared" si="2"/>
        <v>11.637999999999998</v>
      </c>
      <c r="M65" s="130">
        <f t="shared" si="3"/>
        <v>-13.176000000000002</v>
      </c>
      <c r="N65" s="94">
        <f t="shared" si="4"/>
        <v>1.1817880794701989</v>
      </c>
      <c r="O65" s="130"/>
    </row>
    <row r="66" spans="2:15">
      <c r="B66" s="302"/>
      <c r="C66" s="171" t="s">
        <v>355</v>
      </c>
      <c r="D66" s="171">
        <v>967820</v>
      </c>
      <c r="E66" s="130" t="s">
        <v>673</v>
      </c>
      <c r="F66" s="171">
        <v>0</v>
      </c>
      <c r="G66" s="171">
        <v>1E-3</v>
      </c>
      <c r="H66" s="171">
        <f t="shared" si="0"/>
        <v>5.9999999999999995E-4</v>
      </c>
      <c r="I66" s="130">
        <v>0</v>
      </c>
      <c r="J66" s="130">
        <v>244.41</v>
      </c>
      <c r="K66" s="130">
        <f t="shared" ref="K66" si="50">F66-I66</f>
        <v>0</v>
      </c>
      <c r="L66" s="130">
        <f t="shared" ref="L66" si="51">G66-J66</f>
        <v>-244.40899999999999</v>
      </c>
      <c r="M66" s="130">
        <f t="shared" ref="M66" si="52">K66+L66</f>
        <v>-244.40899999999999</v>
      </c>
      <c r="N66" s="94">
        <f t="shared" ref="N66" si="53">(I66+J66)/(F66+G66)</f>
        <v>244410</v>
      </c>
      <c r="O66" s="130"/>
    </row>
    <row r="67" spans="2:15">
      <c r="B67" s="302"/>
      <c r="C67" s="165" t="s">
        <v>556</v>
      </c>
      <c r="D67" s="165">
        <v>910835</v>
      </c>
      <c r="E67" s="130" t="s">
        <v>673</v>
      </c>
      <c r="F67" s="165">
        <v>0.39100000000000001</v>
      </c>
      <c r="G67" s="166">
        <v>0.14799999999999999</v>
      </c>
      <c r="H67" s="171">
        <f t="shared" si="0"/>
        <v>0.32340000000000002</v>
      </c>
      <c r="I67" s="130">
        <v>0</v>
      </c>
      <c r="J67" s="130">
        <v>0</v>
      </c>
      <c r="K67" s="130">
        <f t="shared" si="33"/>
        <v>0.39100000000000001</v>
      </c>
      <c r="L67" s="130">
        <f t="shared" si="2"/>
        <v>0.14799999999999999</v>
      </c>
      <c r="M67" s="130">
        <f t="shared" si="3"/>
        <v>0.53900000000000003</v>
      </c>
      <c r="N67" s="94">
        <f t="shared" si="4"/>
        <v>0</v>
      </c>
      <c r="O67" s="130"/>
    </row>
    <row r="68" spans="2:15">
      <c r="B68" s="302"/>
      <c r="C68" s="171" t="s">
        <v>602</v>
      </c>
      <c r="D68" s="171">
        <v>922993</v>
      </c>
      <c r="E68" s="130" t="s">
        <v>673</v>
      </c>
      <c r="F68" s="171">
        <v>0</v>
      </c>
      <c r="G68" s="171">
        <v>3.7480000000000002</v>
      </c>
      <c r="H68" s="171">
        <f t="shared" si="0"/>
        <v>2.2488000000000001</v>
      </c>
      <c r="I68" s="130">
        <v>0</v>
      </c>
      <c r="J68" s="130">
        <v>618.41899999999998</v>
      </c>
      <c r="K68" s="130">
        <f t="shared" si="33"/>
        <v>0</v>
      </c>
      <c r="L68" s="130">
        <f t="shared" si="2"/>
        <v>-614.67099999999994</v>
      </c>
      <c r="M68" s="130">
        <f t="shared" si="3"/>
        <v>-614.67099999999994</v>
      </c>
      <c r="N68" s="94">
        <f t="shared" si="4"/>
        <v>164.9997331910352</v>
      </c>
      <c r="O68" s="130"/>
    </row>
    <row r="69" spans="2:15">
      <c r="B69" s="302"/>
      <c r="C69" s="165" t="s">
        <v>399</v>
      </c>
      <c r="D69" s="165">
        <v>959982</v>
      </c>
      <c r="E69" s="130" t="s">
        <v>673</v>
      </c>
      <c r="F69" s="165">
        <v>53</v>
      </c>
      <c r="G69" s="166">
        <v>232.54</v>
      </c>
      <c r="H69" s="171">
        <f t="shared" si="0"/>
        <v>171.32399999999998</v>
      </c>
      <c r="I69" s="130">
        <v>213.38800000000001</v>
      </c>
      <c r="J69" s="130">
        <v>260.017</v>
      </c>
      <c r="K69" s="130">
        <f t="shared" si="33"/>
        <v>-160.38800000000001</v>
      </c>
      <c r="L69" s="130">
        <f t="shared" si="2"/>
        <v>-27.477000000000004</v>
      </c>
      <c r="M69" s="130">
        <f t="shared" si="3"/>
        <v>-187.86500000000001</v>
      </c>
      <c r="N69" s="94">
        <f t="shared" si="4"/>
        <v>1.6579288365903202</v>
      </c>
      <c r="O69" s="130"/>
    </row>
    <row r="70" spans="2:15">
      <c r="B70" s="302"/>
      <c r="C70" s="171" t="s">
        <v>603</v>
      </c>
      <c r="D70" s="171">
        <v>961872</v>
      </c>
      <c r="E70" s="130" t="s">
        <v>673</v>
      </c>
      <c r="F70" s="171">
        <v>0</v>
      </c>
      <c r="G70" s="171">
        <v>1.7</v>
      </c>
      <c r="H70" s="171">
        <f t="shared" ref="H70:H112" si="54">((F70+G70)*0.6)</f>
        <v>1.02</v>
      </c>
      <c r="I70" s="130">
        <v>0</v>
      </c>
      <c r="J70" s="130">
        <v>0</v>
      </c>
      <c r="K70" s="130">
        <f t="shared" ref="K70:K72" si="55">F70-I70</f>
        <v>0</v>
      </c>
      <c r="L70" s="130">
        <f t="shared" ref="L70:L72" si="56">G70-J70</f>
        <v>1.7</v>
      </c>
      <c r="M70" s="130">
        <f t="shared" ref="M70:M72" si="57">K70+L70</f>
        <v>1.7</v>
      </c>
      <c r="N70" s="94">
        <f t="shared" ref="N70:N72" si="58">(I70+J70)/(F70+G70)</f>
        <v>0</v>
      </c>
      <c r="O70" s="130"/>
    </row>
    <row r="71" spans="2:15">
      <c r="B71" s="302"/>
      <c r="C71" s="171" t="s">
        <v>604</v>
      </c>
      <c r="D71" s="171">
        <v>967435</v>
      </c>
      <c r="E71" s="130" t="s">
        <v>673</v>
      </c>
      <c r="F71" s="171">
        <v>0</v>
      </c>
      <c r="G71" s="171">
        <v>28.919</v>
      </c>
      <c r="H71" s="171">
        <f t="shared" si="54"/>
        <v>17.351399999999998</v>
      </c>
      <c r="I71" s="130">
        <v>0</v>
      </c>
      <c r="J71" s="130">
        <v>810.78</v>
      </c>
      <c r="K71" s="130">
        <f t="shared" si="55"/>
        <v>0</v>
      </c>
      <c r="L71" s="130">
        <f t="shared" si="56"/>
        <v>-781.86099999999999</v>
      </c>
      <c r="M71" s="130">
        <f t="shared" si="57"/>
        <v>-781.86099999999999</v>
      </c>
      <c r="N71" s="94">
        <f t="shared" si="58"/>
        <v>28.036239150731351</v>
      </c>
      <c r="O71" s="130"/>
    </row>
    <row r="72" spans="2:15">
      <c r="B72" s="302"/>
      <c r="C72" s="171" t="s">
        <v>605</v>
      </c>
      <c r="D72" s="171">
        <v>953084</v>
      </c>
      <c r="E72" s="130" t="s">
        <v>673</v>
      </c>
      <c r="F72" s="171">
        <v>0</v>
      </c>
      <c r="G72" s="171">
        <v>20.9</v>
      </c>
      <c r="H72" s="171">
        <f t="shared" si="54"/>
        <v>12.54</v>
      </c>
      <c r="I72" s="130">
        <v>0</v>
      </c>
      <c r="J72" s="130">
        <v>166.143</v>
      </c>
      <c r="K72" s="130">
        <f t="shared" si="55"/>
        <v>0</v>
      </c>
      <c r="L72" s="130">
        <f t="shared" si="56"/>
        <v>-145.24299999999999</v>
      </c>
      <c r="M72" s="130">
        <f t="shared" si="57"/>
        <v>-145.24299999999999</v>
      </c>
      <c r="N72" s="94">
        <f t="shared" si="58"/>
        <v>7.9494258373205744</v>
      </c>
      <c r="O72" s="130"/>
    </row>
    <row r="73" spans="2:15">
      <c r="B73" s="302"/>
      <c r="C73" s="165" t="s">
        <v>324</v>
      </c>
      <c r="D73" s="165">
        <v>956236</v>
      </c>
      <c r="E73" s="130" t="s">
        <v>673</v>
      </c>
      <c r="F73" s="165">
        <v>0.99899999999999878</v>
      </c>
      <c r="G73" s="166">
        <v>0.73099999999999998</v>
      </c>
      <c r="H73" s="171">
        <f t="shared" si="54"/>
        <v>1.0379999999999991</v>
      </c>
      <c r="I73" s="130">
        <v>0</v>
      </c>
      <c r="J73" s="130">
        <v>22.59</v>
      </c>
      <c r="K73" s="130">
        <f t="shared" si="33"/>
        <v>0.99899999999999878</v>
      </c>
      <c r="L73" s="130">
        <f t="shared" si="2"/>
        <v>-21.858999999999998</v>
      </c>
      <c r="M73" s="130">
        <f t="shared" si="3"/>
        <v>-20.86</v>
      </c>
      <c r="N73" s="94">
        <f t="shared" si="4"/>
        <v>13.057803468208103</v>
      </c>
      <c r="O73" s="130"/>
    </row>
    <row r="74" spans="2:15">
      <c r="B74" s="302"/>
      <c r="C74" s="165" t="s">
        <v>537</v>
      </c>
      <c r="D74" s="165">
        <v>922492</v>
      </c>
      <c r="E74" s="130" t="s">
        <v>673</v>
      </c>
      <c r="F74" s="165">
        <v>105.486</v>
      </c>
      <c r="G74" s="166">
        <v>128.33500000000001</v>
      </c>
      <c r="H74" s="171">
        <f t="shared" si="54"/>
        <v>140.29260000000002</v>
      </c>
      <c r="I74" s="130">
        <v>0</v>
      </c>
      <c r="J74" s="130">
        <v>0</v>
      </c>
      <c r="K74" s="130">
        <f t="shared" si="33"/>
        <v>105.486</v>
      </c>
      <c r="L74" s="130">
        <f t="shared" si="2"/>
        <v>128.33500000000001</v>
      </c>
      <c r="M74" s="130">
        <f t="shared" si="3"/>
        <v>233.82100000000003</v>
      </c>
      <c r="N74" s="94">
        <f t="shared" si="4"/>
        <v>0</v>
      </c>
      <c r="O74" s="130"/>
    </row>
    <row r="75" spans="2:15">
      <c r="B75" s="302"/>
      <c r="C75" s="165" t="s">
        <v>307</v>
      </c>
      <c r="D75" s="165">
        <v>954793</v>
      </c>
      <c r="E75" s="130" t="s">
        <v>673</v>
      </c>
      <c r="F75" s="165">
        <v>68.27000000000001</v>
      </c>
      <c r="G75" s="166">
        <v>9.9480000000000004</v>
      </c>
      <c r="H75" s="171">
        <f t="shared" si="54"/>
        <v>46.930800000000012</v>
      </c>
      <c r="I75" s="130">
        <v>67.406999999999996</v>
      </c>
      <c r="J75" s="130">
        <v>98.715999999999994</v>
      </c>
      <c r="K75" s="130">
        <f t="shared" si="33"/>
        <v>0.86300000000001376</v>
      </c>
      <c r="L75" s="130">
        <f t="shared" si="2"/>
        <v>-88.768000000000001</v>
      </c>
      <c r="M75" s="130">
        <f t="shared" si="3"/>
        <v>-87.904999999999987</v>
      </c>
      <c r="N75" s="94">
        <f t="shared" si="4"/>
        <v>2.1238461735150471</v>
      </c>
      <c r="O75" s="130"/>
    </row>
    <row r="76" spans="2:15">
      <c r="B76" s="302"/>
      <c r="C76" s="165" t="s">
        <v>400</v>
      </c>
      <c r="D76" s="165">
        <v>967746</v>
      </c>
      <c r="E76" s="130" t="s">
        <v>673</v>
      </c>
      <c r="F76" s="165">
        <v>77.328000000000003</v>
      </c>
      <c r="G76" s="166">
        <v>236.28200000000001</v>
      </c>
      <c r="H76" s="171">
        <f t="shared" si="54"/>
        <v>188.166</v>
      </c>
      <c r="I76" s="130">
        <v>689.31</v>
      </c>
      <c r="J76" s="130">
        <v>625.74599999999998</v>
      </c>
      <c r="K76" s="130">
        <f t="shared" si="33"/>
        <v>-611.98199999999997</v>
      </c>
      <c r="L76" s="130">
        <f t="shared" si="2"/>
        <v>-389.46399999999994</v>
      </c>
      <c r="M76" s="130">
        <f t="shared" si="3"/>
        <v>-1001.4459999999999</v>
      </c>
      <c r="N76" s="94">
        <f t="shared" si="4"/>
        <v>4.1932846529128538</v>
      </c>
      <c r="O76" s="130"/>
    </row>
    <row r="77" spans="2:15">
      <c r="B77" s="302"/>
      <c r="C77" s="165" t="s">
        <v>438</v>
      </c>
      <c r="D77" s="165">
        <v>966093</v>
      </c>
      <c r="E77" s="130" t="s">
        <v>673</v>
      </c>
      <c r="F77" s="165">
        <v>15</v>
      </c>
      <c r="G77" s="166">
        <v>6.93</v>
      </c>
      <c r="H77" s="171">
        <f t="shared" si="54"/>
        <v>13.157999999999999</v>
      </c>
      <c r="I77" s="130">
        <v>37.615000000000002</v>
      </c>
      <c r="J77" s="130">
        <v>22.965</v>
      </c>
      <c r="K77" s="130">
        <f t="shared" si="33"/>
        <v>-22.615000000000002</v>
      </c>
      <c r="L77" s="130">
        <f t="shared" si="2"/>
        <v>-16.035</v>
      </c>
      <c r="M77" s="130">
        <f t="shared" si="3"/>
        <v>-38.650000000000006</v>
      </c>
      <c r="N77" s="94">
        <f t="shared" si="4"/>
        <v>2.7624259005927954</v>
      </c>
      <c r="O77" s="130"/>
    </row>
    <row r="78" spans="2:15">
      <c r="B78" s="302"/>
      <c r="C78" s="165" t="s">
        <v>382</v>
      </c>
      <c r="D78" s="165">
        <v>968281</v>
      </c>
      <c r="E78" s="130" t="s">
        <v>673</v>
      </c>
      <c r="F78" s="165">
        <v>34.510999999999996</v>
      </c>
      <c r="G78" s="166">
        <v>9.9410000000000007</v>
      </c>
      <c r="H78" s="171">
        <f t="shared" si="54"/>
        <v>26.671199999999999</v>
      </c>
      <c r="I78" s="130">
        <v>78.688000000000002</v>
      </c>
      <c r="J78" s="130">
        <v>18.321999999999999</v>
      </c>
      <c r="K78" s="130">
        <f t="shared" si="33"/>
        <v>-44.177000000000007</v>
      </c>
      <c r="L78" s="130">
        <f t="shared" si="2"/>
        <v>-8.3809999999999985</v>
      </c>
      <c r="M78" s="130">
        <f t="shared" si="3"/>
        <v>-52.558000000000007</v>
      </c>
      <c r="N78" s="94">
        <f t="shared" si="4"/>
        <v>2.1823539998200308</v>
      </c>
      <c r="O78" s="130"/>
    </row>
    <row r="79" spans="2:15">
      <c r="B79" s="302"/>
      <c r="C79" s="171" t="s">
        <v>606</v>
      </c>
      <c r="D79" s="171">
        <v>959209</v>
      </c>
      <c r="E79" s="130" t="s">
        <v>673</v>
      </c>
      <c r="F79" s="171">
        <v>0</v>
      </c>
      <c r="G79" s="171">
        <v>1.522</v>
      </c>
      <c r="H79" s="171">
        <f t="shared" si="54"/>
        <v>0.91320000000000001</v>
      </c>
      <c r="I79" s="130">
        <v>114.163</v>
      </c>
      <c r="J79" s="130">
        <v>1.3320000000000001</v>
      </c>
      <c r="K79" s="130">
        <f t="shared" ref="K79" si="59">F79-I79</f>
        <v>-114.163</v>
      </c>
      <c r="L79" s="130">
        <f t="shared" ref="L79" si="60">G79-J79</f>
        <v>0.18999999999999995</v>
      </c>
      <c r="M79" s="130">
        <f t="shared" ref="M79" si="61">K79+L79</f>
        <v>-113.973</v>
      </c>
      <c r="N79" s="94">
        <f t="shared" ref="N79" si="62">(I79+J79)/(F79+G79)</f>
        <v>75.883705650459916</v>
      </c>
      <c r="O79" s="130"/>
    </row>
    <row r="80" spans="2:15">
      <c r="B80" s="302"/>
      <c r="C80" s="165" t="s">
        <v>354</v>
      </c>
      <c r="D80" s="165">
        <v>952321</v>
      </c>
      <c r="E80" s="130" t="s">
        <v>673</v>
      </c>
      <c r="F80" s="165">
        <v>25.695999999999998</v>
      </c>
      <c r="G80" s="166">
        <v>0</v>
      </c>
      <c r="H80" s="171">
        <f t="shared" si="54"/>
        <v>15.417599999999998</v>
      </c>
      <c r="I80" s="130">
        <v>66.040000000000006</v>
      </c>
      <c r="J80" s="130">
        <v>0</v>
      </c>
      <c r="K80" s="130">
        <f t="shared" si="33"/>
        <v>-40.344000000000008</v>
      </c>
      <c r="L80" s="130">
        <f t="shared" si="2"/>
        <v>0</v>
      </c>
      <c r="M80" s="130">
        <f t="shared" si="3"/>
        <v>-40.344000000000008</v>
      </c>
      <c r="N80" s="94">
        <f t="shared" si="4"/>
        <v>2.5700498132004985</v>
      </c>
      <c r="O80" s="130"/>
    </row>
    <row r="81" spans="2:15">
      <c r="B81" s="302"/>
      <c r="C81" s="165" t="s">
        <v>476</v>
      </c>
      <c r="D81" s="165">
        <v>967393</v>
      </c>
      <c r="E81" s="130" t="s">
        <v>673</v>
      </c>
      <c r="F81" s="165">
        <v>27.076000000000001</v>
      </c>
      <c r="G81" s="166">
        <v>0</v>
      </c>
      <c r="H81" s="171">
        <f t="shared" si="54"/>
        <v>16.2456</v>
      </c>
      <c r="I81" s="130">
        <v>27.076000000000001</v>
      </c>
      <c r="J81" s="130">
        <v>0</v>
      </c>
      <c r="K81" s="130">
        <f t="shared" si="33"/>
        <v>0</v>
      </c>
      <c r="L81" s="130">
        <f t="shared" si="2"/>
        <v>0</v>
      </c>
      <c r="M81" s="130">
        <f t="shared" si="3"/>
        <v>0</v>
      </c>
      <c r="N81" s="94">
        <f t="shared" si="4"/>
        <v>1</v>
      </c>
      <c r="O81" s="130"/>
    </row>
    <row r="82" spans="2:15">
      <c r="B82" s="302"/>
      <c r="C82" s="170" t="s">
        <v>607</v>
      </c>
      <c r="D82" s="170">
        <v>959986</v>
      </c>
      <c r="E82" s="130" t="s">
        <v>673</v>
      </c>
      <c r="F82" s="170">
        <v>0</v>
      </c>
      <c r="G82" s="170">
        <v>15.010999999999999</v>
      </c>
      <c r="H82" s="171">
        <f t="shared" si="54"/>
        <v>9.0065999999999988</v>
      </c>
      <c r="I82" s="130">
        <v>0</v>
      </c>
      <c r="J82" s="130">
        <v>327.55</v>
      </c>
      <c r="K82" s="130">
        <f t="shared" ref="K82" si="63">F82-I82</f>
        <v>0</v>
      </c>
      <c r="L82" s="130">
        <f t="shared" ref="L82" si="64">G82-J82</f>
        <v>-312.53899999999999</v>
      </c>
      <c r="M82" s="130">
        <f t="shared" ref="M82" si="65">K82+L82</f>
        <v>-312.53899999999999</v>
      </c>
      <c r="N82" s="94">
        <f t="shared" ref="N82" si="66">(I82+J82)/(F82+G82)</f>
        <v>21.820664845779763</v>
      </c>
      <c r="O82" s="130"/>
    </row>
    <row r="83" spans="2:15">
      <c r="B83" s="302"/>
      <c r="C83" s="165" t="s">
        <v>347</v>
      </c>
      <c r="D83" s="165">
        <v>963702</v>
      </c>
      <c r="E83" s="130" t="s">
        <v>673</v>
      </c>
      <c r="F83" s="165">
        <v>3.5050000000000026</v>
      </c>
      <c r="G83" s="166">
        <v>0</v>
      </c>
      <c r="H83" s="171">
        <f t="shared" si="54"/>
        <v>2.1030000000000015</v>
      </c>
      <c r="I83" s="130">
        <v>129.61000000000001</v>
      </c>
      <c r="J83" s="130">
        <v>0</v>
      </c>
      <c r="K83" s="130">
        <f t="shared" si="33"/>
        <v>-126.10500000000002</v>
      </c>
      <c r="L83" s="130">
        <f t="shared" si="2"/>
        <v>0</v>
      </c>
      <c r="M83" s="130">
        <f t="shared" si="3"/>
        <v>-126.10500000000002</v>
      </c>
      <c r="N83" s="94">
        <f t="shared" si="4"/>
        <v>36.97860199714691</v>
      </c>
      <c r="O83" s="130"/>
    </row>
    <row r="84" spans="2:15">
      <c r="B84" s="302"/>
      <c r="C84" s="171" t="s">
        <v>569</v>
      </c>
      <c r="D84" s="171">
        <v>967484</v>
      </c>
      <c r="E84" s="130" t="s">
        <v>673</v>
      </c>
      <c r="F84" s="171">
        <v>0</v>
      </c>
      <c r="G84" s="171">
        <v>78.245000000000005</v>
      </c>
      <c r="H84" s="171">
        <f t="shared" si="54"/>
        <v>46.947000000000003</v>
      </c>
      <c r="I84" s="130">
        <v>0</v>
      </c>
      <c r="J84" s="130">
        <v>0</v>
      </c>
      <c r="K84" s="130">
        <f t="shared" ref="K84:K85" si="67">F84-I84</f>
        <v>0</v>
      </c>
      <c r="L84" s="130">
        <f t="shared" ref="L84:L85" si="68">G84-J84</f>
        <v>78.245000000000005</v>
      </c>
      <c r="M84" s="130">
        <f t="shared" ref="M84:M85" si="69">K84+L84</f>
        <v>78.245000000000005</v>
      </c>
      <c r="N84" s="94">
        <f t="shared" ref="N84:N85" si="70">(I84+J84)/(F84+G84)</f>
        <v>0</v>
      </c>
      <c r="O84" s="130"/>
    </row>
    <row r="85" spans="2:15">
      <c r="B85" s="302"/>
      <c r="C85" s="171" t="s">
        <v>378</v>
      </c>
      <c r="D85" s="171">
        <v>962102</v>
      </c>
      <c r="E85" s="130" t="s">
        <v>673</v>
      </c>
      <c r="F85" s="171">
        <v>0</v>
      </c>
      <c r="G85" s="171">
        <v>7.327</v>
      </c>
      <c r="H85" s="171">
        <f t="shared" si="54"/>
        <v>4.3961999999999994</v>
      </c>
      <c r="I85" s="130">
        <v>0</v>
      </c>
      <c r="J85" s="130">
        <v>71.341999999999999</v>
      </c>
      <c r="K85" s="130">
        <f t="shared" si="67"/>
        <v>0</v>
      </c>
      <c r="L85" s="130">
        <f t="shared" si="68"/>
        <v>-64.015000000000001</v>
      </c>
      <c r="M85" s="130">
        <f t="shared" si="69"/>
        <v>-64.015000000000001</v>
      </c>
      <c r="N85" s="94">
        <f t="shared" si="70"/>
        <v>9.7368636549747514</v>
      </c>
      <c r="O85" s="130"/>
    </row>
    <row r="86" spans="2:15">
      <c r="B86" s="302"/>
      <c r="C86" s="165" t="s">
        <v>440</v>
      </c>
      <c r="D86" s="165">
        <v>968805</v>
      </c>
      <c r="E86" s="130" t="s">
        <v>673</v>
      </c>
      <c r="F86" s="165">
        <v>35.763000000000005</v>
      </c>
      <c r="G86" s="166">
        <v>59.847000000000001</v>
      </c>
      <c r="H86" s="171">
        <f t="shared" si="54"/>
        <v>57.366000000000007</v>
      </c>
      <c r="I86" s="130">
        <v>28.507000000000001</v>
      </c>
      <c r="J86" s="130">
        <v>217.018</v>
      </c>
      <c r="K86" s="130">
        <f t="shared" si="33"/>
        <v>7.2560000000000038</v>
      </c>
      <c r="L86" s="130">
        <f t="shared" si="2"/>
        <v>-157.17099999999999</v>
      </c>
      <c r="M86" s="130">
        <f t="shared" si="3"/>
        <v>-149.91499999999999</v>
      </c>
      <c r="N86" s="94">
        <f t="shared" si="4"/>
        <v>2.5679845204476517</v>
      </c>
      <c r="O86" s="130"/>
    </row>
    <row r="87" spans="2:15">
      <c r="B87" s="302"/>
      <c r="C87" s="171" t="s">
        <v>608</v>
      </c>
      <c r="D87" s="171">
        <v>960952</v>
      </c>
      <c r="E87" s="130" t="s">
        <v>673</v>
      </c>
      <c r="F87" s="171">
        <v>0</v>
      </c>
      <c r="G87" s="171">
        <v>4.5999999999999999E-2</v>
      </c>
      <c r="H87" s="171">
        <f t="shared" si="54"/>
        <v>2.76E-2</v>
      </c>
      <c r="I87" s="130">
        <v>0</v>
      </c>
      <c r="J87" s="130">
        <v>24.774999999999999</v>
      </c>
      <c r="K87" s="130">
        <f t="shared" ref="K87:K88" si="71">F87-I87</f>
        <v>0</v>
      </c>
      <c r="L87" s="130">
        <f t="shared" ref="L87:L88" si="72">G87-J87</f>
        <v>-24.728999999999999</v>
      </c>
      <c r="M87" s="130">
        <f t="shared" ref="M87:M88" si="73">K87+L87</f>
        <v>-24.728999999999999</v>
      </c>
      <c r="N87" s="94">
        <f t="shared" ref="N87:N88" si="74">(I87+J87)/(F87+G87)</f>
        <v>538.58695652173913</v>
      </c>
      <c r="O87" s="130"/>
    </row>
    <row r="88" spans="2:15">
      <c r="B88" s="302"/>
      <c r="C88" s="171" t="s">
        <v>441</v>
      </c>
      <c r="D88" s="171">
        <v>956608</v>
      </c>
      <c r="E88" s="130" t="s">
        <v>673</v>
      </c>
      <c r="F88" s="171">
        <v>0</v>
      </c>
      <c r="G88" s="171">
        <v>31.661999999999999</v>
      </c>
      <c r="H88" s="171">
        <f t="shared" si="54"/>
        <v>18.997199999999999</v>
      </c>
      <c r="I88" s="130">
        <v>0</v>
      </c>
      <c r="J88" s="130">
        <v>53.536000000000001</v>
      </c>
      <c r="K88" s="130">
        <f t="shared" si="71"/>
        <v>0</v>
      </c>
      <c r="L88" s="130">
        <f t="shared" si="72"/>
        <v>-21.874000000000002</v>
      </c>
      <c r="M88" s="130">
        <f t="shared" si="73"/>
        <v>-21.874000000000002</v>
      </c>
      <c r="N88" s="94">
        <f t="shared" si="74"/>
        <v>1.6908597056408314</v>
      </c>
      <c r="O88" s="130"/>
    </row>
    <row r="89" spans="2:15">
      <c r="B89" s="302"/>
      <c r="C89" s="165" t="s">
        <v>342</v>
      </c>
      <c r="D89" s="165">
        <v>968147</v>
      </c>
      <c r="E89" s="130" t="s">
        <v>673</v>
      </c>
      <c r="F89" s="165">
        <v>37.036999999999999</v>
      </c>
      <c r="G89" s="166">
        <v>50.591000000000001</v>
      </c>
      <c r="H89" s="171">
        <f t="shared" si="54"/>
        <v>52.576799999999999</v>
      </c>
      <c r="I89" s="130">
        <v>62.197000000000003</v>
      </c>
      <c r="J89" s="130">
        <v>77.063999999999993</v>
      </c>
      <c r="K89" s="130">
        <f t="shared" si="33"/>
        <v>-25.160000000000004</v>
      </c>
      <c r="L89" s="130">
        <f t="shared" si="2"/>
        <v>-26.472999999999992</v>
      </c>
      <c r="M89" s="130">
        <f t="shared" si="3"/>
        <v>-51.632999999999996</v>
      </c>
      <c r="N89" s="94">
        <f t="shared" si="4"/>
        <v>1.5892294700324097</v>
      </c>
      <c r="O89" s="130"/>
    </row>
    <row r="90" spans="2:15">
      <c r="B90" s="302"/>
      <c r="C90" s="165" t="s">
        <v>557</v>
      </c>
      <c r="D90" s="165">
        <v>923000</v>
      </c>
      <c r="E90" s="130" t="s">
        <v>673</v>
      </c>
      <c r="F90" s="165">
        <v>22.749000000000002</v>
      </c>
      <c r="G90" s="166">
        <v>95.790999999999997</v>
      </c>
      <c r="H90" s="171">
        <f t="shared" si="54"/>
        <v>71.123999999999995</v>
      </c>
      <c r="I90" s="130">
        <v>181.197</v>
      </c>
      <c r="J90" s="130">
        <v>176.185</v>
      </c>
      <c r="K90" s="130">
        <f t="shared" si="33"/>
        <v>-158.44800000000001</v>
      </c>
      <c r="L90" s="130">
        <f t="shared" si="2"/>
        <v>-80.394000000000005</v>
      </c>
      <c r="M90" s="130">
        <f t="shared" si="3"/>
        <v>-238.84200000000001</v>
      </c>
      <c r="N90" s="94">
        <f t="shared" si="4"/>
        <v>3.0148641808672179</v>
      </c>
      <c r="O90" s="130"/>
    </row>
    <row r="91" spans="2:15">
      <c r="B91" s="302"/>
      <c r="C91" s="165" t="s">
        <v>558</v>
      </c>
      <c r="D91" s="165">
        <v>967174</v>
      </c>
      <c r="E91" s="130" t="s">
        <v>673</v>
      </c>
      <c r="F91" s="165">
        <v>11.70999999999998</v>
      </c>
      <c r="G91" s="166">
        <v>3.7610000000000001</v>
      </c>
      <c r="H91" s="171">
        <f t="shared" si="54"/>
        <v>9.2825999999999862</v>
      </c>
      <c r="I91" s="130">
        <v>0</v>
      </c>
      <c r="J91" s="130">
        <v>0</v>
      </c>
      <c r="K91" s="130">
        <f t="shared" si="33"/>
        <v>11.70999999999998</v>
      </c>
      <c r="L91" s="130">
        <f t="shared" si="2"/>
        <v>3.7610000000000001</v>
      </c>
      <c r="M91" s="130">
        <f t="shared" si="3"/>
        <v>15.470999999999979</v>
      </c>
      <c r="N91" s="94">
        <f t="shared" si="4"/>
        <v>0</v>
      </c>
      <c r="O91" s="130"/>
    </row>
    <row r="92" spans="2:15">
      <c r="B92" s="302"/>
      <c r="C92" s="171" t="s">
        <v>445</v>
      </c>
      <c r="D92" s="171">
        <v>902733</v>
      </c>
      <c r="E92" s="130" t="s">
        <v>673</v>
      </c>
      <c r="F92" s="171">
        <v>0</v>
      </c>
      <c r="G92" s="171">
        <v>61.29</v>
      </c>
      <c r="H92" s="171">
        <f t="shared" si="54"/>
        <v>36.774000000000001</v>
      </c>
      <c r="I92" s="130">
        <v>0</v>
      </c>
      <c r="J92" s="130">
        <v>101.18899999999999</v>
      </c>
      <c r="K92" s="130">
        <f t="shared" ref="K92" si="75">F92-I92</f>
        <v>0</v>
      </c>
      <c r="L92" s="130">
        <f t="shared" ref="L92" si="76">G92-J92</f>
        <v>-39.898999999999994</v>
      </c>
      <c r="M92" s="130">
        <f t="shared" ref="M92" si="77">K92+L92</f>
        <v>-39.898999999999994</v>
      </c>
      <c r="N92" s="94">
        <f t="shared" ref="N92" si="78">(I92+J92)/(F92+G92)</f>
        <v>1.6509871104584759</v>
      </c>
      <c r="O92" s="130"/>
    </row>
    <row r="93" spans="2:15">
      <c r="B93" s="302"/>
      <c r="C93" s="165" t="s">
        <v>446</v>
      </c>
      <c r="D93" s="165">
        <v>951221</v>
      </c>
      <c r="E93" s="130" t="s">
        <v>673</v>
      </c>
      <c r="F93" s="165">
        <v>72.918999999999997</v>
      </c>
      <c r="G93" s="166">
        <v>213.506</v>
      </c>
      <c r="H93" s="171">
        <f t="shared" si="54"/>
        <v>171.85499999999999</v>
      </c>
      <c r="I93" s="130">
        <v>158.02099999999999</v>
      </c>
      <c r="J93" s="130">
        <v>279.66399999999999</v>
      </c>
      <c r="K93" s="130">
        <f t="shared" si="33"/>
        <v>-85.10199999999999</v>
      </c>
      <c r="L93" s="130">
        <f t="shared" si="2"/>
        <v>-66.157999999999987</v>
      </c>
      <c r="M93" s="130">
        <f t="shared" si="3"/>
        <v>-151.26</v>
      </c>
      <c r="N93" s="94">
        <f t="shared" si="4"/>
        <v>1.5280963603037443</v>
      </c>
      <c r="O93" s="130"/>
    </row>
    <row r="94" spans="2:15">
      <c r="B94" s="302"/>
      <c r="C94" s="165" t="s">
        <v>559</v>
      </c>
      <c r="D94" s="165">
        <v>956727</v>
      </c>
      <c r="E94" s="130" t="s">
        <v>673</v>
      </c>
      <c r="F94" s="165">
        <v>20</v>
      </c>
      <c r="G94" s="166">
        <v>90</v>
      </c>
      <c r="H94" s="171">
        <f t="shared" si="54"/>
        <v>66</v>
      </c>
      <c r="I94" s="130">
        <v>160.50800000000001</v>
      </c>
      <c r="J94" s="130">
        <v>154.31299999999999</v>
      </c>
      <c r="K94" s="130">
        <f t="shared" si="33"/>
        <v>-140.50800000000001</v>
      </c>
      <c r="L94" s="130">
        <f t="shared" si="2"/>
        <v>-64.312999999999988</v>
      </c>
      <c r="M94" s="130">
        <f t="shared" si="3"/>
        <v>-204.821</v>
      </c>
      <c r="N94" s="94">
        <f t="shared" si="4"/>
        <v>2.8620090909090909</v>
      </c>
      <c r="O94" s="130"/>
    </row>
    <row r="95" spans="2:15">
      <c r="B95" s="302"/>
      <c r="C95" s="165" t="s">
        <v>560</v>
      </c>
      <c r="D95" s="165">
        <v>959366</v>
      </c>
      <c r="E95" s="130" t="s">
        <v>673</v>
      </c>
      <c r="F95" s="165">
        <v>15.271000000000001</v>
      </c>
      <c r="G95" s="166">
        <v>39.822000000000003</v>
      </c>
      <c r="H95" s="171">
        <f t="shared" si="54"/>
        <v>33.055799999999998</v>
      </c>
      <c r="I95" s="130">
        <v>93.415999999999997</v>
      </c>
      <c r="J95" s="130">
        <v>304.685</v>
      </c>
      <c r="K95" s="130">
        <f t="shared" si="33"/>
        <v>-78.144999999999996</v>
      </c>
      <c r="L95" s="130">
        <f t="shared" si="2"/>
        <v>-264.863</v>
      </c>
      <c r="M95" s="130">
        <f t="shared" si="3"/>
        <v>-343.00799999999998</v>
      </c>
      <c r="N95" s="94">
        <f t="shared" si="4"/>
        <v>7.2259815221534494</v>
      </c>
      <c r="O95" s="130"/>
    </row>
    <row r="96" spans="2:15">
      <c r="B96" s="302"/>
      <c r="C96" s="170" t="s">
        <v>609</v>
      </c>
      <c r="D96" s="170">
        <v>960959</v>
      </c>
      <c r="E96" s="130" t="s">
        <v>673</v>
      </c>
      <c r="F96" s="170">
        <v>0</v>
      </c>
      <c r="G96" s="170">
        <v>8.3800000000000008</v>
      </c>
      <c r="H96" s="171">
        <f t="shared" si="54"/>
        <v>5.0280000000000005</v>
      </c>
      <c r="I96" s="130">
        <v>0</v>
      </c>
      <c r="J96" s="130">
        <v>288.56700000000001</v>
      </c>
      <c r="K96" s="130">
        <f t="shared" ref="K96:K98" si="79">F96-I96</f>
        <v>0</v>
      </c>
      <c r="L96" s="130">
        <f t="shared" ref="L96:L98" si="80">G96-J96</f>
        <v>-280.18700000000001</v>
      </c>
      <c r="M96" s="130">
        <f t="shared" ref="M96:M98" si="81">K96+L96</f>
        <v>-280.18700000000001</v>
      </c>
      <c r="N96" s="94">
        <f t="shared" ref="N96:N98" si="82">(I96+J96)/(F96+G96)</f>
        <v>34.435202863961813</v>
      </c>
      <c r="O96" s="130"/>
    </row>
    <row r="97" spans="2:15">
      <c r="B97" s="302"/>
      <c r="C97" s="170" t="s">
        <v>483</v>
      </c>
      <c r="D97" s="170">
        <v>967596</v>
      </c>
      <c r="E97" s="130" t="s">
        <v>673</v>
      </c>
      <c r="F97" s="170">
        <v>0</v>
      </c>
      <c r="G97" s="170">
        <v>2E-3</v>
      </c>
      <c r="H97" s="171">
        <f t="shared" si="54"/>
        <v>1.1999999999999999E-3</v>
      </c>
      <c r="I97" s="130">
        <v>0</v>
      </c>
      <c r="J97" s="130">
        <v>339.26400000000001</v>
      </c>
      <c r="K97" s="130">
        <f t="shared" si="79"/>
        <v>0</v>
      </c>
      <c r="L97" s="130">
        <f t="shared" si="80"/>
        <v>-339.262</v>
      </c>
      <c r="M97" s="130">
        <f t="shared" si="81"/>
        <v>-339.262</v>
      </c>
      <c r="N97" s="94">
        <f t="shared" si="82"/>
        <v>169632</v>
      </c>
      <c r="O97" s="130"/>
    </row>
    <row r="98" spans="2:15">
      <c r="B98" s="302"/>
      <c r="C98" s="170" t="s">
        <v>610</v>
      </c>
      <c r="D98" s="170">
        <v>954465</v>
      </c>
      <c r="E98" s="130" t="s">
        <v>673</v>
      </c>
      <c r="F98" s="170">
        <v>0</v>
      </c>
      <c r="G98" s="170">
        <v>138.56</v>
      </c>
      <c r="H98" s="171">
        <f t="shared" si="54"/>
        <v>83.135999999999996</v>
      </c>
      <c r="I98" s="130">
        <v>0</v>
      </c>
      <c r="J98" s="130">
        <v>0</v>
      </c>
      <c r="K98" s="130">
        <f t="shared" si="79"/>
        <v>0</v>
      </c>
      <c r="L98" s="130">
        <f t="shared" si="80"/>
        <v>138.56</v>
      </c>
      <c r="M98" s="130">
        <f t="shared" si="81"/>
        <v>138.56</v>
      </c>
      <c r="N98" s="94">
        <f t="shared" si="82"/>
        <v>0</v>
      </c>
      <c r="O98" s="130"/>
    </row>
    <row r="99" spans="2:15">
      <c r="B99" s="302"/>
      <c r="C99" s="165" t="s">
        <v>471</v>
      </c>
      <c r="D99" s="165">
        <v>968132</v>
      </c>
      <c r="E99" s="130" t="s">
        <v>673</v>
      </c>
      <c r="F99" s="165">
        <v>26.31899999999996</v>
      </c>
      <c r="G99" s="166">
        <v>86.259</v>
      </c>
      <c r="H99" s="171">
        <f t="shared" si="54"/>
        <v>67.546799999999976</v>
      </c>
      <c r="I99" s="130">
        <v>526.053</v>
      </c>
      <c r="J99" s="130">
        <v>348.20400000000001</v>
      </c>
      <c r="K99" s="130">
        <f t="shared" si="33"/>
        <v>-499.73400000000004</v>
      </c>
      <c r="L99" s="130">
        <f t="shared" si="2"/>
        <v>-261.94499999999999</v>
      </c>
      <c r="M99" s="130">
        <f t="shared" si="3"/>
        <v>-761.67900000000009</v>
      </c>
      <c r="N99" s="94">
        <f t="shared" si="4"/>
        <v>7.76578905292331</v>
      </c>
      <c r="O99" s="130"/>
    </row>
    <row r="100" spans="2:15">
      <c r="B100" s="302"/>
      <c r="C100" s="172" t="s">
        <v>448</v>
      </c>
      <c r="D100" s="171">
        <v>968681</v>
      </c>
      <c r="E100" s="130" t="s">
        <v>673</v>
      </c>
      <c r="F100" s="171">
        <v>0</v>
      </c>
      <c r="G100" s="171">
        <v>13.141</v>
      </c>
      <c r="H100" s="171">
        <f t="shared" si="54"/>
        <v>7.8845999999999998</v>
      </c>
      <c r="I100" s="130">
        <v>0</v>
      </c>
      <c r="J100" s="130">
        <v>142.17599999999999</v>
      </c>
      <c r="K100" s="130">
        <f t="shared" ref="K100" si="83">F100-I100</f>
        <v>0</v>
      </c>
      <c r="L100" s="130">
        <f t="shared" ref="L100" si="84">G100-J100</f>
        <v>-129.035</v>
      </c>
      <c r="M100" s="130">
        <f t="shared" ref="M100" si="85">K100+L100</f>
        <v>-129.035</v>
      </c>
      <c r="N100" s="94">
        <f t="shared" ref="N100" si="86">(I100+J100)/(F100+G100)</f>
        <v>10.819267940035004</v>
      </c>
      <c r="O100" s="130"/>
    </row>
    <row r="101" spans="2:15">
      <c r="B101" s="302"/>
      <c r="C101" s="165" t="s">
        <v>449</v>
      </c>
      <c r="D101" s="165">
        <v>953883</v>
      </c>
      <c r="E101" s="130" t="s">
        <v>673</v>
      </c>
      <c r="F101" s="165">
        <v>5.0069999999999979</v>
      </c>
      <c r="G101" s="166">
        <v>15.381</v>
      </c>
      <c r="H101" s="171">
        <f t="shared" si="54"/>
        <v>12.232799999999999</v>
      </c>
      <c r="I101" s="130">
        <v>169.90100000000001</v>
      </c>
      <c r="J101" s="130">
        <v>163.52799999999999</v>
      </c>
      <c r="K101" s="130">
        <f t="shared" si="33"/>
        <v>-164.89400000000001</v>
      </c>
      <c r="L101" s="130">
        <f t="shared" si="2"/>
        <v>-148.14699999999999</v>
      </c>
      <c r="M101" s="130">
        <f t="shared" si="3"/>
        <v>-313.041</v>
      </c>
      <c r="N101" s="94">
        <f t="shared" si="4"/>
        <v>16.354178928781636</v>
      </c>
      <c r="O101" s="130"/>
    </row>
    <row r="102" spans="2:15">
      <c r="B102" s="302"/>
      <c r="C102" s="165" t="s">
        <v>450</v>
      </c>
      <c r="D102" s="165">
        <v>961377</v>
      </c>
      <c r="E102" s="130" t="s">
        <v>673</v>
      </c>
      <c r="F102" s="165">
        <v>6.2660000000000053</v>
      </c>
      <c r="G102" s="166">
        <v>0</v>
      </c>
      <c r="H102" s="171">
        <f t="shared" si="54"/>
        <v>3.7596000000000029</v>
      </c>
      <c r="I102" s="130">
        <v>0</v>
      </c>
      <c r="J102" s="130">
        <v>0</v>
      </c>
      <c r="K102" s="130">
        <f t="shared" si="33"/>
        <v>6.2660000000000053</v>
      </c>
      <c r="L102" s="130">
        <f t="shared" si="2"/>
        <v>0</v>
      </c>
      <c r="M102" s="130">
        <f t="shared" si="3"/>
        <v>6.2660000000000053</v>
      </c>
      <c r="N102" s="94">
        <f t="shared" si="4"/>
        <v>0</v>
      </c>
      <c r="O102" s="130"/>
    </row>
    <row r="103" spans="2:15">
      <c r="B103" s="302"/>
      <c r="C103" s="165" t="s">
        <v>561</v>
      </c>
      <c r="D103" s="165">
        <v>910836</v>
      </c>
      <c r="E103" s="130" t="s">
        <v>673</v>
      </c>
      <c r="F103" s="165">
        <v>20.000999999999991</v>
      </c>
      <c r="G103" s="166">
        <v>80</v>
      </c>
      <c r="H103" s="171">
        <f t="shared" si="54"/>
        <v>60.000599999999991</v>
      </c>
      <c r="I103" s="130">
        <v>158.25</v>
      </c>
      <c r="J103" s="130">
        <v>355.35</v>
      </c>
      <c r="K103" s="130">
        <f t="shared" si="33"/>
        <v>-138.24900000000002</v>
      </c>
      <c r="L103" s="130">
        <f t="shared" si="2"/>
        <v>-275.35000000000002</v>
      </c>
      <c r="M103" s="130">
        <f t="shared" si="3"/>
        <v>-413.59900000000005</v>
      </c>
      <c r="N103" s="94">
        <f t="shared" si="4"/>
        <v>5.1359486405135959</v>
      </c>
      <c r="O103" s="130"/>
    </row>
    <row r="104" spans="2:15">
      <c r="B104" s="302"/>
      <c r="C104" s="165" t="s">
        <v>562</v>
      </c>
      <c r="D104" s="165">
        <v>966129</v>
      </c>
      <c r="E104" s="130" t="s">
        <v>673</v>
      </c>
      <c r="F104" s="165">
        <v>64.597000000000008</v>
      </c>
      <c r="G104" s="166">
        <v>101.803</v>
      </c>
      <c r="H104" s="171">
        <f t="shared" si="54"/>
        <v>99.84</v>
      </c>
      <c r="I104" s="130">
        <v>139.971</v>
      </c>
      <c r="J104" s="130">
        <v>11.353999999999999</v>
      </c>
      <c r="K104" s="130">
        <f t="shared" ref="K104:K112" si="87">F104-I104</f>
        <v>-75.373999999999995</v>
      </c>
      <c r="L104" s="130">
        <f t="shared" si="2"/>
        <v>90.448999999999998</v>
      </c>
      <c r="M104" s="130">
        <f t="shared" si="3"/>
        <v>15.075000000000003</v>
      </c>
      <c r="N104" s="94">
        <f t="shared" si="4"/>
        <v>0.90940504807692302</v>
      </c>
      <c r="O104" s="130"/>
    </row>
    <row r="105" spans="2:15">
      <c r="B105" s="302"/>
      <c r="C105" s="165" t="s">
        <v>359</v>
      </c>
      <c r="D105" s="165">
        <v>962103</v>
      </c>
      <c r="E105" s="130" t="s">
        <v>673</v>
      </c>
      <c r="F105" s="165">
        <v>6.3989999999999991</v>
      </c>
      <c r="G105" s="166">
        <v>3.2189999999999999</v>
      </c>
      <c r="H105" s="171">
        <f t="shared" si="54"/>
        <v>5.7707999999999986</v>
      </c>
      <c r="I105" s="130">
        <v>0</v>
      </c>
      <c r="J105" s="130">
        <v>0</v>
      </c>
      <c r="K105" s="130">
        <f t="shared" si="87"/>
        <v>6.3989999999999991</v>
      </c>
      <c r="L105" s="130">
        <f t="shared" ref="L105:L112" si="88">G105-J105</f>
        <v>3.2189999999999999</v>
      </c>
      <c r="M105" s="130">
        <f t="shared" ref="M105:M112" si="89">K105+L105</f>
        <v>9.6179999999999986</v>
      </c>
      <c r="N105" s="94">
        <f t="shared" ref="N105:N112" si="90">(I105+J105)/(F105+G105)</f>
        <v>0</v>
      </c>
      <c r="O105" s="130"/>
    </row>
    <row r="106" spans="2:15">
      <c r="B106" s="302"/>
      <c r="C106" s="165" t="s">
        <v>512</v>
      </c>
      <c r="D106" s="165">
        <v>953756</v>
      </c>
      <c r="E106" s="130" t="s">
        <v>673</v>
      </c>
      <c r="F106" s="165">
        <v>0.67300000000000182</v>
      </c>
      <c r="G106" s="166">
        <v>0</v>
      </c>
      <c r="H106" s="171">
        <f t="shared" si="54"/>
        <v>0.4038000000000011</v>
      </c>
      <c r="I106" s="130">
        <v>54.957000000000001</v>
      </c>
      <c r="J106" s="130">
        <v>0</v>
      </c>
      <c r="K106" s="130">
        <f>F106-I106</f>
        <v>-54.283999999999999</v>
      </c>
      <c r="L106" s="130">
        <f>G106-J106</f>
        <v>0</v>
      </c>
      <c r="M106" s="130">
        <f>K106+L106</f>
        <v>-54.283999999999999</v>
      </c>
      <c r="N106" s="94">
        <f>(I106+J106)/(F106+G106)</f>
        <v>81.659732540861597</v>
      </c>
      <c r="O106" s="130"/>
    </row>
    <row r="107" spans="2:15">
      <c r="B107" s="302"/>
      <c r="C107" s="171" t="s">
        <v>387</v>
      </c>
      <c r="D107" s="171">
        <v>966410</v>
      </c>
      <c r="E107" s="130" t="s">
        <v>673</v>
      </c>
      <c r="F107" s="171">
        <v>0</v>
      </c>
      <c r="G107" s="171">
        <v>2.423</v>
      </c>
      <c r="H107" s="171">
        <f t="shared" si="54"/>
        <v>1.4538</v>
      </c>
      <c r="I107" s="130">
        <v>0</v>
      </c>
      <c r="J107" s="130">
        <v>390.91399999999999</v>
      </c>
      <c r="K107" s="130">
        <f>F107-I107</f>
        <v>0</v>
      </c>
      <c r="L107" s="130">
        <f>G107-J107</f>
        <v>-388.49099999999999</v>
      </c>
      <c r="M107" s="130">
        <f>K107+L107</f>
        <v>-388.49099999999999</v>
      </c>
      <c r="N107" s="94">
        <f>(I107+J107)/(F107+G107)</f>
        <v>161.33470903838216</v>
      </c>
      <c r="O107" s="130"/>
    </row>
    <row r="108" spans="2:15">
      <c r="B108" s="302"/>
      <c r="C108" s="172" t="s">
        <v>501</v>
      </c>
      <c r="D108" s="165">
        <v>926065</v>
      </c>
      <c r="E108" s="130" t="s">
        <v>673</v>
      </c>
      <c r="F108" s="165">
        <v>21.05</v>
      </c>
      <c r="G108" s="166">
        <v>100.389</v>
      </c>
      <c r="H108" s="171">
        <f t="shared" si="54"/>
        <v>72.863399999999999</v>
      </c>
      <c r="I108" s="130">
        <v>206.197</v>
      </c>
      <c r="J108" s="130">
        <v>390.13900000000001</v>
      </c>
      <c r="K108" s="130">
        <f t="shared" si="87"/>
        <v>-185.14699999999999</v>
      </c>
      <c r="L108" s="130">
        <f t="shared" si="88"/>
        <v>-289.75</v>
      </c>
      <c r="M108" s="130">
        <f t="shared" si="89"/>
        <v>-474.89699999999999</v>
      </c>
      <c r="N108" s="94">
        <f t="shared" si="90"/>
        <v>4.9105806207231621</v>
      </c>
      <c r="O108" s="130"/>
    </row>
    <row r="109" spans="2:15">
      <c r="B109" s="302"/>
      <c r="C109" s="171" t="s">
        <v>290</v>
      </c>
      <c r="D109" s="171">
        <v>969106</v>
      </c>
      <c r="E109" s="130" t="s">
        <v>673</v>
      </c>
      <c r="F109" s="171">
        <v>0</v>
      </c>
      <c r="G109" s="171">
        <v>546.01099999999997</v>
      </c>
      <c r="H109" s="171">
        <f t="shared" si="54"/>
        <v>327.60659999999996</v>
      </c>
      <c r="I109" s="130">
        <v>163.965</v>
      </c>
      <c r="J109" s="130">
        <v>513.81100000000004</v>
      </c>
      <c r="K109" s="130">
        <f t="shared" ref="K109" si="91">F109-I109</f>
        <v>-163.965</v>
      </c>
      <c r="L109" s="130">
        <f t="shared" ref="L109" si="92">G109-J109</f>
        <v>32.199999999999932</v>
      </c>
      <c r="M109" s="130">
        <f t="shared" ref="M109" si="93">K109+L109</f>
        <v>-131.76500000000007</v>
      </c>
      <c r="N109" s="94">
        <f t="shared" ref="N109" si="94">(I109+J109)/(F109+G109)</f>
        <v>1.2413229770096208</v>
      </c>
      <c r="O109" s="130"/>
    </row>
    <row r="110" spans="2:15">
      <c r="B110" s="302"/>
      <c r="C110" s="165" t="s">
        <v>563</v>
      </c>
      <c r="D110" s="165">
        <v>950918</v>
      </c>
      <c r="E110" s="130" t="s">
        <v>673</v>
      </c>
      <c r="F110" s="165">
        <v>180</v>
      </c>
      <c r="G110" s="166">
        <v>124</v>
      </c>
      <c r="H110" s="171">
        <f t="shared" si="54"/>
        <v>182.4</v>
      </c>
      <c r="I110" s="130">
        <v>190.74199999999999</v>
      </c>
      <c r="J110" s="130">
        <v>125.197</v>
      </c>
      <c r="K110" s="130">
        <f t="shared" si="87"/>
        <v>-10.74199999999999</v>
      </c>
      <c r="L110" s="130">
        <f t="shared" si="88"/>
        <v>-1.1970000000000027</v>
      </c>
      <c r="M110" s="130">
        <f t="shared" si="89"/>
        <v>-11.938999999999993</v>
      </c>
      <c r="N110" s="94">
        <f t="shared" si="90"/>
        <v>1.0392730263157894</v>
      </c>
      <c r="O110" s="130"/>
    </row>
    <row r="111" spans="2:15">
      <c r="B111" s="302"/>
      <c r="C111" s="165" t="s">
        <v>486</v>
      </c>
      <c r="D111" s="165">
        <v>960054</v>
      </c>
      <c r="E111" s="130" t="s">
        <v>673</v>
      </c>
      <c r="F111" s="165">
        <v>10.304000000000007</v>
      </c>
      <c r="G111" s="166">
        <v>61.8</v>
      </c>
      <c r="H111" s="171">
        <f t="shared" si="54"/>
        <v>43.2624</v>
      </c>
      <c r="I111" s="130">
        <v>133.57</v>
      </c>
      <c r="J111" s="130">
        <v>486.54700000000003</v>
      </c>
      <c r="K111" s="130">
        <f t="shared" si="87"/>
        <v>-123.26599999999999</v>
      </c>
      <c r="L111" s="130">
        <f t="shared" si="88"/>
        <v>-424.74700000000001</v>
      </c>
      <c r="M111" s="130">
        <f t="shared" si="89"/>
        <v>-548.01300000000003</v>
      </c>
      <c r="N111" s="94">
        <f t="shared" si="90"/>
        <v>8.6003134361477862</v>
      </c>
      <c r="O111" s="130"/>
    </row>
    <row r="112" spans="2:15">
      <c r="B112" s="302"/>
      <c r="C112" s="165" t="s">
        <v>454</v>
      </c>
      <c r="D112" s="165">
        <v>963890</v>
      </c>
      <c r="E112" s="130" t="s">
        <v>673</v>
      </c>
      <c r="F112" s="165">
        <v>20.384</v>
      </c>
      <c r="G112" s="166">
        <v>91.820999999999998</v>
      </c>
      <c r="H112" s="171">
        <f t="shared" si="54"/>
        <v>67.322999999999993</v>
      </c>
      <c r="I112" s="130">
        <v>110.087</v>
      </c>
      <c r="J112" s="130">
        <v>85.281000000000006</v>
      </c>
      <c r="K112" s="130">
        <f t="shared" si="87"/>
        <v>-89.703000000000003</v>
      </c>
      <c r="L112" s="130">
        <f t="shared" si="88"/>
        <v>6.539999999999992</v>
      </c>
      <c r="M112" s="130">
        <f t="shared" si="89"/>
        <v>-83.163000000000011</v>
      </c>
      <c r="N112" s="94">
        <f t="shared" si="90"/>
        <v>1.7411701795820151</v>
      </c>
      <c r="O112" s="130"/>
    </row>
    <row r="113" spans="2:15">
      <c r="B113" s="302" t="s">
        <v>540</v>
      </c>
      <c r="C113" s="165" t="s">
        <v>564</v>
      </c>
      <c r="D113" s="165">
        <v>967145</v>
      </c>
      <c r="E113" s="130" t="s">
        <v>673</v>
      </c>
      <c r="F113" s="301">
        <v>306.64</v>
      </c>
      <c r="G113" s="298">
        <v>2409.076</v>
      </c>
      <c r="H113" s="298">
        <f>(F113+G113)*0.6</f>
        <v>1629.4295999999999</v>
      </c>
      <c r="I113" s="129">
        <v>247.77899999999997</v>
      </c>
      <c r="J113" s="129">
        <v>545.4369999999999</v>
      </c>
      <c r="K113" s="297">
        <f>F113-(I113+I114+I115)</f>
        <v>-583.93899999999996</v>
      </c>
      <c r="L113" s="293">
        <f>G113-(J113+J114+J115)</f>
        <v>583.93900000000008</v>
      </c>
      <c r="M113" s="293">
        <f>K113+L113</f>
        <v>0</v>
      </c>
      <c r="N113" s="296">
        <f>((I113+I114+I115)+(J113+J114+J115))/(F113+G113)</f>
        <v>1</v>
      </c>
      <c r="O113" s="130"/>
    </row>
    <row r="114" spans="2:15">
      <c r="B114" s="302"/>
      <c r="C114" s="165" t="s">
        <v>414</v>
      </c>
      <c r="D114" s="165">
        <v>967342</v>
      </c>
      <c r="E114" s="130" t="s">
        <v>673</v>
      </c>
      <c r="F114" s="301"/>
      <c r="G114" s="299"/>
      <c r="H114" s="299"/>
      <c r="I114" s="129">
        <v>361.67999999999995</v>
      </c>
      <c r="J114" s="129">
        <v>725.45500000000015</v>
      </c>
      <c r="K114" s="281"/>
      <c r="L114" s="294"/>
      <c r="M114" s="294"/>
      <c r="N114" s="296"/>
      <c r="O114" s="130"/>
    </row>
    <row r="115" spans="2:15">
      <c r="B115" s="302"/>
      <c r="C115" s="165" t="s">
        <v>415</v>
      </c>
      <c r="D115" s="165">
        <v>967281</v>
      </c>
      <c r="E115" s="130" t="s">
        <v>673</v>
      </c>
      <c r="F115" s="301"/>
      <c r="G115" s="300"/>
      <c r="H115" s="300"/>
      <c r="I115" s="129">
        <v>281.11999999999995</v>
      </c>
      <c r="J115" s="129">
        <v>554.24499999999989</v>
      </c>
      <c r="K115" s="281"/>
      <c r="L115" s="295"/>
      <c r="M115" s="295"/>
      <c r="N115" s="296"/>
      <c r="O115" s="130"/>
    </row>
    <row r="116" spans="2:15">
      <c r="B116" s="302"/>
      <c r="C116" s="172" t="s">
        <v>611</v>
      </c>
      <c r="D116" s="172">
        <v>968982</v>
      </c>
      <c r="E116" s="130" t="s">
        <v>673</v>
      </c>
      <c r="F116" s="298">
        <v>0</v>
      </c>
      <c r="G116" s="301">
        <v>254.73500000000001</v>
      </c>
      <c r="H116" s="298">
        <f>(F116+G116)*0.6</f>
        <v>152.84100000000001</v>
      </c>
      <c r="I116" s="129">
        <v>0</v>
      </c>
      <c r="J116" s="129">
        <v>0</v>
      </c>
      <c r="K116" s="276">
        <f>F116-(I116+I117)</f>
        <v>-152.84100000000001</v>
      </c>
      <c r="L116" s="276">
        <f>G116-(J116+J117)</f>
        <v>152.84100000000001</v>
      </c>
      <c r="M116" s="276">
        <f>K116+L116</f>
        <v>0</v>
      </c>
      <c r="N116" s="288">
        <f>((I116+I117)+(J116+J117))/(F116+G116)</f>
        <v>1</v>
      </c>
      <c r="O116" s="130"/>
    </row>
    <row r="117" spans="2:15">
      <c r="B117" s="302"/>
      <c r="C117" s="172" t="s">
        <v>564</v>
      </c>
      <c r="D117" s="172">
        <v>967145</v>
      </c>
      <c r="E117" s="130" t="s">
        <v>673</v>
      </c>
      <c r="F117" s="300"/>
      <c r="G117" s="301"/>
      <c r="H117" s="300"/>
      <c r="I117" s="129">
        <v>152.84100000000001</v>
      </c>
      <c r="J117" s="129">
        <v>101.89400000000001</v>
      </c>
      <c r="K117" s="277"/>
      <c r="L117" s="277"/>
      <c r="M117" s="277"/>
      <c r="N117" s="290"/>
      <c r="O117" s="130"/>
    </row>
    <row r="118" spans="2:15">
      <c r="B118" s="302"/>
      <c r="C118" s="165" t="s">
        <v>564</v>
      </c>
      <c r="D118" s="165">
        <v>967145</v>
      </c>
      <c r="E118" s="130" t="s">
        <v>673</v>
      </c>
      <c r="F118" s="301">
        <v>182.6</v>
      </c>
      <c r="G118" s="301">
        <v>317.5</v>
      </c>
      <c r="H118" s="298">
        <f>(F118+G118)*0.6</f>
        <v>300.06</v>
      </c>
      <c r="I118" s="128">
        <v>0</v>
      </c>
      <c r="J118" s="129">
        <v>0</v>
      </c>
      <c r="K118" s="297">
        <f>F118-(SUM(I118:I122))</f>
        <v>29.691000000000003</v>
      </c>
      <c r="L118" s="293">
        <f>G118-(SUM(J118:J122))</f>
        <v>-29.690999999999974</v>
      </c>
      <c r="M118" s="293">
        <f>K118+L118</f>
        <v>2.8421709430404007E-14</v>
      </c>
      <c r="N118" s="296">
        <f>((SUM(I118:I122))+(SUM(J118:J122)))/(F118+G118)</f>
        <v>0.99999999999999989</v>
      </c>
      <c r="O118" s="130"/>
    </row>
    <row r="119" spans="2:15">
      <c r="B119" s="302"/>
      <c r="C119" s="165" t="s">
        <v>414</v>
      </c>
      <c r="D119" s="165">
        <v>967342</v>
      </c>
      <c r="E119" s="130" t="s">
        <v>673</v>
      </c>
      <c r="F119" s="301"/>
      <c r="G119" s="301"/>
      <c r="H119" s="299"/>
      <c r="I119" s="129">
        <v>0</v>
      </c>
      <c r="J119" s="129">
        <v>0</v>
      </c>
      <c r="K119" s="281"/>
      <c r="L119" s="294"/>
      <c r="M119" s="294"/>
      <c r="N119" s="296"/>
      <c r="O119" s="130"/>
    </row>
    <row r="120" spans="2:15">
      <c r="B120" s="302"/>
      <c r="C120" s="165" t="s">
        <v>415</v>
      </c>
      <c r="D120" s="165">
        <v>967281</v>
      </c>
      <c r="E120" s="130" t="s">
        <v>673</v>
      </c>
      <c r="F120" s="301"/>
      <c r="G120" s="301"/>
      <c r="H120" s="299"/>
      <c r="I120" s="129">
        <v>0</v>
      </c>
      <c r="J120" s="129">
        <v>0</v>
      </c>
      <c r="K120" s="281"/>
      <c r="L120" s="294"/>
      <c r="M120" s="294"/>
      <c r="N120" s="296"/>
      <c r="O120" s="130"/>
    </row>
    <row r="121" spans="2:15">
      <c r="B121" s="302"/>
      <c r="C121" s="165" t="s">
        <v>565</v>
      </c>
      <c r="D121" s="165">
        <v>957800</v>
      </c>
      <c r="E121" s="130" t="s">
        <v>673</v>
      </c>
      <c r="F121" s="301"/>
      <c r="G121" s="301"/>
      <c r="H121" s="299"/>
      <c r="I121" s="129">
        <v>0</v>
      </c>
      <c r="J121" s="129">
        <v>0</v>
      </c>
      <c r="K121" s="281"/>
      <c r="L121" s="294"/>
      <c r="M121" s="294"/>
      <c r="N121" s="296"/>
      <c r="O121" s="130"/>
    </row>
    <row r="122" spans="2:15">
      <c r="B122" s="302"/>
      <c r="C122" s="165" t="s">
        <v>291</v>
      </c>
      <c r="D122" s="165">
        <v>963943</v>
      </c>
      <c r="E122" s="130" t="s">
        <v>673</v>
      </c>
      <c r="F122" s="301"/>
      <c r="G122" s="301"/>
      <c r="H122" s="300"/>
      <c r="I122" s="129">
        <v>152.90899999999999</v>
      </c>
      <c r="J122" s="129">
        <v>347.19099999999997</v>
      </c>
      <c r="K122" s="281"/>
      <c r="L122" s="295"/>
      <c r="M122" s="295"/>
      <c r="N122" s="296"/>
      <c r="O122" s="130"/>
    </row>
    <row r="123" spans="2:15">
      <c r="B123" s="302"/>
      <c r="C123" s="172" t="s">
        <v>380</v>
      </c>
      <c r="D123" s="172">
        <v>965073</v>
      </c>
      <c r="E123" s="130" t="s">
        <v>673</v>
      </c>
      <c r="F123" s="298">
        <v>0</v>
      </c>
      <c r="G123" s="301">
        <v>30.419</v>
      </c>
      <c r="H123" s="298">
        <f>(F123+G123)*0.6</f>
        <v>18.2514</v>
      </c>
      <c r="I123" s="129">
        <v>15.057</v>
      </c>
      <c r="J123" s="129">
        <v>15.362</v>
      </c>
      <c r="K123" s="276">
        <f>F123-(I123+I124)</f>
        <v>-15.057</v>
      </c>
      <c r="L123" s="276">
        <f>G123-(J123+J124)</f>
        <v>15.057</v>
      </c>
      <c r="M123" s="276">
        <f>K123+L123</f>
        <v>0</v>
      </c>
      <c r="N123" s="288">
        <f>((I123+I124)+(J123+J124))/(F123+G123)</f>
        <v>1</v>
      </c>
      <c r="O123" s="130"/>
    </row>
    <row r="124" spans="2:15">
      <c r="B124" s="302"/>
      <c r="C124" s="172" t="s">
        <v>381</v>
      </c>
      <c r="D124" s="172">
        <v>966994</v>
      </c>
      <c r="E124" s="130" t="s">
        <v>673</v>
      </c>
      <c r="F124" s="300"/>
      <c r="G124" s="301"/>
      <c r="H124" s="300"/>
      <c r="I124" s="129">
        <v>0</v>
      </c>
      <c r="J124" s="129">
        <v>0</v>
      </c>
      <c r="K124" s="277"/>
      <c r="L124" s="277"/>
      <c r="M124" s="277"/>
      <c r="N124" s="290"/>
      <c r="O124" s="130"/>
    </row>
    <row r="125" spans="2:15">
      <c r="B125" s="302"/>
      <c r="C125" s="172" t="s">
        <v>565</v>
      </c>
      <c r="D125" s="172">
        <v>968165</v>
      </c>
      <c r="E125" s="130" t="s">
        <v>673</v>
      </c>
      <c r="F125" s="298">
        <v>0</v>
      </c>
      <c r="G125" s="301">
        <v>43.063000000000002</v>
      </c>
      <c r="H125" s="298">
        <f>(F125+G125)*0.6</f>
        <v>25.837800000000001</v>
      </c>
      <c r="I125" s="129">
        <v>0</v>
      </c>
      <c r="J125" s="129">
        <v>0</v>
      </c>
      <c r="K125" s="276">
        <f>F125-(I125+I126)</f>
        <v>-7.4480000000000004</v>
      </c>
      <c r="L125" s="276">
        <f>G125-(J125+J126)</f>
        <v>7.4480000000000004</v>
      </c>
      <c r="M125" s="276">
        <f>K125+L125</f>
        <v>0</v>
      </c>
      <c r="N125" s="288">
        <f>((I125+I126)+(J125+J126))/(F125+G125)</f>
        <v>1</v>
      </c>
      <c r="O125" s="130"/>
    </row>
    <row r="126" spans="2:15">
      <c r="B126" s="302"/>
      <c r="C126" s="172" t="s">
        <v>291</v>
      </c>
      <c r="D126" s="172">
        <v>968160</v>
      </c>
      <c r="E126" s="130" t="s">
        <v>673</v>
      </c>
      <c r="F126" s="300"/>
      <c r="G126" s="301"/>
      <c r="H126" s="300"/>
      <c r="I126" s="129">
        <v>7.4480000000000004</v>
      </c>
      <c r="J126" s="129">
        <v>35.615000000000002</v>
      </c>
      <c r="K126" s="277"/>
      <c r="L126" s="277"/>
      <c r="M126" s="277"/>
      <c r="N126" s="290"/>
      <c r="O126" s="130"/>
    </row>
    <row r="127" spans="2:15">
      <c r="B127" s="302"/>
      <c r="C127" s="172" t="s">
        <v>612</v>
      </c>
      <c r="D127" s="172">
        <v>961338</v>
      </c>
      <c r="E127" s="130" t="s">
        <v>673</v>
      </c>
      <c r="F127" s="298">
        <v>0</v>
      </c>
      <c r="G127" s="301">
        <v>11.263</v>
      </c>
      <c r="H127" s="298">
        <f>(F127+G127)*0.6</f>
        <v>6.7577999999999996</v>
      </c>
      <c r="I127" s="185">
        <v>0</v>
      </c>
      <c r="J127" s="185">
        <v>11.263</v>
      </c>
      <c r="K127" s="276">
        <f>F127-(I127+I128+I129)</f>
        <v>0</v>
      </c>
      <c r="L127" s="276">
        <f>G127-(J127+J128+J129)</f>
        <v>0</v>
      </c>
      <c r="M127" s="276">
        <f>K127+L127</f>
        <v>0</v>
      </c>
      <c r="N127" s="288">
        <f>((I127+I128+I129)+(J127+J128+J129))/(F127+G127)</f>
        <v>1</v>
      </c>
      <c r="O127" s="130"/>
    </row>
    <row r="128" spans="2:15">
      <c r="B128" s="302"/>
      <c r="C128" s="172" t="s">
        <v>613</v>
      </c>
      <c r="D128" s="172">
        <v>968804</v>
      </c>
      <c r="E128" s="130" t="s">
        <v>673</v>
      </c>
      <c r="F128" s="299"/>
      <c r="G128" s="301"/>
      <c r="H128" s="299"/>
      <c r="I128" s="185">
        <v>0</v>
      </c>
      <c r="J128" s="185">
        <v>0</v>
      </c>
      <c r="K128" s="292"/>
      <c r="L128" s="292"/>
      <c r="M128" s="292"/>
      <c r="N128" s="289"/>
      <c r="O128" s="130"/>
    </row>
    <row r="129" spans="2:15">
      <c r="B129" s="302"/>
      <c r="C129" s="172" t="s">
        <v>614</v>
      </c>
      <c r="D129" s="172">
        <v>968675</v>
      </c>
      <c r="E129" s="130" t="s">
        <v>673</v>
      </c>
      <c r="F129" s="300"/>
      <c r="G129" s="301"/>
      <c r="H129" s="300"/>
      <c r="I129" s="185">
        <v>0</v>
      </c>
      <c r="J129" s="185">
        <v>0</v>
      </c>
      <c r="K129" s="277"/>
      <c r="L129" s="277"/>
      <c r="M129" s="277"/>
      <c r="N129" s="290"/>
      <c r="O129" s="130"/>
    </row>
    <row r="130" spans="2:15">
      <c r="B130" s="302"/>
      <c r="C130" s="172" t="s">
        <v>406</v>
      </c>
      <c r="D130" s="172">
        <v>923199</v>
      </c>
      <c r="E130" s="130" t="s">
        <v>673</v>
      </c>
      <c r="F130" s="298">
        <v>0</v>
      </c>
      <c r="G130" s="301">
        <v>0.02</v>
      </c>
      <c r="H130" s="298">
        <f>(F130+G130)*0.6</f>
        <v>1.2E-2</v>
      </c>
      <c r="I130" s="185">
        <v>0</v>
      </c>
      <c r="J130" s="185">
        <v>0</v>
      </c>
      <c r="K130" s="276">
        <f>F130-(I130+I131)</f>
        <v>0</v>
      </c>
      <c r="L130" s="276">
        <f>G130-(J130+J131)</f>
        <v>0.02</v>
      </c>
      <c r="M130" s="276">
        <f>K130+L130</f>
        <v>0.02</v>
      </c>
      <c r="N130" s="288">
        <f>((I130+I131)+(J130+J131))/(F130+G130)</f>
        <v>0</v>
      </c>
      <c r="O130" s="130"/>
    </row>
    <row r="131" spans="2:15">
      <c r="B131" s="302"/>
      <c r="C131" s="172" t="s">
        <v>417</v>
      </c>
      <c r="D131" s="172">
        <v>964068</v>
      </c>
      <c r="E131" s="130" t="s">
        <v>673</v>
      </c>
      <c r="F131" s="300"/>
      <c r="G131" s="301"/>
      <c r="H131" s="300"/>
      <c r="I131" s="185">
        <v>0</v>
      </c>
      <c r="J131" s="185">
        <v>0</v>
      </c>
      <c r="K131" s="277"/>
      <c r="L131" s="277"/>
      <c r="M131" s="277"/>
      <c r="N131" s="290"/>
      <c r="O131" s="130"/>
    </row>
    <row r="132" spans="2:15">
      <c r="B132" s="302"/>
      <c r="C132" s="172" t="s">
        <v>615</v>
      </c>
      <c r="D132" s="172">
        <v>963685</v>
      </c>
      <c r="E132" s="130" t="s">
        <v>673</v>
      </c>
      <c r="F132" s="298">
        <v>0</v>
      </c>
      <c r="G132" s="301">
        <v>65.525000000000006</v>
      </c>
      <c r="H132" s="298">
        <f>(F132+G132)*0.6</f>
        <v>39.315000000000005</v>
      </c>
      <c r="I132" s="185">
        <v>0</v>
      </c>
      <c r="J132" s="185">
        <v>0</v>
      </c>
      <c r="K132" s="276">
        <f>F132-(I132+I133+I134)</f>
        <v>-24.152999999999999</v>
      </c>
      <c r="L132" s="276">
        <f>G132-(J132+J133+J134)</f>
        <v>24.153000000000006</v>
      </c>
      <c r="M132" s="276">
        <f>K132+L132</f>
        <v>0</v>
      </c>
      <c r="N132" s="288">
        <f>((I132+I133+I134)+(J132+J133+J134))/(F132+G132)</f>
        <v>1</v>
      </c>
      <c r="O132" s="130"/>
    </row>
    <row r="133" spans="2:15">
      <c r="B133" s="302"/>
      <c r="C133" s="172" t="s">
        <v>613</v>
      </c>
      <c r="D133" s="172">
        <v>968804</v>
      </c>
      <c r="E133" s="130" t="s">
        <v>673</v>
      </c>
      <c r="F133" s="299"/>
      <c r="G133" s="301"/>
      <c r="H133" s="299"/>
      <c r="I133" s="185">
        <v>10.906000000000001</v>
      </c>
      <c r="J133" s="185">
        <v>5.7939999999999996</v>
      </c>
      <c r="K133" s="292"/>
      <c r="L133" s="292"/>
      <c r="M133" s="292"/>
      <c r="N133" s="289"/>
      <c r="O133" s="130"/>
    </row>
    <row r="134" spans="2:15">
      <c r="B134" s="302"/>
      <c r="C134" s="172" t="s">
        <v>568</v>
      </c>
      <c r="D134" s="172">
        <v>966633</v>
      </c>
      <c r="E134" s="130" t="s">
        <v>673</v>
      </c>
      <c r="F134" s="300"/>
      <c r="G134" s="301"/>
      <c r="H134" s="300"/>
      <c r="I134" s="185">
        <v>13.247</v>
      </c>
      <c r="J134" s="185">
        <v>35.578000000000003</v>
      </c>
      <c r="K134" s="277"/>
      <c r="L134" s="277"/>
      <c r="M134" s="277"/>
      <c r="N134" s="290"/>
      <c r="O134" s="130"/>
    </row>
    <row r="135" spans="2:15">
      <c r="B135" s="302"/>
      <c r="C135" s="165" t="s">
        <v>566</v>
      </c>
      <c r="D135" s="165">
        <v>924618</v>
      </c>
      <c r="E135" s="130" t="s">
        <v>673</v>
      </c>
      <c r="F135" s="301">
        <v>1</v>
      </c>
      <c r="G135" s="301">
        <v>61.494999999999997</v>
      </c>
      <c r="H135" s="298">
        <f>(F135+G135)*0.6</f>
        <v>37.497</v>
      </c>
      <c r="I135" s="129">
        <v>0</v>
      </c>
      <c r="J135" s="129">
        <v>0</v>
      </c>
      <c r="K135" s="297">
        <f>F135-(I135+I136+I137)</f>
        <v>-26.427</v>
      </c>
      <c r="L135" s="276">
        <f>G135-(J135+J136+J137)</f>
        <v>26.427</v>
      </c>
      <c r="M135" s="276">
        <f>K135+L135</f>
        <v>0</v>
      </c>
      <c r="N135" s="296">
        <f>((I135+I136+I137)+(J135+J136+J137))/(F135+G135)</f>
        <v>1</v>
      </c>
      <c r="O135" s="130"/>
    </row>
    <row r="136" spans="2:15">
      <c r="B136" s="302"/>
      <c r="C136" s="165" t="s">
        <v>567</v>
      </c>
      <c r="D136" s="165">
        <v>966599</v>
      </c>
      <c r="E136" s="130" t="s">
        <v>673</v>
      </c>
      <c r="F136" s="301"/>
      <c r="G136" s="301"/>
      <c r="H136" s="299"/>
      <c r="I136" s="129">
        <v>27.427</v>
      </c>
      <c r="J136" s="129">
        <v>35.067999999999998</v>
      </c>
      <c r="K136" s="281"/>
      <c r="L136" s="292"/>
      <c r="M136" s="292"/>
      <c r="N136" s="296"/>
      <c r="O136" s="130"/>
    </row>
    <row r="137" spans="2:15">
      <c r="B137" s="302"/>
      <c r="C137" s="165" t="s">
        <v>568</v>
      </c>
      <c r="D137" s="165">
        <v>966633</v>
      </c>
      <c r="E137" s="130" t="s">
        <v>673</v>
      </c>
      <c r="F137" s="301"/>
      <c r="G137" s="301"/>
      <c r="H137" s="300"/>
      <c r="I137" s="129">
        <v>0</v>
      </c>
      <c r="J137" s="129">
        <v>0</v>
      </c>
      <c r="K137" s="281"/>
      <c r="L137" s="277"/>
      <c r="M137" s="277"/>
      <c r="N137" s="296"/>
      <c r="O137" s="130"/>
    </row>
    <row r="138" spans="2:15">
      <c r="B138" s="302"/>
      <c r="C138" s="165" t="s">
        <v>415</v>
      </c>
      <c r="D138" s="165">
        <v>967281</v>
      </c>
      <c r="E138" s="130" t="s">
        <v>673</v>
      </c>
      <c r="F138" s="301">
        <v>50</v>
      </c>
      <c r="G138" s="301">
        <v>200</v>
      </c>
      <c r="H138" s="298">
        <f>(F138+G138)*0.6</f>
        <v>150</v>
      </c>
      <c r="I138" s="129">
        <v>0</v>
      </c>
      <c r="J138" s="129">
        <v>0</v>
      </c>
      <c r="K138" s="297">
        <f>F138-(SUM(I138:I141))</f>
        <v>-100.20400000000001</v>
      </c>
      <c r="L138" s="293">
        <f>G138-(SUM(J138:J141))</f>
        <v>100.20399999999999</v>
      </c>
      <c r="M138" s="293">
        <f>K138+L138</f>
        <v>0</v>
      </c>
      <c r="N138" s="296">
        <f>((SUM(I138:I141))+(SUM(J138:J141)))/(F138+G138)</f>
        <v>1</v>
      </c>
      <c r="O138" s="130"/>
    </row>
    <row r="139" spans="2:15">
      <c r="B139" s="302"/>
      <c r="C139" s="165" t="s">
        <v>414</v>
      </c>
      <c r="D139" s="165">
        <v>967342</v>
      </c>
      <c r="E139" s="130" t="s">
        <v>673</v>
      </c>
      <c r="F139" s="301"/>
      <c r="G139" s="301"/>
      <c r="H139" s="299"/>
      <c r="I139" s="129">
        <v>150.20400000000001</v>
      </c>
      <c r="J139" s="129">
        <v>99.796000000000006</v>
      </c>
      <c r="K139" s="281"/>
      <c r="L139" s="294"/>
      <c r="M139" s="294"/>
      <c r="N139" s="296"/>
      <c r="O139" s="130"/>
    </row>
    <row r="140" spans="2:15">
      <c r="B140" s="302"/>
      <c r="C140" s="165" t="s">
        <v>564</v>
      </c>
      <c r="D140" s="165">
        <v>967145</v>
      </c>
      <c r="E140" s="130" t="s">
        <v>673</v>
      </c>
      <c r="F140" s="301"/>
      <c r="G140" s="301"/>
      <c r="H140" s="299"/>
      <c r="I140" s="129">
        <v>0</v>
      </c>
      <c r="J140" s="129">
        <v>0</v>
      </c>
      <c r="K140" s="281"/>
      <c r="L140" s="294"/>
      <c r="M140" s="294"/>
      <c r="N140" s="296"/>
      <c r="O140" s="130"/>
    </row>
    <row r="141" spans="2:15">
      <c r="B141" s="302"/>
      <c r="C141" s="165" t="s">
        <v>569</v>
      </c>
      <c r="D141" s="165">
        <v>967484</v>
      </c>
      <c r="E141" s="130" t="s">
        <v>673</v>
      </c>
      <c r="F141" s="301"/>
      <c r="G141" s="301"/>
      <c r="H141" s="300"/>
      <c r="I141" s="129">
        <v>0</v>
      </c>
      <c r="J141" s="129">
        <v>0</v>
      </c>
      <c r="K141" s="281"/>
      <c r="L141" s="295"/>
      <c r="M141" s="295"/>
      <c r="N141" s="296"/>
      <c r="O141" s="130"/>
    </row>
    <row r="142" spans="2:15">
      <c r="B142" s="302"/>
      <c r="C142" s="165" t="s">
        <v>290</v>
      </c>
      <c r="D142" s="165">
        <v>969106</v>
      </c>
      <c r="E142" s="130" t="s">
        <v>673</v>
      </c>
      <c r="F142" s="301">
        <v>46.619</v>
      </c>
      <c r="G142" s="301">
        <v>12.197000000000003</v>
      </c>
      <c r="H142" s="298">
        <f>(F142+G142)*0.6</f>
        <v>35.2896</v>
      </c>
      <c r="I142" s="129">
        <v>16.795999999999999</v>
      </c>
      <c r="J142" s="129">
        <v>0</v>
      </c>
      <c r="K142" s="297">
        <f>F142-(I142+I143+I144)</f>
        <v>-3.1920000000000002</v>
      </c>
      <c r="L142" s="276">
        <f>G142-(J142+J143+J144)</f>
        <v>3.1920000000000019</v>
      </c>
      <c r="M142" s="276">
        <f>K142+L142</f>
        <v>0</v>
      </c>
      <c r="N142" s="296">
        <f>((I142+I143+I144)+(J142+J143+J144))/(F142+G142)</f>
        <v>1</v>
      </c>
      <c r="O142" s="130"/>
    </row>
    <row r="143" spans="2:15">
      <c r="B143" s="302"/>
      <c r="C143" s="165" t="s">
        <v>565</v>
      </c>
      <c r="D143" s="165">
        <v>968165</v>
      </c>
      <c r="E143" s="130" t="s">
        <v>673</v>
      </c>
      <c r="F143" s="301"/>
      <c r="G143" s="301"/>
      <c r="H143" s="299"/>
      <c r="I143" s="129">
        <v>0</v>
      </c>
      <c r="J143" s="129">
        <v>0</v>
      </c>
      <c r="K143" s="281"/>
      <c r="L143" s="292"/>
      <c r="M143" s="292"/>
      <c r="N143" s="296"/>
      <c r="O143" s="130"/>
    </row>
    <row r="144" spans="2:15">
      <c r="B144" s="302"/>
      <c r="C144" s="165" t="s">
        <v>291</v>
      </c>
      <c r="D144" s="165">
        <v>968160</v>
      </c>
      <c r="E144" s="130" t="s">
        <v>673</v>
      </c>
      <c r="F144" s="301"/>
      <c r="G144" s="301"/>
      <c r="H144" s="300"/>
      <c r="I144" s="129">
        <v>33.015000000000001</v>
      </c>
      <c r="J144" s="129">
        <v>9.0050000000000008</v>
      </c>
      <c r="K144" s="281"/>
      <c r="L144" s="277"/>
      <c r="M144" s="277"/>
      <c r="N144" s="296"/>
      <c r="O144" s="130"/>
    </row>
    <row r="145" spans="2:15">
      <c r="B145" s="302"/>
      <c r="C145" s="165" t="s">
        <v>570</v>
      </c>
      <c r="D145" s="165">
        <v>31043</v>
      </c>
      <c r="E145" s="130" t="s">
        <v>673</v>
      </c>
      <c r="F145" s="301">
        <v>90.11699999999999</v>
      </c>
      <c r="G145" s="301">
        <v>219.863</v>
      </c>
      <c r="H145" s="298">
        <f>(F145+G145)*0.6</f>
        <v>185.988</v>
      </c>
      <c r="I145" s="129">
        <v>94.513999999999996</v>
      </c>
      <c r="J145" s="129">
        <v>63.607999999999997</v>
      </c>
      <c r="K145" s="297">
        <f>F145-(SUM(I145:I148))</f>
        <v>-83.558000000000021</v>
      </c>
      <c r="L145" s="293">
        <f>G145-(SUM(J145:J148))</f>
        <v>83.557999999999993</v>
      </c>
      <c r="M145" s="293">
        <f>K145+L145</f>
        <v>0</v>
      </c>
      <c r="N145" s="296">
        <f>((SUM(I145:I148))+(SUM(J145:J148)))/(F145+G145)</f>
        <v>1</v>
      </c>
      <c r="O145" s="130"/>
    </row>
    <row r="146" spans="2:15">
      <c r="B146" s="302"/>
      <c r="C146" s="165" t="s">
        <v>571</v>
      </c>
      <c r="D146" s="165">
        <v>923223</v>
      </c>
      <c r="E146" s="130" t="s">
        <v>673</v>
      </c>
      <c r="F146" s="301"/>
      <c r="G146" s="301"/>
      <c r="H146" s="299"/>
      <c r="I146" s="129">
        <v>31.658999999999999</v>
      </c>
      <c r="J146" s="129">
        <v>35.701000000000001</v>
      </c>
      <c r="K146" s="281"/>
      <c r="L146" s="294"/>
      <c r="M146" s="294"/>
      <c r="N146" s="296"/>
      <c r="O146" s="130"/>
    </row>
    <row r="147" spans="2:15">
      <c r="B147" s="302"/>
      <c r="C147" s="165" t="s">
        <v>572</v>
      </c>
      <c r="D147" s="165">
        <v>902767</v>
      </c>
      <c r="E147" s="130" t="s">
        <v>673</v>
      </c>
      <c r="F147" s="301"/>
      <c r="G147" s="301"/>
      <c r="H147" s="299"/>
      <c r="I147" s="129">
        <v>20.05</v>
      </c>
      <c r="J147" s="129">
        <v>17.78</v>
      </c>
      <c r="K147" s="281"/>
      <c r="L147" s="294"/>
      <c r="M147" s="294"/>
      <c r="N147" s="296"/>
      <c r="O147" s="130"/>
    </row>
    <row r="148" spans="2:15">
      <c r="B148" s="302"/>
      <c r="C148" s="165" t="s">
        <v>312</v>
      </c>
      <c r="D148" s="165">
        <v>968579</v>
      </c>
      <c r="E148" s="130" t="s">
        <v>673</v>
      </c>
      <c r="F148" s="301"/>
      <c r="G148" s="301"/>
      <c r="H148" s="300"/>
      <c r="I148" s="129">
        <v>27.451999999999998</v>
      </c>
      <c r="J148" s="129">
        <v>19.216000000000001</v>
      </c>
      <c r="K148" s="281"/>
      <c r="L148" s="295"/>
      <c r="M148" s="295"/>
      <c r="N148" s="296"/>
      <c r="O148" s="130"/>
    </row>
    <row r="149" spans="2:15">
      <c r="B149" s="302"/>
      <c r="C149" s="172" t="s">
        <v>411</v>
      </c>
      <c r="D149" s="172">
        <v>957816</v>
      </c>
      <c r="E149" s="172" t="s">
        <v>673</v>
      </c>
      <c r="F149" s="298">
        <v>0</v>
      </c>
      <c r="G149" s="301">
        <v>6.4480000000000004</v>
      </c>
      <c r="H149" s="298">
        <f>(F149+G149)*0.6</f>
        <v>3.8688000000000002</v>
      </c>
      <c r="I149" s="129">
        <v>0</v>
      </c>
      <c r="J149" s="129">
        <v>6.4480000000000004</v>
      </c>
      <c r="K149" s="276">
        <f>F149-(I149+I150)</f>
        <v>0</v>
      </c>
      <c r="L149" s="276">
        <f>G149-(J149+J150)</f>
        <v>0</v>
      </c>
      <c r="M149" s="276">
        <f>K149+L149</f>
        <v>0</v>
      </c>
      <c r="N149" s="288">
        <f>((I149+I150)+(J149+J150))/(F149+G149)</f>
        <v>1</v>
      </c>
      <c r="O149" s="130"/>
    </row>
    <row r="150" spans="2:15">
      <c r="B150" s="302"/>
      <c r="C150" s="172" t="s">
        <v>566</v>
      </c>
      <c r="D150" s="172">
        <v>924618</v>
      </c>
      <c r="E150" s="130" t="s">
        <v>673</v>
      </c>
      <c r="F150" s="300"/>
      <c r="G150" s="301"/>
      <c r="H150" s="300"/>
      <c r="I150" s="129">
        <v>0</v>
      </c>
      <c r="J150" s="129">
        <v>0</v>
      </c>
      <c r="K150" s="277"/>
      <c r="L150" s="277"/>
      <c r="M150" s="277"/>
      <c r="N150" s="290"/>
      <c r="O150" s="130"/>
    </row>
    <row r="151" spans="2:15">
      <c r="B151" s="302"/>
      <c r="C151" s="165" t="s">
        <v>455</v>
      </c>
      <c r="D151" s="165">
        <v>922996</v>
      </c>
      <c r="E151" s="130" t="s">
        <v>673</v>
      </c>
      <c r="F151" s="301">
        <v>90</v>
      </c>
      <c r="G151" s="301">
        <v>310</v>
      </c>
      <c r="H151" s="298">
        <f>(F151+G151)*0.6</f>
        <v>240</v>
      </c>
      <c r="I151" s="129">
        <v>68.305999999999997</v>
      </c>
      <c r="J151" s="129">
        <v>57.933</v>
      </c>
      <c r="K151" s="297">
        <f>F151-(I151+I152+I153)</f>
        <v>-165.696</v>
      </c>
      <c r="L151" s="276">
        <f>G151-(J151+J152+J153)</f>
        <v>165.696</v>
      </c>
      <c r="M151" s="276">
        <f>K151+L151</f>
        <v>0</v>
      </c>
      <c r="N151" s="296">
        <f>((I151+I152+I153)+(J151+J152+J153))/(F151+G151)</f>
        <v>1</v>
      </c>
      <c r="O151" s="130"/>
    </row>
    <row r="152" spans="2:15">
      <c r="B152" s="302"/>
      <c r="C152" s="165" t="s">
        <v>456</v>
      </c>
      <c r="D152" s="165">
        <v>960104</v>
      </c>
      <c r="E152" s="130" t="s">
        <v>673</v>
      </c>
      <c r="F152" s="301"/>
      <c r="G152" s="301"/>
      <c r="H152" s="299"/>
      <c r="I152" s="129">
        <v>103.72800000000001</v>
      </c>
      <c r="J152" s="129">
        <v>38.198</v>
      </c>
      <c r="K152" s="281"/>
      <c r="L152" s="292"/>
      <c r="M152" s="292"/>
      <c r="N152" s="296"/>
      <c r="O152" s="130"/>
    </row>
    <row r="153" spans="2:15">
      <c r="B153" s="302"/>
      <c r="C153" s="165" t="s">
        <v>458</v>
      </c>
      <c r="D153" s="165">
        <v>926655</v>
      </c>
      <c r="E153" s="130" t="s">
        <v>673</v>
      </c>
      <c r="F153" s="301"/>
      <c r="G153" s="301"/>
      <c r="H153" s="300"/>
      <c r="I153" s="129">
        <v>83.662000000000006</v>
      </c>
      <c r="J153" s="129">
        <v>48.173000000000002</v>
      </c>
      <c r="K153" s="281"/>
      <c r="L153" s="277"/>
      <c r="M153" s="277"/>
      <c r="N153" s="296"/>
      <c r="O153" s="130"/>
    </row>
    <row r="154" spans="2:15">
      <c r="B154" s="302"/>
      <c r="C154" s="165" t="s">
        <v>290</v>
      </c>
      <c r="D154" s="165">
        <v>969106</v>
      </c>
      <c r="E154" s="130" t="s">
        <v>673</v>
      </c>
      <c r="F154" s="301">
        <v>106.223</v>
      </c>
      <c r="G154" s="301">
        <v>165.988</v>
      </c>
      <c r="H154" s="298">
        <f>(F154+G154)*0.6</f>
        <v>163.32660000000001</v>
      </c>
      <c r="I154" s="129">
        <v>78.328999999999994</v>
      </c>
      <c r="J154" s="129">
        <v>0</v>
      </c>
      <c r="K154" s="297">
        <f>F154-(I154+I155)</f>
        <v>-28.709999999999994</v>
      </c>
      <c r="L154" s="276">
        <f>G154-(J154+J155)</f>
        <v>28.710000000000008</v>
      </c>
      <c r="M154" s="276">
        <f>K154+L154</f>
        <v>0</v>
      </c>
      <c r="N154" s="296">
        <f>((I154+I155)+(J154+J155))/(F154+G154)</f>
        <v>1</v>
      </c>
      <c r="O154" s="130"/>
    </row>
    <row r="155" spans="2:15">
      <c r="B155" s="302"/>
      <c r="C155" s="165" t="s">
        <v>291</v>
      </c>
      <c r="D155" s="165">
        <v>968160</v>
      </c>
      <c r="E155" s="130" t="s">
        <v>673</v>
      </c>
      <c r="F155" s="301"/>
      <c r="G155" s="301"/>
      <c r="H155" s="300"/>
      <c r="I155" s="129">
        <v>56.603999999999992</v>
      </c>
      <c r="J155" s="129">
        <v>137.27799999999999</v>
      </c>
      <c r="K155" s="281"/>
      <c r="L155" s="277"/>
      <c r="M155" s="277"/>
      <c r="N155" s="296"/>
      <c r="O155" s="130"/>
    </row>
    <row r="156" spans="2:15">
      <c r="B156" s="302"/>
      <c r="C156" s="172" t="s">
        <v>414</v>
      </c>
      <c r="D156" s="172">
        <v>967342</v>
      </c>
      <c r="E156" s="130" t="s">
        <v>673</v>
      </c>
      <c r="F156" s="298">
        <v>0</v>
      </c>
      <c r="G156" s="301">
        <v>13.459</v>
      </c>
      <c r="H156" s="298">
        <f>(F156+G156)*0.6</f>
        <v>8.0754000000000001</v>
      </c>
      <c r="I156" s="129">
        <v>0</v>
      </c>
      <c r="J156" s="129">
        <v>0</v>
      </c>
      <c r="K156" s="276">
        <f>F156-(I156+I157)</f>
        <v>0</v>
      </c>
      <c r="L156" s="276">
        <f>G156-(J156+J157)</f>
        <v>0</v>
      </c>
      <c r="M156" s="276">
        <f>K156+L156</f>
        <v>0</v>
      </c>
      <c r="N156" s="288">
        <f>((I156+I157)+(J156+J157))/(F156+G156)</f>
        <v>1</v>
      </c>
      <c r="O156" s="130"/>
    </row>
    <row r="157" spans="2:15">
      <c r="B157" s="302"/>
      <c r="C157" s="172" t="s">
        <v>415</v>
      </c>
      <c r="D157" s="172">
        <v>967281</v>
      </c>
      <c r="E157" s="130" t="s">
        <v>673</v>
      </c>
      <c r="F157" s="300"/>
      <c r="G157" s="301"/>
      <c r="H157" s="300"/>
      <c r="I157" s="129">
        <v>0</v>
      </c>
      <c r="J157" s="129">
        <v>13.459</v>
      </c>
      <c r="K157" s="277"/>
      <c r="L157" s="277"/>
      <c r="M157" s="277"/>
      <c r="N157" s="290"/>
      <c r="O157" s="130"/>
    </row>
    <row r="158" spans="2:15">
      <c r="B158" s="302"/>
      <c r="C158" s="172" t="s">
        <v>409</v>
      </c>
      <c r="D158" s="172">
        <v>968797</v>
      </c>
      <c r="E158" s="130" t="s">
        <v>673</v>
      </c>
      <c r="F158" s="298">
        <v>0</v>
      </c>
      <c r="G158" s="301">
        <v>2.6179999999999999</v>
      </c>
      <c r="H158" s="298">
        <f>(F158+G158)*0.6</f>
        <v>1.5708</v>
      </c>
      <c r="I158" s="129">
        <v>0</v>
      </c>
      <c r="J158" s="129">
        <v>0</v>
      </c>
      <c r="K158" s="276">
        <f>F158-(I158+I159)</f>
        <v>0</v>
      </c>
      <c r="L158" s="276">
        <f>G158-(J158+J159)</f>
        <v>2.6179999999999999</v>
      </c>
      <c r="M158" s="276">
        <f>K158+L158</f>
        <v>2.6179999999999999</v>
      </c>
      <c r="N158" s="288">
        <f>((I158+I159)+(J158+J159))/(F158+G158)</f>
        <v>0</v>
      </c>
      <c r="O158" s="130"/>
    </row>
    <row r="159" spans="2:15">
      <c r="B159" s="302"/>
      <c r="C159" s="172" t="s">
        <v>410</v>
      </c>
      <c r="D159" s="172">
        <v>962289</v>
      </c>
      <c r="E159" s="130" t="s">
        <v>673</v>
      </c>
      <c r="F159" s="300"/>
      <c r="G159" s="301"/>
      <c r="H159" s="300"/>
      <c r="I159" s="129">
        <v>0</v>
      </c>
      <c r="J159" s="129">
        <v>0</v>
      </c>
      <c r="K159" s="277"/>
      <c r="L159" s="277"/>
      <c r="M159" s="277"/>
      <c r="N159" s="290"/>
      <c r="O159" s="130"/>
    </row>
    <row r="160" spans="2:15">
      <c r="B160" s="302"/>
      <c r="C160" s="172" t="s">
        <v>409</v>
      </c>
      <c r="D160" s="172">
        <v>968797</v>
      </c>
      <c r="E160" s="130" t="s">
        <v>673</v>
      </c>
      <c r="F160" s="298">
        <v>0</v>
      </c>
      <c r="G160" s="301">
        <v>1.01</v>
      </c>
      <c r="H160" s="298">
        <f>(F160+G160)*0.6</f>
        <v>0.60599999999999998</v>
      </c>
      <c r="I160" s="129">
        <v>0</v>
      </c>
      <c r="J160" s="129">
        <v>0</v>
      </c>
      <c r="K160" s="276">
        <f>F160-(I160+I161+I162)</f>
        <v>0</v>
      </c>
      <c r="L160" s="276">
        <f>G160-(J160+J161+J162)</f>
        <v>1.01</v>
      </c>
      <c r="M160" s="276">
        <f>K160+L160</f>
        <v>1.01</v>
      </c>
      <c r="N160" s="288">
        <f>((I160+I161+I162)+(J160+J161+J162))/(F160+G160)</f>
        <v>0</v>
      </c>
      <c r="O160" s="130"/>
    </row>
    <row r="161" spans="2:15">
      <c r="B161" s="302"/>
      <c r="C161" s="172" t="s">
        <v>616</v>
      </c>
      <c r="D161" s="172">
        <v>968675</v>
      </c>
      <c r="E161" s="130" t="s">
        <v>673</v>
      </c>
      <c r="F161" s="299"/>
      <c r="G161" s="301"/>
      <c r="H161" s="299"/>
      <c r="I161" s="129">
        <v>0</v>
      </c>
      <c r="J161" s="129">
        <v>0</v>
      </c>
      <c r="K161" s="292"/>
      <c r="L161" s="292"/>
      <c r="M161" s="292"/>
      <c r="N161" s="289"/>
      <c r="O161" s="130"/>
    </row>
    <row r="162" spans="2:15">
      <c r="B162" s="302"/>
      <c r="C162" s="172" t="s">
        <v>615</v>
      </c>
      <c r="D162" s="172">
        <v>963685</v>
      </c>
      <c r="E162" s="130" t="s">
        <v>673</v>
      </c>
      <c r="F162" s="300"/>
      <c r="G162" s="301"/>
      <c r="H162" s="300"/>
      <c r="I162" s="129">
        <v>0</v>
      </c>
      <c r="J162" s="129">
        <v>0</v>
      </c>
      <c r="K162" s="277"/>
      <c r="L162" s="277"/>
      <c r="M162" s="277"/>
      <c r="N162" s="290"/>
      <c r="O162" s="130"/>
    </row>
    <row r="163" spans="2:15">
      <c r="B163" s="302"/>
      <c r="C163" s="172" t="s">
        <v>409</v>
      </c>
      <c r="D163" s="172">
        <v>968797</v>
      </c>
      <c r="E163" s="130" t="s">
        <v>673</v>
      </c>
      <c r="F163" s="298">
        <v>0</v>
      </c>
      <c r="G163" s="301">
        <v>4.0000000000000001E-3</v>
      </c>
      <c r="H163" s="298">
        <f>(F163+G163)*0.6</f>
        <v>2.3999999999999998E-3</v>
      </c>
      <c r="I163" s="185">
        <v>0</v>
      </c>
      <c r="J163" s="185">
        <v>0</v>
      </c>
      <c r="K163" s="293">
        <f>F163-(SUM(I163:I166))</f>
        <v>0</v>
      </c>
      <c r="L163" s="293">
        <f>G163-(SUM(J163:J166))</f>
        <v>4.0000000000000001E-3</v>
      </c>
      <c r="M163" s="293">
        <f>K163+L163</f>
        <v>4.0000000000000001E-3</v>
      </c>
      <c r="N163" s="288">
        <f>((SUM(I163:I166))+(SUM(J163:J166)))/(F163+G163)</f>
        <v>0</v>
      </c>
      <c r="O163" s="130"/>
    </row>
    <row r="164" spans="2:15">
      <c r="B164" s="302"/>
      <c r="C164" s="172" t="s">
        <v>616</v>
      </c>
      <c r="D164" s="172">
        <v>968675</v>
      </c>
      <c r="E164" s="130" t="s">
        <v>673</v>
      </c>
      <c r="F164" s="299"/>
      <c r="G164" s="301"/>
      <c r="H164" s="299"/>
      <c r="I164" s="185">
        <v>0</v>
      </c>
      <c r="J164" s="185">
        <v>0</v>
      </c>
      <c r="K164" s="294"/>
      <c r="L164" s="294"/>
      <c r="M164" s="294"/>
      <c r="N164" s="289"/>
      <c r="O164" s="130"/>
    </row>
    <row r="165" spans="2:15">
      <c r="B165" s="302"/>
      <c r="C165" s="172" t="s">
        <v>410</v>
      </c>
      <c r="D165" s="172">
        <v>962289</v>
      </c>
      <c r="E165" s="130" t="s">
        <v>673</v>
      </c>
      <c r="F165" s="299"/>
      <c r="G165" s="301"/>
      <c r="H165" s="299"/>
      <c r="I165" s="185">
        <v>0</v>
      </c>
      <c r="J165" s="185">
        <v>0</v>
      </c>
      <c r="K165" s="294"/>
      <c r="L165" s="294"/>
      <c r="M165" s="294"/>
      <c r="N165" s="289"/>
      <c r="O165" s="130"/>
    </row>
    <row r="166" spans="2:15">
      <c r="B166" s="302"/>
      <c r="C166" s="172" t="s">
        <v>381</v>
      </c>
      <c r="D166" s="172">
        <v>968981</v>
      </c>
      <c r="E166" s="130" t="s">
        <v>673</v>
      </c>
      <c r="F166" s="300"/>
      <c r="G166" s="301"/>
      <c r="H166" s="300"/>
      <c r="I166" s="185">
        <v>0</v>
      </c>
      <c r="J166" s="185">
        <v>0</v>
      </c>
      <c r="K166" s="295"/>
      <c r="L166" s="295"/>
      <c r="M166" s="295"/>
      <c r="N166" s="290"/>
      <c r="O166" s="130"/>
    </row>
    <row r="167" spans="2:15">
      <c r="B167" s="302"/>
      <c r="C167" s="165" t="s">
        <v>395</v>
      </c>
      <c r="D167" s="165">
        <v>966146</v>
      </c>
      <c r="E167" s="130" t="s">
        <v>673</v>
      </c>
      <c r="F167" s="301">
        <v>53.292999999999999</v>
      </c>
      <c r="G167" s="298">
        <v>0</v>
      </c>
      <c r="H167" s="298">
        <f>(F167+G167)*0.6</f>
        <v>31.9758</v>
      </c>
      <c r="I167" s="185">
        <v>5.3979999999999997</v>
      </c>
      <c r="J167" s="185">
        <v>16.581</v>
      </c>
      <c r="K167" s="297">
        <f>F167-(I167+I168)</f>
        <v>31.975999999999999</v>
      </c>
      <c r="L167" s="276">
        <f>G167-(J167+J168)</f>
        <v>-31.975999999999999</v>
      </c>
      <c r="M167" s="276">
        <f>K167+L167</f>
        <v>0</v>
      </c>
      <c r="N167" s="296">
        <f>((I167+I168)+(J167+J168))/(F167+G167)</f>
        <v>1</v>
      </c>
      <c r="O167" s="130"/>
    </row>
    <row r="168" spans="2:15">
      <c r="B168" s="302"/>
      <c r="C168" s="165" t="s">
        <v>427</v>
      </c>
      <c r="D168" s="165">
        <v>968833</v>
      </c>
      <c r="E168" s="130" t="s">
        <v>673</v>
      </c>
      <c r="F168" s="301"/>
      <c r="G168" s="300"/>
      <c r="H168" s="300"/>
      <c r="I168" s="185">
        <v>15.919</v>
      </c>
      <c r="J168" s="185">
        <v>15.395</v>
      </c>
      <c r="K168" s="281"/>
      <c r="L168" s="277"/>
      <c r="M168" s="277"/>
      <c r="N168" s="296"/>
      <c r="O168" s="130"/>
    </row>
    <row r="169" spans="2:15">
      <c r="B169" s="302" t="s">
        <v>573</v>
      </c>
      <c r="C169" s="165" t="s">
        <v>490</v>
      </c>
      <c r="D169" s="165">
        <v>964021</v>
      </c>
      <c r="E169" s="130" t="s">
        <v>539</v>
      </c>
      <c r="F169" s="165">
        <v>0.05</v>
      </c>
      <c r="G169" s="166">
        <v>0</v>
      </c>
      <c r="H169" s="166">
        <f t="shared" ref="H169:H173" si="95">((F169+G169)*0.6)</f>
        <v>0.03</v>
      </c>
      <c r="I169" s="130">
        <v>0.05</v>
      </c>
      <c r="J169" s="130">
        <v>0</v>
      </c>
      <c r="K169" s="130">
        <f>F169-I169</f>
        <v>0</v>
      </c>
      <c r="L169" s="130">
        <f>G169-J169</f>
        <v>0</v>
      </c>
      <c r="M169" s="130">
        <f>K169+L169</f>
        <v>0</v>
      </c>
      <c r="N169" s="94">
        <f t="shared" ref="N169:N173" si="96">(I169+J169)/(F169+G169)</f>
        <v>1</v>
      </c>
      <c r="O169" s="130"/>
    </row>
    <row r="170" spans="2:15">
      <c r="B170" s="302"/>
      <c r="C170" s="165" t="s">
        <v>299</v>
      </c>
      <c r="D170" s="165">
        <v>966686</v>
      </c>
      <c r="E170" s="130" t="s">
        <v>539</v>
      </c>
      <c r="F170" s="165">
        <v>7.2749999999998929</v>
      </c>
      <c r="G170" s="166">
        <v>0</v>
      </c>
      <c r="H170" s="166">
        <f t="shared" si="95"/>
        <v>4.3649999999999354</v>
      </c>
      <c r="I170" s="130">
        <v>7.2750000000000004</v>
      </c>
      <c r="J170" s="130">
        <v>0</v>
      </c>
      <c r="K170" s="154">
        <f t="shared" ref="K170:K173" si="97">F170-I170</f>
        <v>-1.0746958878371515E-13</v>
      </c>
      <c r="L170" s="130">
        <f t="shared" ref="L170:L173" si="98">G170-J170</f>
        <v>0</v>
      </c>
      <c r="M170" s="154">
        <f t="shared" ref="M170:M173" si="99">K170+L170</f>
        <v>-1.0746958878371515E-13</v>
      </c>
      <c r="N170" s="94">
        <f t="shared" si="96"/>
        <v>1.0000000000000149</v>
      </c>
      <c r="O170" s="130"/>
    </row>
    <row r="171" spans="2:15">
      <c r="B171" s="302"/>
      <c r="C171" s="165" t="s">
        <v>298</v>
      </c>
      <c r="D171" s="165">
        <v>951113</v>
      </c>
      <c r="E171" s="130" t="s">
        <v>539</v>
      </c>
      <c r="F171" s="165">
        <v>4.328999999999974</v>
      </c>
      <c r="G171" s="166">
        <v>0</v>
      </c>
      <c r="H171" s="167">
        <f t="shared" si="95"/>
        <v>2.5973999999999844</v>
      </c>
      <c r="I171" s="130">
        <v>2.3130000000000002</v>
      </c>
      <c r="J171" s="130">
        <v>1.732</v>
      </c>
      <c r="K171" s="130">
        <f t="shared" si="97"/>
        <v>2.0159999999999738</v>
      </c>
      <c r="L171" s="130">
        <f t="shared" si="98"/>
        <v>-1.732</v>
      </c>
      <c r="M171" s="130">
        <f t="shared" si="99"/>
        <v>0.28399999999997383</v>
      </c>
      <c r="N171" s="94">
        <f t="shared" si="96"/>
        <v>0.93439593439594004</v>
      </c>
      <c r="O171" s="130"/>
    </row>
    <row r="172" spans="2:15">
      <c r="B172" s="302"/>
      <c r="C172" s="165" t="s">
        <v>574</v>
      </c>
      <c r="D172" s="165">
        <v>967455</v>
      </c>
      <c r="E172" s="130" t="s">
        <v>539</v>
      </c>
      <c r="F172" s="165">
        <v>1.8180000000000014</v>
      </c>
      <c r="G172" s="166">
        <v>0</v>
      </c>
      <c r="H172" s="167">
        <f t="shared" si="95"/>
        <v>1.0908000000000009</v>
      </c>
      <c r="I172" s="130">
        <v>0</v>
      </c>
      <c r="J172" s="130">
        <v>0</v>
      </c>
      <c r="K172" s="130">
        <f t="shared" si="97"/>
        <v>1.8180000000000014</v>
      </c>
      <c r="L172" s="130">
        <f t="shared" si="98"/>
        <v>0</v>
      </c>
      <c r="M172" s="130">
        <f t="shared" si="99"/>
        <v>1.8180000000000014</v>
      </c>
      <c r="N172" s="94">
        <f t="shared" si="96"/>
        <v>0</v>
      </c>
      <c r="O172" s="130"/>
    </row>
    <row r="173" spans="2:15">
      <c r="B173" s="302"/>
      <c r="C173" s="165" t="s">
        <v>575</v>
      </c>
      <c r="D173" s="165">
        <v>965369</v>
      </c>
      <c r="E173" s="130" t="s">
        <v>539</v>
      </c>
      <c r="F173" s="165">
        <v>3.1349999999999998</v>
      </c>
      <c r="G173" s="166">
        <v>0</v>
      </c>
      <c r="H173" s="166">
        <f t="shared" si="95"/>
        <v>1.8809999999999998</v>
      </c>
      <c r="I173" s="130">
        <v>3.1349999999999998</v>
      </c>
      <c r="J173" s="130">
        <v>0</v>
      </c>
      <c r="K173" s="130">
        <f t="shared" si="97"/>
        <v>0</v>
      </c>
      <c r="L173" s="130">
        <f t="shared" si="98"/>
        <v>0</v>
      </c>
      <c r="M173" s="130">
        <f t="shared" si="99"/>
        <v>0</v>
      </c>
      <c r="N173" s="94">
        <f t="shared" si="96"/>
        <v>1</v>
      </c>
      <c r="O173" s="130"/>
    </row>
    <row r="174" spans="2:15">
      <c r="B174" s="303" t="s">
        <v>573</v>
      </c>
      <c r="C174" s="152" t="s">
        <v>298</v>
      </c>
      <c r="D174" s="152">
        <v>951113</v>
      </c>
      <c r="E174" s="130" t="s">
        <v>539</v>
      </c>
      <c r="F174" s="301">
        <v>117.712</v>
      </c>
      <c r="G174" s="298">
        <v>0</v>
      </c>
      <c r="H174" s="298">
        <f>(F174+G174)*0.6</f>
        <v>70.627200000000002</v>
      </c>
      <c r="I174" s="130">
        <v>0</v>
      </c>
      <c r="J174" s="130">
        <v>0</v>
      </c>
      <c r="K174" s="293">
        <f>F174-(I174+I175+I176)</f>
        <v>56.71</v>
      </c>
      <c r="L174" s="293">
        <f>G174-(J174+J175+J176)</f>
        <v>-47.085000000000001</v>
      </c>
      <c r="M174" s="293">
        <f>K174+L174</f>
        <v>9.625</v>
      </c>
      <c r="N174" s="288">
        <f>((I174+I175+I176)+(J174+J175+J176))/(F174+G174)</f>
        <v>0.918232635585157</v>
      </c>
      <c r="O174" s="130"/>
    </row>
    <row r="175" spans="2:15">
      <c r="B175" s="305"/>
      <c r="C175" s="165" t="s">
        <v>575</v>
      </c>
      <c r="D175" s="165">
        <v>965369</v>
      </c>
      <c r="E175" s="130" t="s">
        <v>539</v>
      </c>
      <c r="F175" s="301"/>
      <c r="G175" s="299"/>
      <c r="H175" s="299"/>
      <c r="I175" s="130">
        <v>29.748000000000001</v>
      </c>
      <c r="J175" s="130">
        <v>19.184000000000001</v>
      </c>
      <c r="K175" s="292"/>
      <c r="L175" s="292"/>
      <c r="M175" s="292"/>
      <c r="N175" s="289"/>
      <c r="O175" s="130"/>
    </row>
    <row r="176" spans="2:15">
      <c r="B176" s="304"/>
      <c r="C176" s="152" t="s">
        <v>299</v>
      </c>
      <c r="D176" s="152">
        <v>966686</v>
      </c>
      <c r="E176" s="130" t="s">
        <v>539</v>
      </c>
      <c r="F176" s="301"/>
      <c r="G176" s="300"/>
      <c r="H176" s="300"/>
      <c r="I176" s="130">
        <v>31.254000000000001</v>
      </c>
      <c r="J176" s="130">
        <v>27.901</v>
      </c>
      <c r="K176" s="277"/>
      <c r="L176" s="277"/>
      <c r="M176" s="277"/>
      <c r="N176" s="290"/>
      <c r="O176" s="130"/>
    </row>
    <row r="177" spans="2:15">
      <c r="B177" s="302" t="s">
        <v>576</v>
      </c>
      <c r="C177" s="166" t="s">
        <v>503</v>
      </c>
      <c r="D177" s="166">
        <v>961067</v>
      </c>
      <c r="E177" s="130" t="s">
        <v>539</v>
      </c>
      <c r="F177" s="165">
        <v>0</v>
      </c>
      <c r="G177" s="166">
        <v>110.238</v>
      </c>
      <c r="H177" s="167">
        <f t="shared" ref="H177:H193" si="100">((F177+G177)*0.6)</f>
        <v>66.142799999999994</v>
      </c>
      <c r="I177" s="130">
        <v>5.2009999999999996</v>
      </c>
      <c r="J177" s="130">
        <v>105.03700000000001</v>
      </c>
      <c r="K177" s="130">
        <f>F177-I177</f>
        <v>-5.2009999999999996</v>
      </c>
      <c r="L177" s="130">
        <f>G177-J177</f>
        <v>5.2009999999999934</v>
      </c>
      <c r="M177" s="130">
        <f>K177+L177</f>
        <v>0</v>
      </c>
      <c r="N177" s="94">
        <f t="shared" ref="N177:N193" si="101">(I177+J177)/(F177+G177)</f>
        <v>1</v>
      </c>
      <c r="O177" s="130"/>
    </row>
    <row r="178" spans="2:15">
      <c r="B178" s="302"/>
      <c r="C178" s="166" t="s">
        <v>494</v>
      </c>
      <c r="D178" s="166">
        <v>951206</v>
      </c>
      <c r="E178" s="130" t="s">
        <v>539</v>
      </c>
      <c r="F178" s="166">
        <v>4.9859999999999998</v>
      </c>
      <c r="G178" s="166">
        <v>1.5069999999999999</v>
      </c>
      <c r="H178" s="167">
        <f t="shared" si="100"/>
        <v>3.8957999999999995</v>
      </c>
      <c r="I178" s="130">
        <v>2.3889999999999998</v>
      </c>
      <c r="J178" s="130">
        <v>4.1040000000000001</v>
      </c>
      <c r="K178" s="130">
        <f t="shared" ref="K178:K193" si="102">F178-I178</f>
        <v>2.597</v>
      </c>
      <c r="L178" s="130">
        <f t="shared" ref="L178:L193" si="103">G178-J178</f>
        <v>-2.5970000000000004</v>
      </c>
      <c r="M178" s="130">
        <f t="shared" ref="M178:M193" si="104">K178+L178</f>
        <v>0</v>
      </c>
      <c r="N178" s="94">
        <f t="shared" si="101"/>
        <v>1.0000000000000002</v>
      </c>
      <c r="O178" s="130"/>
    </row>
    <row r="179" spans="2:15">
      <c r="B179" s="302"/>
      <c r="C179" s="165" t="s">
        <v>577</v>
      </c>
      <c r="D179" s="165">
        <v>915627</v>
      </c>
      <c r="E179" s="130" t="s">
        <v>539</v>
      </c>
      <c r="F179" s="165">
        <v>21.256</v>
      </c>
      <c r="G179" s="166">
        <v>39.69</v>
      </c>
      <c r="H179" s="167">
        <f t="shared" si="100"/>
        <v>36.567599999999999</v>
      </c>
      <c r="I179" s="130">
        <v>21.256</v>
      </c>
      <c r="J179" s="130">
        <v>39.69</v>
      </c>
      <c r="K179" s="130">
        <f t="shared" si="102"/>
        <v>0</v>
      </c>
      <c r="L179" s="130">
        <f t="shared" si="103"/>
        <v>0</v>
      </c>
      <c r="M179" s="130">
        <f t="shared" si="104"/>
        <v>0</v>
      </c>
      <c r="N179" s="94">
        <f t="shared" si="101"/>
        <v>1</v>
      </c>
      <c r="O179" s="130"/>
    </row>
    <row r="180" spans="2:15">
      <c r="B180" s="302"/>
      <c r="C180" s="165" t="s">
        <v>578</v>
      </c>
      <c r="D180" s="165">
        <v>961132</v>
      </c>
      <c r="E180" s="130" t="s">
        <v>539</v>
      </c>
      <c r="F180" s="165">
        <v>69.725999999999999</v>
      </c>
      <c r="G180" s="166">
        <v>120.431</v>
      </c>
      <c r="H180" s="167">
        <f t="shared" si="100"/>
        <v>114.09419999999999</v>
      </c>
      <c r="I180" s="130">
        <v>42.195</v>
      </c>
      <c r="J180" s="130">
        <v>147.96199999999999</v>
      </c>
      <c r="K180" s="130">
        <f t="shared" si="102"/>
        <v>27.530999999999999</v>
      </c>
      <c r="L180" s="130">
        <f t="shared" si="103"/>
        <v>-27.530999999999992</v>
      </c>
      <c r="M180" s="130">
        <f t="shared" si="104"/>
        <v>0</v>
      </c>
      <c r="N180" s="94">
        <f t="shared" si="101"/>
        <v>1</v>
      </c>
      <c r="O180" s="130"/>
    </row>
    <row r="181" spans="2:15">
      <c r="B181" s="302"/>
      <c r="C181" s="165" t="s">
        <v>579</v>
      </c>
      <c r="D181" s="165">
        <v>966969</v>
      </c>
      <c r="E181" s="130" t="s">
        <v>539</v>
      </c>
      <c r="F181" s="165">
        <v>1.0449999999999999</v>
      </c>
      <c r="G181" s="166">
        <v>0</v>
      </c>
      <c r="H181" s="167">
        <f t="shared" si="100"/>
        <v>0.62699999999999989</v>
      </c>
      <c r="I181" s="130">
        <v>1.0449999999999999</v>
      </c>
      <c r="J181" s="130">
        <v>0</v>
      </c>
      <c r="K181" s="130">
        <f t="shared" si="102"/>
        <v>0</v>
      </c>
      <c r="L181" s="130">
        <f t="shared" si="103"/>
        <v>0</v>
      </c>
      <c r="M181" s="130">
        <f t="shared" si="104"/>
        <v>0</v>
      </c>
      <c r="N181" s="94">
        <f t="shared" si="101"/>
        <v>1</v>
      </c>
      <c r="O181" s="130"/>
    </row>
    <row r="182" spans="2:15">
      <c r="B182" s="302"/>
      <c r="C182" s="166" t="s">
        <v>390</v>
      </c>
      <c r="D182" s="165">
        <v>951220</v>
      </c>
      <c r="E182" s="130" t="s">
        <v>539</v>
      </c>
      <c r="F182" s="165">
        <v>44.956000000000003</v>
      </c>
      <c r="G182" s="166">
        <v>35.252000000000002</v>
      </c>
      <c r="H182" s="167">
        <f t="shared" si="100"/>
        <v>48.1248</v>
      </c>
      <c r="I182" s="130">
        <v>12.872999999999999</v>
      </c>
      <c r="J182" s="130">
        <v>67.334999999999994</v>
      </c>
      <c r="K182" s="130">
        <f t="shared" si="102"/>
        <v>32.083000000000006</v>
      </c>
      <c r="L182" s="130">
        <f t="shared" si="103"/>
        <v>-32.082999999999991</v>
      </c>
      <c r="M182" s="130">
        <f t="shared" si="104"/>
        <v>0</v>
      </c>
      <c r="N182" s="94">
        <f t="shared" si="101"/>
        <v>1</v>
      </c>
      <c r="O182" s="130"/>
    </row>
    <row r="183" spans="2:15">
      <c r="B183" s="302"/>
      <c r="C183" s="165" t="s">
        <v>580</v>
      </c>
      <c r="D183" s="165">
        <v>957377</v>
      </c>
      <c r="E183" s="130" t="s">
        <v>539</v>
      </c>
      <c r="F183" s="165">
        <v>398.11799999999999</v>
      </c>
      <c r="G183" s="166">
        <v>156.59200000000001</v>
      </c>
      <c r="H183" s="167">
        <f t="shared" si="100"/>
        <v>332.82600000000002</v>
      </c>
      <c r="I183" s="130">
        <v>89.744</v>
      </c>
      <c r="J183" s="130">
        <v>464.96600000000001</v>
      </c>
      <c r="K183" s="130">
        <f t="shared" si="102"/>
        <v>308.37400000000002</v>
      </c>
      <c r="L183" s="130">
        <f t="shared" si="103"/>
        <v>-308.37400000000002</v>
      </c>
      <c r="M183" s="130">
        <f t="shared" si="104"/>
        <v>0</v>
      </c>
      <c r="N183" s="94">
        <f t="shared" si="101"/>
        <v>1</v>
      </c>
      <c r="O183" s="130"/>
    </row>
    <row r="184" spans="2:15">
      <c r="B184" s="302"/>
      <c r="C184" s="165" t="s">
        <v>581</v>
      </c>
      <c r="D184" s="165">
        <v>958703</v>
      </c>
      <c r="E184" s="130" t="s">
        <v>539</v>
      </c>
      <c r="F184" s="165">
        <v>140</v>
      </c>
      <c r="G184" s="166">
        <v>290</v>
      </c>
      <c r="H184" s="167">
        <f t="shared" si="100"/>
        <v>258</v>
      </c>
      <c r="I184" s="130">
        <v>82.953999999999994</v>
      </c>
      <c r="J184" s="130">
        <v>347.04599999999999</v>
      </c>
      <c r="K184" s="130">
        <f t="shared" si="102"/>
        <v>57.046000000000006</v>
      </c>
      <c r="L184" s="130">
        <f t="shared" si="103"/>
        <v>-57.045999999999992</v>
      </c>
      <c r="M184" s="130">
        <f t="shared" si="104"/>
        <v>0</v>
      </c>
      <c r="N184" s="94">
        <f t="shared" si="101"/>
        <v>1</v>
      </c>
      <c r="O184" s="130"/>
    </row>
    <row r="185" spans="2:15">
      <c r="B185" s="302"/>
      <c r="C185" s="165" t="s">
        <v>582</v>
      </c>
      <c r="D185" s="165">
        <v>925404</v>
      </c>
      <c r="E185" s="130" t="s">
        <v>539</v>
      </c>
      <c r="F185" s="165">
        <v>1.018</v>
      </c>
      <c r="G185" s="166">
        <v>0</v>
      </c>
      <c r="H185" s="167">
        <f t="shared" si="100"/>
        <v>0.61080000000000001</v>
      </c>
      <c r="I185" s="130">
        <v>1.018</v>
      </c>
      <c r="J185" s="130">
        <v>0</v>
      </c>
      <c r="K185" s="130">
        <f t="shared" si="102"/>
        <v>0</v>
      </c>
      <c r="L185" s="130">
        <f t="shared" si="103"/>
        <v>0</v>
      </c>
      <c r="M185" s="130">
        <f t="shared" si="104"/>
        <v>0</v>
      </c>
      <c r="N185" s="94">
        <f t="shared" si="101"/>
        <v>1</v>
      </c>
      <c r="O185" s="130"/>
    </row>
    <row r="186" spans="2:15">
      <c r="B186" s="302"/>
      <c r="C186" s="165" t="s">
        <v>583</v>
      </c>
      <c r="D186" s="165">
        <v>11718</v>
      </c>
      <c r="E186" s="130" t="s">
        <v>539</v>
      </c>
      <c r="F186" s="165">
        <v>249.87700000000001</v>
      </c>
      <c r="G186" s="166">
        <v>49</v>
      </c>
      <c r="H186" s="167">
        <f t="shared" si="100"/>
        <v>179.3262</v>
      </c>
      <c r="I186" s="130">
        <v>130.32599999999999</v>
      </c>
      <c r="J186" s="130">
        <v>168.55099999999999</v>
      </c>
      <c r="K186" s="130">
        <f t="shared" si="102"/>
        <v>119.55100000000002</v>
      </c>
      <c r="L186" s="130">
        <f t="shared" si="103"/>
        <v>-119.55099999999999</v>
      </c>
      <c r="M186" s="130">
        <f t="shared" si="104"/>
        <v>0</v>
      </c>
      <c r="N186" s="94">
        <f t="shared" si="101"/>
        <v>0.99999999999999978</v>
      </c>
      <c r="O186" s="130"/>
    </row>
    <row r="187" spans="2:15">
      <c r="B187" s="302"/>
      <c r="C187" s="165" t="s">
        <v>584</v>
      </c>
      <c r="D187" s="165">
        <v>964500</v>
      </c>
      <c r="E187" s="130" t="s">
        <v>539</v>
      </c>
      <c r="F187" s="165">
        <v>3.0049999999999955</v>
      </c>
      <c r="G187" s="166">
        <v>0</v>
      </c>
      <c r="H187" s="167">
        <f t="shared" si="100"/>
        <v>1.8029999999999973</v>
      </c>
      <c r="I187" s="130">
        <v>3.0049999999999999</v>
      </c>
      <c r="J187" s="130">
        <v>0</v>
      </c>
      <c r="K187" s="154">
        <f t="shared" si="102"/>
        <v>-4.4408920985006262E-15</v>
      </c>
      <c r="L187" s="130">
        <f t="shared" si="103"/>
        <v>0</v>
      </c>
      <c r="M187" s="154">
        <f t="shared" si="104"/>
        <v>-4.4408920985006262E-15</v>
      </c>
      <c r="N187" s="94">
        <f t="shared" si="101"/>
        <v>1.0000000000000016</v>
      </c>
      <c r="O187" s="130"/>
    </row>
    <row r="188" spans="2:15">
      <c r="B188" s="302"/>
      <c r="C188" s="165" t="s">
        <v>585</v>
      </c>
      <c r="D188" s="165">
        <v>956970</v>
      </c>
      <c r="E188" s="130" t="s">
        <v>539</v>
      </c>
      <c r="F188" s="165">
        <v>110</v>
      </c>
      <c r="G188" s="166">
        <v>270</v>
      </c>
      <c r="H188" s="167">
        <f t="shared" si="100"/>
        <v>228</v>
      </c>
      <c r="I188" s="130">
        <v>48.917999999999999</v>
      </c>
      <c r="J188" s="130">
        <v>331.08199999999999</v>
      </c>
      <c r="K188" s="130">
        <f t="shared" si="102"/>
        <v>61.082000000000001</v>
      </c>
      <c r="L188" s="130">
        <f t="shared" si="103"/>
        <v>-61.081999999999994</v>
      </c>
      <c r="M188" s="130">
        <f t="shared" si="104"/>
        <v>0</v>
      </c>
      <c r="N188" s="94">
        <f t="shared" si="101"/>
        <v>1</v>
      </c>
      <c r="O188" s="130"/>
    </row>
    <row r="189" spans="2:15">
      <c r="B189" s="302"/>
      <c r="C189" s="165" t="s">
        <v>586</v>
      </c>
      <c r="D189" s="165">
        <v>953746</v>
      </c>
      <c r="E189" s="130" t="s">
        <v>539</v>
      </c>
      <c r="F189" s="165">
        <v>92.819000000000003</v>
      </c>
      <c r="G189" s="166">
        <v>3.891</v>
      </c>
      <c r="H189" s="167">
        <f t="shared" si="100"/>
        <v>58.026000000000003</v>
      </c>
      <c r="I189" s="130">
        <v>54.134999999999998</v>
      </c>
      <c r="J189" s="130">
        <v>42.575000000000003</v>
      </c>
      <c r="K189" s="130">
        <f t="shared" si="102"/>
        <v>38.684000000000005</v>
      </c>
      <c r="L189" s="130">
        <f t="shared" si="103"/>
        <v>-38.684000000000005</v>
      </c>
      <c r="M189" s="130">
        <f t="shared" si="104"/>
        <v>0</v>
      </c>
      <c r="N189" s="94">
        <f t="shared" si="101"/>
        <v>1</v>
      </c>
      <c r="O189" s="130"/>
    </row>
    <row r="190" spans="2:15">
      <c r="B190" s="302"/>
      <c r="C190" s="165" t="s">
        <v>587</v>
      </c>
      <c r="D190" s="165">
        <v>950656</v>
      </c>
      <c r="E190" s="130" t="s">
        <v>539</v>
      </c>
      <c r="F190" s="165">
        <v>4</v>
      </c>
      <c r="G190" s="166">
        <v>0</v>
      </c>
      <c r="H190" s="167">
        <f t="shared" si="100"/>
        <v>2.4</v>
      </c>
      <c r="I190" s="130">
        <v>4</v>
      </c>
      <c r="J190" s="130">
        <v>0</v>
      </c>
      <c r="K190" s="130">
        <f t="shared" si="102"/>
        <v>0</v>
      </c>
      <c r="L190" s="130">
        <f t="shared" si="103"/>
        <v>0</v>
      </c>
      <c r="M190" s="130">
        <f t="shared" si="104"/>
        <v>0</v>
      </c>
      <c r="N190" s="94">
        <f t="shared" si="101"/>
        <v>1</v>
      </c>
      <c r="O190" s="130"/>
    </row>
    <row r="191" spans="2:15">
      <c r="B191" s="302"/>
      <c r="C191" s="165" t="s">
        <v>588</v>
      </c>
      <c r="D191" s="165">
        <v>956926</v>
      </c>
      <c r="E191" s="130" t="s">
        <v>539</v>
      </c>
      <c r="F191" s="165">
        <v>21.135999999999978</v>
      </c>
      <c r="G191" s="166">
        <v>0</v>
      </c>
      <c r="H191" s="167">
        <f t="shared" si="100"/>
        <v>12.681599999999987</v>
      </c>
      <c r="I191" s="130">
        <v>12.682</v>
      </c>
      <c r="J191" s="130">
        <v>8.4540000000000006</v>
      </c>
      <c r="K191" s="130">
        <f t="shared" si="102"/>
        <v>8.4539999999999775</v>
      </c>
      <c r="L191" s="130">
        <f t="shared" si="103"/>
        <v>-8.4540000000000006</v>
      </c>
      <c r="M191" s="154">
        <f t="shared" si="104"/>
        <v>-2.3092638912203256E-14</v>
      </c>
      <c r="N191" s="94">
        <f t="shared" si="101"/>
        <v>1.0000000000000011</v>
      </c>
      <c r="O191" s="130"/>
    </row>
    <row r="192" spans="2:15">
      <c r="B192" s="302"/>
      <c r="C192" s="165" t="s">
        <v>589</v>
      </c>
      <c r="D192" s="165">
        <v>964972</v>
      </c>
      <c r="E192" s="130" t="s">
        <v>539</v>
      </c>
      <c r="F192" s="165">
        <v>102.04</v>
      </c>
      <c r="G192" s="166">
        <v>80</v>
      </c>
      <c r="H192" s="167">
        <f t="shared" si="100"/>
        <v>109.224</v>
      </c>
      <c r="I192" s="130">
        <v>41.604999999999997</v>
      </c>
      <c r="J192" s="130">
        <v>140.435</v>
      </c>
      <c r="K192" s="130">
        <f t="shared" si="102"/>
        <v>60.435000000000009</v>
      </c>
      <c r="L192" s="130">
        <f t="shared" si="103"/>
        <v>-60.435000000000002</v>
      </c>
      <c r="M192" s="130">
        <f t="shared" si="104"/>
        <v>0</v>
      </c>
      <c r="N192" s="94">
        <f t="shared" si="101"/>
        <v>0.99999999999999989</v>
      </c>
      <c r="O192" s="130"/>
    </row>
    <row r="193" spans="2:15">
      <c r="B193" s="302"/>
      <c r="C193" s="165" t="s">
        <v>590</v>
      </c>
      <c r="D193" s="165">
        <v>966293</v>
      </c>
      <c r="E193" s="130" t="s">
        <v>539</v>
      </c>
      <c r="F193" s="165">
        <v>2</v>
      </c>
      <c r="G193" s="166">
        <v>0</v>
      </c>
      <c r="H193" s="167">
        <f t="shared" si="100"/>
        <v>1.2</v>
      </c>
      <c r="I193" s="130">
        <v>0</v>
      </c>
      <c r="J193" s="130">
        <v>0</v>
      </c>
      <c r="K193" s="130">
        <f t="shared" si="102"/>
        <v>2</v>
      </c>
      <c r="L193" s="130">
        <f t="shared" si="103"/>
        <v>0</v>
      </c>
      <c r="M193" s="130">
        <f t="shared" si="104"/>
        <v>2</v>
      </c>
      <c r="N193" s="94">
        <f t="shared" si="101"/>
        <v>0</v>
      </c>
      <c r="O193" s="130"/>
    </row>
    <row r="194" spans="2:15">
      <c r="B194" s="303" t="s">
        <v>576</v>
      </c>
      <c r="C194" s="165" t="s">
        <v>591</v>
      </c>
      <c r="D194" s="165">
        <v>966254</v>
      </c>
      <c r="E194" s="130" t="s">
        <v>539</v>
      </c>
      <c r="F194" s="303">
        <v>289.65899999999999</v>
      </c>
      <c r="G194" s="303">
        <v>0</v>
      </c>
      <c r="H194" s="298">
        <f>(F194+G194)*0.6</f>
        <v>173.7954</v>
      </c>
      <c r="I194" s="276">
        <v>173.79499999999999</v>
      </c>
      <c r="J194" s="276">
        <v>115.864</v>
      </c>
      <c r="K194" s="298">
        <f>F194-(I194+I195)</f>
        <v>115.864</v>
      </c>
      <c r="L194" s="298">
        <f>G194-(J194+J195)</f>
        <v>-115.864</v>
      </c>
      <c r="M194" s="298">
        <f>K194+L194</f>
        <v>0</v>
      </c>
      <c r="N194" s="288">
        <f>((I194+I195)+(J194+J195))/(F194+G194)</f>
        <v>1</v>
      </c>
      <c r="O194" s="130"/>
    </row>
    <row r="195" spans="2:15">
      <c r="B195" s="304"/>
      <c r="C195" s="165" t="s">
        <v>514</v>
      </c>
      <c r="D195" s="165">
        <v>968071</v>
      </c>
      <c r="E195" s="130" t="s">
        <v>539</v>
      </c>
      <c r="F195" s="304"/>
      <c r="G195" s="304"/>
      <c r="H195" s="300"/>
      <c r="I195" s="277"/>
      <c r="J195" s="277"/>
      <c r="K195" s="300"/>
      <c r="L195" s="300"/>
      <c r="M195" s="300"/>
      <c r="N195" s="290"/>
      <c r="O195" s="130"/>
    </row>
  </sheetData>
  <mergeCells count="164">
    <mergeCell ref="N142:N144"/>
    <mergeCell ref="F145:F148"/>
    <mergeCell ref="K145:K148"/>
    <mergeCell ref="N145:N148"/>
    <mergeCell ref="H142:H144"/>
    <mergeCell ref="H145:H148"/>
    <mergeCell ref="B2:O2"/>
    <mergeCell ref="B3:O3"/>
    <mergeCell ref="B6:B112"/>
    <mergeCell ref="B113:B168"/>
    <mergeCell ref="F113:F115"/>
    <mergeCell ref="K113:K115"/>
    <mergeCell ref="N113:N115"/>
    <mergeCell ref="F118:F122"/>
    <mergeCell ref="K118:K122"/>
    <mergeCell ref="N118:N122"/>
    <mergeCell ref="F135:F137"/>
    <mergeCell ref="K135:K137"/>
    <mergeCell ref="N135:N137"/>
    <mergeCell ref="F138:F141"/>
    <mergeCell ref="K138:K141"/>
    <mergeCell ref="N138:N141"/>
    <mergeCell ref="F130:F131"/>
    <mergeCell ref="F132:F134"/>
    <mergeCell ref="N194:N195"/>
    <mergeCell ref="B177:B193"/>
    <mergeCell ref="B194:B195"/>
    <mergeCell ref="F194:F195"/>
    <mergeCell ref="B174:B176"/>
    <mergeCell ref="L194:L195"/>
    <mergeCell ref="M194:M195"/>
    <mergeCell ref="K174:K176"/>
    <mergeCell ref="G194:G195"/>
    <mergeCell ref="H194:H195"/>
    <mergeCell ref="K194:K195"/>
    <mergeCell ref="I194:I195"/>
    <mergeCell ref="J194:J195"/>
    <mergeCell ref="B169:B173"/>
    <mergeCell ref="F167:F168"/>
    <mergeCell ref="K167:K168"/>
    <mergeCell ref="N174:N176"/>
    <mergeCell ref="F174:F176"/>
    <mergeCell ref="G174:G176"/>
    <mergeCell ref="L174:L176"/>
    <mergeCell ref="M174:M176"/>
    <mergeCell ref="H174:H176"/>
    <mergeCell ref="G167:G168"/>
    <mergeCell ref="F123:F124"/>
    <mergeCell ref="F125:F126"/>
    <mergeCell ref="G127:G129"/>
    <mergeCell ref="F127:F129"/>
    <mergeCell ref="G113:G115"/>
    <mergeCell ref="G116:G117"/>
    <mergeCell ref="F116:F117"/>
    <mergeCell ref="G118:G122"/>
    <mergeCell ref="G123:G124"/>
    <mergeCell ref="G160:G162"/>
    <mergeCell ref="G163:G166"/>
    <mergeCell ref="F156:F157"/>
    <mergeCell ref="F158:F159"/>
    <mergeCell ref="F160:F162"/>
    <mergeCell ref="F163:F166"/>
    <mergeCell ref="G138:G141"/>
    <mergeCell ref="G142:G144"/>
    <mergeCell ref="G145:G148"/>
    <mergeCell ref="G149:G150"/>
    <mergeCell ref="F149:F150"/>
    <mergeCell ref="F151:F153"/>
    <mergeCell ref="F154:F155"/>
    <mergeCell ref="G151:G153"/>
    <mergeCell ref="G154:G155"/>
    <mergeCell ref="F142:F144"/>
    <mergeCell ref="H135:H137"/>
    <mergeCell ref="H138:H141"/>
    <mergeCell ref="H113:H115"/>
    <mergeCell ref="H116:H117"/>
    <mergeCell ref="H118:H122"/>
    <mergeCell ref="H123:H124"/>
    <mergeCell ref="H125:H126"/>
    <mergeCell ref="G156:G157"/>
    <mergeCell ref="G158:G159"/>
    <mergeCell ref="G130:G131"/>
    <mergeCell ref="G132:G134"/>
    <mergeCell ref="G135:G137"/>
    <mergeCell ref="G125:G126"/>
    <mergeCell ref="H160:H162"/>
    <mergeCell ref="H163:H166"/>
    <mergeCell ref="H167:H168"/>
    <mergeCell ref="K116:K117"/>
    <mergeCell ref="N116:N117"/>
    <mergeCell ref="K123:K124"/>
    <mergeCell ref="L123:L124"/>
    <mergeCell ref="M123:M124"/>
    <mergeCell ref="N123:N124"/>
    <mergeCell ref="K125:K126"/>
    <mergeCell ref="L125:L126"/>
    <mergeCell ref="M125:M126"/>
    <mergeCell ref="N125:N126"/>
    <mergeCell ref="K130:K131"/>
    <mergeCell ref="L130:L131"/>
    <mergeCell ref="M130:M131"/>
    <mergeCell ref="H149:H150"/>
    <mergeCell ref="H151:H153"/>
    <mergeCell ref="H154:H155"/>
    <mergeCell ref="H156:H157"/>
    <mergeCell ref="H158:H159"/>
    <mergeCell ref="H127:H129"/>
    <mergeCell ref="H130:H131"/>
    <mergeCell ref="H132:H134"/>
    <mergeCell ref="N132:N134"/>
    <mergeCell ref="L135:L137"/>
    <mergeCell ref="M135:M137"/>
    <mergeCell ref="N130:N131"/>
    <mergeCell ref="K127:K129"/>
    <mergeCell ref="L127:L129"/>
    <mergeCell ref="M127:M129"/>
    <mergeCell ref="N127:N129"/>
    <mergeCell ref="L113:L115"/>
    <mergeCell ref="L116:L117"/>
    <mergeCell ref="L118:L122"/>
    <mergeCell ref="M113:M115"/>
    <mergeCell ref="M116:M117"/>
    <mergeCell ref="M118:M122"/>
    <mergeCell ref="L138:L141"/>
    <mergeCell ref="M138:M141"/>
    <mergeCell ref="L142:L144"/>
    <mergeCell ref="M142:M144"/>
    <mergeCell ref="L145:L148"/>
    <mergeCell ref="M145:M148"/>
    <mergeCell ref="K132:K134"/>
    <mergeCell ref="L132:L134"/>
    <mergeCell ref="M132:M134"/>
    <mergeCell ref="K142:K144"/>
    <mergeCell ref="K156:K157"/>
    <mergeCell ref="L156:L157"/>
    <mergeCell ref="M156:M157"/>
    <mergeCell ref="N156:N157"/>
    <mergeCell ref="K158:K159"/>
    <mergeCell ref="L158:L159"/>
    <mergeCell ref="M158:M159"/>
    <mergeCell ref="N158:N159"/>
    <mergeCell ref="K149:K150"/>
    <mergeCell ref="L149:L150"/>
    <mergeCell ref="M149:M150"/>
    <mergeCell ref="N149:N150"/>
    <mergeCell ref="L151:L153"/>
    <mergeCell ref="M151:M153"/>
    <mergeCell ref="K151:K153"/>
    <mergeCell ref="N151:N153"/>
    <mergeCell ref="K154:K155"/>
    <mergeCell ref="N154:N155"/>
    <mergeCell ref="L154:L155"/>
    <mergeCell ref="M154:M155"/>
    <mergeCell ref="K160:K162"/>
    <mergeCell ref="L160:L162"/>
    <mergeCell ref="M160:M162"/>
    <mergeCell ref="N160:N162"/>
    <mergeCell ref="L167:L168"/>
    <mergeCell ref="M167:M168"/>
    <mergeCell ref="L163:L166"/>
    <mergeCell ref="M163:M166"/>
    <mergeCell ref="K163:K166"/>
    <mergeCell ref="N163:N166"/>
    <mergeCell ref="N167:N16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C2:J34"/>
  <sheetViews>
    <sheetView workbookViewId="0">
      <selection activeCell="D3" sqref="D3:I3"/>
    </sheetView>
  </sheetViews>
  <sheetFormatPr baseColWidth="10" defaultRowHeight="15"/>
  <cols>
    <col min="2" max="2" width="13.5703125" customWidth="1"/>
    <col min="3" max="3" width="16.85546875" customWidth="1"/>
    <col min="4" max="4" width="16.42578125" customWidth="1"/>
    <col min="6" max="6" width="11.42578125" style="11"/>
    <col min="7" max="7" width="15.85546875" customWidth="1"/>
  </cols>
  <sheetData>
    <row r="2" spans="3:10">
      <c r="C2" s="84"/>
      <c r="D2" s="235" t="s">
        <v>522</v>
      </c>
      <c r="E2" s="235"/>
      <c r="F2" s="235"/>
      <c r="G2" s="235"/>
      <c r="H2" s="235"/>
      <c r="I2" s="235"/>
      <c r="J2" s="84"/>
    </row>
    <row r="3" spans="3:10">
      <c r="C3" s="84"/>
      <c r="D3" s="306">
        <f>RESUMEN!B3</f>
        <v>44201</v>
      </c>
      <c r="E3" s="307"/>
      <c r="F3" s="307"/>
      <c r="G3" s="307"/>
      <c r="H3" s="307"/>
      <c r="I3" s="307"/>
      <c r="J3" s="84"/>
    </row>
    <row r="4" spans="3:10">
      <c r="C4" s="85" t="s">
        <v>258</v>
      </c>
      <c r="D4" s="85" t="s">
        <v>259</v>
      </c>
      <c r="E4" s="85" t="s">
        <v>202</v>
      </c>
      <c r="F4" s="85" t="s">
        <v>46</v>
      </c>
      <c r="G4" s="85" t="s">
        <v>191</v>
      </c>
      <c r="H4" s="85" t="s">
        <v>260</v>
      </c>
      <c r="I4" s="85" t="s">
        <v>141</v>
      </c>
      <c r="J4" s="85" t="s">
        <v>142</v>
      </c>
    </row>
    <row r="5" spans="3:10">
      <c r="C5" s="136">
        <v>14</v>
      </c>
      <c r="D5" s="137" t="s">
        <v>278</v>
      </c>
      <c r="E5" s="129">
        <v>954089</v>
      </c>
      <c r="F5" s="129" t="s">
        <v>255</v>
      </c>
      <c r="G5" s="129" t="s">
        <v>192</v>
      </c>
      <c r="H5" s="129">
        <v>2</v>
      </c>
      <c r="I5" s="101">
        <v>0.01</v>
      </c>
      <c r="J5" s="129">
        <f>H5-I5</f>
        <v>1.99</v>
      </c>
    </row>
    <row r="6" spans="3:10">
      <c r="C6" s="136">
        <v>14</v>
      </c>
      <c r="D6" s="137" t="s">
        <v>278</v>
      </c>
      <c r="E6" s="129">
        <v>954090</v>
      </c>
      <c r="F6" s="129" t="s">
        <v>255</v>
      </c>
      <c r="G6" s="129" t="s">
        <v>279</v>
      </c>
      <c r="H6" s="129">
        <v>2</v>
      </c>
      <c r="I6" s="101">
        <v>2.5000000000000001E-2</v>
      </c>
      <c r="J6" s="129">
        <f t="shared" ref="J6:J12" si="0">H6-I6</f>
        <v>1.9750000000000001</v>
      </c>
    </row>
    <row r="7" spans="3:10">
      <c r="C7" s="136">
        <v>14</v>
      </c>
      <c r="D7" s="137" t="s">
        <v>280</v>
      </c>
      <c r="E7" s="129">
        <v>954062</v>
      </c>
      <c r="F7" s="129" t="s">
        <v>251</v>
      </c>
      <c r="G7" s="129" t="s">
        <v>192</v>
      </c>
      <c r="H7" s="129">
        <v>2</v>
      </c>
      <c r="I7" s="101"/>
      <c r="J7" s="129">
        <f t="shared" si="0"/>
        <v>2</v>
      </c>
    </row>
    <row r="8" spans="3:10">
      <c r="C8" s="136">
        <v>14</v>
      </c>
      <c r="D8" s="137" t="s">
        <v>280</v>
      </c>
      <c r="E8" s="129">
        <v>954063</v>
      </c>
      <c r="F8" s="129" t="s">
        <v>251</v>
      </c>
      <c r="G8" s="129" t="s">
        <v>279</v>
      </c>
      <c r="H8" s="129">
        <v>2</v>
      </c>
      <c r="I8" s="101"/>
      <c r="J8" s="129">
        <f t="shared" si="0"/>
        <v>2</v>
      </c>
    </row>
    <row r="9" spans="3:10">
      <c r="C9" s="136">
        <v>14</v>
      </c>
      <c r="D9" s="137" t="s">
        <v>281</v>
      </c>
      <c r="E9" s="129">
        <v>954552</v>
      </c>
      <c r="F9" s="129" t="s">
        <v>251</v>
      </c>
      <c r="G9" s="129" t="s">
        <v>192</v>
      </c>
      <c r="H9" s="129">
        <v>2</v>
      </c>
      <c r="I9" s="101">
        <v>2.5999999999999999E-2</v>
      </c>
      <c r="J9" s="129">
        <f t="shared" si="0"/>
        <v>1.974</v>
      </c>
    </row>
    <row r="10" spans="3:10">
      <c r="C10" s="136">
        <v>14</v>
      </c>
      <c r="D10" s="137" t="s">
        <v>281</v>
      </c>
      <c r="E10" s="129">
        <v>954553</v>
      </c>
      <c r="F10" s="129" t="s">
        <v>251</v>
      </c>
      <c r="G10" s="129" t="s">
        <v>279</v>
      </c>
      <c r="H10" s="129">
        <v>2</v>
      </c>
      <c r="I10" s="101">
        <v>4.0000000000000001E-3</v>
      </c>
      <c r="J10" s="129">
        <f t="shared" si="0"/>
        <v>1.996</v>
      </c>
    </row>
    <row r="11" spans="3:10">
      <c r="C11" s="136">
        <v>14</v>
      </c>
      <c r="D11" s="129" t="s">
        <v>280</v>
      </c>
      <c r="E11" s="129">
        <v>954062</v>
      </c>
      <c r="F11" s="129" t="s">
        <v>251</v>
      </c>
      <c r="G11" s="129" t="s">
        <v>192</v>
      </c>
      <c r="H11" s="129">
        <v>2</v>
      </c>
      <c r="I11" s="101">
        <v>5.0999999999999997E-2</v>
      </c>
      <c r="J11" s="129">
        <f t="shared" si="0"/>
        <v>1.9490000000000001</v>
      </c>
    </row>
    <row r="12" spans="3:10">
      <c r="C12" s="136">
        <v>14</v>
      </c>
      <c r="D12" s="129" t="s">
        <v>280</v>
      </c>
      <c r="E12" s="129">
        <v>954063</v>
      </c>
      <c r="F12" s="129" t="s">
        <v>251</v>
      </c>
      <c r="G12" s="129" t="s">
        <v>279</v>
      </c>
      <c r="H12" s="129">
        <v>2</v>
      </c>
      <c r="I12" s="101">
        <v>3.9E-2</v>
      </c>
      <c r="J12" s="129">
        <f t="shared" si="0"/>
        <v>1.9610000000000001</v>
      </c>
    </row>
    <row r="13" spans="3:10">
      <c r="C13" s="129"/>
      <c r="D13" s="129"/>
      <c r="E13" s="129"/>
      <c r="F13" s="129"/>
      <c r="G13" s="130"/>
      <c r="H13" s="130"/>
      <c r="I13" s="101"/>
      <c r="J13" s="130"/>
    </row>
    <row r="14" spans="3:10" s="11" customFormat="1">
      <c r="C14" s="129"/>
      <c r="D14" s="129"/>
      <c r="E14" s="129"/>
      <c r="F14" s="129"/>
      <c r="G14" s="130"/>
      <c r="H14" s="130"/>
      <c r="I14" s="103"/>
      <c r="J14" s="130"/>
    </row>
    <row r="15" spans="3:10">
      <c r="C15" s="129"/>
      <c r="D15" s="129"/>
      <c r="E15" s="129"/>
      <c r="F15" s="129"/>
      <c r="G15" s="130"/>
      <c r="H15" s="130"/>
      <c r="I15" s="103"/>
      <c r="J15" s="130"/>
    </row>
    <row r="16" spans="3:10" s="11" customFormat="1">
      <c r="C16" s="129"/>
      <c r="D16" s="129"/>
      <c r="E16" s="129"/>
      <c r="F16" s="129"/>
      <c r="G16" s="130"/>
      <c r="H16" s="130"/>
      <c r="I16" s="103"/>
      <c r="J16" s="130"/>
    </row>
    <row r="17" spans="3:10">
      <c r="C17" s="129"/>
      <c r="D17" s="129"/>
      <c r="E17" s="129"/>
      <c r="F17" s="129"/>
      <c r="G17" s="130"/>
      <c r="H17" s="129"/>
      <c r="I17" s="103"/>
      <c r="J17" s="130"/>
    </row>
    <row r="18" spans="3:10">
      <c r="C18" s="129"/>
      <c r="D18" s="129"/>
      <c r="E18" s="129"/>
      <c r="F18" s="129"/>
      <c r="G18" s="130"/>
      <c r="H18" s="129"/>
      <c r="I18" s="103"/>
      <c r="J18" s="130"/>
    </row>
    <row r="19" spans="3:10">
      <c r="C19" s="129"/>
      <c r="D19" s="129"/>
      <c r="E19" s="129"/>
      <c r="F19" s="129"/>
      <c r="G19" s="130"/>
      <c r="H19" s="130"/>
      <c r="I19" s="103"/>
      <c r="J19" s="130"/>
    </row>
    <row r="20" spans="3:10">
      <c r="C20" s="129"/>
      <c r="D20" s="129"/>
      <c r="E20" s="129"/>
      <c r="F20" s="129"/>
      <c r="G20" s="130"/>
      <c r="H20" s="130"/>
      <c r="I20" s="103"/>
      <c r="J20" s="130"/>
    </row>
    <row r="21" spans="3:10">
      <c r="C21" s="129"/>
      <c r="D21" s="129"/>
      <c r="E21" s="129"/>
      <c r="F21" s="129"/>
      <c r="G21" s="130"/>
      <c r="H21" s="130"/>
      <c r="I21" s="103"/>
      <c r="J21" s="130"/>
    </row>
    <row r="22" spans="3:10">
      <c r="C22" s="129"/>
      <c r="D22" s="129"/>
      <c r="E22" s="129"/>
      <c r="F22" s="129"/>
      <c r="G22" s="130"/>
      <c r="H22" s="130"/>
      <c r="I22" s="103"/>
      <c r="J22" s="130"/>
    </row>
    <row r="23" spans="3:10">
      <c r="C23" s="129"/>
      <c r="D23" s="129"/>
      <c r="E23" s="129"/>
      <c r="F23" s="129"/>
      <c r="G23" s="130"/>
      <c r="H23" s="130"/>
      <c r="I23" s="103"/>
      <c r="J23" s="130"/>
    </row>
    <row r="24" spans="3:10">
      <c r="C24" s="129"/>
      <c r="D24" s="129"/>
      <c r="E24" s="129"/>
      <c r="F24" s="129"/>
      <c r="G24" s="130"/>
      <c r="H24" s="130"/>
      <c r="I24" s="103"/>
      <c r="J24" s="130"/>
    </row>
    <row r="25" spans="3:10">
      <c r="C25" s="129"/>
      <c r="D25" s="129"/>
      <c r="E25" s="129"/>
      <c r="F25" s="129"/>
      <c r="G25" s="130"/>
      <c r="H25" s="135"/>
      <c r="I25" s="103"/>
      <c r="J25" s="134"/>
    </row>
    <row r="26" spans="3:10">
      <c r="C26" s="129"/>
      <c r="D26" s="129"/>
      <c r="E26" s="129"/>
      <c r="F26" s="129"/>
      <c r="G26" s="130"/>
      <c r="H26" s="135"/>
      <c r="I26" s="103"/>
      <c r="J26" s="134"/>
    </row>
    <row r="27" spans="3:10">
      <c r="C27" s="129"/>
      <c r="D27" s="129"/>
      <c r="E27" s="129"/>
      <c r="F27" s="129"/>
      <c r="G27" s="130"/>
      <c r="H27" s="135"/>
      <c r="I27" s="103"/>
      <c r="J27" s="134"/>
    </row>
    <row r="28" spans="3:10">
      <c r="C28" s="129"/>
      <c r="D28" s="129"/>
      <c r="E28" s="129"/>
      <c r="F28" s="129"/>
      <c r="G28" s="130"/>
      <c r="H28" s="135"/>
      <c r="I28" s="103"/>
      <c r="J28" s="134"/>
    </row>
    <row r="29" spans="3:10">
      <c r="C29" s="129"/>
      <c r="D29" s="129"/>
      <c r="E29" s="129"/>
      <c r="F29" s="129"/>
      <c r="G29" s="130"/>
      <c r="H29" s="135"/>
      <c r="I29" s="103"/>
      <c r="J29" s="134"/>
    </row>
    <row r="30" spans="3:10">
      <c r="C30" s="129"/>
      <c r="D30" s="129"/>
      <c r="E30" s="129"/>
      <c r="F30" s="129"/>
      <c r="G30" s="130"/>
      <c r="H30" s="135"/>
      <c r="I30" s="103"/>
      <c r="J30" s="134"/>
    </row>
    <row r="31" spans="3:10">
      <c r="C31" s="129"/>
      <c r="D31" s="129"/>
      <c r="E31" s="129"/>
      <c r="F31" s="129"/>
      <c r="G31" s="130"/>
      <c r="H31" s="130"/>
      <c r="I31" s="103"/>
      <c r="J31" s="130"/>
    </row>
    <row r="32" spans="3:10">
      <c r="C32" s="129"/>
      <c r="D32" s="129"/>
      <c r="E32" s="129"/>
      <c r="F32" s="129"/>
      <c r="G32" s="130"/>
      <c r="H32" s="130"/>
      <c r="I32" s="103"/>
      <c r="J32" s="130"/>
    </row>
    <row r="33" spans="3:10">
      <c r="C33" s="129"/>
      <c r="D33" s="129"/>
      <c r="E33" s="129"/>
      <c r="F33" s="129"/>
      <c r="G33" s="130"/>
      <c r="H33" s="130"/>
      <c r="I33" s="103"/>
      <c r="J33" s="130"/>
    </row>
    <row r="34" spans="3:10">
      <c r="C34" s="129"/>
      <c r="D34" s="129"/>
      <c r="E34" s="129"/>
      <c r="F34" s="129"/>
      <c r="G34" s="130"/>
      <c r="H34" s="130"/>
      <c r="I34" s="103"/>
      <c r="J34" s="130"/>
    </row>
  </sheetData>
  <mergeCells count="2">
    <mergeCell ref="D3:I3"/>
    <mergeCell ref="D2:I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0"/>
  <sheetViews>
    <sheetView topLeftCell="A235" workbookViewId="0">
      <selection activeCell="A146" sqref="A146:XFD146"/>
    </sheetView>
  </sheetViews>
  <sheetFormatPr baseColWidth="10" defaultRowHeight="15"/>
  <cols>
    <col min="1" max="1" width="17.7109375" customWidth="1"/>
    <col min="2" max="2" width="16.28515625" customWidth="1"/>
    <col min="4" max="4" width="19.42578125" customWidth="1"/>
    <col min="5" max="5" width="41.42578125" customWidth="1"/>
    <col min="6" max="6" width="17.7109375" customWidth="1"/>
    <col min="9" max="10" width="13.42578125" customWidth="1"/>
    <col min="11" max="11" width="12.5703125" customWidth="1"/>
    <col min="14" max="14" width="13.85546875" customWidth="1"/>
    <col min="15" max="15" width="12.5703125" customWidth="1"/>
  </cols>
  <sheetData>
    <row r="1" spans="1:17">
      <c r="A1" s="83" t="s">
        <v>216</v>
      </c>
      <c r="B1" s="83" t="s">
        <v>191</v>
      </c>
      <c r="C1" s="83" t="s">
        <v>217</v>
      </c>
      <c r="D1" s="83" t="s">
        <v>218</v>
      </c>
      <c r="E1" s="83" t="s">
        <v>219</v>
      </c>
      <c r="F1" s="83" t="s">
        <v>220</v>
      </c>
      <c r="G1" s="83" t="s">
        <v>221</v>
      </c>
      <c r="H1" s="83" t="s">
        <v>222</v>
      </c>
      <c r="I1" s="83" t="s">
        <v>223</v>
      </c>
      <c r="J1" s="83" t="s">
        <v>224</v>
      </c>
      <c r="K1" s="83" t="s">
        <v>141</v>
      </c>
      <c r="L1" s="83" t="s">
        <v>142</v>
      </c>
      <c r="M1" s="83" t="s">
        <v>225</v>
      </c>
      <c r="N1" s="83" t="s">
        <v>37</v>
      </c>
      <c r="O1" s="83" t="s">
        <v>226</v>
      </c>
      <c r="P1" s="83" t="s">
        <v>227</v>
      </c>
      <c r="Q1" s="83" t="s">
        <v>228</v>
      </c>
    </row>
    <row r="2" spans="1:17">
      <c r="A2" t="s">
        <v>229</v>
      </c>
      <c r="B2" t="s">
        <v>192</v>
      </c>
      <c r="C2" t="s">
        <v>231</v>
      </c>
      <c r="D2" t="s">
        <v>232</v>
      </c>
      <c r="E2" t="str">
        <f>'Anchov y SardC LTP'!D7</f>
        <v>ALIMENTOS MARINOS S.A.</v>
      </c>
      <c r="F2" t="s">
        <v>233</v>
      </c>
      <c r="G2" t="s">
        <v>234</v>
      </c>
      <c r="H2">
        <f>'Anchov y SardC LTP'!G7</f>
        <v>9057.9779199000004</v>
      </c>
      <c r="I2" s="11">
        <f>'Anchov y SardC LTP'!H7</f>
        <v>-9056</v>
      </c>
      <c r="J2" s="11">
        <f>'Anchov y SardC LTP'!I7</f>
        <v>1.9779199000004155</v>
      </c>
      <c r="K2">
        <f>'Anchov y SardC LTP'!J7</f>
        <v>0</v>
      </c>
      <c r="L2">
        <f>'Anchov y SardC LTP'!K7</f>
        <v>1.9779199000004155</v>
      </c>
      <c r="M2" s="42">
        <f>'Anchov y SardC LTP'!L7</f>
        <v>0.9997816378095099</v>
      </c>
      <c r="N2" s="53" t="s">
        <v>256</v>
      </c>
      <c r="O2" s="34">
        <f>RESUMEN!$B$3</f>
        <v>44201</v>
      </c>
      <c r="P2">
        <v>2021</v>
      </c>
    </row>
    <row r="3" spans="1:17">
      <c r="A3" s="11" t="s">
        <v>229</v>
      </c>
      <c r="B3" s="11" t="s">
        <v>192</v>
      </c>
      <c r="C3" s="11" t="s">
        <v>231</v>
      </c>
      <c r="D3" s="11" t="s">
        <v>232</v>
      </c>
      <c r="E3" s="11" t="str">
        <f>'Anchov y SardC LTP'!D8</f>
        <v>BLUMAR S.A.</v>
      </c>
      <c r="F3" t="s">
        <v>233</v>
      </c>
      <c r="G3" t="s">
        <v>234</v>
      </c>
      <c r="H3" s="11">
        <f>'Anchov y SardC LTP'!G8</f>
        <v>9581.4167436000007</v>
      </c>
      <c r="I3" s="11">
        <f>'Anchov y SardC LTP'!H8</f>
        <v>-9480</v>
      </c>
      <c r="J3" s="11">
        <f>'Anchov y SardC LTP'!I8</f>
        <v>101.4167436000007</v>
      </c>
      <c r="K3" s="11">
        <f>'Anchov y SardC LTP'!J8</f>
        <v>0</v>
      </c>
      <c r="L3" s="11">
        <f>'Anchov y SardC LTP'!K8</f>
        <v>101.4167436000007</v>
      </c>
      <c r="M3" s="42">
        <f>'Anchov y SardC LTP'!L8</f>
        <v>0.98941526641477706</v>
      </c>
      <c r="N3" s="53" t="s">
        <v>256</v>
      </c>
      <c r="O3" s="34">
        <f>RESUMEN!$B$3</f>
        <v>44201</v>
      </c>
      <c r="P3" s="11">
        <v>2021</v>
      </c>
    </row>
    <row r="4" spans="1:17">
      <c r="A4" s="11" t="s">
        <v>229</v>
      </c>
      <c r="B4" s="11" t="s">
        <v>192</v>
      </c>
      <c r="C4" s="11" t="s">
        <v>231</v>
      </c>
      <c r="D4" s="11" t="s">
        <v>232</v>
      </c>
      <c r="E4" s="11" t="str">
        <f>'Anchov y SardC LTP'!D9</f>
        <v>CAMANCHACA PESCA SUR S.A.</v>
      </c>
      <c r="F4" s="11" t="s">
        <v>233</v>
      </c>
      <c r="G4" s="11" t="s">
        <v>234</v>
      </c>
      <c r="H4" s="11">
        <f>'Anchov y SardC LTP'!G9</f>
        <v>7530.4908549000011</v>
      </c>
      <c r="I4" s="11">
        <f>'Anchov y SardC LTP'!H9</f>
        <v>-7485</v>
      </c>
      <c r="J4" s="11">
        <f>'Anchov y SardC LTP'!I9</f>
        <v>45.490854900001068</v>
      </c>
      <c r="K4" s="11">
        <f>'Anchov y SardC LTP'!J9</f>
        <v>0</v>
      </c>
      <c r="L4" s="11">
        <f>'Anchov y SardC LTP'!K9</f>
        <v>45.490854900001068</v>
      </c>
      <c r="M4" s="42">
        <f>'Anchov y SardC LTP'!L9</f>
        <v>0.99395911159358219</v>
      </c>
      <c r="N4" s="53" t="s">
        <v>256</v>
      </c>
      <c r="O4" s="34">
        <f>RESUMEN!$B$3</f>
        <v>44201</v>
      </c>
      <c r="P4" s="11">
        <v>2021</v>
      </c>
    </row>
    <row r="5" spans="1:17">
      <c r="A5" s="11" t="s">
        <v>229</v>
      </c>
      <c r="B5" s="11" t="s">
        <v>192</v>
      </c>
      <c r="C5" s="11" t="s">
        <v>231</v>
      </c>
      <c r="D5" s="11" t="s">
        <v>232</v>
      </c>
      <c r="E5" s="11" t="str">
        <f>'Anchov y SardC LTP'!D10</f>
        <v>CAMANCHACA S.A.CIA PESQ.</v>
      </c>
      <c r="F5" s="11" t="s">
        <v>233</v>
      </c>
      <c r="G5" s="11" t="s">
        <v>234</v>
      </c>
      <c r="H5" s="11">
        <f>'Anchov y SardC LTP'!G10</f>
        <v>0</v>
      </c>
      <c r="I5" s="11">
        <f>'Anchov y SardC LTP'!H10</f>
        <v>0</v>
      </c>
      <c r="J5" s="11">
        <f>'Anchov y SardC LTP'!I10</f>
        <v>0</v>
      </c>
      <c r="K5" s="11">
        <f>'Anchov y SardC LTP'!J10</f>
        <v>0</v>
      </c>
      <c r="L5" s="11">
        <f>'Anchov y SardC LTP'!K10</f>
        <v>0</v>
      </c>
      <c r="M5" s="42">
        <f>'Anchov y SardC LTP'!L10</f>
        <v>0</v>
      </c>
      <c r="N5" s="53" t="s">
        <v>256</v>
      </c>
      <c r="O5" s="34">
        <f>RESUMEN!$B$3</f>
        <v>44201</v>
      </c>
      <c r="P5" s="11">
        <v>2021</v>
      </c>
    </row>
    <row r="6" spans="1:17" s="11" customFormat="1">
      <c r="A6" s="11" t="s">
        <v>229</v>
      </c>
      <c r="B6" s="11" t="s">
        <v>192</v>
      </c>
      <c r="C6" s="11" t="s">
        <v>231</v>
      </c>
      <c r="D6" s="11" t="s">
        <v>232</v>
      </c>
      <c r="E6" s="11" t="str">
        <f>'Anchov y SardC LTP'!D11</f>
        <v>CRISTIAN SILVA LORCA</v>
      </c>
      <c r="F6" s="11" t="s">
        <v>233</v>
      </c>
      <c r="G6" s="11" t="s">
        <v>234</v>
      </c>
      <c r="H6" s="11">
        <f>'Anchov y SardC LTP'!G11</f>
        <v>1562.1254999999999</v>
      </c>
      <c r="I6" s="11">
        <f>'Anchov y SardC LTP'!H11</f>
        <v>-1562.127</v>
      </c>
      <c r="J6" s="11">
        <f>'Anchov y SardC LTP'!I11</f>
        <v>-1.5000000000782165E-3</v>
      </c>
      <c r="K6" s="11">
        <f>'Anchov y SardC LTP'!J11</f>
        <v>0</v>
      </c>
      <c r="L6" s="11">
        <f>'Anchov y SardC LTP'!K11</f>
        <v>-1.5000000000782165E-3</v>
      </c>
      <c r="M6" s="42">
        <f>'Anchov y SardC LTP'!L11</f>
        <v>1.0000009602301481</v>
      </c>
      <c r="N6" s="53" t="s">
        <v>256</v>
      </c>
      <c r="O6" s="34">
        <f>RESUMEN!$B$3</f>
        <v>44201</v>
      </c>
      <c r="P6" s="11">
        <v>2021</v>
      </c>
    </row>
    <row r="7" spans="1:17" s="11" customFormat="1">
      <c r="A7" s="11" t="s">
        <v>229</v>
      </c>
      <c r="B7" s="11" t="s">
        <v>192</v>
      </c>
      <c r="C7" s="11" t="s">
        <v>231</v>
      </c>
      <c r="D7" s="11" t="s">
        <v>232</v>
      </c>
      <c r="E7" s="11" t="str">
        <f>'Anchov y SardC LTP'!D12</f>
        <v>CRISTIAN SILVA TUDELA</v>
      </c>
      <c r="F7" s="11" t="s">
        <v>233</v>
      </c>
      <c r="G7" s="11" t="s">
        <v>234</v>
      </c>
      <c r="H7" s="11">
        <f>'Anchov y SardC LTP'!G12</f>
        <v>905.58</v>
      </c>
      <c r="I7" s="11">
        <f>'Anchov y SardC LTP'!H12</f>
        <v>-905.58</v>
      </c>
      <c r="J7" s="11">
        <f>'Anchov y SardC LTP'!I12</f>
        <v>0</v>
      </c>
      <c r="K7" s="11">
        <f>'Anchov y SardC LTP'!J12</f>
        <v>0</v>
      </c>
      <c r="L7" s="11">
        <f>'Anchov y SardC LTP'!K12</f>
        <v>0</v>
      </c>
      <c r="M7" s="42">
        <f>'Anchov y SardC LTP'!L12</f>
        <v>1</v>
      </c>
      <c r="N7" s="53" t="s">
        <v>256</v>
      </c>
      <c r="O7" s="34">
        <f>RESUMEN!$B$3</f>
        <v>44201</v>
      </c>
      <c r="P7" s="11">
        <v>2021</v>
      </c>
    </row>
    <row r="8" spans="1:17" s="11" customFormat="1">
      <c r="A8" s="11" t="s">
        <v>229</v>
      </c>
      <c r="B8" s="11" t="s">
        <v>192</v>
      </c>
      <c r="C8" s="11" t="s">
        <v>231</v>
      </c>
      <c r="D8" s="11" t="s">
        <v>232</v>
      </c>
      <c r="E8" s="11" t="str">
        <f>'Anchov y SardC LTP'!D13</f>
        <v>GABRIELA MONSALVE CISTERNAS</v>
      </c>
      <c r="F8" s="11" t="s">
        <v>233</v>
      </c>
      <c r="G8" s="11" t="s">
        <v>234</v>
      </c>
      <c r="H8" s="11">
        <f>'Anchov y SardC LTP'!G13</f>
        <v>452.79000000000008</v>
      </c>
      <c r="I8" s="11">
        <f>'Anchov y SardC LTP'!H13</f>
        <v>-452.79199999999997</v>
      </c>
      <c r="J8" s="11">
        <f>'Anchov y SardC LTP'!I13</f>
        <v>-1.9999999998958629E-3</v>
      </c>
      <c r="K8" s="11">
        <f>'Anchov y SardC LTP'!J13</f>
        <v>0</v>
      </c>
      <c r="L8" s="11">
        <f>'Anchov y SardC LTP'!K13</f>
        <v>-1.9999999998958629E-3</v>
      </c>
      <c r="M8" s="42">
        <f>'Anchov y SardC LTP'!L13</f>
        <v>1.0000044170586804</v>
      </c>
      <c r="N8" s="53" t="s">
        <v>256</v>
      </c>
      <c r="O8" s="34">
        <f>RESUMEN!$B$3</f>
        <v>44201</v>
      </c>
      <c r="P8" s="11">
        <v>2021</v>
      </c>
    </row>
    <row r="9" spans="1:17">
      <c r="A9" s="11" t="s">
        <v>229</v>
      </c>
      <c r="B9" s="11" t="s">
        <v>192</v>
      </c>
      <c r="C9" s="11" t="s">
        <v>231</v>
      </c>
      <c r="D9" s="11" t="s">
        <v>232</v>
      </c>
      <c r="E9" s="11" t="str">
        <f>'Anchov y SardC LTP'!D14</f>
        <v>NOVAMAR SpA</v>
      </c>
      <c r="F9" s="11" t="s">
        <v>233</v>
      </c>
      <c r="G9" s="11" t="s">
        <v>234</v>
      </c>
      <c r="H9" s="11">
        <f>'Anchov y SardC LTP'!G14</f>
        <v>597.40207020000003</v>
      </c>
      <c r="I9" s="11">
        <f>'Anchov y SardC LTP'!H14</f>
        <v>-597.40200000000004</v>
      </c>
      <c r="J9" s="11">
        <f>'Anchov y SardC LTP'!I14</f>
        <v>7.0199999981923611E-5</v>
      </c>
      <c r="K9" s="11">
        <f>'Anchov y SardC LTP'!J14</f>
        <v>0</v>
      </c>
      <c r="L9" s="11">
        <f>'Anchov y SardC LTP'!K14</f>
        <v>7.0199999981923611E-5</v>
      </c>
      <c r="M9" s="42">
        <f>'Anchov y SardC LTP'!L14</f>
        <v>0.99999988249120064</v>
      </c>
      <c r="N9" s="53" t="s">
        <v>256</v>
      </c>
      <c r="O9" s="34">
        <f>RESUMEN!$B$3</f>
        <v>44201</v>
      </c>
      <c r="P9" s="11">
        <v>2021</v>
      </c>
    </row>
    <row r="10" spans="1:17">
      <c r="A10" s="11" t="s">
        <v>229</v>
      </c>
      <c r="B10" s="11" t="s">
        <v>192</v>
      </c>
      <c r="C10" s="11" t="s">
        <v>231</v>
      </c>
      <c r="D10" s="11" t="s">
        <v>232</v>
      </c>
      <c r="E10" s="11" t="str">
        <f>'Anchov y SardC LTP'!D15</f>
        <v>LITORAL SpA PESQ.</v>
      </c>
      <c r="F10" s="11" t="s">
        <v>233</v>
      </c>
      <c r="G10" s="11" t="s">
        <v>234</v>
      </c>
      <c r="H10" s="11">
        <f>'Anchov y SardC LTP'!G15</f>
        <v>1066.4925102</v>
      </c>
      <c r="I10" s="11">
        <f>'Anchov y SardC LTP'!H15</f>
        <v>-1047.6869999999999</v>
      </c>
      <c r="J10" s="11">
        <f>'Anchov y SardC LTP'!I15</f>
        <v>18.805510200000072</v>
      </c>
      <c r="K10" s="11">
        <f>'Anchov y SardC LTP'!J15</f>
        <v>0</v>
      </c>
      <c r="L10" s="11">
        <f>'Anchov y SardC LTP'!K15</f>
        <v>18.805510200000072</v>
      </c>
      <c r="M10" s="42">
        <f>'Anchov y SardC LTP'!L15</f>
        <v>0.98236695521052142</v>
      </c>
      <c r="N10" s="53" t="s">
        <v>256</v>
      </c>
      <c r="O10" s="34">
        <f>RESUMEN!$B$3</f>
        <v>44201</v>
      </c>
      <c r="P10" s="11">
        <v>2021</v>
      </c>
    </row>
    <row r="11" spans="1:17">
      <c r="A11" s="11" t="s">
        <v>229</v>
      </c>
      <c r="B11" s="11" t="s">
        <v>192</v>
      </c>
      <c r="C11" s="11" t="s">
        <v>231</v>
      </c>
      <c r="D11" s="11" t="s">
        <v>232</v>
      </c>
      <c r="E11" s="11" t="str">
        <f>'Anchov y SardC LTP'!D16</f>
        <v>FOODCORP CHILE S.A.</v>
      </c>
      <c r="F11" s="11" t="s">
        <v>233</v>
      </c>
      <c r="G11" s="11" t="s">
        <v>234</v>
      </c>
      <c r="H11" s="11">
        <f>'Anchov y SardC LTP'!G16</f>
        <v>1313.4170088000001</v>
      </c>
      <c r="I11" s="11">
        <f>'Anchov y SardC LTP'!H16</f>
        <v>-1308</v>
      </c>
      <c r="J11" s="11">
        <f>'Anchov y SardC LTP'!I16</f>
        <v>5.417008800000076</v>
      </c>
      <c r="K11" s="11">
        <f>'Anchov y SardC LTP'!J16</f>
        <v>0</v>
      </c>
      <c r="L11" s="11">
        <f>'Anchov y SardC LTP'!K16</f>
        <v>5.417008800000076</v>
      </c>
      <c r="M11" s="42">
        <f>'Anchov y SardC LTP'!L16</f>
        <v>0.99587563678275393</v>
      </c>
      <c r="N11" s="53" t="s">
        <v>256</v>
      </c>
      <c r="O11" s="34">
        <f>RESUMEN!$B$3</f>
        <v>44201</v>
      </c>
      <c r="P11" s="11">
        <v>2021</v>
      </c>
    </row>
    <row r="12" spans="1:17">
      <c r="A12" s="11" t="s">
        <v>229</v>
      </c>
      <c r="B12" s="11" t="s">
        <v>192</v>
      </c>
      <c r="C12" s="11" t="s">
        <v>231</v>
      </c>
      <c r="D12" s="11" t="s">
        <v>232</v>
      </c>
      <c r="E12" s="11" t="str">
        <f>'Anchov y SardC LTP'!D17</f>
        <v>ISLA QUIHUA S.A. PESQ</v>
      </c>
      <c r="F12" s="11" t="s">
        <v>233</v>
      </c>
      <c r="G12" s="11" t="s">
        <v>234</v>
      </c>
      <c r="H12" s="11">
        <f>'Anchov y SardC LTP'!G17</f>
        <v>0.65201759999999997</v>
      </c>
      <c r="I12" s="11">
        <f>'Anchov y SardC LTP'!H17</f>
        <v>0</v>
      </c>
      <c r="J12" s="11">
        <f>'Anchov y SardC LTP'!I17</f>
        <v>0.65201759999999997</v>
      </c>
      <c r="K12" s="11">
        <f>'Anchov y SardC LTP'!J17</f>
        <v>0</v>
      </c>
      <c r="L12" s="11">
        <f>'Anchov y SardC LTP'!K17</f>
        <v>0.65201759999999997</v>
      </c>
      <c r="M12" s="42">
        <f>'Anchov y SardC LTP'!L17</f>
        <v>0</v>
      </c>
      <c r="N12" s="53" t="s">
        <v>256</v>
      </c>
      <c r="O12" s="34">
        <f>RESUMEN!$B$3</f>
        <v>44201</v>
      </c>
      <c r="P12" s="11">
        <v>2021</v>
      </c>
    </row>
    <row r="13" spans="1:17">
      <c r="A13" s="11" t="s">
        <v>229</v>
      </c>
      <c r="B13" s="11" t="s">
        <v>192</v>
      </c>
      <c r="C13" s="11" t="s">
        <v>231</v>
      </c>
      <c r="D13" s="11" t="s">
        <v>232</v>
      </c>
      <c r="E13" s="11" t="str">
        <f>'Anchov y SardC LTP'!D18</f>
        <v>LANDES S.A. SOC PESQ.</v>
      </c>
      <c r="F13" s="11" t="s">
        <v>233</v>
      </c>
      <c r="G13" s="11" t="s">
        <v>234</v>
      </c>
      <c r="H13" s="11">
        <f>'Anchov y SardC LTP'!G18</f>
        <v>2853.4508847000002</v>
      </c>
      <c r="I13" s="11">
        <f>'Anchov y SardC LTP'!H18</f>
        <v>-2822.4527899999998</v>
      </c>
      <c r="J13" s="11">
        <f>'Anchov y SardC LTP'!I18</f>
        <v>30.998094700000365</v>
      </c>
      <c r="K13" s="11">
        <f>'Anchov y SardC LTP'!J18</f>
        <v>0</v>
      </c>
      <c r="L13" s="11">
        <f>'Anchov y SardC LTP'!K18</f>
        <v>30.998094700000365</v>
      </c>
      <c r="M13" s="42">
        <f>'Anchov y SardC LTP'!L18</f>
        <v>0.98913662931217428</v>
      </c>
      <c r="N13" s="53" t="s">
        <v>256</v>
      </c>
      <c r="O13" s="34">
        <f>RESUMEN!$B$3</f>
        <v>44201</v>
      </c>
      <c r="P13" s="11">
        <v>2021</v>
      </c>
    </row>
    <row r="14" spans="1:17">
      <c r="A14" s="11" t="s">
        <v>229</v>
      </c>
      <c r="B14" s="11" t="s">
        <v>192</v>
      </c>
      <c r="C14" s="11" t="s">
        <v>231</v>
      </c>
      <c r="D14" s="11" t="s">
        <v>232</v>
      </c>
      <c r="E14" s="11" t="str">
        <f>'Anchov y SardC LTP'!D19</f>
        <v>LOTA PROTEIN S.A.</v>
      </c>
      <c r="F14" s="11" t="s">
        <v>233</v>
      </c>
      <c r="G14" s="11" t="s">
        <v>234</v>
      </c>
      <c r="H14" s="11">
        <f>'Anchov y SardC LTP'!G19</f>
        <v>664.11162090000005</v>
      </c>
      <c r="I14" s="11">
        <f>'Anchov y SardC LTP'!H19</f>
        <v>-661.45279000000005</v>
      </c>
      <c r="J14" s="11">
        <f>'Anchov y SardC LTP'!I19</f>
        <v>2.6588308999999981</v>
      </c>
      <c r="K14" s="11">
        <f>'Anchov y SardC LTP'!J19</f>
        <v>0</v>
      </c>
      <c r="L14" s="11">
        <f>'Anchov y SardC LTP'!K19</f>
        <v>2.6588308999999981</v>
      </c>
      <c r="M14" s="42">
        <f>'Anchov y SardC LTP'!L19</f>
        <v>0.99599640961500302</v>
      </c>
      <c r="N14" s="53" t="s">
        <v>256</v>
      </c>
      <c r="O14" s="34">
        <f>RESUMEN!$B$3</f>
        <v>44201</v>
      </c>
      <c r="P14" s="11">
        <v>2021</v>
      </c>
    </row>
    <row r="15" spans="1:17">
      <c r="A15" s="11" t="s">
        <v>229</v>
      </c>
      <c r="B15" s="11" t="s">
        <v>192</v>
      </c>
      <c r="C15" s="11" t="s">
        <v>231</v>
      </c>
      <c r="D15" s="11" t="s">
        <v>232</v>
      </c>
      <c r="E15" s="11" t="str">
        <f>'Anchov y SardC LTP'!D20</f>
        <v>ORIZON S.A.</v>
      </c>
      <c r="F15" s="11" t="s">
        <v>233</v>
      </c>
      <c r="G15" s="11" t="s">
        <v>234</v>
      </c>
      <c r="H15" s="11">
        <f>'Anchov y SardC LTP'!G20</f>
        <v>8680.251446100001</v>
      </c>
      <c r="I15" s="11">
        <f>'Anchov y SardC LTP'!H20</f>
        <v>-8673</v>
      </c>
      <c r="J15" s="11">
        <f>'Anchov y SardC LTP'!I20</f>
        <v>7.251446100000976</v>
      </c>
      <c r="K15" s="11">
        <f>'Anchov y SardC LTP'!J20</f>
        <v>0</v>
      </c>
      <c r="L15" s="11">
        <f>'Anchov y SardC LTP'!K20</f>
        <v>7.251446100000976</v>
      </c>
      <c r="M15" s="42">
        <f>'Anchov y SardC LTP'!L20</f>
        <v>0.99916460414251496</v>
      </c>
      <c r="N15" s="53" t="s">
        <v>256</v>
      </c>
      <c r="O15" s="34">
        <f>RESUMEN!$B$3</f>
        <v>44201</v>
      </c>
      <c r="P15" s="11">
        <v>2021</v>
      </c>
    </row>
    <row r="16" spans="1:17">
      <c r="A16" s="11" t="s">
        <v>229</v>
      </c>
      <c r="B16" s="11" t="s">
        <v>192</v>
      </c>
      <c r="C16" s="11" t="s">
        <v>231</v>
      </c>
      <c r="D16" s="11" t="s">
        <v>232</v>
      </c>
      <c r="E16" s="11" t="str">
        <f>'Anchov y SardC LTP'!D21</f>
        <v>SAN LAZARO LTDA.COM. Y CONS</v>
      </c>
      <c r="F16" s="11" t="s">
        <v>233</v>
      </c>
      <c r="G16" s="11" t="s">
        <v>234</v>
      </c>
      <c r="H16" s="11">
        <f>'Anchov y SardC LTP'!G21</f>
        <v>3.6675990000000001</v>
      </c>
      <c r="I16" s="11">
        <f>'Anchov y SardC LTP'!H21</f>
        <v>0</v>
      </c>
      <c r="J16" s="11">
        <f>'Anchov y SardC LTP'!I21</f>
        <v>3.6675990000000001</v>
      </c>
      <c r="K16" s="11">
        <f>'Anchov y SardC LTP'!J21</f>
        <v>0</v>
      </c>
      <c r="L16" s="11">
        <f>'Anchov y SardC LTP'!K21</f>
        <v>3.6675990000000001</v>
      </c>
      <c r="M16" s="42">
        <f>'Anchov y SardC LTP'!L21</f>
        <v>0</v>
      </c>
      <c r="N16" s="53" t="s">
        <v>256</v>
      </c>
      <c r="O16" s="34">
        <f>RESUMEN!$B$3</f>
        <v>44201</v>
      </c>
      <c r="P16" s="11">
        <v>2021</v>
      </c>
    </row>
    <row r="17" spans="1:16">
      <c r="A17" s="11" t="s">
        <v>229</v>
      </c>
      <c r="B17" s="11" t="s">
        <v>192</v>
      </c>
      <c r="C17" s="11" t="s">
        <v>231</v>
      </c>
      <c r="D17" s="11" t="s">
        <v>232</v>
      </c>
      <c r="E17" s="11" t="str">
        <f>'Anchov y SardC LTP'!D22</f>
        <v>INVERSIONES PESQUERA PEDRO IRIGOYEN LIMITADA</v>
      </c>
      <c r="F17" s="11" t="s">
        <v>233</v>
      </c>
      <c r="G17" s="11" t="s">
        <v>234</v>
      </c>
      <c r="H17" s="11">
        <f>'Anchov y SardC LTP'!G22</f>
        <v>306.8965341</v>
      </c>
      <c r="I17" s="11">
        <f>'Anchov y SardC LTP'!H22</f>
        <v>-306.89</v>
      </c>
      <c r="J17" s="11">
        <f>'Anchov y SardC LTP'!I22</f>
        <v>6.5341000000103122E-3</v>
      </c>
      <c r="K17" s="11">
        <f>'Anchov y SardC LTP'!J22</f>
        <v>0</v>
      </c>
      <c r="L17" s="11">
        <f>'Anchov y SardC LTP'!K22</f>
        <v>6.5341000000103122E-3</v>
      </c>
      <c r="M17" s="42">
        <f>'Anchov y SardC LTP'!L22</f>
        <v>0.99997870911113684</v>
      </c>
      <c r="N17" s="53" t="s">
        <v>256</v>
      </c>
      <c r="O17" s="34">
        <f>RESUMEN!$B$3</f>
        <v>44201</v>
      </c>
      <c r="P17" s="11">
        <v>2021</v>
      </c>
    </row>
    <row r="18" spans="1:16" s="11" customFormat="1">
      <c r="A18" s="11" t="s">
        <v>229</v>
      </c>
      <c r="B18" s="11" t="s">
        <v>192</v>
      </c>
      <c r="C18" s="11" t="s">
        <v>231</v>
      </c>
      <c r="D18" s="11" t="s">
        <v>232</v>
      </c>
      <c r="E18" s="11" t="str">
        <f>'Anchov y SardC LTP'!D23</f>
        <v>SANDRA GAJARDO PALMA</v>
      </c>
      <c r="F18" s="11" t="s">
        <v>233</v>
      </c>
      <c r="G18" s="11" t="s">
        <v>234</v>
      </c>
      <c r="H18" s="11">
        <f>'Anchov y SardC LTP'!G23</f>
        <v>181.11600000000001</v>
      </c>
      <c r="I18" s="11">
        <f>'Anchov y SardC LTP'!H23</f>
        <v>-181.11699999999999</v>
      </c>
      <c r="J18" s="11">
        <f>'Anchov y SardC LTP'!I23</f>
        <v>-9.9999999997635314E-4</v>
      </c>
      <c r="K18" s="11">
        <f>'Anchov y SardC LTP'!J23</f>
        <v>0</v>
      </c>
      <c r="L18" s="11">
        <f>'Anchov y SardC LTP'!K23</f>
        <v>-9.9999999997635314E-4</v>
      </c>
      <c r="M18" s="42">
        <f>'Anchov y SardC LTP'!L23</f>
        <v>1.0000055213233507</v>
      </c>
      <c r="N18" s="53" t="s">
        <v>496</v>
      </c>
      <c r="O18" s="34">
        <f>RESUMEN!$B$3</f>
        <v>44201</v>
      </c>
      <c r="P18" s="11">
        <v>2021</v>
      </c>
    </row>
    <row r="19" spans="1:16" s="11" customFormat="1">
      <c r="A19" s="11" t="s">
        <v>229</v>
      </c>
      <c r="B19" s="11" t="s">
        <v>192</v>
      </c>
      <c r="C19" s="11" t="s">
        <v>231</v>
      </c>
      <c r="D19" s="11" t="s">
        <v>232</v>
      </c>
      <c r="E19" s="11" t="str">
        <f>'Anchov y SardC LTP'!D24</f>
        <v>SOCIEDAD PESQUERA AL SUR DE LA ISLA LIMITADA</v>
      </c>
      <c r="F19" s="11" t="s">
        <v>233</v>
      </c>
      <c r="G19" s="11" t="s">
        <v>234</v>
      </c>
      <c r="H19" s="11">
        <f>'Anchov y SardC LTP'!G24</f>
        <v>113.19750000000001</v>
      </c>
      <c r="I19" s="11">
        <f>'Anchov y SardC LTP'!H24</f>
        <v>-113.19799999999999</v>
      </c>
      <c r="J19" s="11">
        <f>'Anchov y SardC LTP'!I24</f>
        <v>-4.9999999998817657E-4</v>
      </c>
      <c r="K19" s="11">
        <f>'Anchov y SardC LTP'!J24</f>
        <v>0</v>
      </c>
      <c r="L19" s="11">
        <f>'Anchov y SardC LTP'!K24</f>
        <v>-4.9999999998817657E-4</v>
      </c>
      <c r="M19" s="42">
        <f>'Anchov y SardC LTP'!L24</f>
        <v>1.0000044170586806</v>
      </c>
      <c r="N19" s="53" t="s">
        <v>496</v>
      </c>
      <c r="O19" s="34">
        <f>RESUMEN!$B$3</f>
        <v>44201</v>
      </c>
      <c r="P19" s="11">
        <v>2021</v>
      </c>
    </row>
    <row r="20" spans="1:16" s="11" customFormat="1">
      <c r="A20" s="11" t="s">
        <v>229</v>
      </c>
      <c r="B20" s="11" t="s">
        <v>192</v>
      </c>
      <c r="C20" s="11" t="s">
        <v>231</v>
      </c>
      <c r="D20" s="11" t="s">
        <v>232</v>
      </c>
      <c r="E20" s="11" t="str">
        <f>'Anchov y SardC LTP'!D25</f>
        <v>RAUL MONSALVE CISTERNAS</v>
      </c>
      <c r="F20" s="11" t="s">
        <v>233</v>
      </c>
      <c r="G20" s="11" t="s">
        <v>234</v>
      </c>
      <c r="H20" s="11">
        <f>'Anchov y SardC LTP'!G25</f>
        <v>181.11600000000001</v>
      </c>
      <c r="I20" s="11">
        <f>'Anchov y SardC LTP'!H25</f>
        <v>-181.11600000000001</v>
      </c>
      <c r="J20" s="11">
        <f>'Anchov y SardC LTP'!I25</f>
        <v>0</v>
      </c>
      <c r="K20" s="11">
        <f>'Anchov y SardC LTP'!J25</f>
        <v>0</v>
      </c>
      <c r="L20" s="11">
        <f>'Anchov y SardC LTP'!K25</f>
        <v>0</v>
      </c>
      <c r="M20" s="42">
        <f>'Anchov y SardC LTP'!L25</f>
        <v>1</v>
      </c>
      <c r="N20" s="53" t="s">
        <v>496</v>
      </c>
      <c r="O20" s="34">
        <f>RESUMEN!$B$3</f>
        <v>44201</v>
      </c>
      <c r="P20" s="11">
        <v>2021</v>
      </c>
    </row>
    <row r="21" spans="1:16" s="11" customFormat="1">
      <c r="A21" s="11" t="s">
        <v>229</v>
      </c>
      <c r="B21" s="11" t="s">
        <v>192</v>
      </c>
      <c r="C21" s="11" t="s">
        <v>231</v>
      </c>
      <c r="D21" s="11" t="s">
        <v>232</v>
      </c>
      <c r="E21" s="11" t="str">
        <f>'Anchov y SardC LTP'!D26</f>
        <v>ALFONSO LEPE ROBLES</v>
      </c>
      <c r="F21" s="11" t="s">
        <v>233</v>
      </c>
      <c r="G21" s="11" t="s">
        <v>234</v>
      </c>
      <c r="H21" s="11">
        <f>'Anchov y SardC LTP'!G26</f>
        <v>226.39500000000001</v>
      </c>
      <c r="I21" s="11">
        <f>'Anchov y SardC LTP'!H26</f>
        <v>-226.39500000000001</v>
      </c>
      <c r="J21" s="11">
        <f>'Anchov y SardC LTP'!I26</f>
        <v>0</v>
      </c>
      <c r="K21" s="11">
        <f>'Anchov y SardC LTP'!J26</f>
        <v>0</v>
      </c>
      <c r="L21" s="11">
        <f>'Anchov y SardC LTP'!K26</f>
        <v>0</v>
      </c>
      <c r="M21" s="42">
        <f>'Anchov y SardC LTP'!L26</f>
        <v>1</v>
      </c>
      <c r="N21" s="53" t="s">
        <v>496</v>
      </c>
      <c r="O21" s="34">
        <f>RESUMEN!$B$3</f>
        <v>44201</v>
      </c>
      <c r="P21" s="11">
        <v>2021</v>
      </c>
    </row>
    <row r="22" spans="1:16" s="11" customFormat="1">
      <c r="A22" s="11" t="s">
        <v>229</v>
      </c>
      <c r="B22" s="11" t="s">
        <v>192</v>
      </c>
      <c r="C22" s="11" t="s">
        <v>231</v>
      </c>
      <c r="D22" s="11" t="s">
        <v>232</v>
      </c>
      <c r="E22" s="11" t="str">
        <f>'Anchov y SardC LTP'!D27</f>
        <v>THOR FISHERIES CHILE SpA</v>
      </c>
      <c r="F22" s="11" t="s">
        <v>233</v>
      </c>
      <c r="G22" s="11" t="s">
        <v>234</v>
      </c>
      <c r="H22" s="11">
        <f>'Anchov y SardC LTP'!G27</f>
        <v>0.45279000000000003</v>
      </c>
      <c r="I22" s="11">
        <f>'Anchov y SardC LTP'!H27</f>
        <v>0.45279000000000003</v>
      </c>
      <c r="J22" s="11">
        <f>'Anchov y SardC LTP'!I27</f>
        <v>0.90558000000000005</v>
      </c>
      <c r="K22" s="11">
        <f>'Anchov y SardC LTP'!J27</f>
        <v>0</v>
      </c>
      <c r="L22" s="11">
        <f>'Anchov y SardC LTP'!K27</f>
        <v>0.90558000000000005</v>
      </c>
      <c r="M22" s="42">
        <f>'Anchov y SardC LTP'!L27</f>
        <v>0</v>
      </c>
      <c r="N22" s="53" t="s">
        <v>496</v>
      </c>
      <c r="O22" s="34">
        <f>RESUMEN!$B$3</f>
        <v>44201</v>
      </c>
      <c r="P22" s="11">
        <v>2021</v>
      </c>
    </row>
    <row r="23" spans="1:16">
      <c r="A23" s="43" t="s">
        <v>229</v>
      </c>
      <c r="B23" s="43" t="s">
        <v>192</v>
      </c>
      <c r="C23" s="43" t="s">
        <v>231</v>
      </c>
      <c r="D23" s="43" t="s">
        <v>232</v>
      </c>
      <c r="E23" s="43" t="str">
        <f>'Anchov y SardC LTP'!D28</f>
        <v>TOTAL ASIGNATARIOS LTP</v>
      </c>
      <c r="F23" s="43" t="s">
        <v>233</v>
      </c>
      <c r="G23" s="43" t="s">
        <v>234</v>
      </c>
      <c r="H23" s="43">
        <f>'Anchov y SardC LTP'!G28</f>
        <v>45278.999999999993</v>
      </c>
      <c r="I23" s="43">
        <f>'Anchov y SardC LTP'!H28</f>
        <v>-45059.756789999999</v>
      </c>
      <c r="J23" s="43">
        <f>'Anchov y SardC LTP'!I28</f>
        <v>219.24320999999327</v>
      </c>
      <c r="K23" s="43">
        <f>'Anchov y SardC LTP'!J28</f>
        <v>0</v>
      </c>
      <c r="L23" s="43">
        <f>'Anchov y SardC LTP'!K28</f>
        <v>219.24320999999327</v>
      </c>
      <c r="M23" s="44">
        <f>'Anchov y SardC LTP'!L28</f>
        <v>0.99515794938050772</v>
      </c>
      <c r="N23" s="53" t="s">
        <v>256</v>
      </c>
      <c r="O23" s="34">
        <f>RESUMEN!$B$3</f>
        <v>44201</v>
      </c>
      <c r="P23" s="11">
        <v>2021</v>
      </c>
    </row>
    <row r="24" spans="1:16">
      <c r="A24" t="s">
        <v>155</v>
      </c>
      <c r="B24" t="s">
        <v>193</v>
      </c>
      <c r="C24" t="s">
        <v>231</v>
      </c>
      <c r="D24" t="s">
        <v>232</v>
      </c>
      <c r="E24" t="str">
        <f>'Anchov y SardC LTP'!D35</f>
        <v>ALIMENTOS MARINOS S.A.</v>
      </c>
      <c r="F24" s="11" t="s">
        <v>233</v>
      </c>
      <c r="G24" s="11" t="s">
        <v>234</v>
      </c>
      <c r="H24">
        <f>'Anchov y SardC LTP'!G35</f>
        <v>6801.3116591999997</v>
      </c>
      <c r="I24">
        <f>'Anchov y SardC LTP'!H35</f>
        <v>-6800.2170000000006</v>
      </c>
      <c r="J24">
        <f>'Anchov y SardC LTP'!I35</f>
        <v>1.0946591999991142</v>
      </c>
      <c r="K24">
        <f>'Anchov y SardC LTP'!J35</f>
        <v>0</v>
      </c>
      <c r="L24">
        <f>'Anchov y SardC LTP'!K35</f>
        <v>1.0946591999991142</v>
      </c>
      <c r="M24" s="42">
        <f>'Anchov y SardC LTP'!L35</f>
        <v>0.99983905175136056</v>
      </c>
      <c r="N24" s="53" t="s">
        <v>256</v>
      </c>
      <c r="O24" s="34">
        <f>RESUMEN!$B$3</f>
        <v>44201</v>
      </c>
      <c r="P24" s="11">
        <v>2021</v>
      </c>
    </row>
    <row r="25" spans="1:16">
      <c r="A25" s="11" t="s">
        <v>155</v>
      </c>
      <c r="B25" s="11" t="s">
        <v>193</v>
      </c>
      <c r="C25" s="11" t="s">
        <v>231</v>
      </c>
      <c r="D25" s="11" t="s">
        <v>232</v>
      </c>
      <c r="E25" s="11" t="str">
        <f>'Anchov y SardC LTP'!D36</f>
        <v>BLUMAR S.A.</v>
      </c>
      <c r="F25" s="11" t="s">
        <v>233</v>
      </c>
      <c r="G25" s="11" t="s">
        <v>234</v>
      </c>
      <c r="H25" s="11">
        <f>'Anchov y SardC LTP'!G36</f>
        <v>16385.367664000001</v>
      </c>
      <c r="I25" s="11">
        <f>'Anchov y SardC LTP'!H36</f>
        <v>-16281</v>
      </c>
      <c r="J25" s="11">
        <f>'Anchov y SardC LTP'!I36</f>
        <v>104.36766400000124</v>
      </c>
      <c r="K25" s="11">
        <f>'Anchov y SardC LTP'!J36</f>
        <v>0</v>
      </c>
      <c r="L25" s="11">
        <f>'Anchov y SardC LTP'!K36</f>
        <v>104.36766400000124</v>
      </c>
      <c r="M25" s="42">
        <f>'Anchov y SardC LTP'!L36</f>
        <v>0.99363043502348103</v>
      </c>
      <c r="N25" s="53" t="s">
        <v>256</v>
      </c>
      <c r="O25" s="34">
        <f>RESUMEN!$B$3</f>
        <v>44201</v>
      </c>
      <c r="P25" s="11">
        <v>2021</v>
      </c>
    </row>
    <row r="26" spans="1:16">
      <c r="A26" s="11" t="s">
        <v>155</v>
      </c>
      <c r="B26" s="11" t="s">
        <v>193</v>
      </c>
      <c r="C26" s="11" t="s">
        <v>231</v>
      </c>
      <c r="D26" s="11" t="s">
        <v>232</v>
      </c>
      <c r="E26" s="11" t="str">
        <f>'Anchov y SardC LTP'!D37</f>
        <v>CAMANCHACA PESCA SUR S.A.</v>
      </c>
      <c r="F26" s="11" t="s">
        <v>233</v>
      </c>
      <c r="G26" s="11" t="s">
        <v>234</v>
      </c>
      <c r="H26" s="11">
        <f>'Anchov y SardC LTP'!G37</f>
        <v>16438.368874400003</v>
      </c>
      <c r="I26" s="11">
        <f>'Anchov y SardC LTP'!H37</f>
        <v>-16382</v>
      </c>
      <c r="J26" s="11">
        <f>'Anchov y SardC LTP'!I37</f>
        <v>56.368874400002824</v>
      </c>
      <c r="K26" s="11">
        <f>'Anchov y SardC LTP'!J37</f>
        <v>0</v>
      </c>
      <c r="L26" s="11">
        <f>'Anchov y SardC LTP'!K37</f>
        <v>56.368874400002824</v>
      </c>
      <c r="M26" s="42">
        <f>'Anchov y SardC LTP'!L37</f>
        <v>0.99657089612535776</v>
      </c>
      <c r="N26" s="53" t="s">
        <v>256</v>
      </c>
      <c r="O26" s="34">
        <f>RESUMEN!$B$3</f>
        <v>44201</v>
      </c>
      <c r="P26" s="11">
        <v>2021</v>
      </c>
    </row>
    <row r="27" spans="1:16">
      <c r="A27" s="11" t="s">
        <v>155</v>
      </c>
      <c r="B27" s="11" t="s">
        <v>193</v>
      </c>
      <c r="C27" s="11" t="s">
        <v>231</v>
      </c>
      <c r="D27" s="11" t="s">
        <v>232</v>
      </c>
      <c r="E27" s="11" t="str">
        <f>'Anchov y SardC LTP'!D38</f>
        <v>NOVAMAR SpA</v>
      </c>
      <c r="F27" s="11" t="s">
        <v>233</v>
      </c>
      <c r="G27" s="11" t="s">
        <v>234</v>
      </c>
      <c r="H27" s="11">
        <f>'Anchov y SardC LTP'!G38</f>
        <v>5212.1139496000005</v>
      </c>
      <c r="I27" s="11">
        <f>'Anchov y SardC LTP'!H38</f>
        <v>-5175.3809999999994</v>
      </c>
      <c r="J27" s="11">
        <f>'Anchov y SardC LTP'!I38</f>
        <v>36.73294960000112</v>
      </c>
      <c r="K27" s="11">
        <f>'Anchov y SardC LTP'!J38</f>
        <v>0</v>
      </c>
      <c r="L27" s="11">
        <f>'Anchov y SardC LTP'!K38</f>
        <v>36.73294960000112</v>
      </c>
      <c r="M27" s="42">
        <f>'Anchov y SardC LTP'!L38</f>
        <v>0.99295238938457586</v>
      </c>
      <c r="N27" s="53" t="s">
        <v>256</v>
      </c>
      <c r="O27" s="34">
        <f>RESUMEN!$B$3</f>
        <v>44201</v>
      </c>
      <c r="P27" s="11">
        <v>2021</v>
      </c>
    </row>
    <row r="28" spans="1:16">
      <c r="A28" s="11" t="s">
        <v>155</v>
      </c>
      <c r="B28" s="11" t="s">
        <v>193</v>
      </c>
      <c r="C28" s="11" t="s">
        <v>231</v>
      </c>
      <c r="D28" s="11" t="s">
        <v>232</v>
      </c>
      <c r="E28" s="11" t="str">
        <f>'Anchov y SardC LTP'!D39</f>
        <v>LITORAL SpA PESQ.</v>
      </c>
      <c r="F28" s="11" t="s">
        <v>233</v>
      </c>
      <c r="G28" s="11" t="s">
        <v>234</v>
      </c>
      <c r="H28" s="11">
        <f>'Anchov y SardC LTP'!G39</f>
        <v>1235.5459984000001</v>
      </c>
      <c r="I28" s="11">
        <f>'Anchov y SardC LTP'!H39</f>
        <v>-1124.2890000000002</v>
      </c>
      <c r="J28" s="11">
        <f>'Anchov y SardC LTP'!I39</f>
        <v>111.25699839999993</v>
      </c>
      <c r="K28" s="11">
        <f>'Anchov y SardC LTP'!J39</f>
        <v>0</v>
      </c>
      <c r="L28" s="11">
        <f>'Anchov y SardC LTP'!K39</f>
        <v>111.25699839999993</v>
      </c>
      <c r="M28" s="42">
        <f>'Anchov y SardC LTP'!L39</f>
        <v>0.90995317167950462</v>
      </c>
      <c r="N28" s="53" t="s">
        <v>256</v>
      </c>
      <c r="O28" s="34">
        <f>RESUMEN!$B$3</f>
        <v>44201</v>
      </c>
      <c r="P28" s="11">
        <v>2021</v>
      </c>
    </row>
    <row r="29" spans="1:16">
      <c r="A29" s="11" t="s">
        <v>155</v>
      </c>
      <c r="B29" s="11" t="s">
        <v>193</v>
      </c>
      <c r="C29" s="11" t="s">
        <v>231</v>
      </c>
      <c r="D29" s="11" t="s">
        <v>232</v>
      </c>
      <c r="E29" s="11" t="str">
        <f>'Anchov y SardC LTP'!D40</f>
        <v>FOODCORP CHILE S.A.</v>
      </c>
      <c r="F29" s="11" t="s">
        <v>233</v>
      </c>
      <c r="G29" s="11" t="s">
        <v>234</v>
      </c>
      <c r="H29" s="11">
        <f>'Anchov y SardC LTP'!G40</f>
        <v>1564.8551591999999</v>
      </c>
      <c r="I29" s="11">
        <f>'Anchov y SardC LTP'!H40</f>
        <v>-1549</v>
      </c>
      <c r="J29" s="11">
        <f>'Anchov y SardC LTP'!I40</f>
        <v>15.855159199999889</v>
      </c>
      <c r="K29" s="11">
        <f>'Anchov y SardC LTP'!J40</f>
        <v>0</v>
      </c>
      <c r="L29" s="11">
        <f>'Anchov y SardC LTP'!K40</f>
        <v>15.855159199999889</v>
      </c>
      <c r="M29" s="42">
        <f>'Anchov y SardC LTP'!L40</f>
        <v>0.98986797013973771</v>
      </c>
      <c r="N29" s="53" t="s">
        <v>256</v>
      </c>
      <c r="O29" s="34">
        <f>RESUMEN!$B$3</f>
        <v>44201</v>
      </c>
      <c r="P29" s="11">
        <v>2021</v>
      </c>
    </row>
    <row r="30" spans="1:16">
      <c r="A30" s="11" t="s">
        <v>155</v>
      </c>
      <c r="B30" s="11" t="s">
        <v>193</v>
      </c>
      <c r="C30" s="11" t="s">
        <v>231</v>
      </c>
      <c r="D30" s="11" t="s">
        <v>232</v>
      </c>
      <c r="E30" s="11" t="str">
        <f>'Anchov y SardC LTP'!D41</f>
        <v>ISLA QUIHUA S.A. PESQ</v>
      </c>
      <c r="F30" s="11" t="s">
        <v>233</v>
      </c>
      <c r="G30" s="11" t="s">
        <v>234</v>
      </c>
      <c r="H30" s="11">
        <f>'Anchov y SardC LTP'!G41</f>
        <v>1.307912</v>
      </c>
      <c r="I30" s="11">
        <f>'Anchov y SardC LTP'!H41</f>
        <v>0</v>
      </c>
      <c r="J30" s="11">
        <f>'Anchov y SardC LTP'!I41</f>
        <v>1.307912</v>
      </c>
      <c r="K30" s="11">
        <f>'Anchov y SardC LTP'!J41</f>
        <v>0</v>
      </c>
      <c r="L30" s="11">
        <f>'Anchov y SardC LTP'!K41</f>
        <v>1.307912</v>
      </c>
      <c r="M30" s="42">
        <f>'Anchov y SardC LTP'!L41</f>
        <v>0</v>
      </c>
      <c r="N30" s="53" t="s">
        <v>256</v>
      </c>
      <c r="O30" s="34">
        <f>RESUMEN!$B$3</f>
        <v>44201</v>
      </c>
      <c r="P30" s="11">
        <v>2021</v>
      </c>
    </row>
    <row r="31" spans="1:16">
      <c r="A31" s="11" t="s">
        <v>155</v>
      </c>
      <c r="B31" s="11" t="s">
        <v>193</v>
      </c>
      <c r="C31" s="11" t="s">
        <v>231</v>
      </c>
      <c r="D31" s="11" t="s">
        <v>232</v>
      </c>
      <c r="E31" s="11" t="str">
        <f>'Anchov y SardC LTP'!D42</f>
        <v>LANDES S.A. SOC PESQ.</v>
      </c>
      <c r="F31" s="11" t="s">
        <v>233</v>
      </c>
      <c r="G31" s="11" t="s">
        <v>234</v>
      </c>
      <c r="H31" s="11">
        <f>'Anchov y SardC LTP'!G42</f>
        <v>6376.9326831999997</v>
      </c>
      <c r="I31" s="11">
        <f>'Anchov y SardC LTP'!H42</f>
        <v>-6326.54144</v>
      </c>
      <c r="J31" s="11">
        <f>'Anchov y SardC LTP'!I42</f>
        <v>50.391243199999735</v>
      </c>
      <c r="K31" s="11">
        <f>'Anchov y SardC LTP'!J42</f>
        <v>0</v>
      </c>
      <c r="L31" s="11">
        <f>'Anchov y SardC LTP'!K42</f>
        <v>50.391243199999735</v>
      </c>
      <c r="M31" s="42">
        <f>'Anchov y SardC LTP'!L42</f>
        <v>0.9920978869146988</v>
      </c>
      <c r="N31" s="53" t="s">
        <v>256</v>
      </c>
      <c r="O31" s="34">
        <f>RESUMEN!$B$3</f>
        <v>44201</v>
      </c>
      <c r="P31" s="11">
        <v>2021</v>
      </c>
    </row>
    <row r="32" spans="1:16">
      <c r="A32" s="11" t="s">
        <v>155</v>
      </c>
      <c r="B32" s="11" t="s">
        <v>193</v>
      </c>
      <c r="C32" s="11" t="s">
        <v>231</v>
      </c>
      <c r="D32" s="11" t="s">
        <v>232</v>
      </c>
      <c r="E32" s="11" t="str">
        <f>'Anchov y SardC LTP'!D43</f>
        <v>LOTA PROTEIN S.A.</v>
      </c>
      <c r="F32" s="11" t="s">
        <v>233</v>
      </c>
      <c r="G32" s="11" t="s">
        <v>234</v>
      </c>
      <c r="H32" s="11">
        <f>'Anchov y SardC LTP'!G43</f>
        <v>2780.1439087999997</v>
      </c>
      <c r="I32" s="11">
        <f>'Anchov y SardC LTP'!H43</f>
        <v>-2775</v>
      </c>
      <c r="J32" s="11">
        <f>'Anchov y SardC LTP'!I43</f>
        <v>5.1439087999997355</v>
      </c>
      <c r="K32" s="11">
        <f>'Anchov y SardC LTP'!J43</f>
        <v>0</v>
      </c>
      <c r="L32" s="11">
        <f>'Anchov y SardC LTP'!K43</f>
        <v>5.1439087999997355</v>
      </c>
      <c r="M32" s="42">
        <f>'Anchov y SardC LTP'!L43</f>
        <v>0.99814976887213724</v>
      </c>
      <c r="N32" s="53" t="s">
        <v>256</v>
      </c>
      <c r="O32" s="34">
        <f>RESUMEN!$B$3</f>
        <v>44201</v>
      </c>
      <c r="P32" s="11">
        <v>2021</v>
      </c>
    </row>
    <row r="33" spans="1:16">
      <c r="A33" s="11" t="s">
        <v>155</v>
      </c>
      <c r="B33" s="11" t="s">
        <v>193</v>
      </c>
      <c r="C33" s="11" t="s">
        <v>231</v>
      </c>
      <c r="D33" s="11" t="s">
        <v>232</v>
      </c>
      <c r="E33" s="11" t="str">
        <f>'Anchov y SardC LTP'!D44</f>
        <v>ORIZON S.A.</v>
      </c>
      <c r="F33" s="11" t="s">
        <v>233</v>
      </c>
      <c r="G33" s="11" t="s">
        <v>234</v>
      </c>
      <c r="H33" s="11">
        <f>'Anchov y SardC LTP'!G44</f>
        <v>13063.4173624</v>
      </c>
      <c r="I33" s="11">
        <f>'Anchov y SardC LTP'!H44</f>
        <v>-13041</v>
      </c>
      <c r="J33" s="11">
        <f>'Anchov y SardC LTP'!I44</f>
        <v>22.417362399999547</v>
      </c>
      <c r="K33" s="11">
        <f>'Anchov y SardC LTP'!J44</f>
        <v>0</v>
      </c>
      <c r="L33" s="11">
        <f>'Anchov y SardC LTP'!K44</f>
        <v>22.417362399999547</v>
      </c>
      <c r="M33" s="42">
        <f>'Anchov y SardC LTP'!L44</f>
        <v>0.99828395880051091</v>
      </c>
      <c r="N33" s="53" t="s">
        <v>256</v>
      </c>
      <c r="O33" s="34">
        <f>RESUMEN!$B$3</f>
        <v>44201</v>
      </c>
      <c r="P33" s="11">
        <v>2021</v>
      </c>
    </row>
    <row r="34" spans="1:16">
      <c r="A34" s="11" t="s">
        <v>155</v>
      </c>
      <c r="B34" s="11" t="s">
        <v>193</v>
      </c>
      <c r="C34" s="11" t="s">
        <v>231</v>
      </c>
      <c r="D34" s="11" t="s">
        <v>232</v>
      </c>
      <c r="E34" s="11" t="str">
        <f>'Anchov y SardC LTP'!D45</f>
        <v>INVERSIONES TRIDENTE SpA</v>
      </c>
      <c r="F34" s="11" t="s">
        <v>233</v>
      </c>
      <c r="G34" s="11" t="s">
        <v>234</v>
      </c>
      <c r="H34" s="11">
        <f>'Anchov y SardC LTP'!G45</f>
        <v>634.72199999999998</v>
      </c>
      <c r="I34" s="11">
        <f>'Anchov y SardC LTP'!H45</f>
        <v>-634.71799999999996</v>
      </c>
      <c r="J34" s="11">
        <f>'Anchov y SardC LTP'!I45</f>
        <v>4.0000000000190994E-3</v>
      </c>
      <c r="K34" s="11">
        <f>'Anchov y SardC LTP'!J45</f>
        <v>0</v>
      </c>
      <c r="L34" s="11">
        <f>'Anchov y SardC LTP'!K45</f>
        <v>4.0000000000190994E-3</v>
      </c>
      <c r="M34" s="42">
        <f>'Anchov y SardC LTP'!L45</f>
        <v>0.99999369802842819</v>
      </c>
      <c r="N34" s="53" t="s">
        <v>256</v>
      </c>
      <c r="O34" s="34">
        <f>RESUMEN!$B$3</f>
        <v>44201</v>
      </c>
      <c r="P34" s="11">
        <v>2021</v>
      </c>
    </row>
    <row r="35" spans="1:16">
      <c r="A35" s="11" t="s">
        <v>155</v>
      </c>
      <c r="B35" s="11" t="s">
        <v>193</v>
      </c>
      <c r="C35" s="11" t="s">
        <v>231</v>
      </c>
      <c r="D35" s="11" t="s">
        <v>232</v>
      </c>
      <c r="E35" s="11" t="str">
        <f>'Anchov y SardC LTP'!D46</f>
        <v>SOC. PESQUERA MEHUIN REY LTDA.</v>
      </c>
      <c r="F35" s="11" t="s">
        <v>233</v>
      </c>
      <c r="G35" s="11" t="s">
        <v>234</v>
      </c>
      <c r="H35" s="11">
        <f>'Anchov y SardC LTP'!G46</f>
        <v>1038.636</v>
      </c>
      <c r="I35" s="11">
        <f>'Anchov y SardC LTP'!H46</f>
        <v>-1038.636</v>
      </c>
      <c r="J35" s="11">
        <f>'Anchov y SardC LTP'!I46</f>
        <v>0</v>
      </c>
      <c r="K35" s="11">
        <f>'Anchov y SardC LTP'!J46</f>
        <v>0</v>
      </c>
      <c r="L35" s="11">
        <f>'Anchov y SardC LTP'!K46</f>
        <v>0</v>
      </c>
      <c r="M35" s="42">
        <f>'Anchov y SardC LTP'!L46</f>
        <v>1</v>
      </c>
      <c r="N35" s="53" t="s">
        <v>256</v>
      </c>
      <c r="O35" s="34">
        <f>RESUMEN!$B$3</f>
        <v>44201</v>
      </c>
      <c r="P35" s="11">
        <v>2021</v>
      </c>
    </row>
    <row r="36" spans="1:16">
      <c r="A36" s="11" t="s">
        <v>155</v>
      </c>
      <c r="B36" s="11" t="s">
        <v>193</v>
      </c>
      <c r="C36" s="11" t="s">
        <v>231</v>
      </c>
      <c r="D36" s="11" t="s">
        <v>232</v>
      </c>
      <c r="E36" s="11" t="str">
        <f>'Anchov y SardC LTP'!D47</f>
        <v>CRISTIAN SILVA LORCA</v>
      </c>
      <c r="F36" s="11" t="s">
        <v>233</v>
      </c>
      <c r="G36" s="11" t="s">
        <v>234</v>
      </c>
      <c r="H36" s="11">
        <f>'Anchov y SardC LTP'!G47</f>
        <v>1038.636</v>
      </c>
      <c r="I36" s="11">
        <f>'Anchov y SardC LTP'!H47</f>
        <v>-1038.636</v>
      </c>
      <c r="J36" s="11">
        <f>'Anchov y SardC LTP'!I47</f>
        <v>0</v>
      </c>
      <c r="K36" s="11">
        <f>'Anchov y SardC LTP'!J47</f>
        <v>0</v>
      </c>
      <c r="L36" s="11">
        <f>'Anchov y SardC LTP'!K47</f>
        <v>0</v>
      </c>
      <c r="M36" s="42">
        <f>'Anchov y SardC LTP'!L47</f>
        <v>1</v>
      </c>
      <c r="N36" s="53" t="s">
        <v>256</v>
      </c>
      <c r="O36" s="34">
        <f>RESUMEN!$B$3</f>
        <v>44201</v>
      </c>
      <c r="P36" s="11">
        <v>2021</v>
      </c>
    </row>
    <row r="37" spans="1:16">
      <c r="A37" s="11" t="s">
        <v>155</v>
      </c>
      <c r="B37" s="11" t="s">
        <v>193</v>
      </c>
      <c r="C37" s="11" t="s">
        <v>231</v>
      </c>
      <c r="D37" s="11" t="s">
        <v>232</v>
      </c>
      <c r="E37" s="11" t="str">
        <f>'Anchov y SardC LTP'!D48</f>
        <v>JULIO SAEZ MUÑOZ</v>
      </c>
      <c r="F37" s="11" t="s">
        <v>233</v>
      </c>
      <c r="G37" s="11" t="s">
        <v>234</v>
      </c>
      <c r="H37" s="11">
        <f>'Anchov y SardC LTP'!G48</f>
        <v>346.21199999999999</v>
      </c>
      <c r="I37" s="11">
        <f>'Anchov y SardC LTP'!H48</f>
        <v>-346.21199999999999</v>
      </c>
      <c r="J37" s="11">
        <f>'Anchov y SardC LTP'!I48</f>
        <v>0</v>
      </c>
      <c r="K37" s="11">
        <f>'Anchov y SardC LTP'!J48</f>
        <v>0</v>
      </c>
      <c r="L37" s="11">
        <f>'Anchov y SardC LTP'!K48</f>
        <v>0</v>
      </c>
      <c r="M37" s="42">
        <f>'Anchov y SardC LTP'!L48</f>
        <v>1</v>
      </c>
      <c r="N37" s="53" t="s">
        <v>256</v>
      </c>
      <c r="O37" s="34">
        <f>RESUMEN!$B$3</f>
        <v>44201</v>
      </c>
      <c r="P37" s="11">
        <v>2021</v>
      </c>
    </row>
    <row r="38" spans="1:16">
      <c r="A38" s="11" t="s">
        <v>155</v>
      </c>
      <c r="B38" s="11" t="s">
        <v>193</v>
      </c>
      <c r="C38" s="11" t="s">
        <v>231</v>
      </c>
      <c r="D38" s="11" t="s">
        <v>232</v>
      </c>
      <c r="E38" s="11" t="str">
        <f>'Anchov y SardC LTP'!D49</f>
        <v>FABIAN MONSALVE SALAS</v>
      </c>
      <c r="F38" s="11" t="s">
        <v>233</v>
      </c>
      <c r="G38" s="11" t="s">
        <v>234</v>
      </c>
      <c r="H38" s="11">
        <f>'Anchov y SardC LTP'!G49</f>
        <v>173.10599999999999</v>
      </c>
      <c r="I38" s="11">
        <f>'Anchov y SardC LTP'!H49</f>
        <v>-173.10599999999999</v>
      </c>
      <c r="J38" s="11">
        <f>'Anchov y SardC LTP'!I49</f>
        <v>0</v>
      </c>
      <c r="K38" s="11">
        <f>'Anchov y SardC LTP'!J49</f>
        <v>0</v>
      </c>
      <c r="L38" s="11">
        <f>'Anchov y SardC LTP'!K49</f>
        <v>0</v>
      </c>
      <c r="M38" s="42">
        <f>'Anchov y SardC LTP'!L49</f>
        <v>1</v>
      </c>
      <c r="N38" s="53" t="s">
        <v>256</v>
      </c>
      <c r="O38" s="34">
        <f>RESUMEN!$B$3</f>
        <v>44201</v>
      </c>
      <c r="P38" s="11">
        <v>2021</v>
      </c>
    </row>
    <row r="39" spans="1:16">
      <c r="A39" s="11" t="s">
        <v>155</v>
      </c>
      <c r="B39" s="11" t="s">
        <v>193</v>
      </c>
      <c r="C39" s="11" t="s">
        <v>231</v>
      </c>
      <c r="D39" s="11" t="s">
        <v>232</v>
      </c>
      <c r="E39" s="11" t="str">
        <f>'Anchov y SardC LTP'!D50</f>
        <v>GONZALO GALDAMEZ SANTIBAÑEZ</v>
      </c>
      <c r="F39" s="11" t="s">
        <v>233</v>
      </c>
      <c r="G39" s="11" t="s">
        <v>234</v>
      </c>
      <c r="H39" s="11">
        <f>'Anchov y SardC LTP'!G50</f>
        <v>692.42399999999998</v>
      </c>
      <c r="I39" s="11">
        <f>'Anchov y SardC LTP'!H50</f>
        <v>-692.42399999999998</v>
      </c>
      <c r="J39" s="11">
        <f>'Anchov y SardC LTP'!I50</f>
        <v>0</v>
      </c>
      <c r="K39" s="11">
        <f>'Anchov y SardC LTP'!J50</f>
        <v>0</v>
      </c>
      <c r="L39" s="11">
        <f>'Anchov y SardC LTP'!K50</f>
        <v>0</v>
      </c>
      <c r="M39" s="42">
        <f>'Anchov y SardC LTP'!L50</f>
        <v>1</v>
      </c>
      <c r="N39" s="53" t="s">
        <v>256</v>
      </c>
      <c r="O39" s="34">
        <f>RESUMEN!$B$3</f>
        <v>44201</v>
      </c>
      <c r="P39" s="11">
        <v>2021</v>
      </c>
    </row>
    <row r="40" spans="1:16">
      <c r="A40" s="11" t="s">
        <v>155</v>
      </c>
      <c r="B40" s="11" t="s">
        <v>193</v>
      </c>
      <c r="C40" s="11" t="s">
        <v>231</v>
      </c>
      <c r="D40" s="11" t="s">
        <v>232</v>
      </c>
      <c r="E40" s="11" t="str">
        <f>'Anchov y SardC LTP'!D51</f>
        <v>SUSAN MONSALVE SALAS</v>
      </c>
      <c r="F40" s="11" t="s">
        <v>233</v>
      </c>
      <c r="G40" s="11" t="s">
        <v>234</v>
      </c>
      <c r="H40" s="11">
        <f>'Anchov y SardC LTP'!G51</f>
        <v>173.10599999999999</v>
      </c>
      <c r="I40" s="11">
        <f>'Anchov y SardC LTP'!H51</f>
        <v>-173.10599999999999</v>
      </c>
      <c r="J40" s="11">
        <f>'Anchov y SardC LTP'!I51</f>
        <v>0</v>
      </c>
      <c r="K40" s="11">
        <f>'Anchov y SardC LTP'!J51</f>
        <v>0</v>
      </c>
      <c r="L40" s="11">
        <f>'Anchov y SardC LTP'!K51</f>
        <v>0</v>
      </c>
      <c r="M40" s="42">
        <f>'Anchov y SardC LTP'!L51</f>
        <v>1</v>
      </c>
      <c r="N40" s="53" t="s">
        <v>256</v>
      </c>
      <c r="O40" s="34">
        <f>RESUMEN!$B$3</f>
        <v>44201</v>
      </c>
      <c r="P40" s="11">
        <v>2021</v>
      </c>
    </row>
    <row r="41" spans="1:16">
      <c r="A41" s="11" t="s">
        <v>155</v>
      </c>
      <c r="B41" s="11" t="s">
        <v>193</v>
      </c>
      <c r="C41" s="11" t="s">
        <v>231</v>
      </c>
      <c r="D41" s="11" t="s">
        <v>232</v>
      </c>
      <c r="E41" s="11" t="str">
        <f>'Anchov y SardC LTP'!D52</f>
        <v>PROCESOS TECNOLOGICOS DEL BIOBIO S.A.</v>
      </c>
      <c r="F41" s="11" t="s">
        <v>233</v>
      </c>
      <c r="G41" s="11" t="s">
        <v>234</v>
      </c>
      <c r="H41" s="11">
        <f>'Anchov y SardC LTP'!G52</f>
        <v>519.31799999999998</v>
      </c>
      <c r="I41" s="11">
        <f>'Anchov y SardC LTP'!H52</f>
        <v>-519.31799999999998</v>
      </c>
      <c r="J41" s="11">
        <f>'Anchov y SardC LTP'!I52</f>
        <v>0</v>
      </c>
      <c r="K41" s="11">
        <f>'Anchov y SardC LTP'!J52</f>
        <v>0</v>
      </c>
      <c r="L41" s="11">
        <f>'Anchov y SardC LTP'!K52</f>
        <v>0</v>
      </c>
      <c r="M41" s="42">
        <f>'Anchov y SardC LTP'!L52</f>
        <v>1</v>
      </c>
      <c r="N41" s="53" t="s">
        <v>256</v>
      </c>
      <c r="O41" s="34">
        <f>RESUMEN!$B$3</f>
        <v>44201</v>
      </c>
      <c r="P41" s="11">
        <v>2021</v>
      </c>
    </row>
    <row r="42" spans="1:16">
      <c r="A42" s="11" t="s">
        <v>155</v>
      </c>
      <c r="B42" s="11" t="s">
        <v>193</v>
      </c>
      <c r="C42" s="11" t="s">
        <v>231</v>
      </c>
      <c r="D42" s="11" t="s">
        <v>232</v>
      </c>
      <c r="E42" s="11" t="str">
        <f>'Anchov y SardC LTP'!D53</f>
        <v>PESQ. LEPE LTDA.</v>
      </c>
      <c r="F42" s="11" t="s">
        <v>233</v>
      </c>
      <c r="G42" s="11" t="s">
        <v>234</v>
      </c>
      <c r="H42" s="11">
        <f>'Anchov y SardC LTP'!G53</f>
        <v>2127.2804000000001</v>
      </c>
      <c r="I42" s="11">
        <f>'Anchov y SardC LTP'!H53</f>
        <v>-2127.2799999999997</v>
      </c>
      <c r="J42" s="11">
        <f>'Anchov y SardC LTP'!I53</f>
        <v>4.0000000035433914E-4</v>
      </c>
      <c r="K42" s="11">
        <f>'Anchov y SardC LTP'!J53</f>
        <v>0</v>
      </c>
      <c r="L42" s="11">
        <f>'Anchov y SardC LTP'!K53</f>
        <v>4.0000000035433914E-4</v>
      </c>
      <c r="M42" s="42">
        <f>'Anchov y SardC LTP'!L53</f>
        <v>0.99999981196649002</v>
      </c>
      <c r="N42" s="53" t="s">
        <v>256</v>
      </c>
      <c r="O42" s="34">
        <f>RESUMEN!$B$3</f>
        <v>44201</v>
      </c>
      <c r="P42" s="11">
        <v>2021</v>
      </c>
    </row>
    <row r="43" spans="1:16">
      <c r="A43" s="11" t="s">
        <v>155</v>
      </c>
      <c r="B43" s="11" t="s">
        <v>193</v>
      </c>
      <c r="C43" s="11" t="s">
        <v>231</v>
      </c>
      <c r="D43" s="11" t="s">
        <v>232</v>
      </c>
      <c r="E43" s="11" t="str">
        <f>'Anchov y SardC LTP'!D54</f>
        <v>COMERCIAL Y CONSERVERA SAN LAZARO LTDA.</v>
      </c>
      <c r="F43" s="11" t="s">
        <v>233</v>
      </c>
      <c r="G43" s="11" t="s">
        <v>234</v>
      </c>
      <c r="H43" s="11">
        <f>'Anchov y SardC LTP'!G54</f>
        <v>0.76936000000000004</v>
      </c>
      <c r="I43" s="11">
        <f>'Anchov y SardC LTP'!H54</f>
        <v>0</v>
      </c>
      <c r="J43" s="11">
        <f>'Anchov y SardC LTP'!I54</f>
        <v>0.76936000000000004</v>
      </c>
      <c r="K43" s="11">
        <f>'Anchov y SardC LTP'!J54</f>
        <v>0</v>
      </c>
      <c r="L43" s="11">
        <f>'Anchov y SardC LTP'!K54</f>
        <v>0.76936000000000004</v>
      </c>
      <c r="M43" s="42">
        <f>'Anchov y SardC LTP'!L54</f>
        <v>0</v>
      </c>
      <c r="N43" s="53" t="s">
        <v>256</v>
      </c>
      <c r="O43" s="34">
        <f>RESUMEN!$B$3</f>
        <v>44201</v>
      </c>
      <c r="P43" s="11">
        <v>2021</v>
      </c>
    </row>
    <row r="44" spans="1:16">
      <c r="A44" s="11" t="s">
        <v>155</v>
      </c>
      <c r="B44" s="11" t="s">
        <v>193</v>
      </c>
      <c r="C44" s="11" t="s">
        <v>231</v>
      </c>
      <c r="D44" s="11" t="s">
        <v>232</v>
      </c>
      <c r="E44" s="11" t="str">
        <f>'Anchov y SardC LTP'!D55</f>
        <v>INVERSIONES PESQUERA PEDRO IRIGOYEN LIMITADA</v>
      </c>
      <c r="F44" s="11" t="s">
        <v>233</v>
      </c>
      <c r="G44" s="11" t="s">
        <v>234</v>
      </c>
      <c r="H44" s="11">
        <f>'Anchov y SardC LTP'!G55</f>
        <v>331.67109599999998</v>
      </c>
      <c r="I44" s="11">
        <f>'Anchov y SardC LTP'!H55</f>
        <v>-331.6</v>
      </c>
      <c r="J44" s="11">
        <f>'Anchov y SardC LTP'!I55</f>
        <v>7.1095999999954529E-2</v>
      </c>
      <c r="K44" s="11">
        <f>'Anchov y SardC LTP'!J55</f>
        <v>0</v>
      </c>
      <c r="L44" s="11">
        <f>'Anchov y SardC LTP'!K55</f>
        <v>7.1095999999954529E-2</v>
      </c>
      <c r="M44" s="42">
        <f>'Anchov y SardC LTP'!L55</f>
        <v>0.99978564306369355</v>
      </c>
      <c r="N44" s="53" t="s">
        <v>256</v>
      </c>
      <c r="O44" s="34">
        <f>RESUMEN!$B$3</f>
        <v>44201</v>
      </c>
      <c r="P44" s="11">
        <v>2021</v>
      </c>
    </row>
    <row r="45" spans="1:16" s="11" customFormat="1">
      <c r="A45" s="11" t="s">
        <v>155</v>
      </c>
      <c r="B45" s="11" t="s">
        <v>193</v>
      </c>
      <c r="C45" s="11" t="s">
        <v>231</v>
      </c>
      <c r="D45" s="11" t="s">
        <v>232</v>
      </c>
      <c r="E45" s="11" t="str">
        <f>'Anchov y SardC LTP'!D56</f>
        <v>THOR FISHERIES CHILE SpA</v>
      </c>
      <c r="F45" s="11" t="s">
        <v>233</v>
      </c>
      <c r="G45" s="11" t="s">
        <v>234</v>
      </c>
      <c r="H45" s="11">
        <f>'Anchov y SardC LTP'!G56</f>
        <v>0.76936000000000004</v>
      </c>
      <c r="I45" s="11">
        <f>'Anchov y SardC LTP'!H56</f>
        <v>0.54144000000000003</v>
      </c>
      <c r="J45" s="11">
        <f>'Anchov y SardC LTP'!I56</f>
        <v>1.3108</v>
      </c>
      <c r="K45" s="11">
        <f>'Anchov y SardC LTP'!J56</f>
        <v>0</v>
      </c>
      <c r="L45" s="11">
        <f>'Anchov y SardC LTP'!K56</f>
        <v>1.3108</v>
      </c>
      <c r="M45" s="42">
        <f>'Anchov y SardC LTP'!L56</f>
        <v>0</v>
      </c>
      <c r="N45" s="53" t="s">
        <v>256</v>
      </c>
      <c r="O45" s="34">
        <f>RESUMEN!$B$3</f>
        <v>44201</v>
      </c>
      <c r="P45" s="11">
        <v>2021</v>
      </c>
    </row>
    <row r="46" spans="1:16">
      <c r="A46" s="43" t="s">
        <v>155</v>
      </c>
      <c r="B46" s="43" t="s">
        <v>193</v>
      </c>
      <c r="C46" s="43" t="s">
        <v>231</v>
      </c>
      <c r="D46" s="43" t="s">
        <v>232</v>
      </c>
      <c r="E46" s="43" t="str">
        <f>'Anchov y SardC LTP'!D57</f>
        <v>TOTAL ASIGNATARIOS LTP</v>
      </c>
      <c r="F46" s="43" t="s">
        <v>233</v>
      </c>
      <c r="G46" s="43" t="s">
        <v>234</v>
      </c>
      <c r="H46" s="43">
        <f>'Anchov y SardC LTP'!G57</f>
        <v>76936.015387200008</v>
      </c>
      <c r="I46" s="43">
        <f>'Anchov y SardC LTP'!H57</f>
        <v>-76528.922999999995</v>
      </c>
      <c r="J46" s="43">
        <f>'Anchov y SardC LTP'!I57</f>
        <v>407.09238720001304</v>
      </c>
      <c r="K46" s="43">
        <f>'Anchov y SardC LTP'!J57</f>
        <v>0</v>
      </c>
      <c r="L46" s="43">
        <f>'Anchov y SardC LTP'!K57</f>
        <v>407.09238720001304</v>
      </c>
      <c r="M46" s="44">
        <f>'Anchov y SardC LTP'!L57</f>
        <v>0.99470868896509368</v>
      </c>
      <c r="N46" s="53" t="s">
        <v>256</v>
      </c>
      <c r="O46" s="34">
        <f>RESUMEN!$B$3</f>
        <v>44201</v>
      </c>
      <c r="P46" s="11">
        <v>2021</v>
      </c>
    </row>
    <row r="47" spans="1:16">
      <c r="A47" t="s">
        <v>229</v>
      </c>
      <c r="B47" t="s">
        <v>192</v>
      </c>
      <c r="C47" t="s">
        <v>247</v>
      </c>
      <c r="D47" t="s">
        <v>246</v>
      </c>
      <c r="E47" t="str">
        <f>Anchoveta!D7</f>
        <v>AG DEL PUERTO DE SAN ANTONIO. RAG 2510</v>
      </c>
      <c r="F47" s="11" t="s">
        <v>233</v>
      </c>
      <c r="G47" t="s">
        <v>234</v>
      </c>
      <c r="H47">
        <f>Anchoveta!F7</f>
        <v>9757.9552000000003</v>
      </c>
      <c r="I47" s="11">
        <f>Anchoveta!G7</f>
        <v>-9751</v>
      </c>
      <c r="J47" s="11">
        <f>Anchoveta!H7</f>
        <v>6.9552000000003318</v>
      </c>
      <c r="K47" s="11">
        <f>Anchoveta!I7</f>
        <v>0.33</v>
      </c>
      <c r="L47">
        <f>Anchoveta!K7</f>
        <v>6.6252000000003317</v>
      </c>
      <c r="M47" s="42">
        <f>Anchoveta!L7</f>
        <v>0.99928722771754475</v>
      </c>
      <c r="N47" s="34" t="str">
        <f>Anchoveta!M7</f>
        <v>-</v>
      </c>
      <c r="O47" s="34">
        <f>RESUMEN!$B$3</f>
        <v>44201</v>
      </c>
      <c r="P47" s="11">
        <v>2021</v>
      </c>
    </row>
    <row r="48" spans="1:16">
      <c r="A48" t="s">
        <v>229</v>
      </c>
      <c r="B48" t="s">
        <v>192</v>
      </c>
      <c r="C48" s="11" t="s">
        <v>247</v>
      </c>
      <c r="D48" t="s">
        <v>246</v>
      </c>
      <c r="E48" s="11" t="str">
        <f>Anchoveta!D8</f>
        <v>ASOCIACION GREMIAL AGRAPES DE SAN ANTONIO "AG AGRAPES" RAG 4399</v>
      </c>
      <c r="F48" t="s">
        <v>233</v>
      </c>
      <c r="G48" t="s">
        <v>234</v>
      </c>
      <c r="H48" s="11">
        <f>Anchoveta!F8</f>
        <v>170.41159999999999</v>
      </c>
      <c r="I48" s="11">
        <f>Anchoveta!G8</f>
        <v>-170.41159999999999</v>
      </c>
      <c r="J48" s="11">
        <f>Anchoveta!H8</f>
        <v>0</v>
      </c>
      <c r="K48" s="11">
        <f>Anchoveta!I8</f>
        <v>0</v>
      </c>
      <c r="L48" s="11">
        <f>Anchoveta!K8</f>
        <v>0</v>
      </c>
      <c r="M48" s="42">
        <f>Anchoveta!L8</f>
        <v>1</v>
      </c>
      <c r="N48" s="34">
        <f>Anchoveta!M8</f>
        <v>44547</v>
      </c>
      <c r="O48" s="34">
        <f>RESUMEN!$B$3</f>
        <v>44201</v>
      </c>
      <c r="P48" s="11">
        <v>2021</v>
      </c>
    </row>
    <row r="49" spans="1:16">
      <c r="A49" t="s">
        <v>229</v>
      </c>
      <c r="B49" t="s">
        <v>192</v>
      </c>
      <c r="C49" s="11" t="s">
        <v>247</v>
      </c>
      <c r="D49" t="s">
        <v>246</v>
      </c>
      <c r="E49" s="11" t="str">
        <f>Anchoveta!D9</f>
        <v>STI MUELLE SUD AMERICANA. RSU 05.01.0462</v>
      </c>
      <c r="F49" t="s">
        <v>233</v>
      </c>
      <c r="G49" t="s">
        <v>234</v>
      </c>
      <c r="H49" s="11">
        <f>Anchoveta!F9</f>
        <v>0.14990000000000001</v>
      </c>
      <c r="I49" s="11">
        <f>Anchoveta!G9</f>
        <v>0</v>
      </c>
      <c r="J49" s="11">
        <f>Anchoveta!H9</f>
        <v>0.14990000000000001</v>
      </c>
      <c r="K49" s="11">
        <f>Anchoveta!I9</f>
        <v>0</v>
      </c>
      <c r="L49" s="11">
        <f>Anchoveta!K9</f>
        <v>0.14990000000000001</v>
      </c>
      <c r="M49" s="42">
        <f>Anchoveta!L9</f>
        <v>0</v>
      </c>
      <c r="N49" s="34" t="str">
        <f>Anchoveta!M9</f>
        <v>-</v>
      </c>
      <c r="O49" s="34">
        <f>RESUMEN!$B$3</f>
        <v>44201</v>
      </c>
      <c r="P49" s="11">
        <v>2021</v>
      </c>
    </row>
    <row r="50" spans="1:16" s="11" customFormat="1">
      <c r="A50" s="11" t="s">
        <v>229</v>
      </c>
      <c r="B50" s="11" t="s">
        <v>192</v>
      </c>
      <c r="C50" s="11" t="s">
        <v>247</v>
      </c>
      <c r="D50" s="11" t="s">
        <v>246</v>
      </c>
      <c r="E50" s="11" t="str">
        <f>Anchoveta!D10</f>
        <v>Sindicato  de Trabajadores  Independientes de Pescadores Montemar, de la Comuna de San Antonio, provincia de San Antonio, V region. Registro Único Sindical  N° 05040117</v>
      </c>
      <c r="F50" s="11" t="s">
        <v>233</v>
      </c>
      <c r="G50" s="11" t="s">
        <v>234</v>
      </c>
      <c r="H50" s="11">
        <f>Anchoveta!F10</f>
        <v>7.5496999999999996</v>
      </c>
      <c r="I50" s="11">
        <f>Anchoveta!G10</f>
        <v>0</v>
      </c>
      <c r="J50" s="11">
        <f>Anchoveta!H10</f>
        <v>7.5496999999999996</v>
      </c>
      <c r="K50" s="11">
        <f>Anchoveta!I10</f>
        <v>0</v>
      </c>
      <c r="L50" s="11">
        <f>Anchoveta!K10</f>
        <v>7.5496999999999996</v>
      </c>
      <c r="M50" s="42">
        <f>Anchoveta!L10</f>
        <v>0</v>
      </c>
      <c r="N50" s="34" t="str">
        <f>Anchoveta!M10</f>
        <v>-</v>
      </c>
      <c r="O50" s="34">
        <f>RESUMEN!$B$3</f>
        <v>44201</v>
      </c>
      <c r="P50" s="11">
        <v>2021</v>
      </c>
    </row>
    <row r="51" spans="1:16" s="11" customFormat="1">
      <c r="A51" s="11" t="s">
        <v>229</v>
      </c>
      <c r="B51" s="11" t="s">
        <v>192</v>
      </c>
      <c r="C51" s="11" t="s">
        <v>247</v>
      </c>
      <c r="D51" s="11" t="s">
        <v>246</v>
      </c>
      <c r="E51" s="11" t="str">
        <f>Anchoveta!D11</f>
        <v>Sindicato de Trabajadores Independientes Pescadores Artesanales de Caleta Higuerilla, Concon. Registro Unico Sindical N° 5060048</v>
      </c>
      <c r="F51" s="11" t="s">
        <v>233</v>
      </c>
      <c r="G51" s="11" t="s">
        <v>234</v>
      </c>
      <c r="H51" s="11">
        <f>Anchoveta!F11</f>
        <v>2.5000000000000001E-2</v>
      </c>
      <c r="I51" s="11">
        <f>Anchoveta!G11</f>
        <v>0</v>
      </c>
      <c r="J51" s="11">
        <f>Anchoveta!H11</f>
        <v>2.5000000000000001E-2</v>
      </c>
      <c r="K51" s="11">
        <f>Anchoveta!I11</f>
        <v>0</v>
      </c>
      <c r="L51" s="11">
        <f>Anchoveta!K11</f>
        <v>2.5000000000000001E-2</v>
      </c>
      <c r="M51" s="42">
        <f>Anchoveta!L11</f>
        <v>0</v>
      </c>
      <c r="N51" s="34" t="str">
        <f>Anchoveta!M11</f>
        <v>-</v>
      </c>
      <c r="O51" s="34">
        <f>RESUMEN!$B$3</f>
        <v>44201</v>
      </c>
      <c r="P51" s="11">
        <v>2021</v>
      </c>
    </row>
    <row r="52" spans="1:16">
      <c r="A52" t="s">
        <v>229</v>
      </c>
      <c r="B52" t="s">
        <v>192</v>
      </c>
      <c r="C52" s="11" t="s">
        <v>247</v>
      </c>
      <c r="D52" t="s">
        <v>246</v>
      </c>
      <c r="E52" s="11" t="str">
        <f>Anchoveta!D12</f>
        <v>Cuota Residual V</v>
      </c>
      <c r="F52" t="s">
        <v>233</v>
      </c>
      <c r="G52" t="s">
        <v>234</v>
      </c>
      <c r="H52" s="11">
        <f>Anchoveta!F12</f>
        <v>42.9086</v>
      </c>
      <c r="I52" s="11">
        <f>Anchoveta!G12</f>
        <v>0</v>
      </c>
      <c r="J52" s="11">
        <f>Anchoveta!H12</f>
        <v>42.9086</v>
      </c>
      <c r="K52" s="11">
        <f>Anchoveta!I12</f>
        <v>0</v>
      </c>
      <c r="L52" s="11">
        <f>Anchoveta!K12</f>
        <v>42.9086</v>
      </c>
      <c r="M52" s="42">
        <f>Anchoveta!L12</f>
        <v>0</v>
      </c>
      <c r="N52" s="59" t="str">
        <f>Anchoveta!M12</f>
        <v>-</v>
      </c>
      <c r="O52" s="34">
        <f>RESUMEN!$B$3</f>
        <v>44201</v>
      </c>
      <c r="P52" s="11">
        <v>2021</v>
      </c>
    </row>
    <row r="53" spans="1:16">
      <c r="A53" s="43" t="s">
        <v>229</v>
      </c>
      <c r="B53" s="43" t="s">
        <v>192</v>
      </c>
      <c r="C53" s="43" t="s">
        <v>247</v>
      </c>
      <c r="D53" s="50" t="s">
        <v>46</v>
      </c>
      <c r="E53" s="43" t="str">
        <f>Anchoveta!D13</f>
        <v>Total Region Valparaíso</v>
      </c>
      <c r="F53" s="43" t="s">
        <v>233</v>
      </c>
      <c r="G53" s="43" t="s">
        <v>234</v>
      </c>
      <c r="H53" s="43">
        <f>Anchoveta!F13</f>
        <v>9979</v>
      </c>
      <c r="I53" s="43">
        <f>Anchoveta!G13</f>
        <v>-9921.4115999999995</v>
      </c>
      <c r="J53" s="43">
        <f>Anchoveta!H13</f>
        <v>57.588400000000334</v>
      </c>
      <c r="K53" s="43">
        <f>Anchoveta!I13</f>
        <v>0.33</v>
      </c>
      <c r="L53" s="43">
        <f>Anchoveta!K13</f>
        <v>57.258400000000336</v>
      </c>
      <c r="M53" s="44">
        <f>Anchoveta!L13</f>
        <v>5.730320689583286E-3</v>
      </c>
      <c r="N53" s="54" t="str">
        <f>Anchoveta!M13</f>
        <v>-</v>
      </c>
      <c r="O53" s="34">
        <f>RESUMEN!$B$3</f>
        <v>44201</v>
      </c>
      <c r="P53" s="11">
        <v>2021</v>
      </c>
    </row>
    <row r="54" spans="1:16">
      <c r="A54" t="s">
        <v>229</v>
      </c>
      <c r="B54" t="s">
        <v>192</v>
      </c>
      <c r="C54" t="s">
        <v>248</v>
      </c>
      <c r="D54" t="s">
        <v>46</v>
      </c>
      <c r="E54" t="str">
        <f>Anchoveta!D15</f>
        <v>Región de O´Higgins</v>
      </c>
      <c r="F54" t="s">
        <v>233</v>
      </c>
      <c r="G54" t="s">
        <v>234</v>
      </c>
      <c r="H54">
        <f>Anchoveta!F15</f>
        <v>64</v>
      </c>
      <c r="I54" s="11">
        <f>Anchoveta!G15</f>
        <v>0</v>
      </c>
      <c r="J54" s="11">
        <f>Anchoveta!H15</f>
        <v>64</v>
      </c>
      <c r="K54" s="11">
        <f>Anchoveta!I15</f>
        <v>0</v>
      </c>
      <c r="L54">
        <f>Anchoveta!K15</f>
        <v>64</v>
      </c>
      <c r="M54" s="42">
        <f>Anchoveta!L15</f>
        <v>0</v>
      </c>
      <c r="N54" s="34" t="str">
        <f>Anchoveta!M15</f>
        <v>-</v>
      </c>
      <c r="O54" s="34">
        <f>RESUMEN!$B$3</f>
        <v>44201</v>
      </c>
      <c r="P54" s="11">
        <v>2021</v>
      </c>
    </row>
    <row r="55" spans="1:16">
      <c r="A55" s="43" t="s">
        <v>229</v>
      </c>
      <c r="B55" s="43" t="s">
        <v>192</v>
      </c>
      <c r="C55" s="43" t="s">
        <v>248</v>
      </c>
      <c r="D55" s="43" t="s">
        <v>46</v>
      </c>
      <c r="E55" s="43" t="str">
        <f>Anchoveta!D16</f>
        <v>Total Región de O´Higgins</v>
      </c>
      <c r="F55" s="43" t="s">
        <v>233</v>
      </c>
      <c r="G55" s="43" t="s">
        <v>234</v>
      </c>
      <c r="H55" s="43">
        <f>Anchoveta!F16</f>
        <v>64</v>
      </c>
      <c r="I55" s="43">
        <f>Anchoveta!G16</f>
        <v>0</v>
      </c>
      <c r="J55" s="43">
        <f>Anchoveta!H16</f>
        <v>64</v>
      </c>
      <c r="K55" s="43">
        <f>Anchoveta!I16</f>
        <v>0</v>
      </c>
      <c r="L55" s="43">
        <f>Anchoveta!K16</f>
        <v>64</v>
      </c>
      <c r="M55" s="44">
        <f>Anchoveta!L16</f>
        <v>0</v>
      </c>
      <c r="N55" s="54" t="str">
        <f>Anchoveta!M16</f>
        <v>-</v>
      </c>
      <c r="O55" s="34">
        <f>RESUMEN!$B$3</f>
        <v>44201</v>
      </c>
      <c r="P55" s="11">
        <v>2021</v>
      </c>
    </row>
    <row r="56" spans="1:16">
      <c r="A56" t="s">
        <v>229</v>
      </c>
      <c r="B56" t="s">
        <v>192</v>
      </c>
      <c r="C56" t="s">
        <v>249</v>
      </c>
      <c r="D56" t="s">
        <v>246</v>
      </c>
      <c r="E56" t="str">
        <f>Anchoveta!D18</f>
        <v>Sindicato de Pescadores "Pelágicos del Maule" Constitución, Registro Sindical Único 07.05.0150</v>
      </c>
      <c r="F56" t="s">
        <v>233</v>
      </c>
      <c r="G56" t="s">
        <v>234</v>
      </c>
      <c r="H56">
        <f>Anchoveta!F18</f>
        <v>624.04499999999996</v>
      </c>
      <c r="I56" s="11">
        <f>Anchoveta!G18</f>
        <v>-624.04499999999996</v>
      </c>
      <c r="J56" s="11">
        <f>Anchoveta!H18</f>
        <v>0</v>
      </c>
      <c r="K56" s="11">
        <f>Anchoveta!I18</f>
        <v>0</v>
      </c>
      <c r="L56">
        <f>Anchoveta!K18</f>
        <v>0</v>
      </c>
      <c r="M56" s="49">
        <f>Anchoveta!L18</f>
        <v>1</v>
      </c>
      <c r="N56" s="55" t="str">
        <f>Anchoveta!M18</f>
        <v>-</v>
      </c>
      <c r="O56" s="34">
        <f>RESUMEN!$B$3</f>
        <v>44201</v>
      </c>
      <c r="P56" s="11">
        <v>2021</v>
      </c>
    </row>
    <row r="57" spans="1:16">
      <c r="A57" t="s">
        <v>229</v>
      </c>
      <c r="B57" t="s">
        <v>192</v>
      </c>
      <c r="C57" t="s">
        <v>249</v>
      </c>
      <c r="D57" t="s">
        <v>246</v>
      </c>
      <c r="E57" s="11" t="str">
        <f>Anchoveta!D19</f>
        <v>STI Pescadores Artesanales de Constitución SIPARCON, RSU 07.05.0193</v>
      </c>
      <c r="F57" t="s">
        <v>233</v>
      </c>
      <c r="G57" t="s">
        <v>234</v>
      </c>
      <c r="H57" s="11">
        <f>Anchoveta!F19</f>
        <v>338.35399999999998</v>
      </c>
      <c r="I57" s="11">
        <f>Anchoveta!G19</f>
        <v>-338.35399999999998</v>
      </c>
      <c r="J57" s="11">
        <f>Anchoveta!H19</f>
        <v>0</v>
      </c>
      <c r="K57" s="11">
        <f>Anchoveta!I19</f>
        <v>0</v>
      </c>
      <c r="L57" s="11">
        <f>Anchoveta!K19</f>
        <v>0</v>
      </c>
      <c r="M57" s="49">
        <f>Anchoveta!L19</f>
        <v>1</v>
      </c>
      <c r="N57" s="55" t="str">
        <f>Anchoveta!M19</f>
        <v>-</v>
      </c>
      <c r="O57" s="34">
        <f>RESUMEN!$B$3</f>
        <v>44201</v>
      </c>
      <c r="P57" s="11">
        <v>2021</v>
      </c>
    </row>
    <row r="58" spans="1:16">
      <c r="A58" t="s">
        <v>229</v>
      </c>
      <c r="B58" t="s">
        <v>192</v>
      </c>
      <c r="C58" t="s">
        <v>249</v>
      </c>
      <c r="D58" t="s">
        <v>246</v>
      </c>
      <c r="E58" s="11" t="str">
        <f>Anchoveta!D20</f>
        <v>Cuota Residual VII</v>
      </c>
      <c r="F58" t="s">
        <v>233</v>
      </c>
      <c r="G58" t="s">
        <v>234</v>
      </c>
      <c r="H58" s="11">
        <f>Anchoveta!F20</f>
        <v>104.601</v>
      </c>
      <c r="I58" s="11">
        <f>Anchoveta!G20</f>
        <v>0</v>
      </c>
      <c r="J58" s="11">
        <f>Anchoveta!H20</f>
        <v>104.601</v>
      </c>
      <c r="K58" s="11">
        <f>Anchoveta!I20</f>
        <v>0</v>
      </c>
      <c r="L58" s="11">
        <f>Anchoveta!K20</f>
        <v>104.601</v>
      </c>
      <c r="M58" s="49">
        <f>Anchoveta!L20</f>
        <v>0</v>
      </c>
      <c r="N58" s="55" t="str">
        <f>Anchoveta!M20</f>
        <v>-</v>
      </c>
      <c r="O58" s="34">
        <f>RESUMEN!$B$3</f>
        <v>44201</v>
      </c>
      <c r="P58" s="11">
        <v>2021</v>
      </c>
    </row>
    <row r="59" spans="1:16">
      <c r="A59" t="s">
        <v>229</v>
      </c>
      <c r="B59" t="s">
        <v>192</v>
      </c>
      <c r="C59" t="s">
        <v>249</v>
      </c>
      <c r="D59" t="s">
        <v>46</v>
      </c>
      <c r="E59" s="11" t="str">
        <f>Anchoveta!D21</f>
        <v>Total Región del Maule</v>
      </c>
      <c r="F59" t="s">
        <v>233</v>
      </c>
      <c r="G59" t="s">
        <v>234</v>
      </c>
      <c r="H59" s="11">
        <f>Anchoveta!F21</f>
        <v>1067</v>
      </c>
      <c r="I59" s="11">
        <f>Anchoveta!G21</f>
        <v>-962.39899999999989</v>
      </c>
      <c r="J59" s="11">
        <f>Anchoveta!H21</f>
        <v>104.60100000000011</v>
      </c>
      <c r="K59" s="11">
        <f>Anchoveta!I21</f>
        <v>0</v>
      </c>
      <c r="L59" s="11">
        <f>Anchoveta!K21</f>
        <v>104.60100000000011</v>
      </c>
      <c r="M59" s="49">
        <f>Anchoveta!L21</f>
        <v>0</v>
      </c>
      <c r="N59" s="55" t="str">
        <f>Anchoveta!M21</f>
        <v>-</v>
      </c>
      <c r="O59" s="34">
        <f>RESUMEN!$B$3</f>
        <v>44201</v>
      </c>
      <c r="P59" s="11">
        <v>2021</v>
      </c>
    </row>
    <row r="60" spans="1:16">
      <c r="A60" t="s">
        <v>229</v>
      </c>
      <c r="B60" t="s">
        <v>192</v>
      </c>
      <c r="C60" t="s">
        <v>251</v>
      </c>
      <c r="D60" t="s">
        <v>246</v>
      </c>
      <c r="E60" t="str">
        <f>Anchoveta!D23</f>
        <v>Agrupación de Armadores Golfo de Arauco, Personalidad Jurídica N° 621</v>
      </c>
      <c r="F60" s="11" t="s">
        <v>233</v>
      </c>
      <c r="G60" s="11" t="s">
        <v>234</v>
      </c>
      <c r="H60">
        <f>Anchoveta!F23</f>
        <v>203.643</v>
      </c>
      <c r="I60" s="11">
        <f>Anchoveta!G23</f>
        <v>-166.89999999999998</v>
      </c>
      <c r="J60" s="11">
        <f>Anchoveta!H23</f>
        <v>36.743000000000023</v>
      </c>
      <c r="K60" s="11">
        <f>Anchoveta!I23</f>
        <v>4.7249999999999996</v>
      </c>
      <c r="L60">
        <f>Anchoveta!K23</f>
        <v>32.018000000000022</v>
      </c>
      <c r="M60" s="49">
        <f>Anchoveta!L23</f>
        <v>0.12859592303295855</v>
      </c>
      <c r="N60" s="55" t="str">
        <f>'IC Anch y SardC VIII'!O6</f>
        <v>-</v>
      </c>
      <c r="O60" s="34">
        <f>RESUMEN!$B$3</f>
        <v>44201</v>
      </c>
      <c r="P60" s="11">
        <v>2021</v>
      </c>
    </row>
    <row r="61" spans="1:16">
      <c r="A61" t="s">
        <v>229</v>
      </c>
      <c r="B61" t="s">
        <v>192</v>
      </c>
      <c r="C61" t="s">
        <v>251</v>
      </c>
      <c r="D61" t="s">
        <v>246</v>
      </c>
      <c r="E61" s="11" t="str">
        <f>Anchoveta!D24</f>
        <v>Agrupación de Armadores y Pescadores Artesanales Pelágicos Puerto Sur Isla Santa María. Personalidad Jurídica N° 1728</v>
      </c>
      <c r="F61" s="11" t="s">
        <v>233</v>
      </c>
      <c r="G61" s="11" t="s">
        <v>234</v>
      </c>
      <c r="H61" s="11">
        <f>Anchoveta!F24</f>
        <v>165.60900000000001</v>
      </c>
      <c r="I61" s="11">
        <f>Anchoveta!G24</f>
        <v>0</v>
      </c>
      <c r="J61" s="11">
        <f>Anchoveta!H24</f>
        <v>165.60900000000001</v>
      </c>
      <c r="K61" s="11">
        <f>Anchoveta!I24</f>
        <v>13.412000000000001</v>
      </c>
      <c r="L61" s="11">
        <f>Anchoveta!K24</f>
        <v>152.197</v>
      </c>
      <c r="M61" s="49">
        <f>Anchoveta!L24</f>
        <v>8.098593675464498E-2</v>
      </c>
      <c r="N61" s="55" t="str">
        <f>'IC Anch y SardC VIII'!O7</f>
        <v>-</v>
      </c>
      <c r="O61" s="34">
        <f>RESUMEN!$B$3</f>
        <v>44201</v>
      </c>
      <c r="P61" s="11">
        <v>2021</v>
      </c>
    </row>
    <row r="62" spans="1:16">
      <c r="A62" t="s">
        <v>229</v>
      </c>
      <c r="B62" t="s">
        <v>192</v>
      </c>
      <c r="C62" t="s">
        <v>251</v>
      </c>
      <c r="D62" t="s">
        <v>246</v>
      </c>
      <c r="E62" s="11" t="str">
        <f>Anchoveta!D25</f>
        <v>Agrupación de Armadores y Pescadores Pelágicos de Caleta Tubul, Registro de Organización Comunitaria Funcional 478-2007</v>
      </c>
      <c r="F62" s="11" t="s">
        <v>233</v>
      </c>
      <c r="G62" s="11" t="s">
        <v>234</v>
      </c>
      <c r="H62" s="11">
        <f>Anchoveta!F25</f>
        <v>998.56100000000004</v>
      </c>
      <c r="I62" s="11">
        <f>Anchoveta!G25</f>
        <v>-998.5</v>
      </c>
      <c r="J62" s="11">
        <f>Anchoveta!H25</f>
        <v>6.100000000003547E-2</v>
      </c>
      <c r="K62" s="11">
        <f>Anchoveta!I25</f>
        <v>1.7000000000000001E-2</v>
      </c>
      <c r="L62" s="11">
        <f>Anchoveta!K25</f>
        <v>4.4000000000035469E-2</v>
      </c>
      <c r="M62" s="49">
        <f>Anchoveta!L25</f>
        <v>0.27868852459000193</v>
      </c>
      <c r="N62" s="55" t="str">
        <f>'IC Anch y SardC VIII'!O8</f>
        <v>-</v>
      </c>
      <c r="O62" s="34">
        <f>RESUMEN!$B$3</f>
        <v>44201</v>
      </c>
      <c r="P62" s="11">
        <v>2021</v>
      </c>
    </row>
    <row r="63" spans="1:16">
      <c r="A63" t="s">
        <v>229</v>
      </c>
      <c r="B63" t="s">
        <v>192</v>
      </c>
      <c r="C63" s="11" t="s">
        <v>251</v>
      </c>
      <c r="D63" s="11" t="s">
        <v>246</v>
      </c>
      <c r="E63" s="11" t="str">
        <f>Anchoveta!D26</f>
        <v>Agrupación Gremial de Productores Pelágicos, Armadores Artesanales de Talcahuano, Región del Bío Bío "AGREPAR BIO BIO A.G". Registro de Asociaciones Gremiales N° 468-8</v>
      </c>
      <c r="F63" s="11" t="s">
        <v>233</v>
      </c>
      <c r="G63" s="11" t="s">
        <v>234</v>
      </c>
      <c r="H63" s="11">
        <f>Anchoveta!F26</f>
        <v>1450.905</v>
      </c>
      <c r="I63" s="11">
        <f>Anchoveta!G26</f>
        <v>-587.79999999999995</v>
      </c>
      <c r="J63" s="11">
        <f>Anchoveta!H26</f>
        <v>863.10500000000002</v>
      </c>
      <c r="K63" s="11">
        <f>Anchoveta!I26</f>
        <v>599.51900000000001</v>
      </c>
      <c r="L63" s="11">
        <f>Anchoveta!K26</f>
        <v>263.58600000000001</v>
      </c>
      <c r="M63" s="49">
        <f>Anchoveta!L26</f>
        <v>0.69460726099373771</v>
      </c>
      <c r="N63" s="55" t="str">
        <f>'IC Anch y SardC VIII'!O9</f>
        <v>-</v>
      </c>
      <c r="O63" s="34">
        <f>RESUMEN!$B$3</f>
        <v>44201</v>
      </c>
      <c r="P63" s="11">
        <v>2021</v>
      </c>
    </row>
    <row r="64" spans="1:16">
      <c r="A64" s="11" t="s">
        <v>229</v>
      </c>
      <c r="B64" s="11" t="s">
        <v>192</v>
      </c>
      <c r="C64" s="11" t="s">
        <v>251</v>
      </c>
      <c r="D64" s="11" t="s">
        <v>246</v>
      </c>
      <c r="E64" s="11" t="str">
        <f>Anchoveta!D27</f>
        <v>Asociación de Armadores, Pescadores Artesanales y Actividades Afines de la Octava Región, Asociación Gremial ARPESCA A.G., Registro de Asociaciones Gremiales 429-8</v>
      </c>
      <c r="F64" s="11" t="s">
        <v>233</v>
      </c>
      <c r="G64" s="11" t="s">
        <v>234</v>
      </c>
      <c r="H64" s="11">
        <f>Anchoveta!F27</f>
        <v>1982.808</v>
      </c>
      <c r="I64" s="11">
        <f>Anchoveta!G27</f>
        <v>-1982.6</v>
      </c>
      <c r="J64" s="11">
        <f>Anchoveta!H27</f>
        <v>0.20800000000008367</v>
      </c>
      <c r="K64" s="11">
        <f>Anchoveta!I27</f>
        <v>0</v>
      </c>
      <c r="L64" s="11">
        <f>Anchoveta!K27</f>
        <v>0.20800000000008367</v>
      </c>
      <c r="M64" s="49">
        <f>Anchoveta!L27</f>
        <v>0.99989509826468315</v>
      </c>
      <c r="N64" s="55">
        <f>'IC Anch y SardC VIII'!O10</f>
        <v>44491</v>
      </c>
      <c r="O64" s="34">
        <f>RESUMEN!$B$3</f>
        <v>44201</v>
      </c>
      <c r="P64" s="11">
        <v>2021</v>
      </c>
    </row>
    <row r="65" spans="1:16">
      <c r="A65" s="11" t="s">
        <v>229</v>
      </c>
      <c r="B65" s="11" t="s">
        <v>192</v>
      </c>
      <c r="C65" s="11" t="s">
        <v>251</v>
      </c>
      <c r="D65" s="11" t="s">
        <v>246</v>
      </c>
      <c r="E65" s="11" t="str">
        <f>Anchoveta!D28</f>
        <v>Asociación Gremial Armadores Artesanales Pelágico Coronel-Lota del Bío Bío, ARPES BIO BIO A.G., Registro de Asociaciones Gremiales 445-8</v>
      </c>
      <c r="F65" s="11" t="s">
        <v>233</v>
      </c>
      <c r="G65" s="11" t="s">
        <v>234</v>
      </c>
      <c r="H65" s="11">
        <f>Anchoveta!F28</f>
        <v>3427.348</v>
      </c>
      <c r="I65" s="11">
        <f>Anchoveta!G28</f>
        <v>0</v>
      </c>
      <c r="J65" s="11">
        <f>Anchoveta!H28</f>
        <v>3427.348</v>
      </c>
      <c r="K65" s="11">
        <f>Anchoveta!I28</f>
        <v>2396.8870000000002</v>
      </c>
      <c r="L65" s="11">
        <f>Anchoveta!K28</f>
        <v>1030.4609999999998</v>
      </c>
      <c r="M65" s="49">
        <f>Anchoveta!L28</f>
        <v>0.6993415900573855</v>
      </c>
      <c r="N65" s="55" t="str">
        <f>'IC Anch y SardC VIII'!O11</f>
        <v>-</v>
      </c>
      <c r="O65" s="34">
        <f>RESUMEN!$B$3</f>
        <v>44201</v>
      </c>
      <c r="P65" s="11">
        <v>2021</v>
      </c>
    </row>
    <row r="66" spans="1:16">
      <c r="A66" s="11" t="s">
        <v>229</v>
      </c>
      <c r="B66" s="11" t="s">
        <v>192</v>
      </c>
      <c r="C66" s="11" t="s">
        <v>251</v>
      </c>
      <c r="D66" s="11" t="s">
        <v>246</v>
      </c>
      <c r="E66" s="11" t="str">
        <f>Anchoveta!D29</f>
        <v>Asociación Gremial de Armadores Artesanales "ARMAR A.G.". Registro de Asociaciones Gremiales 384-8</v>
      </c>
      <c r="F66" s="11" t="s">
        <v>233</v>
      </c>
      <c r="G66" s="11" t="s">
        <v>234</v>
      </c>
      <c r="H66" s="11">
        <f>Anchoveta!F29</f>
        <v>5186.0839999999998</v>
      </c>
      <c r="I66" s="11">
        <f>Anchoveta!G29</f>
        <v>0</v>
      </c>
      <c r="J66" s="11">
        <f>Anchoveta!H29</f>
        <v>5186.0839999999998</v>
      </c>
      <c r="K66" s="11">
        <f>Anchoveta!I29</f>
        <v>4427.701</v>
      </c>
      <c r="L66" s="11">
        <f>Anchoveta!K29</f>
        <v>758.38299999999981</v>
      </c>
      <c r="M66" s="49">
        <f>Anchoveta!L29</f>
        <v>0.85376577008779653</v>
      </c>
      <c r="N66" s="55" t="str">
        <f>'IC Anch y SardC VIII'!O12</f>
        <v>-</v>
      </c>
      <c r="O66" s="34">
        <f>RESUMEN!$B$3</f>
        <v>44201</v>
      </c>
      <c r="P66" s="11">
        <v>2021</v>
      </c>
    </row>
    <row r="67" spans="1:16">
      <c r="A67" s="11" t="s">
        <v>229</v>
      </c>
      <c r="B67" s="11" t="s">
        <v>192</v>
      </c>
      <c r="C67" s="11" t="s">
        <v>251</v>
      </c>
      <c r="D67" s="11" t="s">
        <v>246</v>
      </c>
      <c r="E67" s="11" t="str">
        <f>Anchoveta!D30</f>
        <v xml:space="preserve">Asociación Gremial de Armadores Artesanales VALLEMAR LOTA, Registro de Asociaciones Gremiales 548-8 </v>
      </c>
      <c r="F67" s="11" t="s">
        <v>233</v>
      </c>
      <c r="G67" s="11" t="s">
        <v>234</v>
      </c>
      <c r="H67" s="11">
        <f>Anchoveta!F30</f>
        <v>1973.671</v>
      </c>
      <c r="I67" s="11">
        <f>Anchoveta!G30</f>
        <v>0</v>
      </c>
      <c r="J67" s="11">
        <f>Anchoveta!H30</f>
        <v>1973.671</v>
      </c>
      <c r="K67" s="11">
        <f>Anchoveta!I30</f>
        <v>1199.0229999999999</v>
      </c>
      <c r="L67" s="11">
        <f>Anchoveta!K30</f>
        <v>774.64800000000014</v>
      </c>
      <c r="M67" s="49">
        <f>Anchoveta!L30</f>
        <v>0.60750905292726087</v>
      </c>
      <c r="N67" s="55" t="str">
        <f>'IC Anch y SardC VIII'!O13</f>
        <v>-</v>
      </c>
      <c r="O67" s="34">
        <f>RESUMEN!$B$3</f>
        <v>44201</v>
      </c>
      <c r="P67" s="11">
        <v>2021</v>
      </c>
    </row>
    <row r="68" spans="1:16">
      <c r="A68" s="11" t="s">
        <v>229</v>
      </c>
      <c r="B68" s="11" t="s">
        <v>192</v>
      </c>
      <c r="C68" s="11" t="s">
        <v>251</v>
      </c>
      <c r="D68" s="11" t="s">
        <v>246</v>
      </c>
      <c r="E68" s="11" t="str">
        <f>Anchoveta!D31</f>
        <v>Asociación Gremial de Armadores Artesanales y Productores Pelágicos de la Caleta el Morro de Talcahuano - AGEMAPAR, Registro de Asociaciones Gremiales 376-8</v>
      </c>
      <c r="F68" s="11" t="s">
        <v>233</v>
      </c>
      <c r="G68" s="11" t="s">
        <v>234</v>
      </c>
      <c r="H68" s="11">
        <f>Anchoveta!F31</f>
        <v>2373.3789999999999</v>
      </c>
      <c r="I68" s="11">
        <f>Anchoveta!G31</f>
        <v>0</v>
      </c>
      <c r="J68" s="11">
        <f>Anchoveta!H31</f>
        <v>2373.3789999999999</v>
      </c>
      <c r="K68" s="11">
        <f>Anchoveta!I31</f>
        <v>2485.9969999999998</v>
      </c>
      <c r="L68" s="11">
        <f>Anchoveta!K31</f>
        <v>-112.61799999999994</v>
      </c>
      <c r="M68" s="49">
        <f>Anchoveta!L31</f>
        <v>1.0474504914722849</v>
      </c>
      <c r="N68" s="55" t="str">
        <f>'IC Anch y SardC VIII'!O14</f>
        <v>-</v>
      </c>
      <c r="O68" s="34">
        <f>RESUMEN!$B$3</f>
        <v>44201</v>
      </c>
      <c r="P68" s="11">
        <v>2021</v>
      </c>
    </row>
    <row r="69" spans="1:16">
      <c r="A69" s="11" t="s">
        <v>229</v>
      </c>
      <c r="B69" s="11" t="s">
        <v>192</v>
      </c>
      <c r="C69" s="11" t="s">
        <v>251</v>
      </c>
      <c r="D69" s="11" t="s">
        <v>246</v>
      </c>
      <c r="E69" s="11" t="str">
        <f>Anchoveta!D32</f>
        <v>Asociación Gremial de Armadores Embarcaciones Menores "AG MENOR COLIUMO". Registro de Asociaciones Gremiales 507-8</v>
      </c>
      <c r="F69" s="11" t="s">
        <v>233</v>
      </c>
      <c r="G69" s="11" t="s">
        <v>234</v>
      </c>
      <c r="H69" s="11">
        <f>Anchoveta!F32</f>
        <v>218.09700000000001</v>
      </c>
      <c r="I69" s="11">
        <f>Anchoveta!G32</f>
        <v>-160</v>
      </c>
      <c r="J69" s="11">
        <f>Anchoveta!H32</f>
        <v>58.097000000000008</v>
      </c>
      <c r="K69" s="11">
        <f>Anchoveta!I32</f>
        <v>56.286999999999999</v>
      </c>
      <c r="L69" s="11">
        <f>Anchoveta!K32</f>
        <v>1.8100000000000094</v>
      </c>
      <c r="M69" s="49">
        <f>Anchoveta!L32</f>
        <v>0.96884520715355338</v>
      </c>
      <c r="N69" s="55">
        <f>'IC Anch y SardC VIII'!O15</f>
        <v>44328</v>
      </c>
      <c r="O69" s="34">
        <f>RESUMEN!$B$3</f>
        <v>44201</v>
      </c>
      <c r="P69" s="11">
        <v>2021</v>
      </c>
    </row>
    <row r="70" spans="1:16">
      <c r="A70" s="11" t="s">
        <v>229</v>
      </c>
      <c r="B70" s="11" t="s">
        <v>192</v>
      </c>
      <c r="C70" s="11" t="s">
        <v>251</v>
      </c>
      <c r="D70" s="11" t="s">
        <v>246</v>
      </c>
      <c r="E70" s="11" t="str">
        <f>Anchoveta!D33</f>
        <v>Asociación Gremial de Armadores y Pescadores Artesanales  Miramar BioBio " MIRAMAR BIOBIO  A.G." Registro de Organizaciones Gremiales 633-8</v>
      </c>
      <c r="F70" s="11" t="s">
        <v>233</v>
      </c>
      <c r="G70" s="11" t="s">
        <v>234</v>
      </c>
      <c r="H70" s="11">
        <f>Anchoveta!F33</f>
        <v>2182.357</v>
      </c>
      <c r="I70" s="11">
        <f>Anchoveta!G33</f>
        <v>0</v>
      </c>
      <c r="J70" s="11">
        <f>Anchoveta!H33</f>
        <v>2182.357</v>
      </c>
      <c r="K70" s="11">
        <f>Anchoveta!I33</f>
        <v>3081.904</v>
      </c>
      <c r="L70" s="11">
        <f>Anchoveta!K33</f>
        <v>-899.54700000000003</v>
      </c>
      <c r="M70" s="49">
        <f>Anchoveta!L33</f>
        <v>1.4121905811010755</v>
      </c>
      <c r="N70" s="55" t="str">
        <f>'IC Anch y SardC VIII'!O16</f>
        <v>-</v>
      </c>
      <c r="O70" s="34">
        <f>RESUMEN!$B$3</f>
        <v>44201</v>
      </c>
      <c r="P70" s="11">
        <v>2021</v>
      </c>
    </row>
    <row r="71" spans="1:16">
      <c r="A71" s="11" t="s">
        <v>229</v>
      </c>
      <c r="B71" s="11" t="s">
        <v>192</v>
      </c>
      <c r="C71" s="11" t="s">
        <v>251</v>
      </c>
      <c r="D71" s="11" t="s">
        <v>246</v>
      </c>
      <c r="E71" s="11" t="str">
        <f>Anchoveta!D34</f>
        <v>Asociación Gremial de Armadores, Pescadores Artesanales y Actividades Afines, SIMBA A.G. Registro de Asociaciones Gremiales RAG N° 679-8</v>
      </c>
      <c r="F71" s="11" t="s">
        <v>233</v>
      </c>
      <c r="G71" s="11" t="s">
        <v>234</v>
      </c>
      <c r="H71" s="11">
        <f>Anchoveta!F34</f>
        <v>3064.2</v>
      </c>
      <c r="I71" s="11">
        <f>Anchoveta!G34</f>
        <v>591.5</v>
      </c>
      <c r="J71" s="11">
        <f>Anchoveta!H34</f>
        <v>3655.7</v>
      </c>
      <c r="K71" s="11">
        <f>Anchoveta!I34</f>
        <v>2430.7339999999999</v>
      </c>
      <c r="L71" s="11">
        <f>Anchoveta!K34</f>
        <v>1224.9659999999999</v>
      </c>
      <c r="M71" s="49">
        <f>Anchoveta!L34</f>
        <v>0.66491615832809037</v>
      </c>
      <c r="N71" s="55" t="str">
        <f>'IC Anch y SardC VIII'!O17</f>
        <v>-</v>
      </c>
      <c r="O71" s="34">
        <f>RESUMEN!$B$3</f>
        <v>44201</v>
      </c>
      <c r="P71" s="11">
        <v>2021</v>
      </c>
    </row>
    <row r="72" spans="1:16">
      <c r="A72" s="11" t="s">
        <v>229</v>
      </c>
      <c r="B72" s="11" t="s">
        <v>192</v>
      </c>
      <c r="C72" s="11" t="s">
        <v>251</v>
      </c>
      <c r="D72" s="11" t="s">
        <v>246</v>
      </c>
      <c r="E72" s="11" t="str">
        <f>Anchoveta!D35</f>
        <v>Asociación Gremial de Armadores, Pescadores Artesanales y Actividades Afines de Lota, Octava región, Registro de Asociaciones Gremiales 577-8</v>
      </c>
      <c r="F72" s="11" t="s">
        <v>233</v>
      </c>
      <c r="G72" s="11" t="s">
        <v>234</v>
      </c>
      <c r="H72" s="11">
        <f>Anchoveta!F35</f>
        <v>1676.606</v>
      </c>
      <c r="I72" s="11">
        <f>Anchoveta!G35</f>
        <v>1953.354</v>
      </c>
      <c r="J72" s="11">
        <f>Anchoveta!H35</f>
        <v>3629.96</v>
      </c>
      <c r="K72" s="11">
        <f>Anchoveta!I35</f>
        <v>3059.8389999999999</v>
      </c>
      <c r="L72" s="11">
        <f>Anchoveta!K35</f>
        <v>570.12100000000009</v>
      </c>
      <c r="M72" s="49">
        <f>Anchoveta!L35</f>
        <v>0.84294014259110295</v>
      </c>
      <c r="N72" s="55" t="str">
        <f>'IC Anch y SardC VIII'!O18</f>
        <v>-</v>
      </c>
      <c r="O72" s="34">
        <f>RESUMEN!$B$3</f>
        <v>44201</v>
      </c>
      <c r="P72" s="11">
        <v>2021</v>
      </c>
    </row>
    <row r="73" spans="1:16">
      <c r="A73" s="11" t="s">
        <v>229</v>
      </c>
      <c r="B73" s="11" t="s">
        <v>192</v>
      </c>
      <c r="C73" s="11" t="s">
        <v>251</v>
      </c>
      <c r="D73" s="11" t="s">
        <v>246</v>
      </c>
      <c r="E73" s="11" t="str">
        <f>Anchoveta!D36</f>
        <v>Asociación Gremial de Armadores, Pescadores Artesanales y Actividades Afines, CHALLWAFE A.G. Registro de Asociaciones Gremiales RAG N° 674-8</v>
      </c>
      <c r="F73" s="11" t="s">
        <v>233</v>
      </c>
      <c r="G73" s="11" t="s">
        <v>234</v>
      </c>
      <c r="H73" s="11">
        <f>Anchoveta!F36</f>
        <v>1329.912</v>
      </c>
      <c r="I73" s="11">
        <f>Anchoveta!G36</f>
        <v>189.8</v>
      </c>
      <c r="J73" s="11">
        <f>Anchoveta!H36</f>
        <v>1519.712</v>
      </c>
      <c r="K73" s="11">
        <f>Anchoveta!I36</f>
        <v>581.68899999999996</v>
      </c>
      <c r="L73" s="11">
        <f>Anchoveta!K36</f>
        <v>938.02300000000002</v>
      </c>
      <c r="M73" s="49">
        <f>Anchoveta!L36</f>
        <v>0.38276265502937395</v>
      </c>
      <c r="N73" s="55" t="str">
        <f>'IC Anch y SardC VIII'!O19</f>
        <v>-</v>
      </c>
      <c r="O73" s="34">
        <f>RESUMEN!$B$3</f>
        <v>44201</v>
      </c>
      <c r="P73" s="11">
        <v>2021</v>
      </c>
    </row>
    <row r="74" spans="1:16" s="11" customFormat="1">
      <c r="A74" s="11" t="s">
        <v>229</v>
      </c>
      <c r="B74" s="11" t="s">
        <v>192</v>
      </c>
      <c r="C74" s="11" t="s">
        <v>251</v>
      </c>
      <c r="D74" s="11" t="s">
        <v>246</v>
      </c>
      <c r="E74" s="11" t="str">
        <f>Anchoveta!D37</f>
        <v>Asociación Gremial de Armadores, Pescadores Artesanales y Actividades Afines, de las Caletas de Coronel y Lota de la Región del Biobío PESCA SUR A.G. Registro de Asociaciones Gremiales RAG N° 680-8</v>
      </c>
      <c r="F74" s="11" t="s">
        <v>233</v>
      </c>
      <c r="G74" s="11" t="s">
        <v>234</v>
      </c>
      <c r="H74" s="11">
        <f>Anchoveta!F37</f>
        <v>149.41999999999999</v>
      </c>
      <c r="I74" s="11">
        <f>Anchoveta!G37</f>
        <v>2227.8000000000002</v>
      </c>
      <c r="J74" s="11">
        <f>Anchoveta!H37</f>
        <v>2377.2200000000003</v>
      </c>
      <c r="K74" s="11">
        <f>Anchoveta!I37</f>
        <v>2589.5309999999999</v>
      </c>
      <c r="L74" s="11">
        <f>Anchoveta!K37</f>
        <v>-212.31099999999969</v>
      </c>
      <c r="M74" s="49">
        <f>Anchoveta!L37</f>
        <v>1.0893106233331369</v>
      </c>
      <c r="N74" s="55" t="str">
        <f>'IC Anch y SardC VIII'!O20</f>
        <v>-</v>
      </c>
      <c r="O74" s="34">
        <f>RESUMEN!$B$3</f>
        <v>44201</v>
      </c>
      <c r="P74" s="11">
        <v>2021</v>
      </c>
    </row>
    <row r="75" spans="1:16">
      <c r="A75" s="11" t="s">
        <v>229</v>
      </c>
      <c r="B75" s="11" t="s">
        <v>192</v>
      </c>
      <c r="C75" s="11" t="s">
        <v>251</v>
      </c>
      <c r="D75" s="11" t="s">
        <v>246</v>
      </c>
      <c r="E75" s="11" t="str">
        <f>Anchoveta!D38</f>
        <v>Asociacion Gremial de Armadores, Pescadores artesanales, Buzos mariscadores, Recolectores de orilla y Ramos afines "A.G. ESCAFANDRAS CON HISTORIA DE TALCAHUANO" Registro Asociaciones Gremiales 62-8</v>
      </c>
      <c r="F75" s="11" t="s">
        <v>233</v>
      </c>
      <c r="G75" s="11" t="s">
        <v>234</v>
      </c>
      <c r="H75" s="11">
        <f>Anchoveta!F38</f>
        <v>568.99800000000005</v>
      </c>
      <c r="I75" s="11">
        <f>Anchoveta!G38</f>
        <v>0</v>
      </c>
      <c r="J75" s="11">
        <f>Anchoveta!H38</f>
        <v>568.99800000000005</v>
      </c>
      <c r="K75" s="11">
        <f>Anchoveta!I38</f>
        <v>370.642</v>
      </c>
      <c r="L75" s="11">
        <f>Anchoveta!K38</f>
        <v>198.35600000000005</v>
      </c>
      <c r="M75" s="49">
        <f>Anchoveta!L38</f>
        <v>0.6513942052520395</v>
      </c>
      <c r="N75" s="55" t="str">
        <f>'IC Anch y SardC VIII'!O21</f>
        <v>-</v>
      </c>
      <c r="O75" s="34">
        <f>RESUMEN!$B$3</f>
        <v>44201</v>
      </c>
      <c r="P75" s="11">
        <v>2021</v>
      </c>
    </row>
    <row r="76" spans="1:16">
      <c r="A76" s="11" t="s">
        <v>229</v>
      </c>
      <c r="B76" s="11" t="s">
        <v>192</v>
      </c>
      <c r="C76" s="11" t="s">
        <v>251</v>
      </c>
      <c r="D76" s="11" t="s">
        <v>246</v>
      </c>
      <c r="E76" s="11" t="str">
        <f>Anchoveta!D39</f>
        <v>Asociación Gremial de Pescadores Artesanales BLUE A.G. – BLUE A.G. Registro de Asociaciones Gremiales RAG N° 661-8</v>
      </c>
      <c r="F76" s="11" t="s">
        <v>233</v>
      </c>
      <c r="G76" s="11" t="s">
        <v>234</v>
      </c>
      <c r="H76" s="11">
        <f>Anchoveta!F39</f>
        <v>2511.3409999999999</v>
      </c>
      <c r="I76" s="11">
        <f>Anchoveta!G39</f>
        <v>-815</v>
      </c>
      <c r="J76" s="11">
        <f>Anchoveta!H39</f>
        <v>1696.3409999999999</v>
      </c>
      <c r="K76" s="11">
        <f>Anchoveta!I39</f>
        <v>1283.2370000000001</v>
      </c>
      <c r="L76" s="11">
        <f>Anchoveta!K39</f>
        <v>413.10399999999981</v>
      </c>
      <c r="M76" s="49">
        <f>Anchoveta!L39</f>
        <v>0.75647349206321146</v>
      </c>
      <c r="N76" s="55" t="str">
        <f>'IC Anch y SardC VIII'!O22</f>
        <v>-</v>
      </c>
      <c r="O76" s="34">
        <f>RESUMEN!$B$3</f>
        <v>44201</v>
      </c>
      <c r="P76" s="11">
        <v>2021</v>
      </c>
    </row>
    <row r="77" spans="1:16">
      <c r="A77" s="11" t="s">
        <v>229</v>
      </c>
      <c r="B77" s="11" t="s">
        <v>192</v>
      </c>
      <c r="C77" s="11" t="s">
        <v>251</v>
      </c>
      <c r="D77" s="11" t="s">
        <v>246</v>
      </c>
      <c r="E77" s="11" t="str">
        <f>Anchoveta!D40</f>
        <v>Asociación Gremial de Pescadores Artesanales de caleta INFIERNILLO, Registro de Asociaciones Gremiales 98-8</v>
      </c>
      <c r="F77" s="11" t="s">
        <v>233</v>
      </c>
      <c r="G77" s="11" t="s">
        <v>234</v>
      </c>
      <c r="H77" s="11">
        <f>Anchoveta!F40</f>
        <v>37.301000000000002</v>
      </c>
      <c r="I77" s="11">
        <f>Anchoveta!G40</f>
        <v>-29</v>
      </c>
      <c r="J77" s="11">
        <f>Anchoveta!H40</f>
        <v>8.3010000000000019</v>
      </c>
      <c r="K77" s="11">
        <f>Anchoveta!I40</f>
        <v>4.6440000000000001</v>
      </c>
      <c r="L77" s="11">
        <f>Anchoveta!K40</f>
        <v>3.6570000000000018</v>
      </c>
      <c r="M77" s="49">
        <f>Anchoveta!L40</f>
        <v>0.55945066859414516</v>
      </c>
      <c r="N77" s="55">
        <f>'IC Anch y SardC VIII'!O23</f>
        <v>44264</v>
      </c>
      <c r="O77" s="34">
        <f>RESUMEN!$B$3</f>
        <v>44201</v>
      </c>
      <c r="P77" s="11">
        <v>2021</v>
      </c>
    </row>
    <row r="78" spans="1:16">
      <c r="A78" s="11" t="s">
        <v>229</v>
      </c>
      <c r="B78" s="11" t="s">
        <v>192</v>
      </c>
      <c r="C78" s="11" t="s">
        <v>251</v>
      </c>
      <c r="D78" s="11" t="s">
        <v>246</v>
      </c>
      <c r="E78" s="11" t="str">
        <f>Anchoveta!D41</f>
        <v>Asociación Gremial de Pescadores Artesanales de Coronel, Registro de Asociaciones Gremiales 5-8</v>
      </c>
      <c r="F78" s="11" t="s">
        <v>233</v>
      </c>
      <c r="G78" s="11" t="s">
        <v>234</v>
      </c>
      <c r="H78" s="11">
        <f>Anchoveta!F41</f>
        <v>13352.383</v>
      </c>
      <c r="I78" s="11">
        <f>Anchoveta!G41</f>
        <v>6852.5000000000009</v>
      </c>
      <c r="J78" s="11">
        <f>Anchoveta!H41</f>
        <v>20204.883000000002</v>
      </c>
      <c r="K78" s="11">
        <f>Anchoveta!I41</f>
        <v>10725.04</v>
      </c>
      <c r="L78" s="11">
        <f>Anchoveta!K41</f>
        <v>9479.8430000000008</v>
      </c>
      <c r="M78" s="49">
        <f>Anchoveta!L41</f>
        <v>0.5308142591075633</v>
      </c>
      <c r="N78" s="55" t="str">
        <f>'IC Anch y SardC VIII'!O24</f>
        <v>-</v>
      </c>
      <c r="O78" s="34">
        <f>RESUMEN!$B$3</f>
        <v>44201</v>
      </c>
      <c r="P78" s="11">
        <v>2021</v>
      </c>
    </row>
    <row r="79" spans="1:16">
      <c r="A79" s="11" t="s">
        <v>229</v>
      </c>
      <c r="B79" s="11" t="s">
        <v>192</v>
      </c>
      <c r="C79" s="11" t="s">
        <v>251</v>
      </c>
      <c r="D79" s="11" t="s">
        <v>246</v>
      </c>
      <c r="E79" s="11" t="str">
        <f>Anchoveta!D42</f>
        <v>Asociación Gremial de Pescadores Artesanales de Lota - A.G. APESCA Lota, Registro de Asociaciones Gremiales 428-8</v>
      </c>
      <c r="F79" s="11" t="s">
        <v>233</v>
      </c>
      <c r="G79" s="11" t="s">
        <v>234</v>
      </c>
      <c r="H79" s="11">
        <f>Anchoveta!F42</f>
        <v>201.43799999999999</v>
      </c>
      <c r="I79" s="11">
        <f>Anchoveta!G42</f>
        <v>0</v>
      </c>
      <c r="J79" s="11">
        <f>Anchoveta!H42</f>
        <v>201.43799999999999</v>
      </c>
      <c r="K79" s="11">
        <f>Anchoveta!I42</f>
        <v>137.03899999999999</v>
      </c>
      <c r="L79" s="11">
        <f>Anchoveta!K42</f>
        <v>64.399000000000001</v>
      </c>
      <c r="M79" s="49">
        <f>Anchoveta!L42</f>
        <v>0.68030361699381448</v>
      </c>
      <c r="N79" s="55" t="str">
        <f>'IC Anch y SardC VIII'!O25</f>
        <v>-</v>
      </c>
      <c r="O79" s="34">
        <f>RESUMEN!$B$3</f>
        <v>44201</v>
      </c>
      <c r="P79" s="11">
        <v>2021</v>
      </c>
    </row>
    <row r="80" spans="1:16">
      <c r="A80" s="11" t="s">
        <v>229</v>
      </c>
      <c r="B80" s="11" t="s">
        <v>192</v>
      </c>
      <c r="C80" s="11" t="s">
        <v>251</v>
      </c>
      <c r="D80" s="11" t="s">
        <v>246</v>
      </c>
      <c r="E80" s="11" t="str">
        <f>Anchoveta!D43</f>
        <v>Asociación Gremial de Pescadores Artesanales de San Vicente – Talcahuano, Registro de Asociaciones Gremiales 18-8</v>
      </c>
      <c r="F80" s="11" t="s">
        <v>233</v>
      </c>
      <c r="G80" s="11" t="s">
        <v>234</v>
      </c>
      <c r="H80" s="11">
        <f>Anchoveta!F43</f>
        <v>2419.65</v>
      </c>
      <c r="I80" s="11">
        <f>Anchoveta!G43</f>
        <v>0</v>
      </c>
      <c r="J80" s="11">
        <f>Anchoveta!H43</f>
        <v>2419.65</v>
      </c>
      <c r="K80" s="11">
        <f>Anchoveta!I43</f>
        <v>2246.694</v>
      </c>
      <c r="L80" s="11">
        <f>Anchoveta!K43</f>
        <v>172.95600000000013</v>
      </c>
      <c r="M80" s="49">
        <f>Anchoveta!L43</f>
        <v>0.92852024053065518</v>
      </c>
      <c r="N80" s="55" t="str">
        <f>'IC Anch y SardC VIII'!O26</f>
        <v>-</v>
      </c>
      <c r="O80" s="34">
        <f>RESUMEN!$B$3</f>
        <v>44201</v>
      </c>
      <c r="P80" s="11">
        <v>2021</v>
      </c>
    </row>
    <row r="81" spans="1:16">
      <c r="A81" s="11" t="s">
        <v>229</v>
      </c>
      <c r="B81" s="11" t="s">
        <v>192</v>
      </c>
      <c r="C81" s="11" t="s">
        <v>251</v>
      </c>
      <c r="D81" s="11" t="s">
        <v>246</v>
      </c>
      <c r="E81" s="11" t="str">
        <f>Anchoveta!D44</f>
        <v>Asociación Gremial de Pescadores Artesanales, Armadores Artesanales Pelágicos y actividades Afines de la Caleta de LOTA VIII Región A.G.-SIERRA AZUL A.G., Registro de Asociaciones Gremiales 576-8</v>
      </c>
      <c r="F81" s="11" t="s">
        <v>233</v>
      </c>
      <c r="G81" s="11" t="s">
        <v>234</v>
      </c>
      <c r="H81" s="11">
        <f>Anchoveta!F44</f>
        <v>1501.0319999999999</v>
      </c>
      <c r="I81" s="11">
        <f>Anchoveta!G44</f>
        <v>0</v>
      </c>
      <c r="J81" s="11">
        <f>Anchoveta!H44</f>
        <v>1501.0319999999999</v>
      </c>
      <c r="K81" s="120">
        <f>Anchoveta!I44</f>
        <v>1270.1389999999999</v>
      </c>
      <c r="L81" s="120">
        <f>Anchoveta!K44</f>
        <v>230.89300000000003</v>
      </c>
      <c r="M81" s="49">
        <f>Anchoveta!L44</f>
        <v>0.84617716344488325</v>
      </c>
      <c r="N81" s="55" t="str">
        <f>'IC Anch y SardC VIII'!O27</f>
        <v>-</v>
      </c>
      <c r="O81" s="34">
        <f>RESUMEN!$B$3</f>
        <v>44201</v>
      </c>
      <c r="P81" s="11">
        <v>2021</v>
      </c>
    </row>
    <row r="82" spans="1:16">
      <c r="A82" s="11" t="s">
        <v>229</v>
      </c>
      <c r="B82" s="11" t="s">
        <v>192</v>
      </c>
      <c r="C82" s="11" t="s">
        <v>251</v>
      </c>
      <c r="D82" s="11" t="s">
        <v>246</v>
      </c>
      <c r="E82" s="11" t="str">
        <f>Anchoveta!D45</f>
        <v>Asociación Gremial de Pescadores y Armadores Artesanales Pelágicos de la Región del Bío Bío, "PESCA MAR A.G.", Registro de Asociaciones Gremiales 450-8</v>
      </c>
      <c r="F82" s="11" t="s">
        <v>233</v>
      </c>
      <c r="G82" s="11" t="s">
        <v>234</v>
      </c>
      <c r="H82" s="11">
        <f>Anchoveta!F45</f>
        <v>1424.2670000000001</v>
      </c>
      <c r="I82" s="11">
        <f>Anchoveta!G45</f>
        <v>0</v>
      </c>
      <c r="J82" s="11">
        <f>Anchoveta!H45</f>
        <v>1424.2670000000001</v>
      </c>
      <c r="K82" s="11">
        <f>Anchoveta!I45</f>
        <v>1688.0050000000001</v>
      </c>
      <c r="L82" s="11">
        <f>Anchoveta!K45</f>
        <v>-263.73800000000006</v>
      </c>
      <c r="M82" s="49">
        <f>Anchoveta!L45</f>
        <v>1.1851745494349024</v>
      </c>
      <c r="N82" s="55" t="str">
        <f>'IC Anch y SardC VIII'!O28</f>
        <v>-</v>
      </c>
      <c r="O82" s="34">
        <f>RESUMEN!$B$3</f>
        <v>44201</v>
      </c>
      <c r="P82" s="11">
        <v>2021</v>
      </c>
    </row>
    <row r="83" spans="1:16" s="11" customFormat="1">
      <c r="A83" s="11" t="s">
        <v>229</v>
      </c>
      <c r="B83" s="11" t="s">
        <v>192</v>
      </c>
      <c r="C83" s="11" t="s">
        <v>251</v>
      </c>
      <c r="D83" s="11" t="s">
        <v>246</v>
      </c>
      <c r="E83" s="11" t="str">
        <f>Anchoveta!D46</f>
        <v>Asociación Gremial de Pescadores y Armadores Artesanales Pelágicos Región Bío Bío A.G. ALTAMAR, Registro de Asociaciones Gremiales  555-8</v>
      </c>
      <c r="F83" s="11" t="s">
        <v>233</v>
      </c>
      <c r="G83" s="11" t="s">
        <v>234</v>
      </c>
      <c r="H83" s="11">
        <f>Anchoveta!F46</f>
        <v>3162.3560000000002</v>
      </c>
      <c r="I83" s="11">
        <f>Anchoveta!G46</f>
        <v>3</v>
      </c>
      <c r="J83" s="11">
        <f>Anchoveta!H46</f>
        <v>3165.3560000000002</v>
      </c>
      <c r="K83" s="11">
        <f>Anchoveta!I46</f>
        <v>1916.5340000000001</v>
      </c>
      <c r="L83" s="11">
        <f>Anchoveta!K46</f>
        <v>1248.8220000000001</v>
      </c>
      <c r="M83" s="49">
        <f>Anchoveta!L46</f>
        <v>0.60547186477603154</v>
      </c>
      <c r="N83" s="55" t="str">
        <f>'IC Anch y SardC VIII'!O29</f>
        <v>-</v>
      </c>
      <c r="O83" s="34">
        <f>RESUMEN!$B$3</f>
        <v>44201</v>
      </c>
      <c r="P83" s="11">
        <v>2021</v>
      </c>
    </row>
    <row r="84" spans="1:16">
      <c r="A84" s="11" t="s">
        <v>229</v>
      </c>
      <c r="B84" s="11" t="s">
        <v>192</v>
      </c>
      <c r="C84" s="11" t="s">
        <v>251</v>
      </c>
      <c r="D84" s="11" t="s">
        <v>246</v>
      </c>
      <c r="E84" s="11" t="str">
        <f>Anchoveta!D47</f>
        <v>Asociación Gremial de Productores Pelágicos Artesanales de las Caletas de Talcahuano y San Vicente de la VIII Región GEMAR A.G., Registro de Asociaciones Gremiales 464-8</v>
      </c>
      <c r="F84" s="11" t="s">
        <v>233</v>
      </c>
      <c r="G84" s="11" t="s">
        <v>234</v>
      </c>
      <c r="H84" s="11">
        <f>Anchoveta!F47</f>
        <v>2530.777</v>
      </c>
      <c r="I84" s="11">
        <f>Anchoveta!G47</f>
        <v>588.64300000000003</v>
      </c>
      <c r="J84" s="11">
        <f>Anchoveta!H47</f>
        <v>3119.42</v>
      </c>
      <c r="K84" s="11">
        <f>Anchoveta!I47</f>
        <v>2766.663</v>
      </c>
      <c r="L84" s="11">
        <f>Anchoveta!K47</f>
        <v>352.75700000000006</v>
      </c>
      <c r="M84" s="49">
        <f>Anchoveta!L47</f>
        <v>0.88691583691840148</v>
      </c>
      <c r="N84" s="55" t="str">
        <f>'IC Anch y SardC VIII'!O30</f>
        <v>-</v>
      </c>
      <c r="O84" s="34">
        <f>RESUMEN!$B$3</f>
        <v>44201</v>
      </c>
      <c r="P84" s="11">
        <v>2021</v>
      </c>
    </row>
    <row r="85" spans="1:16">
      <c r="A85" s="11" t="s">
        <v>229</v>
      </c>
      <c r="B85" s="11" t="s">
        <v>192</v>
      </c>
      <c r="C85" s="11" t="s">
        <v>251</v>
      </c>
      <c r="D85" s="11" t="s">
        <v>246</v>
      </c>
      <c r="E85" s="11" t="str">
        <f>Anchoveta!D48</f>
        <v>Cooperativa de Pescadores Sol de Israel Limitada "COOPES LTDA". Rol 5483</v>
      </c>
      <c r="F85" s="11" t="s">
        <v>233</v>
      </c>
      <c r="G85" s="11" t="s">
        <v>234</v>
      </c>
      <c r="H85" s="11">
        <f>Anchoveta!F48</f>
        <v>153.82400000000001</v>
      </c>
      <c r="I85" s="11">
        <f>Anchoveta!G48</f>
        <v>480.2</v>
      </c>
      <c r="J85" s="11">
        <f>Anchoveta!H48</f>
        <v>634.024</v>
      </c>
      <c r="K85" s="11">
        <f>Anchoveta!I48</f>
        <v>127.922</v>
      </c>
      <c r="L85" s="11">
        <f>Anchoveta!K48</f>
        <v>506.10199999999998</v>
      </c>
      <c r="M85" s="49">
        <f>Anchoveta!L48</f>
        <v>0.20176207840712654</v>
      </c>
      <c r="N85" s="55">
        <f>'IC Anch y SardC VIII'!O31</f>
        <v>44264</v>
      </c>
      <c r="O85" s="34">
        <f>RESUMEN!$B$3</f>
        <v>44201</v>
      </c>
      <c r="P85" s="11">
        <v>2021</v>
      </c>
    </row>
    <row r="86" spans="1:16">
      <c r="A86" s="11" t="s">
        <v>229</v>
      </c>
      <c r="B86" s="11" t="s">
        <v>192</v>
      </c>
      <c r="C86" s="11" t="s">
        <v>251</v>
      </c>
      <c r="D86" s="11" t="s">
        <v>246</v>
      </c>
      <c r="E86" s="11" t="str">
        <f>Anchoveta!D49</f>
        <v>Cooperativa de Pescadores y Armadores Artesanales de Lota "GEVIMAR". Registro de Cooperativa Rol 4465</v>
      </c>
      <c r="F86" s="11" t="s">
        <v>233</v>
      </c>
      <c r="G86" s="11" t="s">
        <v>234</v>
      </c>
      <c r="H86" s="11">
        <f>Anchoveta!F49</f>
        <v>1949.587</v>
      </c>
      <c r="I86" s="11">
        <f>Anchoveta!G49</f>
        <v>0</v>
      </c>
      <c r="J86" s="11">
        <f>Anchoveta!H49</f>
        <v>1949.587</v>
      </c>
      <c r="K86" s="11">
        <f>Anchoveta!I49</f>
        <v>1267.92</v>
      </c>
      <c r="L86" s="11">
        <f>Anchoveta!K49</f>
        <v>681.66699999999992</v>
      </c>
      <c r="M86" s="49">
        <f>Anchoveta!L49</f>
        <v>0.65035312607234252</v>
      </c>
      <c r="N86" s="55" t="str">
        <f>'IC Anch y SardC VIII'!O32</f>
        <v>-</v>
      </c>
      <c r="O86" s="34">
        <f>RESUMEN!$B$3</f>
        <v>44201</v>
      </c>
      <c r="P86" s="11">
        <v>2021</v>
      </c>
    </row>
    <row r="87" spans="1:16">
      <c r="A87" s="11" t="s">
        <v>229</v>
      </c>
      <c r="B87" s="11" t="s">
        <v>192</v>
      </c>
      <c r="C87" s="11" t="s">
        <v>251</v>
      </c>
      <c r="D87" s="11" t="s">
        <v>246</v>
      </c>
      <c r="E87" s="11" t="str">
        <f>Anchoveta!D50</f>
        <v>Cooperativa Pesquera Artesanal de Coronel Limitada. ROL 5472</v>
      </c>
      <c r="F87" s="11" t="s">
        <v>233</v>
      </c>
      <c r="G87" s="11" t="s">
        <v>234</v>
      </c>
      <c r="H87" s="11">
        <f>Anchoveta!F50</f>
        <v>7.7220000000000004</v>
      </c>
      <c r="I87" s="11">
        <f>Anchoveta!G50</f>
        <v>-7.7</v>
      </c>
      <c r="J87" s="11">
        <f>Anchoveta!H50</f>
        <v>2.2000000000000242E-2</v>
      </c>
      <c r="K87" s="11">
        <f>Anchoveta!I50</f>
        <v>0</v>
      </c>
      <c r="L87" s="11">
        <f>Anchoveta!K50</f>
        <v>2.2000000000000242E-2</v>
      </c>
      <c r="M87" s="49">
        <f>Anchoveta!L50</f>
        <v>0</v>
      </c>
      <c r="N87" s="55">
        <f>'IC Anch y SardC VIII'!O33</f>
        <v>44491</v>
      </c>
      <c r="O87" s="34">
        <f>RESUMEN!$B$3</f>
        <v>44201</v>
      </c>
      <c r="P87" s="11">
        <v>2021</v>
      </c>
    </row>
    <row r="88" spans="1:16">
      <c r="A88" s="11" t="s">
        <v>229</v>
      </c>
      <c r="B88" s="11" t="s">
        <v>192</v>
      </c>
      <c r="C88" s="11" t="s">
        <v>251</v>
      </c>
      <c r="D88" s="11" t="s">
        <v>246</v>
      </c>
      <c r="E88" s="11" t="str">
        <f>Anchoveta!D51</f>
        <v>Sindicato de  Pescadores Artesanales, Armadores Pelágicos y Actividades Conexas de la Caleta Vegas de Coliumo. Registro Sindical Único 08.06.0113</v>
      </c>
      <c r="F88" s="11" t="s">
        <v>233</v>
      </c>
      <c r="G88" s="11" t="s">
        <v>234</v>
      </c>
      <c r="H88" s="11">
        <f>Anchoveta!F51</f>
        <v>1548.902</v>
      </c>
      <c r="I88" s="11">
        <f>Anchoveta!G51</f>
        <v>-8</v>
      </c>
      <c r="J88" s="11">
        <f>Anchoveta!H51</f>
        <v>1540.902</v>
      </c>
      <c r="K88" s="11">
        <f>Anchoveta!I51</f>
        <v>1792.127</v>
      </c>
      <c r="L88" s="11">
        <f>Anchoveta!K51</f>
        <v>-251.22499999999991</v>
      </c>
      <c r="M88" s="49">
        <f>Anchoveta!L51</f>
        <v>1.163037623417972</v>
      </c>
      <c r="N88" s="55" t="str">
        <f>'IC Anch y SardC VIII'!O34</f>
        <v>-</v>
      </c>
      <c r="O88" s="34">
        <f>RESUMEN!$B$3</f>
        <v>44201</v>
      </c>
      <c r="P88" s="11">
        <v>2021</v>
      </c>
    </row>
    <row r="89" spans="1:16">
      <c r="A89" s="11" t="s">
        <v>229</v>
      </c>
      <c r="B89" s="11" t="s">
        <v>192</v>
      </c>
      <c r="C89" s="11" t="s">
        <v>251</v>
      </c>
      <c r="D89" s="11" t="s">
        <v>246</v>
      </c>
      <c r="E89" s="11" t="str">
        <f>Anchoveta!D52</f>
        <v>Sindicato de Armadores y Pescadores Mares Profundo. Registro Sindical Unico 08.04.0179</v>
      </c>
      <c r="F89" s="11" t="s">
        <v>233</v>
      </c>
      <c r="G89" s="11" t="s">
        <v>234</v>
      </c>
      <c r="H89" s="11">
        <f>Anchoveta!F52</f>
        <v>59.093000000000004</v>
      </c>
      <c r="I89" s="11">
        <f>Anchoveta!G52</f>
        <v>-59</v>
      </c>
      <c r="J89" s="11">
        <f>Anchoveta!H52</f>
        <v>9.3000000000003524E-2</v>
      </c>
      <c r="K89" s="11">
        <f>Anchoveta!I52</f>
        <v>0</v>
      </c>
      <c r="L89" s="11">
        <f>Anchoveta!K52</f>
        <v>9.3000000000003524E-2</v>
      </c>
      <c r="M89" s="49">
        <f>Anchoveta!L52</f>
        <v>0.99842620953412409</v>
      </c>
      <c r="N89" s="55">
        <f>'IC Anch y SardC VIII'!O35</f>
        <v>44491</v>
      </c>
      <c r="O89" s="34">
        <f>RESUMEN!$B$3</f>
        <v>44201</v>
      </c>
      <c r="P89" s="11">
        <v>2021</v>
      </c>
    </row>
    <row r="90" spans="1:16">
      <c r="A90" s="11" t="s">
        <v>229</v>
      </c>
      <c r="B90" s="11" t="s">
        <v>192</v>
      </c>
      <c r="C90" s="11" t="s">
        <v>251</v>
      </c>
      <c r="D90" s="11" t="s">
        <v>246</v>
      </c>
      <c r="E90" s="11" t="str">
        <f>Anchoveta!D53</f>
        <v>Sindicato de Pescadores Artesanales y Armadores Artesanales de la Octava Región "SPAADA SD". Registro Sindical Único 08.05.0339</v>
      </c>
      <c r="F90" s="11" t="s">
        <v>233</v>
      </c>
      <c r="G90" s="11" t="s">
        <v>234</v>
      </c>
      <c r="H90" s="11">
        <f>Anchoveta!F53</f>
        <v>2859.8249999999998</v>
      </c>
      <c r="I90" s="11">
        <f>Anchoveta!G53</f>
        <v>0</v>
      </c>
      <c r="J90" s="11">
        <f>Anchoveta!H53</f>
        <v>2859.8249999999998</v>
      </c>
      <c r="K90" s="11">
        <f>Anchoveta!I53</f>
        <v>2429.8139999999999</v>
      </c>
      <c r="L90" s="11">
        <f>Anchoveta!K53</f>
        <v>430.01099999999997</v>
      </c>
      <c r="M90" s="49">
        <f>Anchoveta!L53</f>
        <v>0.84963730298182583</v>
      </c>
      <c r="N90" s="55" t="str">
        <f>'IC Anch y SardC VIII'!O36</f>
        <v>-</v>
      </c>
      <c r="O90" s="34">
        <f>RESUMEN!$B$3</f>
        <v>44201</v>
      </c>
      <c r="P90" s="11">
        <v>2021</v>
      </c>
    </row>
    <row r="91" spans="1:16">
      <c r="A91" s="11" t="s">
        <v>229</v>
      </c>
      <c r="B91" s="11" t="s">
        <v>192</v>
      </c>
      <c r="C91" s="11" t="s">
        <v>251</v>
      </c>
      <c r="D91" s="11" t="s">
        <v>246</v>
      </c>
      <c r="E91" s="11" t="str">
        <f>Anchoveta!D54</f>
        <v>Sindicato de Pescadores y Armadores Artesanales del Mar "SIPARMAR - Talcahuano". Registro Sindical Único 08.05.0399</v>
      </c>
      <c r="F91" s="11" t="s">
        <v>233</v>
      </c>
      <c r="G91" s="11" t="s">
        <v>234</v>
      </c>
      <c r="H91" s="11">
        <f>Anchoveta!F54</f>
        <v>2435.0279999999998</v>
      </c>
      <c r="I91" s="11">
        <f>Anchoveta!G54</f>
        <v>0</v>
      </c>
      <c r="J91" s="11">
        <f>Anchoveta!H54</f>
        <v>2435.0279999999998</v>
      </c>
      <c r="K91" s="11">
        <f>Anchoveta!I54</f>
        <v>2042.4110000000001</v>
      </c>
      <c r="L91" s="11">
        <f>Anchoveta!K54</f>
        <v>392.61699999999973</v>
      </c>
      <c r="M91" s="49">
        <f>Anchoveta!L54</f>
        <v>0.83876283968808585</v>
      </c>
      <c r="N91" s="55" t="str">
        <f>'IC Anch y SardC VIII'!O37</f>
        <v>-</v>
      </c>
      <c r="O91" s="34">
        <f>RESUMEN!$B$3</f>
        <v>44201</v>
      </c>
      <c r="P91" s="11">
        <v>2021</v>
      </c>
    </row>
    <row r="92" spans="1:16">
      <c r="A92" s="11" t="s">
        <v>229</v>
      </c>
      <c r="B92" s="11" t="s">
        <v>192</v>
      </c>
      <c r="C92" s="11" t="s">
        <v>251</v>
      </c>
      <c r="D92" s="11" t="s">
        <v>246</v>
      </c>
      <c r="E92" s="11" t="str">
        <f>Anchoveta!D55</f>
        <v>Sindicato de Trabajadores Independientes "Brisas del Mar". Registro Sindical Único 08.04.0115</v>
      </c>
      <c r="F92" s="11" t="s">
        <v>233</v>
      </c>
      <c r="G92" s="11" t="s">
        <v>234</v>
      </c>
      <c r="H92" s="11">
        <f>Anchoveta!F55</f>
        <v>1.2E-2</v>
      </c>
      <c r="I92" s="11">
        <f>Anchoveta!G55</f>
        <v>0</v>
      </c>
      <c r="J92" s="11">
        <f>Anchoveta!H55</f>
        <v>1.2E-2</v>
      </c>
      <c r="K92" s="11">
        <f>Anchoveta!I55</f>
        <v>0</v>
      </c>
      <c r="L92" s="11">
        <f>Anchoveta!K55</f>
        <v>1.2E-2</v>
      </c>
      <c r="M92" s="49">
        <f>Anchoveta!L55</f>
        <v>0</v>
      </c>
      <c r="N92" s="55">
        <f>'IC Anch y SardC VIII'!O38</f>
        <v>44491</v>
      </c>
      <c r="O92" s="34">
        <f>RESUMEN!$B$3</f>
        <v>44201</v>
      </c>
      <c r="P92" s="11">
        <v>2021</v>
      </c>
    </row>
    <row r="93" spans="1:16">
      <c r="A93" s="11" t="s">
        <v>229</v>
      </c>
      <c r="B93" s="11" t="s">
        <v>192</v>
      </c>
      <c r="C93" s="11" t="s">
        <v>251</v>
      </c>
      <c r="D93" s="11" t="s">
        <v>246</v>
      </c>
      <c r="E93" s="11" t="str">
        <f>Anchoveta!D56</f>
        <v>Sindicato de Trabajadores Independientes Armadores  y Pescadores Artesanales, Buzos Mariscadores, Algueros acuicultores y Actividades conexas de la Región del Bio Bio (BIO BIO PESCA), Registro Sindical Único 08.05.0555</v>
      </c>
      <c r="F93" s="11" t="s">
        <v>233</v>
      </c>
      <c r="G93" s="11" t="s">
        <v>234</v>
      </c>
      <c r="H93" s="11">
        <f>Anchoveta!F56</f>
        <v>359.17099999999999</v>
      </c>
      <c r="I93" s="11">
        <f>Anchoveta!G56</f>
        <v>-150</v>
      </c>
      <c r="J93" s="11">
        <f>Anchoveta!H56</f>
        <v>209.17099999999999</v>
      </c>
      <c r="K93" s="11">
        <f>Anchoveta!I56</f>
        <v>105.92100000000001</v>
      </c>
      <c r="L93" s="11">
        <f>Anchoveta!K56</f>
        <v>103.24999999999999</v>
      </c>
      <c r="M93" s="49">
        <f>Anchoveta!L56</f>
        <v>0.50638472828451364</v>
      </c>
      <c r="N93" s="55" t="str">
        <f>'IC Anch y SardC VIII'!O39</f>
        <v>-</v>
      </c>
      <c r="O93" s="34">
        <f>RESUMEN!$B$3</f>
        <v>44201</v>
      </c>
      <c r="P93" s="11">
        <v>2021</v>
      </c>
    </row>
    <row r="94" spans="1:16">
      <c r="A94" s="11" t="s">
        <v>229</v>
      </c>
      <c r="B94" s="11" t="s">
        <v>192</v>
      </c>
      <c r="C94" s="11" t="s">
        <v>251</v>
      </c>
      <c r="D94" s="11" t="s">
        <v>246</v>
      </c>
      <c r="E94" s="11" t="str">
        <f>Anchoveta!D57</f>
        <v>Sindicato de Trabajadores Independientes Armadores Pescadores Artesanales, Algueros y Ramos Afines "MEDITERRANEO". Registro Sindical Único 08.05.0605</v>
      </c>
      <c r="F94" s="11" t="s">
        <v>233</v>
      </c>
      <c r="G94" s="11" t="s">
        <v>234</v>
      </c>
      <c r="H94" s="11">
        <f>Anchoveta!F57</f>
        <v>1141.6079999999999</v>
      </c>
      <c r="I94" s="11">
        <f>Anchoveta!G57</f>
        <v>-390</v>
      </c>
      <c r="J94" s="11">
        <f>Anchoveta!H57</f>
        <v>751.60799999999995</v>
      </c>
      <c r="K94" s="11">
        <f>Anchoveta!I57</f>
        <v>655.12300000000005</v>
      </c>
      <c r="L94" s="11">
        <f>Anchoveta!K57</f>
        <v>96.4849999999999</v>
      </c>
      <c r="M94" s="49">
        <f>Anchoveta!L57</f>
        <v>0.87162856169705494</v>
      </c>
      <c r="N94" s="55" t="str">
        <f>'IC Anch y SardC VIII'!O40</f>
        <v>-</v>
      </c>
      <c r="O94" s="34">
        <f>RESUMEN!$B$3</f>
        <v>44201</v>
      </c>
      <c r="P94" s="11">
        <v>2021</v>
      </c>
    </row>
    <row r="95" spans="1:16">
      <c r="A95" s="11" t="s">
        <v>229</v>
      </c>
      <c r="B95" s="11" t="s">
        <v>192</v>
      </c>
      <c r="C95" s="11" t="s">
        <v>251</v>
      </c>
      <c r="D95" s="11" t="s">
        <v>246</v>
      </c>
      <c r="E95" s="11" t="str">
        <f>Anchoveta!D58</f>
        <v>Sindicato de Trabajadores Independientes Armadores Pescadores del Mar "SIARPEMAR". Registro Sindical Único 08.05.0459.</v>
      </c>
      <c r="F95" s="11" t="s">
        <v>233</v>
      </c>
      <c r="G95" s="11" t="s">
        <v>234</v>
      </c>
      <c r="H95" s="11">
        <f>Anchoveta!F58</f>
        <v>381.61700000000002</v>
      </c>
      <c r="I95" s="11">
        <f>Anchoveta!G58</f>
        <v>-150</v>
      </c>
      <c r="J95" s="11">
        <f>Anchoveta!H58</f>
        <v>231.61700000000002</v>
      </c>
      <c r="K95" s="11">
        <f>Anchoveta!I58</f>
        <v>374.67099999999999</v>
      </c>
      <c r="L95" s="11">
        <f>Anchoveta!K58</f>
        <v>-143.05399999999997</v>
      </c>
      <c r="M95" s="49">
        <f>Anchoveta!L58</f>
        <v>1.6176316937012394</v>
      </c>
      <c r="N95" s="55">
        <f>'IC Anch y SardC VIII'!O41</f>
        <v>44491</v>
      </c>
      <c r="O95" s="34">
        <f>RESUMEN!$B$3</f>
        <v>44201</v>
      </c>
      <c r="P95" s="11">
        <v>2021</v>
      </c>
    </row>
    <row r="96" spans="1:16">
      <c r="A96" s="11" t="s">
        <v>229</v>
      </c>
      <c r="B96" s="11" t="s">
        <v>192</v>
      </c>
      <c r="C96" s="11" t="s">
        <v>251</v>
      </c>
      <c r="D96" s="11" t="s">
        <v>246</v>
      </c>
      <c r="E96" s="11" t="str">
        <f>Anchoveta!D59</f>
        <v xml:space="preserve"> Sindicato de Trabajadores Independientes Armadores y Pescadores Artesanales y Ramos Afines  Caleta La Gloria comuna de Talcahuano, Registro Sindical Único 08.05.0603</v>
      </c>
      <c r="F96" s="11" t="s">
        <v>233</v>
      </c>
      <c r="G96" s="11" t="s">
        <v>234</v>
      </c>
      <c r="H96" s="11">
        <f>Anchoveta!F59</f>
        <v>2357.355</v>
      </c>
      <c r="I96" s="11">
        <f>Anchoveta!G59</f>
        <v>725</v>
      </c>
      <c r="J96" s="11">
        <f>Anchoveta!H59</f>
        <v>3082.355</v>
      </c>
      <c r="K96" s="11">
        <f>Anchoveta!I59</f>
        <v>2616.8339999999998</v>
      </c>
      <c r="L96" s="11">
        <f>Anchoveta!K59</f>
        <v>465.52100000000019</v>
      </c>
      <c r="M96" s="49">
        <f>Anchoveta!L59</f>
        <v>0.84897229553377196</v>
      </c>
      <c r="N96" s="55" t="str">
        <f>'IC Anch y SardC VIII'!O42</f>
        <v>-</v>
      </c>
      <c r="O96" s="34">
        <f>RESUMEN!$B$3</f>
        <v>44201</v>
      </c>
      <c r="P96" s="11">
        <v>2021</v>
      </c>
    </row>
    <row r="97" spans="1:16">
      <c r="A97" s="11" t="s">
        <v>229</v>
      </c>
      <c r="B97" s="11" t="s">
        <v>192</v>
      </c>
      <c r="C97" s="11" t="s">
        <v>251</v>
      </c>
      <c r="D97" s="11" t="s">
        <v>246</v>
      </c>
      <c r="E97" s="11" t="str">
        <f>Anchoveta!D60</f>
        <v>Sindicato de Trabajadores Independientes Armadores y Pescadores y Ramos Afines de la Pesca Artesanal de la Caleta Lo Rojas "SITRAL", Registro Sindical Único 08.07.0322</v>
      </c>
      <c r="F97" s="11" t="s">
        <v>233</v>
      </c>
      <c r="G97" s="11" t="s">
        <v>234</v>
      </c>
      <c r="H97" s="11">
        <f>Anchoveta!F60</f>
        <v>1075.817</v>
      </c>
      <c r="I97" s="11">
        <f>Anchoveta!G60</f>
        <v>-808</v>
      </c>
      <c r="J97" s="11">
        <f>Anchoveta!H60</f>
        <v>267.81700000000001</v>
      </c>
      <c r="K97" s="11">
        <f>Anchoveta!I60</f>
        <v>268.47000000000003</v>
      </c>
      <c r="L97" s="11">
        <f>Anchoveta!K60</f>
        <v>-0.65300000000002001</v>
      </c>
      <c r="M97" s="49">
        <f>Anchoveta!L60</f>
        <v>1.0024382320763805</v>
      </c>
      <c r="N97" s="55" t="str">
        <f>'IC Anch y SardC VIII'!O43</f>
        <v>-</v>
      </c>
      <c r="O97" s="34">
        <f>RESUMEN!$B$3</f>
        <v>44201</v>
      </c>
      <c r="P97" s="11">
        <v>2021</v>
      </c>
    </row>
    <row r="98" spans="1:16">
      <c r="A98" s="11" t="s">
        <v>229</v>
      </c>
      <c r="B98" s="11" t="s">
        <v>192</v>
      </c>
      <c r="C98" s="11" t="s">
        <v>251</v>
      </c>
      <c r="D98" s="11" t="s">
        <v>246</v>
      </c>
      <c r="E98" s="11" t="str">
        <f>Anchoveta!D61</f>
        <v>Sindicato de Trabajadores Independientes Armadores, Pescadores y Ramos Afines de la Pesca Artesanal de la Región del  Bio-Bio, "SARPAR BIO-BIO". Registro Sindical Único 08.05.0378</v>
      </c>
      <c r="F98" s="11" t="s">
        <v>233</v>
      </c>
      <c r="G98" s="11" t="s">
        <v>234</v>
      </c>
      <c r="H98" s="11">
        <f>Anchoveta!F61</f>
        <v>614.85500000000002</v>
      </c>
      <c r="I98" s="11">
        <f>Anchoveta!G61</f>
        <v>0</v>
      </c>
      <c r="J98" s="11">
        <f>Anchoveta!H61</f>
        <v>614.85500000000002</v>
      </c>
      <c r="K98" s="11">
        <f>Anchoveta!I61</f>
        <v>206.93199999999999</v>
      </c>
      <c r="L98" s="11">
        <f>Anchoveta!K61</f>
        <v>407.923</v>
      </c>
      <c r="M98" s="49">
        <f>Anchoveta!L61</f>
        <v>0.3365541469126867</v>
      </c>
      <c r="N98" s="55" t="str">
        <f>'IC Anch y SardC VIII'!O44</f>
        <v>-</v>
      </c>
      <c r="O98" s="34">
        <f>RESUMEN!$B$3</f>
        <v>44201</v>
      </c>
      <c r="P98" s="11">
        <v>2021</v>
      </c>
    </row>
    <row r="99" spans="1:16">
      <c r="A99" s="11" t="s">
        <v>229</v>
      </c>
      <c r="B99" s="11" t="s">
        <v>192</v>
      </c>
      <c r="C99" s="11" t="s">
        <v>251</v>
      </c>
      <c r="D99" s="11" t="s">
        <v>246</v>
      </c>
      <c r="E99" s="11" t="str">
        <f>Anchoveta!D62</f>
        <v>Sindicato de Trabajadores Independientes de Armadores y Pescadores Artesanales y Ramas afines, Registro Sindical Único 08.05.0512</v>
      </c>
      <c r="F99" s="11" t="s">
        <v>233</v>
      </c>
      <c r="G99" s="11" t="s">
        <v>234</v>
      </c>
      <c r="H99" s="11">
        <f>Anchoveta!F62</f>
        <v>1923.854</v>
      </c>
      <c r="I99" s="11">
        <f>Anchoveta!G62</f>
        <v>-600</v>
      </c>
      <c r="J99" s="11">
        <f>Anchoveta!H62</f>
        <v>1323.854</v>
      </c>
      <c r="K99" s="11">
        <f>Anchoveta!I62</f>
        <v>1016.586</v>
      </c>
      <c r="L99" s="11">
        <f>Anchoveta!K62</f>
        <v>307.26800000000003</v>
      </c>
      <c r="M99" s="49">
        <f>Anchoveta!L62</f>
        <v>0.76789887706650428</v>
      </c>
      <c r="N99" s="55" t="str">
        <f>'IC Anch y SardC VIII'!O45</f>
        <v>-</v>
      </c>
      <c r="O99" s="34">
        <f>RESUMEN!$B$3</f>
        <v>44201</v>
      </c>
      <c r="P99" s="11">
        <v>2021</v>
      </c>
    </row>
    <row r="100" spans="1:16">
      <c r="A100" s="11" t="s">
        <v>229</v>
      </c>
      <c r="B100" s="11" t="s">
        <v>192</v>
      </c>
      <c r="C100" s="11" t="s">
        <v>251</v>
      </c>
      <c r="D100" s="11" t="s">
        <v>246</v>
      </c>
      <c r="E100" s="11" t="str">
        <f>Anchoveta!D63</f>
        <v>Sindicato de Trabajadores Independientes de la Pesca Artesanal de la Peninsula de Hualpen. Registro Sindical Único 08.05.0502</v>
      </c>
      <c r="F100" s="11" t="s">
        <v>233</v>
      </c>
      <c r="G100" s="11" t="s">
        <v>234</v>
      </c>
      <c r="H100" s="11">
        <f>Anchoveta!F63</f>
        <v>112.79</v>
      </c>
      <c r="I100" s="11">
        <f>Anchoveta!G63</f>
        <v>-108.7</v>
      </c>
      <c r="J100" s="11">
        <f>Anchoveta!H63</f>
        <v>4.0900000000000034</v>
      </c>
      <c r="K100" s="11">
        <f>Anchoveta!I63</f>
        <v>4.0519999999999996</v>
      </c>
      <c r="L100" s="11">
        <f>Anchoveta!K63</f>
        <v>3.8000000000003809E-2</v>
      </c>
      <c r="M100" s="49">
        <f>Anchoveta!L63</f>
        <v>0.99070904645476676</v>
      </c>
      <c r="N100" s="55" t="str">
        <f>'IC Anch y SardC VIII'!O46</f>
        <v>-</v>
      </c>
      <c r="O100" s="34">
        <f>RESUMEN!$B$3</f>
        <v>44201</v>
      </c>
      <c r="P100" s="11">
        <v>2021</v>
      </c>
    </row>
    <row r="101" spans="1:16">
      <c r="A101" s="11" t="s">
        <v>229</v>
      </c>
      <c r="B101" s="11" t="s">
        <v>192</v>
      </c>
      <c r="C101" s="11" t="s">
        <v>251</v>
      </c>
      <c r="D101" s="11" t="s">
        <v>246</v>
      </c>
      <c r="E101" s="11" t="str">
        <f>Anchoveta!D64</f>
        <v>Sindicato de Trabajadores Independientes de la Pesca Artesanal, Armadores Artesanales Pelágicos Actividades Afines y Actividades Conexas de la Comuna de Talcahuano, "MAR AZUL".  Registro Sindical Único 08.05.0434</v>
      </c>
      <c r="F101" s="11" t="s">
        <v>233</v>
      </c>
      <c r="G101" s="11" t="s">
        <v>234</v>
      </c>
      <c r="H101" s="11">
        <f>Anchoveta!F64</f>
        <v>886.77499999999998</v>
      </c>
      <c r="I101" s="11">
        <f>Anchoveta!G64</f>
        <v>0</v>
      </c>
      <c r="J101" s="11">
        <f>Anchoveta!H64</f>
        <v>886.77499999999998</v>
      </c>
      <c r="K101" s="11">
        <f>Anchoveta!I64</f>
        <v>1003.51</v>
      </c>
      <c r="L101" s="11">
        <f>Anchoveta!K64</f>
        <v>-116.73500000000001</v>
      </c>
      <c r="M101" s="49">
        <f>Anchoveta!L64</f>
        <v>1.1316399312114123</v>
      </c>
      <c r="N101" s="55" t="str">
        <f>'IC Anch y SardC VIII'!O47</f>
        <v>-</v>
      </c>
      <c r="O101" s="34">
        <f>RESUMEN!$B$3</f>
        <v>44201</v>
      </c>
      <c r="P101" s="11">
        <v>2021</v>
      </c>
    </row>
    <row r="102" spans="1:16">
      <c r="A102" s="11" t="s">
        <v>229</v>
      </c>
      <c r="B102" s="11" t="s">
        <v>192</v>
      </c>
      <c r="C102" s="11" t="s">
        <v>251</v>
      </c>
      <c r="D102" s="11" t="s">
        <v>246</v>
      </c>
      <c r="E102" s="11" t="str">
        <f>Anchoveta!D65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102" s="11" t="s">
        <v>233</v>
      </c>
      <c r="G102" s="11" t="s">
        <v>234</v>
      </c>
      <c r="H102" s="11">
        <f>Anchoveta!F65</f>
        <v>1876.9059999999999</v>
      </c>
      <c r="I102" s="11">
        <f>Anchoveta!G65</f>
        <v>0</v>
      </c>
      <c r="J102" s="11">
        <f>Anchoveta!H65</f>
        <v>1876.9059999999999</v>
      </c>
      <c r="K102" s="11">
        <f>Anchoveta!I65</f>
        <v>2176.2109999999998</v>
      </c>
      <c r="L102" s="11">
        <f>Anchoveta!K65</f>
        <v>-299.30499999999984</v>
      </c>
      <c r="M102" s="49">
        <f>Anchoveta!L65</f>
        <v>1.1594672295788919</v>
      </c>
      <c r="N102" s="55" t="str">
        <f>'IC Anch y SardC VIII'!O48</f>
        <v>-</v>
      </c>
      <c r="O102" s="34">
        <f>RESUMEN!$B$3</f>
        <v>44201</v>
      </c>
      <c r="P102" s="11">
        <v>2021</v>
      </c>
    </row>
    <row r="103" spans="1:16">
      <c r="A103" s="11" t="s">
        <v>229</v>
      </c>
      <c r="B103" s="11" t="s">
        <v>192</v>
      </c>
      <c r="C103" s="11" t="s">
        <v>251</v>
      </c>
      <c r="D103" s="11" t="s">
        <v>246</v>
      </c>
      <c r="E103" s="11" t="str">
        <f>Anchoveta!D66</f>
        <v>Sindicato de Trabajadores Independientes de Pescadores Artesanales Caleta Lo Rojas "SITRAINPAR". Registro Sindical Único 08.07.0287.</v>
      </c>
      <c r="F103" s="11" t="s">
        <v>233</v>
      </c>
      <c r="G103" s="11" t="s">
        <v>234</v>
      </c>
      <c r="H103" s="11">
        <f>Anchoveta!F66</f>
        <v>893.57100000000003</v>
      </c>
      <c r="I103" s="11">
        <f>Anchoveta!G66</f>
        <v>75</v>
      </c>
      <c r="J103" s="11">
        <f>Anchoveta!H66</f>
        <v>968.57100000000003</v>
      </c>
      <c r="K103" s="11">
        <f>Anchoveta!I66</f>
        <v>456.32400000000001</v>
      </c>
      <c r="L103" s="11">
        <f>Anchoveta!K66</f>
        <v>512.24700000000007</v>
      </c>
      <c r="M103" s="49">
        <f>Anchoveta!L66</f>
        <v>0.4711311819164522</v>
      </c>
      <c r="N103" s="55" t="str">
        <f>'IC Anch y SardC VIII'!O49</f>
        <v>-</v>
      </c>
      <c r="O103" s="34">
        <f>RESUMEN!$B$3</f>
        <v>44201</v>
      </c>
      <c r="P103" s="11">
        <v>2021</v>
      </c>
    </row>
    <row r="104" spans="1:16">
      <c r="A104" s="11" t="s">
        <v>229</v>
      </c>
      <c r="B104" s="11" t="s">
        <v>192</v>
      </c>
      <c r="C104" s="11" t="s">
        <v>251</v>
      </c>
      <c r="D104" s="11" t="s">
        <v>246</v>
      </c>
      <c r="E104" s="11" t="str">
        <f>Anchoveta!D67</f>
        <v>Sindicato de Trabajadores Independientes de Pescadores Artesanales Lo Rojas y Caletas Anexas del Golfo de Arauco. Registro Sindical Único 08.07.0307</v>
      </c>
      <c r="F104" s="11" t="s">
        <v>233</v>
      </c>
      <c r="G104" s="11" t="s">
        <v>234</v>
      </c>
      <c r="H104" s="11">
        <f>Anchoveta!F67</f>
        <v>2313.4259999999999</v>
      </c>
      <c r="I104" s="11">
        <f>Anchoveta!G67</f>
        <v>-2313</v>
      </c>
      <c r="J104" s="11">
        <f>Anchoveta!H67</f>
        <v>0.42599999999993088</v>
      </c>
      <c r="K104" s="11">
        <f>Anchoveta!I67</f>
        <v>0</v>
      </c>
      <c r="L104" s="11">
        <f>Anchoveta!K67</f>
        <v>0.42599999999993088</v>
      </c>
      <c r="M104" s="49">
        <f>Anchoveta!L67</f>
        <v>0.9998158575204048</v>
      </c>
      <c r="N104" s="55">
        <f>'IC Anch y SardC VIII'!O50</f>
        <v>44282</v>
      </c>
      <c r="O104" s="34">
        <f>RESUMEN!$B$3</f>
        <v>44201</v>
      </c>
      <c r="P104" s="11">
        <v>2021</v>
      </c>
    </row>
    <row r="105" spans="1:16">
      <c r="A105" s="11" t="s">
        <v>229</v>
      </c>
      <c r="B105" s="11" t="s">
        <v>192</v>
      </c>
      <c r="C105" s="11" t="s">
        <v>251</v>
      </c>
      <c r="D105" s="11" t="s">
        <v>246</v>
      </c>
      <c r="E105" s="11" t="str">
        <f>Anchoveta!D68</f>
        <v>Sindicato de Trabajadores Independientes de Pescadores Artesanales y Actividades Conexas Caleta de Pueblo Hundido, La Conchilla y El Morro - LOTA. Registro Sindical Único 08.07.0061</v>
      </c>
      <c r="F105" s="11" t="s">
        <v>233</v>
      </c>
      <c r="G105" s="11" t="s">
        <v>234</v>
      </c>
      <c r="H105" s="11">
        <f>Anchoveta!F68</f>
        <v>14.355</v>
      </c>
      <c r="I105" s="11">
        <f>Anchoveta!G68</f>
        <v>0</v>
      </c>
      <c r="J105" s="11">
        <f>Anchoveta!H68</f>
        <v>14.355</v>
      </c>
      <c r="K105" s="11">
        <f>Anchoveta!I68</f>
        <v>0</v>
      </c>
      <c r="L105" s="11">
        <f>Anchoveta!K68</f>
        <v>14.355</v>
      </c>
      <c r="M105" s="49">
        <f>Anchoveta!L68</f>
        <v>0</v>
      </c>
      <c r="N105" s="55" t="str">
        <f>'IC Anch y SardC VIII'!O51</f>
        <v>-</v>
      </c>
      <c r="O105" s="34">
        <f>RESUMEN!$B$3</f>
        <v>44201</v>
      </c>
      <c r="P105" s="11">
        <v>2021</v>
      </c>
    </row>
    <row r="106" spans="1:16">
      <c r="A106" s="11" t="s">
        <v>229</v>
      </c>
      <c r="B106" s="11" t="s">
        <v>192</v>
      </c>
      <c r="C106" s="11" t="s">
        <v>251</v>
      </c>
      <c r="D106" s="11" t="s">
        <v>246</v>
      </c>
      <c r="E106" s="11" t="str">
        <f>Anchoveta!D69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106" s="11" t="s">
        <v>233</v>
      </c>
      <c r="G106" s="11" t="s">
        <v>234</v>
      </c>
      <c r="H106" s="11">
        <f>Anchoveta!F69</f>
        <v>3138.2489999999998</v>
      </c>
      <c r="I106" s="11">
        <f>Anchoveta!G69</f>
        <v>1</v>
      </c>
      <c r="J106" s="11">
        <f>Anchoveta!H69</f>
        <v>3139.2489999999998</v>
      </c>
      <c r="K106" s="11">
        <f>Anchoveta!I69</f>
        <v>3489.768</v>
      </c>
      <c r="L106" s="11">
        <f>Anchoveta!K69</f>
        <v>-350.51900000000023</v>
      </c>
      <c r="M106" s="49">
        <f>Anchoveta!L69</f>
        <v>1.1116569599926607</v>
      </c>
      <c r="N106" s="55" t="str">
        <f>'IC Anch y SardC VIII'!O52</f>
        <v>-</v>
      </c>
      <c r="O106" s="34">
        <f>RESUMEN!$B$3</f>
        <v>44201</v>
      </c>
      <c r="P106" s="11">
        <v>2021</v>
      </c>
    </row>
    <row r="107" spans="1:16">
      <c r="A107" s="11" t="s">
        <v>229</v>
      </c>
      <c r="B107" s="11" t="s">
        <v>192</v>
      </c>
      <c r="C107" s="11" t="s">
        <v>251</v>
      </c>
      <c r="D107" s="11" t="s">
        <v>246</v>
      </c>
      <c r="E107" s="11" t="str">
        <f>Anchoveta!D70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107" s="11" t="s">
        <v>233</v>
      </c>
      <c r="G107" s="11" t="s">
        <v>234</v>
      </c>
      <c r="H107" s="11">
        <f>Anchoveta!F70</f>
        <v>247.589</v>
      </c>
      <c r="I107" s="11">
        <f>Anchoveta!G70</f>
        <v>174</v>
      </c>
      <c r="J107" s="11">
        <f>Anchoveta!H70</f>
        <v>421.589</v>
      </c>
      <c r="K107" s="11">
        <f>Anchoveta!I70</f>
        <v>335.98399999999998</v>
      </c>
      <c r="L107" s="11">
        <f>Anchoveta!K70</f>
        <v>85.605000000000018</v>
      </c>
      <c r="M107" s="49">
        <f>Anchoveta!L70</f>
        <v>0.79694678940864205</v>
      </c>
      <c r="N107" s="55" t="str">
        <f>'IC Anch y SardC VIII'!O53</f>
        <v>-</v>
      </c>
      <c r="O107" s="34">
        <f>RESUMEN!$B$3</f>
        <v>44201</v>
      </c>
      <c r="P107" s="11">
        <v>2021</v>
      </c>
    </row>
    <row r="108" spans="1:16">
      <c r="A108" s="11" t="s">
        <v>229</v>
      </c>
      <c r="B108" s="11" t="s">
        <v>192</v>
      </c>
      <c r="C108" s="11" t="s">
        <v>251</v>
      </c>
      <c r="D108" s="11" t="s">
        <v>246</v>
      </c>
      <c r="E108" s="11" t="str">
        <f>Anchoveta!D71</f>
        <v>Sindicato de Trabajadores Independientes Pescadores Armadores y Ramos Afines de la Pesca Artesanal, APAT, Registro Sindical Único 08.05.0380</v>
      </c>
      <c r="F108" s="11" t="s">
        <v>233</v>
      </c>
      <c r="G108" s="11" t="s">
        <v>234</v>
      </c>
      <c r="H108" s="11">
        <f>Anchoveta!F71</f>
        <v>838.85199999999998</v>
      </c>
      <c r="I108" s="11">
        <f>Anchoveta!G71</f>
        <v>-167</v>
      </c>
      <c r="J108" s="11">
        <f>Anchoveta!H71</f>
        <v>671.85199999999998</v>
      </c>
      <c r="K108" s="11">
        <f>Anchoveta!I71</f>
        <v>396.21100000000001</v>
      </c>
      <c r="L108" s="11">
        <f>Anchoveta!K71</f>
        <v>275.64099999999996</v>
      </c>
      <c r="M108" s="49">
        <f>Anchoveta!L71</f>
        <v>0.58972958330108416</v>
      </c>
      <c r="N108" s="55" t="str">
        <f>'IC Anch y SardC VIII'!O54</f>
        <v>-</v>
      </c>
      <c r="O108" s="34">
        <f>RESUMEN!$B$3</f>
        <v>44201</v>
      </c>
      <c r="P108" s="11">
        <v>2021</v>
      </c>
    </row>
    <row r="109" spans="1:16">
      <c r="A109" s="11" t="s">
        <v>229</v>
      </c>
      <c r="B109" s="11" t="s">
        <v>192</v>
      </c>
      <c r="C109" s="11" t="s">
        <v>251</v>
      </c>
      <c r="D109" s="11" t="s">
        <v>246</v>
      </c>
      <c r="E109" s="11" t="str">
        <f>Anchoveta!D72</f>
        <v>Sindicato de Trabajadores Independientes Pescadores Artesanales de Caleta Tumbes - Talcahuano, Registro Sindical Único 08.05.0057</v>
      </c>
      <c r="F109" s="11" t="s">
        <v>233</v>
      </c>
      <c r="G109" s="11" t="s">
        <v>234</v>
      </c>
      <c r="H109" s="11">
        <f>Anchoveta!F72</f>
        <v>3804.8090000000002</v>
      </c>
      <c r="I109" s="11">
        <f>Anchoveta!G72</f>
        <v>-235</v>
      </c>
      <c r="J109" s="11">
        <f>Anchoveta!H72</f>
        <v>3569.8090000000002</v>
      </c>
      <c r="K109" s="11">
        <f>Anchoveta!I72</f>
        <v>3881.1030000000001</v>
      </c>
      <c r="L109" s="11">
        <f>Anchoveta!K72</f>
        <v>-311.29399999999987</v>
      </c>
      <c r="M109" s="49">
        <f>Anchoveta!L72</f>
        <v>1.0872018643014234</v>
      </c>
      <c r="N109" s="55" t="str">
        <f>'IC Anch y SardC VIII'!O55</f>
        <v>-</v>
      </c>
      <c r="O109" s="34">
        <f>RESUMEN!$B$3</f>
        <v>44201</v>
      </c>
      <c r="P109" s="11">
        <v>2021</v>
      </c>
    </row>
    <row r="110" spans="1:16">
      <c r="A110" s="11" t="s">
        <v>229</v>
      </c>
      <c r="B110" s="11" t="s">
        <v>192</v>
      </c>
      <c r="C110" s="11" t="s">
        <v>251</v>
      </c>
      <c r="D110" s="11" t="s">
        <v>246</v>
      </c>
      <c r="E110" s="11" t="str">
        <f>Anchoveta!D73</f>
        <v>Sindicato de Trabajadores Independientes Pescadores Artesanales Históricos de Talcahuano, "SPARHITAL". Registro Sindical Único 08.05.0382</v>
      </c>
      <c r="F110" s="11" t="s">
        <v>233</v>
      </c>
      <c r="G110" s="11" t="s">
        <v>234</v>
      </c>
      <c r="H110" s="11">
        <f>Anchoveta!F73</f>
        <v>1155.134</v>
      </c>
      <c r="I110" s="11">
        <f>Anchoveta!G73</f>
        <v>-425</v>
      </c>
      <c r="J110" s="11">
        <f>Anchoveta!H73</f>
        <v>730.13400000000001</v>
      </c>
      <c r="K110" s="11">
        <f>Anchoveta!I73</f>
        <v>581.55600000000004</v>
      </c>
      <c r="L110" s="11">
        <f>Anchoveta!K73</f>
        <v>148.57799999999997</v>
      </c>
      <c r="M110" s="49">
        <f>Anchoveta!L73</f>
        <v>0.79650584687194415</v>
      </c>
      <c r="N110" s="55" t="str">
        <f>'IC Anch y SardC VIII'!O56</f>
        <v>-</v>
      </c>
      <c r="O110" s="34">
        <f>RESUMEN!$B$3</f>
        <v>44201</v>
      </c>
      <c r="P110" s="11">
        <v>2021</v>
      </c>
    </row>
    <row r="111" spans="1:16">
      <c r="A111" s="11" t="s">
        <v>229</v>
      </c>
      <c r="B111" s="11" t="s">
        <v>192</v>
      </c>
      <c r="C111" s="11" t="s">
        <v>251</v>
      </c>
      <c r="D111" s="11" t="s">
        <v>246</v>
      </c>
      <c r="E111" s="11" t="str">
        <f>Anchoveta!D74</f>
        <v>Sindicato de Trabajadores Independientes Pescadores Artesanales Península de Tumbes, Registro Sindical Único 08.05.0391</v>
      </c>
      <c r="F111" s="11" t="s">
        <v>233</v>
      </c>
      <c r="G111" s="11" t="s">
        <v>234</v>
      </c>
      <c r="H111" s="11">
        <f>Anchoveta!F74</f>
        <v>1906.6969999999999</v>
      </c>
      <c r="I111" s="11">
        <f>Anchoveta!G74</f>
        <v>-235</v>
      </c>
      <c r="J111" s="11">
        <f>Anchoveta!H74</f>
        <v>1671.6969999999999</v>
      </c>
      <c r="K111" s="11">
        <f>Anchoveta!I74</f>
        <v>1965.3979999999999</v>
      </c>
      <c r="L111" s="11">
        <f>Anchoveta!K74</f>
        <v>-293.70100000000002</v>
      </c>
      <c r="M111" s="49">
        <f>Anchoveta!L74</f>
        <v>1.1756903314416429</v>
      </c>
      <c r="N111" s="55" t="str">
        <f>'IC Anch y SardC VIII'!O57</f>
        <v>-</v>
      </c>
      <c r="O111" s="34">
        <f>RESUMEN!$B$3</f>
        <v>44201</v>
      </c>
      <c r="P111" s="11">
        <v>2021</v>
      </c>
    </row>
    <row r="112" spans="1:16">
      <c r="A112" s="11" t="s">
        <v>229</v>
      </c>
      <c r="B112" s="11" t="s">
        <v>192</v>
      </c>
      <c r="C112" s="11" t="s">
        <v>251</v>
      </c>
      <c r="D112" s="11" t="s">
        <v>246</v>
      </c>
      <c r="E112" s="11" t="str">
        <f>Anchoveta!D75</f>
        <v>Sindicato de Trabajadores Independientes Pescadores Artesanales, Armadores y Actividades Conexas de la Caleta Coliumo, Registro Sindical Único 08.06.0150</v>
      </c>
      <c r="F112" s="11" t="s">
        <v>233</v>
      </c>
      <c r="G112" s="11" t="s">
        <v>234</v>
      </c>
      <c r="H112" s="11">
        <f>Anchoveta!F75</f>
        <v>3680.5920000000001</v>
      </c>
      <c r="I112" s="11">
        <f>Anchoveta!G75</f>
        <v>74</v>
      </c>
      <c r="J112" s="11">
        <f>Anchoveta!H75</f>
        <v>3754.5920000000001</v>
      </c>
      <c r="K112" s="11">
        <f>Anchoveta!I75</f>
        <v>2090.9079999999999</v>
      </c>
      <c r="L112" s="11">
        <f>Anchoveta!K75</f>
        <v>1663.6840000000002</v>
      </c>
      <c r="M112" s="49">
        <f>Anchoveta!L75</f>
        <v>0.55689353197364722</v>
      </c>
      <c r="N112" s="55" t="str">
        <f>'IC Anch y SardC VIII'!O58</f>
        <v>-</v>
      </c>
      <c r="O112" s="34">
        <f>RESUMEN!$B$3</f>
        <v>44201</v>
      </c>
      <c r="P112" s="11">
        <v>2021</v>
      </c>
    </row>
    <row r="113" spans="1:16">
      <c r="A113" s="11" t="s">
        <v>229</v>
      </c>
      <c r="B113" s="11" t="s">
        <v>192</v>
      </c>
      <c r="C113" s="11" t="s">
        <v>251</v>
      </c>
      <c r="D113" s="11" t="s">
        <v>246</v>
      </c>
      <c r="E113" s="11" t="str">
        <f>Anchoveta!D76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113" s="11" t="s">
        <v>233</v>
      </c>
      <c r="G113" s="11" t="s">
        <v>234</v>
      </c>
      <c r="H113" s="11">
        <f>Anchoveta!F76</f>
        <v>277.05599999999998</v>
      </c>
      <c r="I113" s="11">
        <f>Anchoveta!G76</f>
        <v>-239.5</v>
      </c>
      <c r="J113" s="11">
        <f>Anchoveta!H76</f>
        <v>37.555999999999983</v>
      </c>
      <c r="K113" s="11">
        <f>Anchoveta!I76</f>
        <v>37.509</v>
      </c>
      <c r="L113" s="11">
        <f>Anchoveta!K76</f>
        <v>4.6999999999982833E-2</v>
      </c>
      <c r="M113" s="49">
        <f>Anchoveta!L76</f>
        <v>0.99874853552029019</v>
      </c>
      <c r="N113" s="55">
        <f>'IC Anch y SardC VIII'!O59</f>
        <v>44267</v>
      </c>
      <c r="O113" s="34">
        <f>RESUMEN!$B$3</f>
        <v>44201</v>
      </c>
      <c r="P113" s="11">
        <v>2021</v>
      </c>
    </row>
    <row r="114" spans="1:16">
      <c r="A114" s="11" t="s">
        <v>229</v>
      </c>
      <c r="B114" s="11" t="s">
        <v>192</v>
      </c>
      <c r="C114" s="11" t="s">
        <v>251</v>
      </c>
      <c r="D114" s="11" t="s">
        <v>246</v>
      </c>
      <c r="E114" s="11" t="str">
        <f>Anchoveta!D77</f>
        <v>Sindicato de Trabajadores Independientes Pescadores Artesanales, Buzos Mariscadores, Armadores Artesanales y Actividades Conexas de Coronel y del Golfo de Arauco VIII Region "SIPARBUMAR CORONEL". Registro Sindical Único 08.07.0183</v>
      </c>
      <c r="F114" s="11" t="s">
        <v>233</v>
      </c>
      <c r="G114" s="11" t="s">
        <v>234</v>
      </c>
      <c r="H114" s="11">
        <f>Anchoveta!F77</f>
        <v>4822.6360000000004</v>
      </c>
      <c r="I114" s="11">
        <f>Anchoveta!G77</f>
        <v>837.26300000000003</v>
      </c>
      <c r="J114" s="11">
        <f>Anchoveta!H77</f>
        <v>5659.8990000000003</v>
      </c>
      <c r="K114" s="11">
        <f>Anchoveta!I77</f>
        <v>2711.3409999999999</v>
      </c>
      <c r="L114" s="11">
        <f>Anchoveta!K77</f>
        <v>2948.5580000000004</v>
      </c>
      <c r="M114" s="49">
        <f>Anchoveta!L77</f>
        <v>0.4790440606802347</v>
      </c>
      <c r="N114" s="55" t="str">
        <f>'IC Anch y SardC VIII'!O60</f>
        <v>-</v>
      </c>
      <c r="O114" s="34">
        <f>RESUMEN!$B$3</f>
        <v>44201</v>
      </c>
      <c r="P114" s="11">
        <v>2021</v>
      </c>
    </row>
    <row r="115" spans="1:16">
      <c r="A115" s="11" t="s">
        <v>229</v>
      </c>
      <c r="B115" s="11" t="s">
        <v>192</v>
      </c>
      <c r="C115" s="11" t="s">
        <v>251</v>
      </c>
      <c r="D115" s="11" t="s">
        <v>246</v>
      </c>
      <c r="E115" s="11" t="str">
        <f>Anchoveta!D78</f>
        <v>Sindicato de Trabajadores Independientes Pescadores Artesanales, Lancheros, Acuicultores y Actividades Conexas de Caleta Lota Bajo "SIPESCA", Registro Sindical Único 08.07.0106</v>
      </c>
      <c r="F115" s="11" t="s">
        <v>233</v>
      </c>
      <c r="G115" s="11" t="s">
        <v>234</v>
      </c>
      <c r="H115" s="11">
        <f>Anchoveta!F78</f>
        <v>35.908000000000001</v>
      </c>
      <c r="I115" s="11">
        <f>Anchoveta!G78</f>
        <v>-24.5</v>
      </c>
      <c r="J115" s="11">
        <f>Anchoveta!H78</f>
        <v>11.408000000000001</v>
      </c>
      <c r="K115" s="11">
        <f>Anchoveta!I78</f>
        <v>0</v>
      </c>
      <c r="L115" s="11">
        <f>Anchoveta!K78</f>
        <v>11.408000000000001</v>
      </c>
      <c r="M115" s="49">
        <f>Anchoveta!L78</f>
        <v>0</v>
      </c>
      <c r="N115" s="55">
        <f>'IC Anch y SardC VIII'!O61</f>
        <v>44261</v>
      </c>
      <c r="O115" s="34">
        <f>RESUMEN!$B$3</f>
        <v>44201</v>
      </c>
      <c r="P115" s="11">
        <v>2021</v>
      </c>
    </row>
    <row r="116" spans="1:16">
      <c r="A116" s="11" t="s">
        <v>229</v>
      </c>
      <c r="B116" s="11" t="s">
        <v>192</v>
      </c>
      <c r="C116" s="11" t="s">
        <v>251</v>
      </c>
      <c r="D116" s="11" t="s">
        <v>246</v>
      </c>
      <c r="E116" s="11" t="str">
        <f>Anchoveta!D79</f>
        <v>Sindicato de Trabajadores Independientes Pescadores de la Caleta Cocholgüe, Registro Sindical Único 08.06.0023</v>
      </c>
      <c r="F116" s="11" t="s">
        <v>233</v>
      </c>
      <c r="G116" s="11" t="s">
        <v>234</v>
      </c>
      <c r="H116" s="11">
        <f>Anchoveta!F79</f>
        <v>1.7330000000000001</v>
      </c>
      <c r="I116" s="11">
        <f>Anchoveta!G79</f>
        <v>-1.7</v>
      </c>
      <c r="J116" s="11">
        <f>Anchoveta!H79</f>
        <v>3.300000000000014E-2</v>
      </c>
      <c r="K116" s="11">
        <f>Anchoveta!I79</f>
        <v>0</v>
      </c>
      <c r="L116" s="11">
        <f>Anchoveta!K79</f>
        <v>3.300000000000014E-2</v>
      </c>
      <c r="M116" s="49">
        <f>Anchoveta!L79</f>
        <v>0.98095787651471433</v>
      </c>
      <c r="N116" s="55">
        <f>'IC Anch y SardC VIII'!O62</f>
        <v>44491</v>
      </c>
      <c r="O116" s="34">
        <f>RESUMEN!$B$3</f>
        <v>44201</v>
      </c>
      <c r="P116" s="11">
        <v>2021</v>
      </c>
    </row>
    <row r="117" spans="1:16">
      <c r="A117" s="11" t="s">
        <v>229</v>
      </c>
      <c r="B117" s="11" t="s">
        <v>192</v>
      </c>
      <c r="C117" s="11" t="s">
        <v>251</v>
      </c>
      <c r="D117" s="11" t="s">
        <v>246</v>
      </c>
      <c r="E117" s="11" t="str">
        <f>Anchoveta!D80</f>
        <v>Sindicato de Trabajadores Independientes Pescadores de la Caleta Coliumo, Registro Sindical Único 08.06.0027</v>
      </c>
      <c r="F117" s="11" t="s">
        <v>233</v>
      </c>
      <c r="G117" s="11" t="s">
        <v>234</v>
      </c>
      <c r="H117" s="11">
        <f>Anchoveta!F80</f>
        <v>6011.6229999999996</v>
      </c>
      <c r="I117" s="11">
        <f>Anchoveta!G80</f>
        <v>0</v>
      </c>
      <c r="J117" s="11">
        <f>Anchoveta!H80</f>
        <v>6011.6229999999996</v>
      </c>
      <c r="K117" s="11">
        <f>Anchoveta!I80</f>
        <v>5446.8530000000001</v>
      </c>
      <c r="L117" s="11">
        <f>Anchoveta!K80</f>
        <v>564.76999999999953</v>
      </c>
      <c r="M117" s="49">
        <f>Anchoveta!L80</f>
        <v>0.90605365639195945</v>
      </c>
      <c r="N117" s="55" t="str">
        <f>'IC Anch y SardC VIII'!O63</f>
        <v>-</v>
      </c>
      <c r="O117" s="34">
        <f>RESUMEN!$B$3</f>
        <v>44201</v>
      </c>
      <c r="P117" s="11">
        <v>2021</v>
      </c>
    </row>
    <row r="118" spans="1:16">
      <c r="A118" s="11" t="s">
        <v>229</v>
      </c>
      <c r="B118" s="11" t="s">
        <v>192</v>
      </c>
      <c r="C118" s="11" t="s">
        <v>251</v>
      </c>
      <c r="D118" s="11" t="s">
        <v>246</v>
      </c>
      <c r="E118" s="11" t="str">
        <f>Anchoveta!D81</f>
        <v>Sindicato de Trabajadores Independientes Pescadores,  Armadores y  Buzos Mariscadores  y Actividades conexas de Talcahuano "SIPARBUM". Registro Sindical Único 08.05.0424</v>
      </c>
      <c r="F118" s="11" t="s">
        <v>233</v>
      </c>
      <c r="G118" s="11" t="s">
        <v>234</v>
      </c>
      <c r="H118" s="11">
        <f>Anchoveta!F81</f>
        <v>492.541</v>
      </c>
      <c r="I118" s="11">
        <f>Anchoveta!G81</f>
        <v>-57.097999999999999</v>
      </c>
      <c r="J118" s="11">
        <f>Anchoveta!H81</f>
        <v>435.44299999999998</v>
      </c>
      <c r="K118" s="11">
        <f>Anchoveta!I81</f>
        <v>255.66499999999999</v>
      </c>
      <c r="L118" s="11">
        <f>Anchoveta!K81</f>
        <v>179.77799999999999</v>
      </c>
      <c r="M118" s="49">
        <f>Anchoveta!L81</f>
        <v>0.58713769655270609</v>
      </c>
      <c r="N118" s="55" t="str">
        <f>'IC Anch y SardC VIII'!O64</f>
        <v>-</v>
      </c>
      <c r="O118" s="34">
        <f>RESUMEN!$B$3</f>
        <v>44201</v>
      </c>
      <c r="P118" s="11">
        <v>2021</v>
      </c>
    </row>
    <row r="119" spans="1:16">
      <c r="A119" s="11" t="s">
        <v>229</v>
      </c>
      <c r="B119" s="11" t="s">
        <v>192</v>
      </c>
      <c r="C119" s="11" t="s">
        <v>251</v>
      </c>
      <c r="D119" s="11" t="s">
        <v>246</v>
      </c>
      <c r="E119" s="11" t="str">
        <f>Anchoveta!D82</f>
        <v>Sindicato de Trabajadores Independientes Pescadores, Armadores  y ramas afines de la Pesca Artesanal "JUANOVOAARCE-LOTA" Registro Sindical Unico 08.07.0485</v>
      </c>
      <c r="F119" s="11" t="s">
        <v>233</v>
      </c>
      <c r="G119" s="11" t="s">
        <v>234</v>
      </c>
      <c r="H119" s="11">
        <f>Anchoveta!F82</f>
        <v>441.59500000000003</v>
      </c>
      <c r="I119" s="11">
        <f>Anchoveta!G82</f>
        <v>0</v>
      </c>
      <c r="J119" s="11">
        <f>Anchoveta!H82</f>
        <v>441.59500000000003</v>
      </c>
      <c r="K119" s="11">
        <f>Anchoveta!I82</f>
        <v>145.55199999999999</v>
      </c>
      <c r="L119" s="11">
        <f>Anchoveta!K82</f>
        <v>296.04300000000001</v>
      </c>
      <c r="M119" s="49">
        <f>Anchoveta!L82</f>
        <v>0.32960518121808441</v>
      </c>
      <c r="N119" s="55" t="str">
        <f>'IC Anch y SardC VIII'!O65</f>
        <v>-</v>
      </c>
      <c r="O119" s="34">
        <f>RESUMEN!$B$3</f>
        <v>44201</v>
      </c>
      <c r="P119" s="11">
        <v>2021</v>
      </c>
    </row>
    <row r="120" spans="1:16">
      <c r="A120" s="11" t="s">
        <v>229</v>
      </c>
      <c r="B120" s="11" t="s">
        <v>192</v>
      </c>
      <c r="C120" s="11" t="s">
        <v>251</v>
      </c>
      <c r="D120" s="11" t="s">
        <v>246</v>
      </c>
      <c r="E120" s="11" t="str">
        <f>Anchoveta!D83</f>
        <v>Sindicato de Trabajadores Independientes Pescadores, Armadores Artesanales, Buzos, Acuicultores y Ramos Afines de la Pesca Artesanal, Comuna de Talcahuano "SIPEARTAL". Registro Sindical Único 08.05.0487.</v>
      </c>
      <c r="F120" s="11" t="s">
        <v>233</v>
      </c>
      <c r="G120" s="11" t="s">
        <v>234</v>
      </c>
      <c r="H120" s="11">
        <f>Anchoveta!F83</f>
        <v>1958.261</v>
      </c>
      <c r="I120" s="11">
        <f>Anchoveta!G83</f>
        <v>428</v>
      </c>
      <c r="J120" s="11">
        <f>Anchoveta!H83</f>
        <v>2386.261</v>
      </c>
      <c r="K120" s="11">
        <f>Anchoveta!I83</f>
        <v>1676.6959999999999</v>
      </c>
      <c r="L120" s="11">
        <f>Anchoveta!K83</f>
        <v>709.56500000000005</v>
      </c>
      <c r="M120" s="49">
        <f>Anchoveta!L83</f>
        <v>0.70264568712307662</v>
      </c>
      <c r="N120" s="55" t="str">
        <f>'IC Anch y SardC VIII'!O66</f>
        <v>-</v>
      </c>
      <c r="O120" s="34">
        <f>RESUMEN!$B$3</f>
        <v>44201</v>
      </c>
      <c r="P120" s="11">
        <v>2021</v>
      </c>
    </row>
    <row r="121" spans="1:16">
      <c r="A121" s="11" t="s">
        <v>229</v>
      </c>
      <c r="B121" s="11" t="s">
        <v>192</v>
      </c>
      <c r="C121" s="11" t="s">
        <v>251</v>
      </c>
      <c r="D121" s="11" t="s">
        <v>246</v>
      </c>
      <c r="E121" s="11" t="str">
        <f>Anchoveta!D84</f>
        <v>Sindicato de Trabajadores Independientes Pescadores, Armadores y Ramas Afines de la Pesca Artesanal de Coronel "SIPESMAFESA". Registro Sindical Único 08.07.0332</v>
      </c>
      <c r="F121" s="11" t="s">
        <v>233</v>
      </c>
      <c r="G121" s="11" t="s">
        <v>234</v>
      </c>
      <c r="H121" s="11">
        <f>Anchoveta!F84</f>
        <v>2374.0859999999998</v>
      </c>
      <c r="I121" s="11">
        <f>Anchoveta!G84</f>
        <v>0</v>
      </c>
      <c r="J121" s="11">
        <f>Anchoveta!H84</f>
        <v>2374.0859999999998</v>
      </c>
      <c r="K121" s="11">
        <f>Anchoveta!I84</f>
        <v>1901.184</v>
      </c>
      <c r="L121" s="11">
        <f>Anchoveta!K84</f>
        <v>472.90199999999982</v>
      </c>
      <c r="M121" s="49">
        <f>Anchoveta!L84</f>
        <v>0.80080671045615037</v>
      </c>
      <c r="N121" s="55" t="str">
        <f>'IC Anch y SardC VIII'!O67</f>
        <v>-</v>
      </c>
      <c r="O121" s="34">
        <f>RESUMEN!$B$3</f>
        <v>44201</v>
      </c>
      <c r="P121" s="11">
        <v>2021</v>
      </c>
    </row>
    <row r="122" spans="1:16">
      <c r="A122" s="11" t="s">
        <v>229</v>
      </c>
      <c r="B122" s="11" t="s">
        <v>192</v>
      </c>
      <c r="C122" s="11" t="s">
        <v>251</v>
      </c>
      <c r="D122" s="11" t="s">
        <v>246</v>
      </c>
      <c r="E122" s="11" t="str">
        <f>Anchoveta!D85</f>
        <v>Sindicato de Trabajadores Independientes Pescadores, Armadores y Ramos Afines "SIPEAYRAS" de Lota. Registro Sindical Único 08.07.0296</v>
      </c>
      <c r="F122" s="11" t="s">
        <v>233</v>
      </c>
      <c r="G122" s="11" t="s">
        <v>234</v>
      </c>
      <c r="H122" s="11">
        <f>Anchoveta!F85</f>
        <v>660.053</v>
      </c>
      <c r="I122" s="11">
        <f>Anchoveta!G85</f>
        <v>-90</v>
      </c>
      <c r="J122" s="11">
        <f>Anchoveta!H85</f>
        <v>570.053</v>
      </c>
      <c r="K122" s="11">
        <f>Anchoveta!I85</f>
        <v>503.363</v>
      </c>
      <c r="L122" s="11">
        <f>Anchoveta!K85</f>
        <v>66.69</v>
      </c>
      <c r="M122" s="49">
        <f>Anchoveta!L85</f>
        <v>0.88301087793591126</v>
      </c>
      <c r="N122" s="55" t="str">
        <f>'IC Anch y SardC VIII'!O68</f>
        <v>-</v>
      </c>
      <c r="O122" s="34">
        <f>RESUMEN!$B$3</f>
        <v>44201</v>
      </c>
      <c r="P122" s="11">
        <v>2021</v>
      </c>
    </row>
    <row r="123" spans="1:16">
      <c r="A123" s="11" t="s">
        <v>229</v>
      </c>
      <c r="B123" s="11" t="s">
        <v>192</v>
      </c>
      <c r="C123" s="11" t="s">
        <v>251</v>
      </c>
      <c r="D123" s="11" t="s">
        <v>246</v>
      </c>
      <c r="E123" s="11" t="str">
        <f>Anchoveta!D86</f>
        <v>Sindicato de Trabajadores Independientes Pescadores, Armadores y Ramos Afines de la Pesca Artesanal de Coronel, SIPARMAR CORONEL , Registro Sindical Único 08.07.0271</v>
      </c>
      <c r="F123" s="11" t="s">
        <v>233</v>
      </c>
      <c r="G123" s="11" t="s">
        <v>234</v>
      </c>
      <c r="H123" s="11">
        <f>Anchoveta!F86</f>
        <v>1328.134</v>
      </c>
      <c r="I123" s="11">
        <f>Anchoveta!G86</f>
        <v>-630</v>
      </c>
      <c r="J123" s="11">
        <f>Anchoveta!H86</f>
        <v>698.13400000000001</v>
      </c>
      <c r="K123" s="11">
        <f>Anchoveta!I86</f>
        <v>252.17099999999999</v>
      </c>
      <c r="L123" s="11">
        <f>Anchoveta!K86</f>
        <v>445.96300000000002</v>
      </c>
      <c r="M123" s="49">
        <f>Anchoveta!L86</f>
        <v>0.36120716080294041</v>
      </c>
      <c r="N123" s="55">
        <f>'IC Anch y SardC VIII'!O69</f>
        <v>44478</v>
      </c>
      <c r="O123" s="34">
        <f>RESUMEN!$B$3</f>
        <v>44201</v>
      </c>
      <c r="P123" s="11">
        <v>2021</v>
      </c>
    </row>
    <row r="124" spans="1:16">
      <c r="A124" s="11" t="s">
        <v>229</v>
      </c>
      <c r="B124" s="11" t="s">
        <v>192</v>
      </c>
      <c r="C124" s="11" t="s">
        <v>251</v>
      </c>
      <c r="D124" s="11" t="s">
        <v>246</v>
      </c>
      <c r="E124" s="11" t="str">
        <f>Anchoveta!D87</f>
        <v>Sindicato de Trabajadores Independientes Pescdores y Armadores artesanales de embarcaciones menores de la Caleta de Tumbes "SIPEAREM" Comuna Talcahuano, Registro Sindical Único 08.05.0569</v>
      </c>
      <c r="F124" s="11" t="s">
        <v>233</v>
      </c>
      <c r="G124" s="11" t="s">
        <v>234</v>
      </c>
      <c r="H124" s="11">
        <f>Anchoveta!F87</f>
        <v>332.476</v>
      </c>
      <c r="I124" s="11">
        <f>Anchoveta!G87</f>
        <v>-66</v>
      </c>
      <c r="J124" s="11">
        <f>Anchoveta!H87</f>
        <v>266.476</v>
      </c>
      <c r="K124" s="11">
        <f>Anchoveta!I87</f>
        <v>17.992000000000001</v>
      </c>
      <c r="L124" s="11">
        <f>Anchoveta!K87</f>
        <v>248.48400000000001</v>
      </c>
      <c r="M124" s="49">
        <f>Anchoveta!L87</f>
        <v>6.7518275567030425E-2</v>
      </c>
      <c r="N124" s="55" t="str">
        <f>'IC Anch y SardC VIII'!O70</f>
        <v>-</v>
      </c>
      <c r="O124" s="34">
        <f>RESUMEN!$B$3</f>
        <v>44201</v>
      </c>
      <c r="P124" s="11">
        <v>2021</v>
      </c>
    </row>
    <row r="125" spans="1:16">
      <c r="A125" s="11" t="s">
        <v>229</v>
      </c>
      <c r="B125" s="11" t="s">
        <v>192</v>
      </c>
      <c r="C125" s="11" t="s">
        <v>251</v>
      </c>
      <c r="D125" s="11" t="s">
        <v>246</v>
      </c>
      <c r="E125" s="11" t="str">
        <f>Anchoveta!D88</f>
        <v>Sindicato de Trabajadores Independientes, Ayudantes de Buzos, Pescadores Artesanales y Algueras y Actividades Conexas de las Caletas Tomé y Quichiuto, Registro Sindical Único 08.06.0043</v>
      </c>
      <c r="F125" s="11" t="s">
        <v>233</v>
      </c>
      <c r="G125" s="11" t="s">
        <v>234</v>
      </c>
      <c r="H125" s="11">
        <f>Anchoveta!F88</f>
        <v>1232.171</v>
      </c>
      <c r="I125" s="11">
        <f>Anchoveta!G88</f>
        <v>0</v>
      </c>
      <c r="J125" s="11">
        <f>Anchoveta!H88</f>
        <v>1232.171</v>
      </c>
      <c r="K125" s="11">
        <f>Anchoveta!I88</f>
        <v>795.8</v>
      </c>
      <c r="L125" s="11">
        <f>Anchoveta!K88</f>
        <v>436.37100000000009</v>
      </c>
      <c r="M125" s="49">
        <f>Anchoveta!L88</f>
        <v>0.64585191503452033</v>
      </c>
      <c r="N125" s="55" t="str">
        <f>'IC Anch y SardC VIII'!O71</f>
        <v>-</v>
      </c>
      <c r="O125" s="34">
        <f>RESUMEN!$B$3</f>
        <v>44201</v>
      </c>
      <c r="P125" s="11">
        <v>2021</v>
      </c>
    </row>
    <row r="126" spans="1:16">
      <c r="A126" s="11" t="s">
        <v>229</v>
      </c>
      <c r="B126" s="11" t="s">
        <v>192</v>
      </c>
      <c r="C126" s="11" t="s">
        <v>251</v>
      </c>
      <c r="D126" s="11" t="s">
        <v>246</v>
      </c>
      <c r="E126" s="11" t="str">
        <f>Anchoveta!D89</f>
        <v>Sindicato de Trabajadores Independientes, Pescadores Artesanales Pelágicos, Patrones y Tripulantes de Pesca Artesanal y Actividades Conexas de la Comuna de Talcahuano, " ASPAS". Registro Sindical Único 08.05.0474</v>
      </c>
      <c r="F126" s="11" t="s">
        <v>233</v>
      </c>
      <c r="G126" s="11" t="s">
        <v>234</v>
      </c>
      <c r="H126" s="11">
        <f>Anchoveta!F89</f>
        <v>1996.874</v>
      </c>
      <c r="I126" s="11">
        <f>Anchoveta!G89</f>
        <v>-356</v>
      </c>
      <c r="J126" s="11">
        <f>Anchoveta!H89</f>
        <v>1640.874</v>
      </c>
      <c r="K126" s="11">
        <f>Anchoveta!I89</f>
        <v>1470.192</v>
      </c>
      <c r="L126" s="11">
        <f>Anchoveta!K89</f>
        <v>170.68200000000002</v>
      </c>
      <c r="M126" s="49">
        <f>Anchoveta!L89</f>
        <v>0.89598104424837011</v>
      </c>
      <c r="N126" s="55" t="str">
        <f>'IC Anch y SardC VIII'!O72</f>
        <v>-</v>
      </c>
      <c r="O126" s="34">
        <f>RESUMEN!$B$3</f>
        <v>44201</v>
      </c>
      <c r="P126" s="11">
        <v>2021</v>
      </c>
    </row>
    <row r="127" spans="1:16">
      <c r="A127" s="11" t="s">
        <v>229</v>
      </c>
      <c r="B127" s="11" t="s">
        <v>192</v>
      </c>
      <c r="C127" s="11" t="s">
        <v>251</v>
      </c>
      <c r="D127" s="11" t="s">
        <v>246</v>
      </c>
      <c r="E127" s="11" t="str">
        <f>Anchoveta!D90</f>
        <v>Sindicato de Trabajadores Independientes, Pescadores Artesanales y Ramos Afines Sta Maria Comuna de Talcahuano, " SIPASMA". Registro Sindical Único 08.05.0602</v>
      </c>
      <c r="F127" s="11" t="s">
        <v>233</v>
      </c>
      <c r="G127" s="11" t="s">
        <v>234</v>
      </c>
      <c r="H127" s="11">
        <f>Anchoveta!F90</f>
        <v>2128.8850000000002</v>
      </c>
      <c r="I127" s="11">
        <f>Anchoveta!G90</f>
        <v>313.5</v>
      </c>
      <c r="J127" s="11">
        <f>Anchoveta!H90</f>
        <v>2442.3850000000002</v>
      </c>
      <c r="K127" s="11">
        <f>Anchoveta!I90</f>
        <v>2918.7959999999998</v>
      </c>
      <c r="L127" s="11">
        <f>Anchoveta!K90</f>
        <v>-476.4109999999996</v>
      </c>
      <c r="M127" s="49">
        <f>Anchoveta!L90</f>
        <v>1.1950597469276956</v>
      </c>
      <c r="N127" s="55" t="str">
        <f>'IC Anch y SardC VIII'!O73</f>
        <v>-</v>
      </c>
      <c r="O127" s="34">
        <f>RESUMEN!$B$3</f>
        <v>44201</v>
      </c>
      <c r="P127" s="11">
        <v>2021</v>
      </c>
    </row>
    <row r="128" spans="1:16">
      <c r="A128" s="11" t="s">
        <v>229</v>
      </c>
      <c r="B128" s="11" t="s">
        <v>192</v>
      </c>
      <c r="C128" s="11" t="s">
        <v>251</v>
      </c>
      <c r="D128" s="11" t="s">
        <v>246</v>
      </c>
      <c r="E128" s="11" t="str">
        <f>Anchoveta!D91</f>
        <v>Sindicato de Trabajadores Independientes, Pescadores Artesanales, Armadores Artesanales y Actividades Conexas de la Caleta de Lota VIII Región "SIPAR GENTE DE MAR". Registros Sindical Único 08.07.0326</v>
      </c>
      <c r="F128" s="11" t="s">
        <v>233</v>
      </c>
      <c r="G128" s="11" t="s">
        <v>234</v>
      </c>
      <c r="H128" s="11">
        <f>Anchoveta!F91</f>
        <v>2379.654</v>
      </c>
      <c r="I128" s="11">
        <f>Anchoveta!G91</f>
        <v>-250</v>
      </c>
      <c r="J128" s="11">
        <f>Anchoveta!H91</f>
        <v>2129.654</v>
      </c>
      <c r="K128" s="11">
        <f>Anchoveta!I91</f>
        <v>1674.2670000000001</v>
      </c>
      <c r="L128" s="11">
        <f>Anchoveta!K91</f>
        <v>455.38699999999994</v>
      </c>
      <c r="M128" s="49">
        <f>Anchoveta!L91</f>
        <v>0.7861685513233605</v>
      </c>
      <c r="N128" s="55" t="str">
        <f>'IC Anch y SardC VIII'!O74</f>
        <v>-</v>
      </c>
      <c r="O128" s="34">
        <f>RESUMEN!$B$3</f>
        <v>44201</v>
      </c>
      <c r="P128" s="11">
        <v>2021</v>
      </c>
    </row>
    <row r="129" spans="1:16">
      <c r="A129" s="11" t="s">
        <v>229</v>
      </c>
      <c r="B129" s="11" t="s">
        <v>192</v>
      </c>
      <c r="C129" s="11" t="s">
        <v>251</v>
      </c>
      <c r="D129" s="11" t="s">
        <v>246</v>
      </c>
      <c r="E129" s="11" t="str">
        <f>Anchoveta!D92</f>
        <v>Sindicato de Trabajadores Independientes, Pescadores Artesanales, Armadores Artesanales, "Rio Maipo" de la Caleta de San Vicente de la Comuna de Talcahuano; Registro Sindical Único 08.05.0488.</v>
      </c>
      <c r="F129" s="11" t="s">
        <v>233</v>
      </c>
      <c r="G129" s="11" t="s">
        <v>234</v>
      </c>
      <c r="H129" s="11">
        <f>Anchoveta!F92</f>
        <v>718.32100000000003</v>
      </c>
      <c r="I129" s="11">
        <f>Anchoveta!G92</f>
        <v>0</v>
      </c>
      <c r="J129" s="11">
        <f>Anchoveta!H92</f>
        <v>718.32100000000003</v>
      </c>
      <c r="K129" s="11">
        <f>Anchoveta!I92</f>
        <v>791.32899999999995</v>
      </c>
      <c r="L129" s="11">
        <f>Anchoveta!K92</f>
        <v>-73.007999999999925</v>
      </c>
      <c r="M129" s="49">
        <f>Anchoveta!L92</f>
        <v>1.1016370118651688</v>
      </c>
      <c r="N129" s="55" t="str">
        <f>'IC Anch y SardC VIII'!O75</f>
        <v>-</v>
      </c>
      <c r="O129" s="34">
        <f>RESUMEN!$B$3</f>
        <v>44201</v>
      </c>
      <c r="P129" s="11">
        <v>2021</v>
      </c>
    </row>
    <row r="130" spans="1:16">
      <c r="A130" s="11" t="s">
        <v>229</v>
      </c>
      <c r="B130" s="11" t="s">
        <v>192</v>
      </c>
      <c r="C130" s="11" t="s">
        <v>251</v>
      </c>
      <c r="D130" s="11" t="s">
        <v>246</v>
      </c>
      <c r="E130" s="11" t="str">
        <f>Anchoveta!D93</f>
        <v>Sindicato de Trabajadores Independientes, Pescadores Artesanales, Armadores Artesanales, Buzos Mariscadores y Recolectores de Orilla Isla Santa Maria Puerto Sur, Registro Sindical Único 08.07.0364.</v>
      </c>
      <c r="F130" s="11" t="s">
        <v>233</v>
      </c>
      <c r="G130" s="11" t="s">
        <v>234</v>
      </c>
      <c r="H130" s="11">
        <f>Anchoveta!F93</f>
        <v>10.683999999999999</v>
      </c>
      <c r="I130" s="11">
        <f>Anchoveta!G93</f>
        <v>-10.6</v>
      </c>
      <c r="J130" s="11">
        <f>Anchoveta!H93</f>
        <v>8.3999999999999631E-2</v>
      </c>
      <c r="K130" s="11">
        <f>Anchoveta!I93</f>
        <v>0</v>
      </c>
      <c r="L130" s="11">
        <f>Anchoveta!K93</f>
        <v>8.3999999999999631E-2</v>
      </c>
      <c r="M130" s="49">
        <f>Anchoveta!L93</f>
        <v>0.99213777611381504</v>
      </c>
      <c r="N130" s="55">
        <f>'IC Anch y SardC VIII'!O76</f>
        <v>44491</v>
      </c>
      <c r="O130" s="34">
        <f>RESUMEN!$B$3</f>
        <v>44201</v>
      </c>
      <c r="P130" s="11">
        <v>2021</v>
      </c>
    </row>
    <row r="131" spans="1:16">
      <c r="A131" s="11" t="s">
        <v>229</v>
      </c>
      <c r="B131" s="11" t="s">
        <v>192</v>
      </c>
      <c r="C131" s="11" t="s">
        <v>251</v>
      </c>
      <c r="D131" s="11" t="s">
        <v>246</v>
      </c>
      <c r="E131" s="11" t="str">
        <f>Anchoveta!D94</f>
        <v>Sindicato de Trabajadores Independientes, Tripulantes y Armadores de Botes, Pescadores Artesanales, Algueros, Mariscadores y Actividades conexas de la caleta Tumbes de la comuna de Talcahuano. Registro Sindical Único 08.050.0495</v>
      </c>
      <c r="F131" s="11" t="s">
        <v>233</v>
      </c>
      <c r="G131" s="11" t="s">
        <v>234</v>
      </c>
      <c r="H131" s="11">
        <f>Anchoveta!F94</f>
        <v>318.12099999999998</v>
      </c>
      <c r="I131" s="11">
        <f>Anchoveta!G94</f>
        <v>132.6</v>
      </c>
      <c r="J131" s="11">
        <f>Anchoveta!H94</f>
        <v>450.721</v>
      </c>
      <c r="K131" s="11">
        <f>Anchoveta!I94</f>
        <v>215.84299999999999</v>
      </c>
      <c r="L131" s="11">
        <f>Anchoveta!K94</f>
        <v>234.87800000000001</v>
      </c>
      <c r="M131" s="49">
        <f>Anchoveta!L94</f>
        <v>0.47888383279234825</v>
      </c>
      <c r="N131" s="55" t="str">
        <f>'IC Anch y SardC VIII'!O77</f>
        <v>-</v>
      </c>
      <c r="O131" s="34">
        <f>RESUMEN!$B$3</f>
        <v>44201</v>
      </c>
      <c r="P131" s="11">
        <v>2021</v>
      </c>
    </row>
    <row r="132" spans="1:16">
      <c r="A132" s="11" t="s">
        <v>229</v>
      </c>
      <c r="B132" s="11" t="s">
        <v>192</v>
      </c>
      <c r="C132" s="11" t="s">
        <v>251</v>
      </c>
      <c r="D132" s="11" t="s">
        <v>246</v>
      </c>
      <c r="E132" s="11" t="str">
        <f>Anchoveta!D95</f>
        <v>Sindicato Independiente de Armadores Pescadores Artesanales Tripulantes y Ramas Similares "Bahia Concepción", Registro Sindical Unico 08.05.0648</v>
      </c>
      <c r="F132" s="11" t="s">
        <v>233</v>
      </c>
      <c r="G132" s="11" t="s">
        <v>234</v>
      </c>
      <c r="H132" s="11">
        <f>Anchoveta!F95</f>
        <v>781.53899999999999</v>
      </c>
      <c r="I132" s="11">
        <f>Anchoveta!G95</f>
        <v>190</v>
      </c>
      <c r="J132" s="11">
        <f>Anchoveta!H95</f>
        <v>971.53899999999999</v>
      </c>
      <c r="K132" s="11">
        <f>Anchoveta!I95</f>
        <v>449.20800000000003</v>
      </c>
      <c r="L132" s="11">
        <f>Anchoveta!K95</f>
        <v>522.3309999999999</v>
      </c>
      <c r="M132" s="49">
        <f>Anchoveta!L95</f>
        <v>0.46236743970133987</v>
      </c>
      <c r="N132" s="55">
        <f>'IC Anch y SardC VIII'!O78</f>
        <v>44292</v>
      </c>
      <c r="O132" s="34">
        <f>RESUMEN!$B$3</f>
        <v>44201</v>
      </c>
      <c r="P132" s="11">
        <v>2021</v>
      </c>
    </row>
    <row r="133" spans="1:16">
      <c r="A133" s="11" t="s">
        <v>229</v>
      </c>
      <c r="B133" s="11" t="s">
        <v>192</v>
      </c>
      <c r="C133" s="11" t="s">
        <v>251</v>
      </c>
      <c r="D133" s="11" t="s">
        <v>246</v>
      </c>
      <c r="E133" s="11" t="str">
        <f>Anchoveta!D96</f>
        <v>Sindicato Independiente de Armadores y Pescadores Artesanales Afines "SARPE". Registro Sindical Único 08.05.0398</v>
      </c>
      <c r="F133" s="11" t="s">
        <v>233</v>
      </c>
      <c r="G133" s="11" t="s">
        <v>234</v>
      </c>
      <c r="H133" s="11">
        <f>Anchoveta!F96</f>
        <v>6145.1840000000002</v>
      </c>
      <c r="I133" s="11">
        <f>Anchoveta!G96</f>
        <v>0</v>
      </c>
      <c r="J133" s="11">
        <f>Anchoveta!H96</f>
        <v>6145.1840000000002</v>
      </c>
      <c r="K133" s="11">
        <f>Anchoveta!I96</f>
        <v>6103.2129999999997</v>
      </c>
      <c r="L133" s="11">
        <f>Anchoveta!K96</f>
        <v>41.971000000000458</v>
      </c>
      <c r="M133" s="49">
        <f>Anchoveta!L96</f>
        <v>0.99317009873097362</v>
      </c>
      <c r="N133" s="55" t="str">
        <f>'IC Anch y SardC VIII'!O79</f>
        <v>-</v>
      </c>
      <c r="O133" s="34">
        <f>RESUMEN!$B$3</f>
        <v>44201</v>
      </c>
      <c r="P133" s="11">
        <v>2021</v>
      </c>
    </row>
    <row r="134" spans="1:16" s="11" customFormat="1">
      <c r="A134" s="11" t="s">
        <v>229</v>
      </c>
      <c r="B134" s="11" t="s">
        <v>192</v>
      </c>
      <c r="C134" s="11" t="s">
        <v>251</v>
      </c>
      <c r="D134" s="11" t="s">
        <v>246</v>
      </c>
      <c r="E134" s="11" t="str">
        <f>Anchoveta!D97</f>
        <v>Sindicato Independiente de Pescadores Artesanales, Tripulantes Artesanales de Cerco y Ramos Conexos. RSU 8070220</v>
      </c>
      <c r="F134" s="11" t="s">
        <v>233</v>
      </c>
      <c r="G134" s="11" t="s">
        <v>234</v>
      </c>
      <c r="H134" s="11">
        <f>Anchoveta!F97</f>
        <v>40.499000000000002</v>
      </c>
      <c r="I134" s="11">
        <f>Anchoveta!G97</f>
        <v>-40.5</v>
      </c>
      <c r="J134" s="11">
        <f>Anchoveta!H97</f>
        <v>-9.9999999999766942E-4</v>
      </c>
      <c r="K134" s="11">
        <f>Anchoveta!I97</f>
        <v>0</v>
      </c>
      <c r="L134" s="11">
        <f>Anchoveta!K97</f>
        <v>-9.9999999999766942E-4</v>
      </c>
      <c r="M134" s="49">
        <f>Anchoveta!L97</f>
        <v>0</v>
      </c>
      <c r="N134" s="55" t="str">
        <f>'IC Anch y SardC VIII'!O80</f>
        <v>-</v>
      </c>
      <c r="O134" s="34">
        <f>RESUMEN!$B$3</f>
        <v>44201</v>
      </c>
      <c r="P134" s="11">
        <v>2021</v>
      </c>
    </row>
    <row r="135" spans="1:16" s="11" customFormat="1">
      <c r="A135" s="11" t="s">
        <v>229</v>
      </c>
      <c r="B135" s="11" t="s">
        <v>192</v>
      </c>
      <c r="C135" s="11" t="s">
        <v>251</v>
      </c>
      <c r="D135" s="11" t="s">
        <v>246</v>
      </c>
      <c r="E135" s="11" t="str">
        <f>Anchoveta!D98</f>
        <v>Sociedad Cooperativa Benesino Limitada ROL 5871</v>
      </c>
      <c r="F135" s="11" t="s">
        <v>233</v>
      </c>
      <c r="G135" s="11" t="s">
        <v>234</v>
      </c>
      <c r="H135" s="11">
        <f>Anchoveta!F98</f>
        <v>139.75800000000001</v>
      </c>
      <c r="I135" s="11">
        <f>Anchoveta!G98</f>
        <v>50</v>
      </c>
      <c r="J135" s="11">
        <f>Anchoveta!H98</f>
        <v>189.75800000000001</v>
      </c>
      <c r="K135" s="11">
        <f>Anchoveta!I98</f>
        <v>33.704000000000001</v>
      </c>
      <c r="L135" s="11">
        <f>Anchoveta!K98</f>
        <v>156.054</v>
      </c>
      <c r="M135" s="49">
        <f>Anchoveta!L98</f>
        <v>0.17761569999683807</v>
      </c>
      <c r="N135" s="55" t="str">
        <f>'IC Anch y SardC VIII'!O81</f>
        <v>-</v>
      </c>
      <c r="O135" s="34">
        <f>RESUMEN!$B$3</f>
        <v>44201</v>
      </c>
      <c r="P135" s="11">
        <v>2021</v>
      </c>
    </row>
    <row r="136" spans="1:16">
      <c r="A136" s="11" t="s">
        <v>229</v>
      </c>
      <c r="B136" s="11" t="s">
        <v>192</v>
      </c>
      <c r="C136" s="11" t="s">
        <v>251</v>
      </c>
      <c r="D136" s="11" t="s">
        <v>246</v>
      </c>
      <c r="E136" s="11" t="str">
        <f>Anchoveta!D99</f>
        <v>STI Armadores y Pescadores artesanales, Acuicultores, Algueros (as) y Ramos afines "MAFMAR", Registro Sindical Unico 08.05.0645</v>
      </c>
      <c r="F136" s="11" t="s">
        <v>233</v>
      </c>
      <c r="G136" s="11" t="s">
        <v>234</v>
      </c>
      <c r="H136" s="11">
        <f>Anchoveta!F99</f>
        <v>1313.259</v>
      </c>
      <c r="I136" s="11">
        <f>Anchoveta!G99</f>
        <v>-129.35999999999999</v>
      </c>
      <c r="J136" s="11">
        <f>Anchoveta!H99</f>
        <v>1183.8990000000001</v>
      </c>
      <c r="K136" s="11">
        <f>Anchoveta!I99</f>
        <v>757.94500000000005</v>
      </c>
      <c r="L136" s="11">
        <f>Anchoveta!K99</f>
        <v>425.95400000000006</v>
      </c>
      <c r="M136" s="49">
        <f>Anchoveta!L99</f>
        <v>0.64021086258202764</v>
      </c>
      <c r="N136" s="55" t="str">
        <f>'IC Anch y SardC VIII'!O82</f>
        <v>-</v>
      </c>
      <c r="O136" s="34">
        <f>RESUMEN!$B$3</f>
        <v>44201</v>
      </c>
      <c r="P136" s="11">
        <v>2021</v>
      </c>
    </row>
    <row r="137" spans="1:16">
      <c r="A137" s="11" t="s">
        <v>229</v>
      </c>
      <c r="B137" s="11" t="s">
        <v>192</v>
      </c>
      <c r="C137" s="11" t="s">
        <v>251</v>
      </c>
      <c r="D137" s="11" t="s">
        <v>246</v>
      </c>
      <c r="E137" s="11" t="str">
        <f>Anchoveta!D100</f>
        <v>CUOTA RESIDUAL VIII</v>
      </c>
      <c r="F137" s="11" t="s">
        <v>233</v>
      </c>
      <c r="G137" s="11" t="s">
        <v>234</v>
      </c>
      <c r="H137" s="11">
        <f>Anchoveta!F100</f>
        <v>105.791</v>
      </c>
      <c r="I137" s="11">
        <f>Anchoveta!G100</f>
        <v>0</v>
      </c>
      <c r="J137" s="11">
        <f>Anchoveta!H100</f>
        <v>105.791</v>
      </c>
      <c r="K137" s="11">
        <f>Anchoveta!I100</f>
        <v>19.727</v>
      </c>
      <c r="L137" s="11">
        <f>Anchoveta!K100</f>
        <v>86.063999999999993</v>
      </c>
      <c r="M137" s="49">
        <f>Anchoveta!L100</f>
        <v>0.1864714389692885</v>
      </c>
      <c r="N137" s="55">
        <f>'IC Anch y SardC VIII'!O83</f>
        <v>44256</v>
      </c>
      <c r="O137" s="34">
        <f>RESUMEN!$B$3</f>
        <v>44201</v>
      </c>
      <c r="P137" s="11">
        <v>2021</v>
      </c>
    </row>
    <row r="138" spans="1:16">
      <c r="A138" s="43" t="s">
        <v>229</v>
      </c>
      <c r="B138" s="43" t="s">
        <v>192</v>
      </c>
      <c r="C138" s="43" t="s">
        <v>251</v>
      </c>
      <c r="D138" s="43" t="s">
        <v>46</v>
      </c>
      <c r="E138" s="43" t="str">
        <f>Anchoveta!D102</f>
        <v>Total Región del Biobio y el Ñuble</v>
      </c>
      <c r="F138" s="43" t="s">
        <v>233</v>
      </c>
      <c r="G138" s="43" t="s">
        <v>234</v>
      </c>
      <c r="H138" s="43">
        <f>Anchoveta!F102</f>
        <v>127876.99999999994</v>
      </c>
      <c r="I138" s="162">
        <f>Anchoveta!G102</f>
        <v>51364.96338999999</v>
      </c>
      <c r="J138" s="162">
        <f>Anchoveta!H102</f>
        <v>179241.96338999993</v>
      </c>
      <c r="K138" s="162">
        <f>Anchoveta!I102</f>
        <v>147579.43</v>
      </c>
      <c r="L138" s="162">
        <f>Anchoveta!K102</f>
        <v>31662.533389999939</v>
      </c>
      <c r="M138" s="51">
        <f>Anchoveta!L102</f>
        <v>0.82335312115998383</v>
      </c>
      <c r="N138" s="56" t="str">
        <f>Anchoveta!M102</f>
        <v>-</v>
      </c>
      <c r="O138" s="34">
        <f>RESUMEN!$B$3</f>
        <v>44201</v>
      </c>
      <c r="P138" s="11">
        <v>2021</v>
      </c>
    </row>
    <row r="139" spans="1:16">
      <c r="A139" t="s">
        <v>229</v>
      </c>
      <c r="B139" t="s">
        <v>192</v>
      </c>
      <c r="C139" t="s">
        <v>213</v>
      </c>
      <c r="D139" t="s">
        <v>46</v>
      </c>
      <c r="E139" t="str">
        <f>Anchoveta!D104</f>
        <v>Región de la Araucanía</v>
      </c>
      <c r="F139" t="s">
        <v>233</v>
      </c>
      <c r="G139" t="s">
        <v>234</v>
      </c>
      <c r="H139">
        <f>Anchoveta!F104</f>
        <v>1992</v>
      </c>
      <c r="I139" s="11">
        <f>Anchoveta!G104</f>
        <v>1042.5999999999999</v>
      </c>
      <c r="J139" s="11">
        <f>Anchoveta!H104</f>
        <v>3034.6</v>
      </c>
      <c r="K139" s="11">
        <f>Anchoveta!I104</f>
        <v>744.47</v>
      </c>
      <c r="L139">
        <f>Anchoveta!K104</f>
        <v>2290.13</v>
      </c>
      <c r="M139" s="49">
        <f>Anchoveta!L104</f>
        <v>0.24532722599354118</v>
      </c>
      <c r="N139" s="55">
        <f>Anchoveta!M104</f>
        <v>44522</v>
      </c>
      <c r="O139" s="34">
        <f>RESUMEN!$B$3</f>
        <v>44201</v>
      </c>
      <c r="P139" s="11">
        <v>2021</v>
      </c>
    </row>
    <row r="140" spans="1:16">
      <c r="A140" s="43" t="s">
        <v>229</v>
      </c>
      <c r="B140" s="43" t="s">
        <v>192</v>
      </c>
      <c r="C140" s="43" t="s">
        <v>213</v>
      </c>
      <c r="D140" s="43" t="s">
        <v>46</v>
      </c>
      <c r="E140" s="43" t="str">
        <f>Anchoveta!D106</f>
        <v>Total Región de la Araucanía</v>
      </c>
      <c r="F140" s="43" t="s">
        <v>233</v>
      </c>
      <c r="G140" s="43" t="s">
        <v>234</v>
      </c>
      <c r="H140" s="43">
        <f>Anchoveta!F106</f>
        <v>1992</v>
      </c>
      <c r="I140" s="43">
        <f>Anchoveta!G106</f>
        <v>2052.6</v>
      </c>
      <c r="J140" s="43">
        <f>Anchoveta!H106</f>
        <v>4044.6</v>
      </c>
      <c r="K140" s="43">
        <f>Anchoveta!I106</f>
        <v>1102.482</v>
      </c>
      <c r="L140" s="43">
        <f>Anchoveta!K106</f>
        <v>2942.1179999999999</v>
      </c>
      <c r="M140" s="51">
        <f>Anchoveta!L106</f>
        <v>0.27258121940364932</v>
      </c>
      <c r="N140" s="56" t="str">
        <f>Anchoveta!M106</f>
        <v>-</v>
      </c>
      <c r="O140" s="34">
        <f>RESUMEN!$B$3</f>
        <v>44201</v>
      </c>
      <c r="P140" s="11">
        <v>2021</v>
      </c>
    </row>
    <row r="141" spans="1:16">
      <c r="A141" t="s">
        <v>229</v>
      </c>
      <c r="B141" t="s">
        <v>192</v>
      </c>
      <c r="C141" t="s">
        <v>212</v>
      </c>
      <c r="D141" t="s">
        <v>246</v>
      </c>
      <c r="E141" t="str">
        <f>Anchoveta!D108</f>
        <v>AG APEVAL. RAG 29-14</v>
      </c>
      <c r="F141" s="11" t="s">
        <v>233</v>
      </c>
      <c r="G141" s="11" t="s">
        <v>234</v>
      </c>
      <c r="H141">
        <f>Anchoveta!F108</f>
        <v>921.80799999999999</v>
      </c>
      <c r="I141" s="11">
        <f>Anchoveta!G108</f>
        <v>-788.94200000000001</v>
      </c>
      <c r="J141" s="11">
        <f>Anchoveta!H108</f>
        <v>132.86599999999999</v>
      </c>
      <c r="K141" s="11">
        <f>Anchoveta!I108</f>
        <v>82.352000000000004</v>
      </c>
      <c r="L141">
        <f>Anchoveta!K108</f>
        <v>50.513999999999982</v>
      </c>
      <c r="M141" s="49">
        <f>Anchoveta!L108</f>
        <v>0.61981244261135293</v>
      </c>
      <c r="N141" s="55" t="str">
        <f>Anchoveta!M108</f>
        <v>-</v>
      </c>
      <c r="O141" s="34">
        <f>RESUMEN!$B$3</f>
        <v>44201</v>
      </c>
      <c r="P141" s="11">
        <v>2021</v>
      </c>
    </row>
    <row r="142" spans="1:16">
      <c r="A142" t="s">
        <v>229</v>
      </c>
      <c r="B142" t="s">
        <v>192</v>
      </c>
      <c r="C142" t="s">
        <v>212</v>
      </c>
      <c r="D142" t="s">
        <v>246</v>
      </c>
      <c r="E142" s="11" t="str">
        <f>Anchoveta!D109</f>
        <v xml:space="preserve"> AG ACERVAL. RAG 207-10</v>
      </c>
      <c r="F142" s="11" t="s">
        <v>233</v>
      </c>
      <c r="G142" s="11" t="s">
        <v>234</v>
      </c>
      <c r="H142" s="11">
        <f>Anchoveta!F109</f>
        <v>1643.509</v>
      </c>
      <c r="I142" s="11">
        <f>Anchoveta!G109</f>
        <v>57.465999999999994</v>
      </c>
      <c r="J142" s="11">
        <f>Anchoveta!H109</f>
        <v>1700.9749999999999</v>
      </c>
      <c r="K142" s="11">
        <f>Anchoveta!I109</f>
        <v>162.643</v>
      </c>
      <c r="L142" s="11">
        <f>Anchoveta!K109</f>
        <v>1538.3319999999999</v>
      </c>
      <c r="M142" s="49">
        <f>Anchoveta!L109</f>
        <v>9.5617513484913069E-2</v>
      </c>
      <c r="N142" s="55">
        <f>Anchoveta!M109</f>
        <v>44524</v>
      </c>
      <c r="O142" s="34">
        <f>RESUMEN!$B$3</f>
        <v>44201</v>
      </c>
      <c r="P142" s="11">
        <v>2021</v>
      </c>
    </row>
    <row r="143" spans="1:16">
      <c r="A143" t="s">
        <v>229</v>
      </c>
      <c r="B143" t="s">
        <v>192</v>
      </c>
      <c r="C143" t="s">
        <v>212</v>
      </c>
      <c r="D143" t="s">
        <v>246</v>
      </c>
      <c r="E143" s="11" t="str">
        <f>Anchoveta!D110</f>
        <v>AG ACERMAR. RAG 4205</v>
      </c>
      <c r="F143" s="11" t="s">
        <v>233</v>
      </c>
      <c r="G143" s="11" t="s">
        <v>234</v>
      </c>
      <c r="H143" s="11">
        <f>Anchoveta!F110</f>
        <v>1302.0540000000001</v>
      </c>
      <c r="I143" s="11">
        <f>Anchoveta!G110</f>
        <v>69.293999999999997</v>
      </c>
      <c r="J143" s="11">
        <f>Anchoveta!H110</f>
        <v>1371.3480000000002</v>
      </c>
      <c r="K143" s="11">
        <f>Anchoveta!I110</f>
        <v>377.55099999999999</v>
      </c>
      <c r="L143" s="11">
        <f>Anchoveta!K110</f>
        <v>993.79700000000025</v>
      </c>
      <c r="M143" s="49">
        <f>Anchoveta!L110</f>
        <v>0.27531377885117414</v>
      </c>
      <c r="N143" s="55">
        <f>Anchoveta!M110</f>
        <v>44524</v>
      </c>
      <c r="O143" s="34">
        <f>RESUMEN!$B$3</f>
        <v>44201</v>
      </c>
      <c r="P143" s="11">
        <v>2021</v>
      </c>
    </row>
    <row r="144" spans="1:16">
      <c r="A144" t="s">
        <v>229</v>
      </c>
      <c r="B144" t="s">
        <v>192</v>
      </c>
      <c r="C144" t="s">
        <v>212</v>
      </c>
      <c r="D144" t="s">
        <v>246</v>
      </c>
      <c r="E144" s="11" t="str">
        <f>Anchoveta!D111</f>
        <v xml:space="preserve"> AG ACER. RAG 3793</v>
      </c>
      <c r="F144" s="11" t="s">
        <v>233</v>
      </c>
      <c r="G144" s="11" t="s">
        <v>234</v>
      </c>
      <c r="H144" s="11">
        <f>Anchoveta!F111</f>
        <v>976.827</v>
      </c>
      <c r="I144" s="11">
        <f>Anchoveta!G111</f>
        <v>351.98599999999999</v>
      </c>
      <c r="J144" s="11">
        <f>Anchoveta!H111</f>
        <v>1328.8130000000001</v>
      </c>
      <c r="K144" s="11">
        <f>Anchoveta!I111</f>
        <v>138.56399999999999</v>
      </c>
      <c r="L144" s="11">
        <f>Anchoveta!K111</f>
        <v>1190.249</v>
      </c>
      <c r="M144" s="49">
        <f>Anchoveta!L111</f>
        <v>0.10427652348374074</v>
      </c>
      <c r="N144" s="55">
        <f>Anchoveta!M111</f>
        <v>44543</v>
      </c>
      <c r="O144" s="34">
        <f>RESUMEN!$B$3</f>
        <v>44201</v>
      </c>
      <c r="P144" s="11">
        <v>2021</v>
      </c>
    </row>
    <row r="145" spans="1:16">
      <c r="A145" s="11" t="s">
        <v>229</v>
      </c>
      <c r="B145" s="11" t="s">
        <v>192</v>
      </c>
      <c r="C145" s="11" t="s">
        <v>212</v>
      </c>
      <c r="D145" t="s">
        <v>246</v>
      </c>
      <c r="E145" s="11" t="str">
        <f>Anchoveta!D112</f>
        <v>AG SIPACERVAL RAG 44-14</v>
      </c>
      <c r="F145" s="11" t="s">
        <v>233</v>
      </c>
      <c r="G145" s="11" t="s">
        <v>234</v>
      </c>
      <c r="H145" s="11">
        <f>Anchoveta!F112</f>
        <v>4080.8530000000001</v>
      </c>
      <c r="I145" s="11">
        <f>Anchoveta!G112</f>
        <v>217.179</v>
      </c>
      <c r="J145" s="11">
        <f>Anchoveta!H112</f>
        <v>4298.0320000000002</v>
      </c>
      <c r="K145" s="11">
        <f>Anchoveta!I112</f>
        <v>555.13300000000004</v>
      </c>
      <c r="L145" s="11">
        <f>Anchoveta!K112</f>
        <v>3742.8990000000003</v>
      </c>
      <c r="M145" s="49">
        <f>Anchoveta!L112</f>
        <v>0.12915981081574079</v>
      </c>
      <c r="N145" s="55">
        <f>Anchoveta!M112</f>
        <v>44559</v>
      </c>
      <c r="O145" s="34">
        <f>RESUMEN!$B$3</f>
        <v>44201</v>
      </c>
      <c r="P145" s="11">
        <v>2021</v>
      </c>
    </row>
    <row r="146" spans="1:16">
      <c r="A146" s="11" t="s">
        <v>229</v>
      </c>
      <c r="B146" s="11" t="s">
        <v>192</v>
      </c>
      <c r="C146" s="11" t="s">
        <v>212</v>
      </c>
      <c r="D146" t="s">
        <v>246</v>
      </c>
      <c r="E146" s="11" t="str">
        <f>Anchoveta!D113</f>
        <v>AG ARMAPES. RAG 264-10</v>
      </c>
      <c r="F146" s="11" t="s">
        <v>233</v>
      </c>
      <c r="G146" s="11" t="s">
        <v>234</v>
      </c>
      <c r="H146" s="11">
        <f>Anchoveta!F113</f>
        <v>714.09900000000005</v>
      </c>
      <c r="I146" s="11">
        <f>Anchoveta!G113</f>
        <v>38.003999999999998</v>
      </c>
      <c r="J146" s="11">
        <f>Anchoveta!H113</f>
        <v>752.10300000000007</v>
      </c>
      <c r="K146" s="11">
        <f>Anchoveta!I113</f>
        <v>77.262</v>
      </c>
      <c r="L146" s="11">
        <f>Anchoveta!K113</f>
        <v>674.84100000000012</v>
      </c>
      <c r="M146" s="49">
        <f>Anchoveta!L113</f>
        <v>0.10272795082588421</v>
      </c>
      <c r="N146" s="55">
        <f>Anchoveta!M113</f>
        <v>44510</v>
      </c>
      <c r="O146" s="34">
        <f>RESUMEN!$B$3</f>
        <v>44201</v>
      </c>
      <c r="P146" s="11">
        <v>2021</v>
      </c>
    </row>
    <row r="147" spans="1:16">
      <c r="A147" s="11" t="s">
        <v>229</v>
      </c>
      <c r="B147" s="11" t="s">
        <v>192</v>
      </c>
      <c r="C147" s="11" t="s">
        <v>212</v>
      </c>
      <c r="D147" t="s">
        <v>246</v>
      </c>
      <c r="E147" s="11" t="str">
        <f>Anchoveta!D114</f>
        <v xml:space="preserve"> AG APACER. RAG 46-14</v>
      </c>
      <c r="F147" s="11" t="s">
        <v>233</v>
      </c>
      <c r="G147" s="11" t="s">
        <v>234</v>
      </c>
      <c r="H147" s="11">
        <f>Anchoveta!F114</f>
        <v>732.81700000000001</v>
      </c>
      <c r="I147" s="11">
        <f>Anchoveta!G114</f>
        <v>39</v>
      </c>
      <c r="J147" s="11">
        <f>Anchoveta!H114</f>
        <v>771.81700000000001</v>
      </c>
      <c r="K147" s="11">
        <f>Anchoveta!I114</f>
        <v>393.38600000000002</v>
      </c>
      <c r="L147" s="11">
        <f>Anchoveta!K114</f>
        <v>378.43099999999998</v>
      </c>
      <c r="M147" s="49">
        <f>Anchoveta!L114</f>
        <v>0.50968817737883465</v>
      </c>
      <c r="N147" s="55">
        <f>Anchoveta!M114</f>
        <v>44531</v>
      </c>
      <c r="O147" s="34">
        <f>RESUMEN!$B$3</f>
        <v>44201</v>
      </c>
      <c r="P147" s="11">
        <v>2021</v>
      </c>
    </row>
    <row r="148" spans="1:16">
      <c r="A148" s="11" t="s">
        <v>229</v>
      </c>
      <c r="B148" s="11" t="s">
        <v>192</v>
      </c>
      <c r="C148" s="11" t="s">
        <v>212</v>
      </c>
      <c r="D148" t="s">
        <v>246</v>
      </c>
      <c r="E148" s="11" t="str">
        <f>Anchoveta!D115</f>
        <v xml:space="preserve"> STI DE AMARGO. RSU 14.01.0105</v>
      </c>
      <c r="F148" s="11" t="s">
        <v>233</v>
      </c>
      <c r="G148" s="11" t="s">
        <v>234</v>
      </c>
      <c r="H148" s="11">
        <f>Anchoveta!F115</f>
        <v>852.86900000000003</v>
      </c>
      <c r="I148" s="11">
        <f>Anchoveta!G115</f>
        <v>45.389000000000003</v>
      </c>
      <c r="J148" s="11">
        <f>Anchoveta!H115</f>
        <v>898.25800000000004</v>
      </c>
      <c r="K148" s="11">
        <f>Anchoveta!I115</f>
        <v>265.62799999999999</v>
      </c>
      <c r="L148" s="11">
        <f>Anchoveta!K115</f>
        <v>632.63000000000011</v>
      </c>
      <c r="M148" s="49">
        <f>Anchoveta!L115</f>
        <v>0.29571459424797775</v>
      </c>
      <c r="N148" s="55">
        <f>Anchoveta!M115</f>
        <v>44532</v>
      </c>
      <c r="O148" s="34">
        <f>RESUMEN!$B$3</f>
        <v>44201</v>
      </c>
      <c r="P148" s="11">
        <v>2021</v>
      </c>
    </row>
    <row r="149" spans="1:16">
      <c r="A149" s="11" t="s">
        <v>229</v>
      </c>
      <c r="B149" s="11" t="s">
        <v>192</v>
      </c>
      <c r="C149" s="11" t="s">
        <v>212</v>
      </c>
      <c r="D149" t="s">
        <v>246</v>
      </c>
      <c r="E149" s="11" t="str">
        <f>Anchoveta!D116</f>
        <v>STI DEL BALNEARIO DE NIEBLA. RSU 14.01.0127</v>
      </c>
      <c r="F149" s="11" t="s">
        <v>233</v>
      </c>
      <c r="G149" s="11" t="s">
        <v>234</v>
      </c>
      <c r="H149" s="11">
        <f>Anchoveta!F116</f>
        <v>347.45800000000003</v>
      </c>
      <c r="I149" s="11">
        <f>Anchoveta!G116</f>
        <v>-221.50900000000001</v>
      </c>
      <c r="J149" s="11">
        <f>Anchoveta!H116</f>
        <v>125.94900000000001</v>
      </c>
      <c r="K149" s="11">
        <f>Anchoveta!I116</f>
        <v>95.122</v>
      </c>
      <c r="L149" s="11">
        <f>Anchoveta!K116</f>
        <v>30.827000000000012</v>
      </c>
      <c r="M149" s="49">
        <f>Anchoveta!L116</f>
        <v>0.75524220120842556</v>
      </c>
      <c r="N149" s="55">
        <f>Anchoveta!M116</f>
        <v>44519</v>
      </c>
      <c r="O149" s="34">
        <f>RESUMEN!$B$3</f>
        <v>44201</v>
      </c>
      <c r="P149" s="11">
        <v>2021</v>
      </c>
    </row>
    <row r="150" spans="1:16">
      <c r="A150" s="11" t="s">
        <v>229</v>
      </c>
      <c r="B150" s="11" t="s">
        <v>192</v>
      </c>
      <c r="C150" s="11" t="s">
        <v>212</v>
      </c>
      <c r="D150" t="s">
        <v>246</v>
      </c>
      <c r="E150" s="11" t="str">
        <f>Anchoveta!D117</f>
        <v xml:space="preserve"> STI ARPAVAL. RSU 14.01.0514</v>
      </c>
      <c r="F150" s="11" t="s">
        <v>233</v>
      </c>
      <c r="G150" s="11" t="s">
        <v>234</v>
      </c>
      <c r="H150" s="11">
        <f>Anchoveta!F117</f>
        <v>310.262</v>
      </c>
      <c r="I150" s="11">
        <f>Anchoveta!G117</f>
        <v>-293.65800000000002</v>
      </c>
      <c r="J150" s="11">
        <f>Anchoveta!H117</f>
        <v>16.603999999999985</v>
      </c>
      <c r="K150" s="11">
        <f>Anchoveta!I117</f>
        <v>0</v>
      </c>
      <c r="L150" s="11">
        <f>Anchoveta!K117</f>
        <v>16.603999999999985</v>
      </c>
      <c r="M150" s="49">
        <f>Anchoveta!L117</f>
        <v>0</v>
      </c>
      <c r="N150" s="55" t="str">
        <f>Anchoveta!M117</f>
        <v>-</v>
      </c>
      <c r="O150" s="34">
        <f>RESUMEN!$B$3</f>
        <v>44201</v>
      </c>
      <c r="P150" s="11">
        <v>2021</v>
      </c>
    </row>
    <row r="151" spans="1:16">
      <c r="A151" s="11" t="s">
        <v>229</v>
      </c>
      <c r="B151" s="11" t="s">
        <v>192</v>
      </c>
      <c r="C151" s="11" t="s">
        <v>212</v>
      </c>
      <c r="D151" t="s">
        <v>246</v>
      </c>
      <c r="E151" s="11" t="str">
        <f>Anchoveta!D118</f>
        <v>CUOTA RESIDUAL XIV</v>
      </c>
      <c r="F151" s="11" t="s">
        <v>233</v>
      </c>
      <c r="G151" s="11" t="s">
        <v>234</v>
      </c>
      <c r="H151" s="11">
        <f>Anchoveta!F118</f>
        <v>124.444</v>
      </c>
      <c r="I151" s="11">
        <f>Anchoveta!G118</f>
        <v>6.6230000000000002</v>
      </c>
      <c r="J151" s="11">
        <f>Anchoveta!H118</f>
        <v>131.06700000000001</v>
      </c>
      <c r="K151" s="11">
        <f>Anchoveta!I118</f>
        <v>41.996000000000002</v>
      </c>
      <c r="L151" s="11">
        <f>Anchoveta!K118</f>
        <v>89.070999999999998</v>
      </c>
      <c r="M151" s="49">
        <f>Anchoveta!L118</f>
        <v>0.32041627564528063</v>
      </c>
      <c r="N151" s="55">
        <f>Anchoveta!M118</f>
        <v>44524</v>
      </c>
      <c r="O151" s="34">
        <f>RESUMEN!$B$3</f>
        <v>44201</v>
      </c>
      <c r="P151" s="11">
        <v>2021</v>
      </c>
    </row>
    <row r="152" spans="1:16">
      <c r="A152" s="43" t="s">
        <v>229</v>
      </c>
      <c r="B152" s="43" t="s">
        <v>192</v>
      </c>
      <c r="C152" s="43" t="s">
        <v>212</v>
      </c>
      <c r="D152" s="43" t="s">
        <v>46</v>
      </c>
      <c r="E152" s="43" t="str">
        <f>Anchoveta!D120</f>
        <v xml:space="preserve">Total Región de Los Rios </v>
      </c>
      <c r="F152" s="43" t="s">
        <v>233</v>
      </c>
      <c r="G152" s="43" t="s">
        <v>234</v>
      </c>
      <c r="H152" s="43">
        <f>Anchoveta!F120</f>
        <v>12007.000000000002</v>
      </c>
      <c r="I152" s="43">
        <f>Anchoveta!G120</f>
        <v>7469.0690000000004</v>
      </c>
      <c r="J152" s="43">
        <f>Anchoveta!H120</f>
        <v>19476.069000000003</v>
      </c>
      <c r="K152" s="43">
        <f>Anchoveta!I120</f>
        <v>5486.2609999999995</v>
      </c>
      <c r="L152" s="43">
        <f>Anchoveta!K120</f>
        <v>13989.808000000005</v>
      </c>
      <c r="M152" s="51">
        <f>Anchoveta!L120</f>
        <v>0.28169241955345292</v>
      </c>
      <c r="N152" s="56" t="str">
        <f>Anchoveta!M120</f>
        <v>-</v>
      </c>
      <c r="O152" s="34">
        <f>RESUMEN!$B$3</f>
        <v>44201</v>
      </c>
      <c r="P152" s="11">
        <v>2021</v>
      </c>
    </row>
    <row r="153" spans="1:16">
      <c r="A153" s="11" t="s">
        <v>229</v>
      </c>
      <c r="B153" s="11" t="s">
        <v>192</v>
      </c>
      <c r="C153" t="s">
        <v>253</v>
      </c>
      <c r="D153" t="s">
        <v>246</v>
      </c>
      <c r="E153" t="str">
        <f>Anchoveta!D122</f>
        <v>ARMAR AG. RAG 320-10</v>
      </c>
      <c r="F153" t="s">
        <v>233</v>
      </c>
      <c r="G153" t="s">
        <v>234</v>
      </c>
      <c r="H153">
        <f>Anchoveta!F122</f>
        <v>422.74599999999998</v>
      </c>
      <c r="I153" s="11">
        <f>Anchoveta!G122</f>
        <v>-395.77699999999999</v>
      </c>
      <c r="J153" s="11">
        <f>Anchoveta!H122</f>
        <v>26.968999999999994</v>
      </c>
      <c r="K153" s="11">
        <f>Anchoveta!I122</f>
        <v>26.969000000000001</v>
      </c>
      <c r="L153">
        <f>Anchoveta!K122</f>
        <v>0</v>
      </c>
      <c r="M153" s="49">
        <f>Anchoveta!L122</f>
        <v>1.0000000000000002</v>
      </c>
      <c r="N153" s="55">
        <f>Anchoveta!M122</f>
        <v>44560</v>
      </c>
      <c r="O153" s="34">
        <f>RESUMEN!$B$3</f>
        <v>44201</v>
      </c>
      <c r="P153" s="11">
        <v>2021</v>
      </c>
    </row>
    <row r="154" spans="1:16">
      <c r="A154" s="11" t="s">
        <v>229</v>
      </c>
      <c r="B154" s="11" t="s">
        <v>192</v>
      </c>
      <c r="C154" s="11" t="s">
        <v>253</v>
      </c>
      <c r="D154" s="11" t="s">
        <v>246</v>
      </c>
      <c r="E154" s="11" t="str">
        <f>Anchoveta!D123</f>
        <v>ASOGFER AG. RAG 310-10</v>
      </c>
      <c r="F154" s="11" t="s">
        <v>233</v>
      </c>
      <c r="G154" s="11" t="s">
        <v>234</v>
      </c>
      <c r="H154" s="11">
        <f>Anchoveta!F123</f>
        <v>1508.548</v>
      </c>
      <c r="I154" s="11">
        <f>Anchoveta!G123</f>
        <v>-155.22300000000001</v>
      </c>
      <c r="J154" s="11">
        <f>Anchoveta!H123</f>
        <v>1353.325</v>
      </c>
      <c r="K154" s="11">
        <f>Anchoveta!I123</f>
        <v>1292.8510000000001</v>
      </c>
      <c r="L154" s="11">
        <f>Anchoveta!K123</f>
        <v>60.473999999999933</v>
      </c>
      <c r="M154" s="49">
        <f>Anchoveta!L123</f>
        <v>0.95531450316812305</v>
      </c>
      <c r="N154" s="55">
        <f>Anchoveta!M123</f>
        <v>44498</v>
      </c>
      <c r="O154" s="34">
        <f>RESUMEN!$B$3</f>
        <v>44201</v>
      </c>
      <c r="P154" s="11">
        <v>2021</v>
      </c>
    </row>
    <row r="155" spans="1:16">
      <c r="A155" s="11" t="s">
        <v>229</v>
      </c>
      <c r="B155" s="11" t="s">
        <v>192</v>
      </c>
      <c r="C155" s="11" t="s">
        <v>253</v>
      </c>
      <c r="D155" s="11" t="s">
        <v>246</v>
      </c>
      <c r="E155" s="11" t="str">
        <f>Anchoveta!D124</f>
        <v>AGARMAR.  RAG 156-10</v>
      </c>
      <c r="F155" s="11" t="s">
        <v>233</v>
      </c>
      <c r="G155" s="11" t="s">
        <v>234</v>
      </c>
      <c r="H155" s="11">
        <f>Anchoveta!F124</f>
        <v>1780.817</v>
      </c>
      <c r="I155" s="11">
        <f>Anchoveta!G124</f>
        <v>-437</v>
      </c>
      <c r="J155" s="11">
        <f>Anchoveta!H124</f>
        <v>1343.817</v>
      </c>
      <c r="K155" s="11">
        <f>Anchoveta!I124</f>
        <v>1259.433</v>
      </c>
      <c r="L155" s="11">
        <f>Anchoveta!K124</f>
        <v>84.384000000000015</v>
      </c>
      <c r="M155" s="49">
        <f>Anchoveta!L124</f>
        <v>0.93720573560239229</v>
      </c>
      <c r="N155" s="55" t="str">
        <f>Anchoveta!M124</f>
        <v>-</v>
      </c>
      <c r="O155" s="34">
        <f>RESUMEN!$B$3</f>
        <v>44201</v>
      </c>
      <c r="P155" s="11">
        <v>2021</v>
      </c>
    </row>
    <row r="156" spans="1:16">
      <c r="A156" s="11" t="s">
        <v>229</v>
      </c>
      <c r="B156" s="11" t="s">
        <v>192</v>
      </c>
      <c r="C156" s="11" t="s">
        <v>253</v>
      </c>
      <c r="D156" s="11" t="s">
        <v>246</v>
      </c>
      <c r="E156" s="11" t="str">
        <f>Anchoveta!D125</f>
        <v>PESCA AUSTRAL. RAG 326-10</v>
      </c>
      <c r="F156" s="11" t="s">
        <v>233</v>
      </c>
      <c r="G156" s="11" t="s">
        <v>234</v>
      </c>
      <c r="H156" s="11">
        <f>Anchoveta!F125</f>
        <v>553.90200000000004</v>
      </c>
      <c r="I156" s="11">
        <f>Anchoveta!G125</f>
        <v>-490</v>
      </c>
      <c r="J156" s="11">
        <f>Anchoveta!H125</f>
        <v>63.902000000000044</v>
      </c>
      <c r="K156" s="11">
        <f>Anchoveta!I125</f>
        <v>37.878</v>
      </c>
      <c r="L156" s="11">
        <f>Anchoveta!K125</f>
        <v>26.024000000000044</v>
      </c>
      <c r="M156" s="49">
        <f>Anchoveta!L125</f>
        <v>0.59275140058214104</v>
      </c>
      <c r="N156" s="55" t="str">
        <f>Anchoveta!M125</f>
        <v>-</v>
      </c>
      <c r="O156" s="34">
        <f>RESUMEN!$B$3</f>
        <v>44201</v>
      </c>
      <c r="P156" s="11">
        <v>2021</v>
      </c>
    </row>
    <row r="157" spans="1:16">
      <c r="A157" s="11" t="s">
        <v>229</v>
      </c>
      <c r="B157" s="11" t="s">
        <v>192</v>
      </c>
      <c r="C157" s="11" t="s">
        <v>253</v>
      </c>
      <c r="D157" s="11" t="s">
        <v>246</v>
      </c>
      <c r="E157" s="11" t="str">
        <f>Anchoveta!D126</f>
        <v>ASOGPESCA ANCUD. AG 4266</v>
      </c>
      <c r="F157" s="11" t="s">
        <v>233</v>
      </c>
      <c r="G157" s="11" t="s">
        <v>234</v>
      </c>
      <c r="H157" s="11">
        <f>Anchoveta!F126</f>
        <v>582.02499999999998</v>
      </c>
      <c r="I157" s="11">
        <f>Anchoveta!G126</f>
        <v>-251</v>
      </c>
      <c r="J157" s="11">
        <f>Anchoveta!H126</f>
        <v>331.02499999999998</v>
      </c>
      <c r="K157" s="11">
        <f>Anchoveta!I126</f>
        <v>226.18600000000001</v>
      </c>
      <c r="L157" s="11">
        <f>Anchoveta!K126</f>
        <v>104.83899999999997</v>
      </c>
      <c r="M157" s="49">
        <f>Anchoveta!L126</f>
        <v>0.68328978173853949</v>
      </c>
      <c r="N157" s="55" t="str">
        <f>Anchoveta!M126</f>
        <v>-</v>
      </c>
      <c r="O157" s="34">
        <f>RESUMEN!$B$3</f>
        <v>44201</v>
      </c>
      <c r="P157" s="11">
        <v>2021</v>
      </c>
    </row>
    <row r="158" spans="1:16">
      <c r="A158" s="11" t="s">
        <v>229</v>
      </c>
      <c r="B158" s="11" t="s">
        <v>192</v>
      </c>
      <c r="C158" s="11" t="s">
        <v>253</v>
      </c>
      <c r="D158" s="11" t="s">
        <v>246</v>
      </c>
      <c r="E158" s="11" t="str">
        <f>Anchoveta!D127</f>
        <v>AQUEPESCA. AG 270-10</v>
      </c>
      <c r="F158" s="11" t="s">
        <v>233</v>
      </c>
      <c r="G158" s="11" t="s">
        <v>234</v>
      </c>
      <c r="H158" s="11">
        <f>Anchoveta!F127</f>
        <v>293.57900000000001</v>
      </c>
      <c r="I158" s="11">
        <f>Anchoveta!G127</f>
        <v>-293</v>
      </c>
      <c r="J158" s="11">
        <f>Anchoveta!H127</f>
        <v>0.57900000000000773</v>
      </c>
      <c r="K158" s="11">
        <f>Anchoveta!I127</f>
        <v>0</v>
      </c>
      <c r="L158" s="11">
        <f>Anchoveta!K127</f>
        <v>0.57900000000000773</v>
      </c>
      <c r="M158" s="49">
        <f>Anchoveta!L127</f>
        <v>0</v>
      </c>
      <c r="N158" s="55" t="str">
        <f>Anchoveta!M127</f>
        <v>-</v>
      </c>
      <c r="O158" s="34">
        <f>RESUMEN!$B$3</f>
        <v>44201</v>
      </c>
      <c r="P158" s="11">
        <v>2021</v>
      </c>
    </row>
    <row r="159" spans="1:16">
      <c r="A159" s="11" t="s">
        <v>229</v>
      </c>
      <c r="B159" s="11" t="s">
        <v>192</v>
      </c>
      <c r="C159" s="11" t="s">
        <v>253</v>
      </c>
      <c r="D159" s="11" t="s">
        <v>246</v>
      </c>
      <c r="E159" s="11" t="str">
        <f>Anchoveta!D128</f>
        <v>STI CAMINO CHINQUIHUE. RSU 10.01.0942</v>
      </c>
      <c r="F159" s="11" t="s">
        <v>233</v>
      </c>
      <c r="G159" s="11" t="s">
        <v>234</v>
      </c>
      <c r="H159" s="11">
        <f>Anchoveta!F128</f>
        <v>291.72000000000003</v>
      </c>
      <c r="I159" s="11">
        <f>Anchoveta!G128</f>
        <v>-302</v>
      </c>
      <c r="J159" s="11">
        <f>Anchoveta!H128</f>
        <v>-10.279999999999973</v>
      </c>
      <c r="K159" s="11">
        <f>Anchoveta!I128</f>
        <v>0</v>
      </c>
      <c r="L159" s="11">
        <f>Anchoveta!K128</f>
        <v>-10.279999999999973</v>
      </c>
      <c r="M159" s="49">
        <f>Anchoveta!L128</f>
        <v>1.0352392705333882</v>
      </c>
      <c r="N159" s="55">
        <f>Anchoveta!M128</f>
        <v>44498</v>
      </c>
      <c r="O159" s="34">
        <f>RESUMEN!$B$3</f>
        <v>44201</v>
      </c>
      <c r="P159" s="11">
        <v>2021</v>
      </c>
    </row>
    <row r="160" spans="1:16">
      <c r="A160" s="11" t="s">
        <v>229</v>
      </c>
      <c r="B160" s="11" t="s">
        <v>192</v>
      </c>
      <c r="C160" s="11" t="s">
        <v>253</v>
      </c>
      <c r="D160" s="11" t="s">
        <v>246</v>
      </c>
      <c r="E160" s="11" t="str">
        <f>Anchoveta!D129</f>
        <v xml:space="preserve">STI PECERCAL RSU 10.01.0948 </v>
      </c>
      <c r="F160" s="11" t="s">
        <v>233</v>
      </c>
      <c r="G160" s="11" t="s">
        <v>234</v>
      </c>
      <c r="H160" s="11">
        <f>Anchoveta!F129</f>
        <v>1518.5630000000001</v>
      </c>
      <c r="I160" s="11">
        <f>Anchoveta!G129</f>
        <v>-804.46299999999997</v>
      </c>
      <c r="J160" s="11">
        <f>Anchoveta!H129</f>
        <v>714.10000000000014</v>
      </c>
      <c r="K160" s="11">
        <f>Anchoveta!I129</f>
        <v>694.76</v>
      </c>
      <c r="L160" s="11">
        <f>Anchoveta!K129</f>
        <v>19.340000000000146</v>
      </c>
      <c r="M160" s="49">
        <f>Anchoveta!L129</f>
        <v>0.97291695840918624</v>
      </c>
      <c r="N160" s="55" t="str">
        <f>Anchoveta!M129</f>
        <v>-</v>
      </c>
      <c r="O160" s="34">
        <f>RESUMEN!$B$3</f>
        <v>44201</v>
      </c>
      <c r="P160" s="11">
        <v>2021</v>
      </c>
    </row>
    <row r="161" spans="1:16">
      <c r="A161" s="11" t="s">
        <v>229</v>
      </c>
      <c r="B161" s="11" t="s">
        <v>192</v>
      </c>
      <c r="C161" s="11" t="s">
        <v>253</v>
      </c>
      <c r="D161" s="11" t="s">
        <v>246</v>
      </c>
      <c r="E161" s="11" t="str">
        <f>Anchoveta!D130</f>
        <v>STI PROVEEDORES MARITIMOS DE QUILLAIPE. RSU 10.01.0835</v>
      </c>
      <c r="F161" s="11" t="s">
        <v>233</v>
      </c>
      <c r="G161" s="11" t="s">
        <v>234</v>
      </c>
      <c r="H161" s="11">
        <f>Anchoveta!F130</f>
        <v>257.99599999999998</v>
      </c>
      <c r="I161" s="11">
        <f>Anchoveta!G130</f>
        <v>-133</v>
      </c>
      <c r="J161" s="11">
        <f>Anchoveta!H130</f>
        <v>124.99599999999998</v>
      </c>
      <c r="K161" s="11">
        <f>Anchoveta!I130</f>
        <v>93.52</v>
      </c>
      <c r="L161" s="11">
        <f>Anchoveta!K130</f>
        <v>31.475999999999985</v>
      </c>
      <c r="M161" s="49">
        <f>Anchoveta!L130</f>
        <v>0.74818394188614046</v>
      </c>
      <c r="N161" s="55" t="str">
        <f>Anchoveta!M130</f>
        <v>-</v>
      </c>
      <c r="O161" s="34">
        <f>RESUMEN!$B$3</f>
        <v>44201</v>
      </c>
      <c r="P161" s="11">
        <v>2021</v>
      </c>
    </row>
    <row r="162" spans="1:16">
      <c r="A162" s="11" t="s">
        <v>229</v>
      </c>
      <c r="B162" s="11" t="s">
        <v>192</v>
      </c>
      <c r="C162" s="11" t="s">
        <v>253</v>
      </c>
      <c r="D162" s="11" t="s">
        <v>246</v>
      </c>
      <c r="E162" s="11" t="str">
        <f>Anchoveta!D131</f>
        <v>CUOTA RESIDUAL X</v>
      </c>
      <c r="F162" s="11" t="s">
        <v>233</v>
      </c>
      <c r="G162" s="11" t="s">
        <v>234</v>
      </c>
      <c r="H162" s="11">
        <f>Anchoveta!F131</f>
        <v>188.1</v>
      </c>
      <c r="I162" s="11">
        <f>Anchoveta!G131</f>
        <v>0</v>
      </c>
      <c r="J162" s="11">
        <f>Anchoveta!H131</f>
        <v>188.1</v>
      </c>
      <c r="K162" s="11">
        <f>Anchoveta!I131</f>
        <v>14.75</v>
      </c>
      <c r="L162" s="11">
        <f>Anchoveta!K131</f>
        <v>173.35</v>
      </c>
      <c r="M162" s="49">
        <f>Anchoveta!L131</f>
        <v>7.8415736310473161E-2</v>
      </c>
      <c r="N162" s="55" t="str">
        <f>Anchoveta!M131</f>
        <v>-</v>
      </c>
      <c r="O162" s="34">
        <f>RESUMEN!$B$3</f>
        <v>44201</v>
      </c>
      <c r="P162" s="11">
        <v>2021</v>
      </c>
    </row>
    <row r="163" spans="1:16">
      <c r="A163" s="43" t="s">
        <v>229</v>
      </c>
      <c r="B163" s="43" t="s">
        <v>192</v>
      </c>
      <c r="C163" s="43" t="s">
        <v>253</v>
      </c>
      <c r="D163" s="43" t="s">
        <v>46</v>
      </c>
      <c r="E163" s="43" t="str">
        <f>Anchoveta!D132</f>
        <v xml:space="preserve">Total Región de Los Lagos </v>
      </c>
      <c r="F163" s="43" t="s">
        <v>233</v>
      </c>
      <c r="G163" s="43" t="s">
        <v>234</v>
      </c>
      <c r="H163" s="43">
        <f>Anchoveta!F132</f>
        <v>7397.9960000000001</v>
      </c>
      <c r="I163" s="43">
        <f>Anchoveta!G132</f>
        <v>-3261.4629999999997</v>
      </c>
      <c r="J163" s="43">
        <f>Anchoveta!H132</f>
        <v>4136.5330000000004</v>
      </c>
      <c r="K163" s="43">
        <f>Anchoveta!I132</f>
        <v>3646.3470000000002</v>
      </c>
      <c r="L163" s="43">
        <f>Anchoveta!K132</f>
        <v>490.18600000000015</v>
      </c>
      <c r="M163" s="51">
        <f>Anchoveta!L132</f>
        <v>0.8814983465622056</v>
      </c>
      <c r="N163" s="56" t="str">
        <f>Anchoveta!M132</f>
        <v>-</v>
      </c>
      <c r="O163" s="34">
        <f>RESUMEN!$B$3</f>
        <v>44201</v>
      </c>
      <c r="P163" s="11">
        <v>2021</v>
      </c>
    </row>
    <row r="164" spans="1:16">
      <c r="A164" t="s">
        <v>155</v>
      </c>
      <c r="B164" t="s">
        <v>254</v>
      </c>
      <c r="C164" t="s">
        <v>247</v>
      </c>
      <c r="D164" t="s">
        <v>246</v>
      </c>
      <c r="E164" t="str">
        <f>'Sardina comun'!D7</f>
        <v>AG DEL PUERTO DE SAN ANTONIO. RAG 2510</v>
      </c>
      <c r="F164" t="s">
        <v>233</v>
      </c>
      <c r="G164" t="s">
        <v>234</v>
      </c>
      <c r="H164">
        <f>'Sardina comun'!F7</f>
        <v>3018.6950000000002</v>
      </c>
      <c r="I164" s="11">
        <f>'Sardina comun'!G7</f>
        <v>-3017</v>
      </c>
      <c r="J164" s="11">
        <f>'Sardina comun'!H7</f>
        <v>1.6950000000001637</v>
      </c>
      <c r="K164" s="11">
        <f>'Sardina comun'!I7</f>
        <v>0</v>
      </c>
      <c r="L164">
        <f>'Sardina comun'!K7</f>
        <v>1.6950000000001637</v>
      </c>
      <c r="M164" s="49">
        <f>'Sardina comun'!L7</f>
        <v>0.99943849908652571</v>
      </c>
      <c r="N164" s="55" t="str">
        <f>'Sardina comun'!M7</f>
        <v>-</v>
      </c>
      <c r="O164" s="34">
        <f>RESUMEN!$B$3</f>
        <v>44201</v>
      </c>
      <c r="P164" s="11">
        <v>2021</v>
      </c>
    </row>
    <row r="165" spans="1:16">
      <c r="A165" s="11" t="s">
        <v>155</v>
      </c>
      <c r="B165" t="s">
        <v>254</v>
      </c>
      <c r="C165" t="s">
        <v>255</v>
      </c>
      <c r="D165" t="s">
        <v>246</v>
      </c>
      <c r="E165" s="11" t="str">
        <f>'Sardina comun'!D8</f>
        <v>ASOCIACION GREMIAL AGRAPES DE SAN ANTONIO "AG AGRAPES" RAG 4399</v>
      </c>
      <c r="F165" t="s">
        <v>233</v>
      </c>
      <c r="G165" t="s">
        <v>234</v>
      </c>
      <c r="H165" s="11">
        <f>'Sardina comun'!F8</f>
        <v>621.94000000000005</v>
      </c>
      <c r="I165" s="11">
        <f>'Sardina comun'!G8</f>
        <v>-480.35199999999998</v>
      </c>
      <c r="J165" s="11">
        <f>'Sardina comun'!H8</f>
        <v>141.58800000000008</v>
      </c>
      <c r="K165" s="11">
        <f>'Sardina comun'!I8</f>
        <v>0</v>
      </c>
      <c r="L165" s="11">
        <f>'Sardina comun'!K8</f>
        <v>141.58800000000008</v>
      </c>
      <c r="M165" s="49">
        <f>'Sardina comun'!L8</f>
        <v>0.77234459915747489</v>
      </c>
      <c r="N165" s="55">
        <f>'Sardina comun'!M8</f>
        <v>44547</v>
      </c>
      <c r="O165" s="34">
        <f>RESUMEN!$B$3</f>
        <v>44201</v>
      </c>
      <c r="P165" s="11">
        <v>2021</v>
      </c>
    </row>
    <row r="166" spans="1:16">
      <c r="A166" s="11" t="s">
        <v>155</v>
      </c>
      <c r="B166" t="s">
        <v>254</v>
      </c>
      <c r="C166" t="s">
        <v>255</v>
      </c>
      <c r="D166" t="s">
        <v>246</v>
      </c>
      <c r="E166" s="11" t="str">
        <f>'Sardina comun'!D9</f>
        <v>STI MUELLE SUD AMERICANA. RSU 05.01.0462</v>
      </c>
      <c r="F166" t="s">
        <v>233</v>
      </c>
      <c r="G166" t="s">
        <v>234</v>
      </c>
      <c r="H166" s="11">
        <f>'Sardina comun'!F9</f>
        <v>3.0259999999999998</v>
      </c>
      <c r="I166" s="11">
        <f>'Sardina comun'!G9</f>
        <v>0</v>
      </c>
      <c r="J166" s="11">
        <f>'Sardina comun'!H9</f>
        <v>3.0259999999999998</v>
      </c>
      <c r="K166" s="11">
        <f>'Sardina comun'!I9</f>
        <v>0</v>
      </c>
      <c r="L166" s="11">
        <f>'Sardina comun'!K9</f>
        <v>3.0259999999999998</v>
      </c>
      <c r="M166" s="49">
        <f>'Sardina comun'!L9</f>
        <v>0</v>
      </c>
      <c r="N166" s="55" t="str">
        <f>'Sardina comun'!M9</f>
        <v>-</v>
      </c>
      <c r="O166" s="34">
        <f>RESUMEN!$B$3</f>
        <v>44201</v>
      </c>
      <c r="P166" s="11">
        <v>2021</v>
      </c>
    </row>
    <row r="167" spans="1:16" s="11" customFormat="1">
      <c r="A167" s="11" t="s">
        <v>155</v>
      </c>
      <c r="B167" s="11" t="s">
        <v>254</v>
      </c>
      <c r="C167" s="11" t="s">
        <v>255</v>
      </c>
      <c r="D167" s="11" t="s">
        <v>246</v>
      </c>
      <c r="E167" s="11" t="str">
        <f>'Sardina comun'!D10</f>
        <v>Sindicato  de Trabajadores  Independientes de Pescadores Montemar, de la Comuna de San Antonio, provincia de San Antonio, V region. Registro Único Sindical  N° 05040117</v>
      </c>
      <c r="F167" s="11" t="s">
        <v>233</v>
      </c>
      <c r="G167" s="11" t="s">
        <v>234</v>
      </c>
      <c r="H167" s="11">
        <f>'Sardina comun'!F10</f>
        <v>35.006999999999998</v>
      </c>
      <c r="I167" s="11">
        <f>'Sardina comun'!G10</f>
        <v>0</v>
      </c>
      <c r="J167" s="11">
        <f>'Sardina comun'!H10</f>
        <v>35.006999999999998</v>
      </c>
      <c r="K167" s="11">
        <f>'Sardina comun'!I10</f>
        <v>31</v>
      </c>
      <c r="L167" s="11">
        <f>'Sardina comun'!K10</f>
        <v>4.0069999999999979</v>
      </c>
      <c r="M167" s="49">
        <f>'Sardina comun'!L10</f>
        <v>0.88553717827862999</v>
      </c>
      <c r="N167" s="55" t="str">
        <f>'Sardina comun'!M10</f>
        <v>-</v>
      </c>
      <c r="O167" s="34">
        <f>RESUMEN!$B$3</f>
        <v>44201</v>
      </c>
      <c r="P167" s="11">
        <v>2021</v>
      </c>
    </row>
    <row r="168" spans="1:16" s="11" customFormat="1">
      <c r="A168" s="11" t="s">
        <v>155</v>
      </c>
      <c r="B168" s="11" t="s">
        <v>254</v>
      </c>
      <c r="C168" s="11" t="s">
        <v>255</v>
      </c>
      <c r="D168" s="11" t="s">
        <v>246</v>
      </c>
      <c r="E168" s="11" t="str">
        <f>'Sardina comun'!D11</f>
        <v>Sindicato de Trabajadores Independientes Pescadores Artesanales de Caleta Higuerilla, Concon. Registro Unico Sindical N° 5060048</v>
      </c>
      <c r="F168" s="11" t="s">
        <v>233</v>
      </c>
      <c r="G168" s="11" t="s">
        <v>234</v>
      </c>
      <c r="H168" s="11">
        <f>'Sardina comun'!F11</f>
        <v>1.887</v>
      </c>
      <c r="I168" s="11">
        <f>'Sardina comun'!G11</f>
        <v>0</v>
      </c>
      <c r="J168" s="11">
        <f>'Sardina comun'!H11</f>
        <v>1.887</v>
      </c>
      <c r="K168" s="11">
        <f>'Sardina comun'!I11</f>
        <v>0</v>
      </c>
      <c r="L168" s="11">
        <f>'Sardina comun'!K11</f>
        <v>1.887</v>
      </c>
      <c r="M168" s="49">
        <f>'Sardina comun'!L11</f>
        <v>0</v>
      </c>
      <c r="N168" s="55" t="str">
        <f>'Sardina comun'!M11</f>
        <v>-</v>
      </c>
      <c r="O168" s="34">
        <f>RESUMEN!$B$3</f>
        <v>44201</v>
      </c>
      <c r="P168" s="11">
        <v>2021</v>
      </c>
    </row>
    <row r="169" spans="1:16">
      <c r="A169" s="11" t="s">
        <v>155</v>
      </c>
      <c r="B169" t="s">
        <v>254</v>
      </c>
      <c r="C169" t="s">
        <v>255</v>
      </c>
      <c r="D169" t="s">
        <v>246</v>
      </c>
      <c r="E169" s="11" t="str">
        <f>'Sardina comun'!D12</f>
        <v>Cuota Residual V</v>
      </c>
      <c r="F169" t="s">
        <v>233</v>
      </c>
      <c r="G169" t="s">
        <v>234</v>
      </c>
      <c r="H169" s="11">
        <f>'Sardina comun'!F12</f>
        <v>184.44499999999999</v>
      </c>
      <c r="I169" s="11">
        <f>'Sardina comun'!G12</f>
        <v>0</v>
      </c>
      <c r="J169" s="11">
        <f>'Sardina comun'!H12</f>
        <v>184.44499999999999</v>
      </c>
      <c r="K169" s="11">
        <f>'Sardina comun'!I12</f>
        <v>190.27</v>
      </c>
      <c r="L169" s="11">
        <f>'Sardina comun'!K12</f>
        <v>-5.8250000000000171</v>
      </c>
      <c r="M169" s="49">
        <f>'Sardina comun'!L12</f>
        <v>1.0315812301770175</v>
      </c>
      <c r="N169" s="86" t="str">
        <f>'Sardina comun'!M12</f>
        <v>-</v>
      </c>
      <c r="O169" s="34">
        <f>RESUMEN!$B$3</f>
        <v>44201</v>
      </c>
      <c r="P169" s="11">
        <v>2021</v>
      </c>
    </row>
    <row r="170" spans="1:16">
      <c r="A170" s="43" t="s">
        <v>155</v>
      </c>
      <c r="B170" s="43" t="s">
        <v>254</v>
      </c>
      <c r="C170" s="43" t="s">
        <v>255</v>
      </c>
      <c r="D170" s="43" t="s">
        <v>46</v>
      </c>
      <c r="E170" s="43" t="str">
        <f>'Sardina comun'!D13</f>
        <v xml:space="preserve">Total Región de Valparaíso </v>
      </c>
      <c r="F170" s="43" t="s">
        <v>233</v>
      </c>
      <c r="G170" s="43" t="s">
        <v>234</v>
      </c>
      <c r="H170" s="43">
        <f>'Sardina comun'!F13</f>
        <v>3865.0000000000005</v>
      </c>
      <c r="I170" s="43">
        <f>'Sardina comun'!G13</f>
        <v>-3497.3519999999999</v>
      </c>
      <c r="J170" s="43">
        <f>'Sardina comun'!H13</f>
        <v>367.64800000000059</v>
      </c>
      <c r="K170" s="43">
        <f>'Sardina comun'!I13</f>
        <v>221.27</v>
      </c>
      <c r="L170" s="43">
        <f>'Sardina comun'!K13</f>
        <v>146.37800000000058</v>
      </c>
      <c r="M170" s="51">
        <f>'Sardina comun'!L13</f>
        <v>0.60185285925667931</v>
      </c>
      <c r="N170" s="56" t="str">
        <f>'Sardina comun'!M13</f>
        <v>-</v>
      </c>
      <c r="O170" s="34">
        <f>RESUMEN!$B$3</f>
        <v>44201</v>
      </c>
      <c r="P170" s="11">
        <v>2021</v>
      </c>
    </row>
    <row r="171" spans="1:16">
      <c r="A171" t="s">
        <v>155</v>
      </c>
      <c r="B171" t="s">
        <v>254</v>
      </c>
      <c r="C171" t="s">
        <v>248</v>
      </c>
      <c r="D171" t="s">
        <v>46</v>
      </c>
      <c r="E171" t="str">
        <f>'Sardina comun'!D15</f>
        <v>Región de O´Higgins</v>
      </c>
      <c r="F171" t="s">
        <v>233</v>
      </c>
      <c r="G171" t="s">
        <v>234</v>
      </c>
      <c r="H171">
        <f>'Sardina comun'!F15</f>
        <v>91</v>
      </c>
      <c r="I171" s="11">
        <f>'Sardina comun'!G15</f>
        <v>0</v>
      </c>
      <c r="J171" s="11">
        <f>'Sardina comun'!H15</f>
        <v>91</v>
      </c>
      <c r="K171" s="11">
        <f>'Sardina comun'!I15</f>
        <v>0</v>
      </c>
      <c r="L171">
        <f>'Sardina comun'!K15</f>
        <v>91</v>
      </c>
      <c r="M171" s="49">
        <f>'Sardina comun'!L15</f>
        <v>0</v>
      </c>
      <c r="N171" s="55" t="str">
        <f>'Sardina comun'!M15</f>
        <v>-</v>
      </c>
      <c r="O171" s="34">
        <f>RESUMEN!$B$3</f>
        <v>44201</v>
      </c>
      <c r="P171" s="11">
        <v>2021</v>
      </c>
    </row>
    <row r="172" spans="1:16">
      <c r="A172" s="43" t="s">
        <v>155</v>
      </c>
      <c r="B172" s="43" t="s">
        <v>254</v>
      </c>
      <c r="C172" s="43" t="s">
        <v>248</v>
      </c>
      <c r="D172" s="43" t="s">
        <v>46</v>
      </c>
      <c r="E172" s="43" t="str">
        <f>'Sardina comun'!D16</f>
        <v>Total Región de O´Higgins</v>
      </c>
      <c r="F172" s="43" t="s">
        <v>233</v>
      </c>
      <c r="G172" s="43" t="s">
        <v>234</v>
      </c>
      <c r="H172" s="43">
        <f>'Sardina comun'!F16</f>
        <v>91</v>
      </c>
      <c r="I172" s="43">
        <f>'Sardina comun'!G16</f>
        <v>0</v>
      </c>
      <c r="J172" s="43">
        <f>'Sardina comun'!H16</f>
        <v>91</v>
      </c>
      <c r="K172" s="43">
        <f>'Sardina comun'!I16</f>
        <v>0</v>
      </c>
      <c r="L172" s="43">
        <f>'Sardina comun'!K16</f>
        <v>91</v>
      </c>
      <c r="M172" s="51">
        <f>'Sardina comun'!L16</f>
        <v>0</v>
      </c>
      <c r="N172" s="56" t="str">
        <f>'Sardina comun'!M16</f>
        <v>-</v>
      </c>
      <c r="O172" s="34">
        <f>RESUMEN!$B$3</f>
        <v>44201</v>
      </c>
      <c r="P172" s="11">
        <v>2021</v>
      </c>
    </row>
    <row r="173" spans="1:16">
      <c r="A173" t="s">
        <v>155</v>
      </c>
      <c r="B173" t="s">
        <v>254</v>
      </c>
      <c r="C173" t="s">
        <v>249</v>
      </c>
      <c r="D173" t="s">
        <v>246</v>
      </c>
      <c r="E173" t="str">
        <f>'Sardina comun'!D18</f>
        <v>Sindicato de Pescadores "Pelágicos del Maule" Constitución, Registro Sindical Único 07.05.0150</v>
      </c>
      <c r="F173" t="s">
        <v>233</v>
      </c>
      <c r="G173" t="s">
        <v>234</v>
      </c>
      <c r="H173">
        <f>'Sardina comun'!F18</f>
        <v>817.04899999999998</v>
      </c>
      <c r="I173" s="11">
        <f>'Sardina comun'!G18</f>
        <v>-817.04899999999998</v>
      </c>
      <c r="J173" s="11">
        <f>'Sardina comun'!H18</f>
        <v>0</v>
      </c>
      <c r="K173" s="11">
        <f>'Sardina comun'!I18</f>
        <v>0</v>
      </c>
      <c r="L173">
        <f>'Sardina comun'!K18</f>
        <v>0</v>
      </c>
      <c r="M173" s="49">
        <f>'Sardina comun'!L18</f>
        <v>1</v>
      </c>
      <c r="N173" s="55" t="str">
        <f>'Sardina comun'!M18</f>
        <v>-</v>
      </c>
      <c r="O173" s="34">
        <f>RESUMEN!$B$3</f>
        <v>44201</v>
      </c>
      <c r="P173" s="11">
        <v>2021</v>
      </c>
    </row>
    <row r="174" spans="1:16">
      <c r="A174" s="52" t="s">
        <v>155</v>
      </c>
      <c r="B174" s="52" t="s">
        <v>254</v>
      </c>
      <c r="C174" s="52" t="s">
        <v>249</v>
      </c>
      <c r="D174" s="52" t="s">
        <v>246</v>
      </c>
      <c r="E174" s="11" t="str">
        <f>'Sardina comun'!D19</f>
        <v>STI Pescadores Artesanales de Constitución SIPARCON, RSU 07.05.0193</v>
      </c>
      <c r="F174" s="52" t="s">
        <v>233</v>
      </c>
      <c r="G174" s="52" t="s">
        <v>234</v>
      </c>
      <c r="H174" s="11">
        <f>'Sardina comun'!F19</f>
        <v>443</v>
      </c>
      <c r="I174" s="11">
        <f>'Sardina comun'!G19</f>
        <v>-442.99</v>
      </c>
      <c r="J174" s="11">
        <f>'Sardina comun'!H19</f>
        <v>9.9999999999909051E-3</v>
      </c>
      <c r="K174" s="11">
        <f>'Sardina comun'!I19</f>
        <v>0</v>
      </c>
      <c r="L174" s="11">
        <f>'Sardina comun'!K19</f>
        <v>9.9999999999909051E-3</v>
      </c>
      <c r="M174" s="49">
        <f>'Sardina comun'!L19</f>
        <v>0.99997742663656886</v>
      </c>
      <c r="N174" s="55" t="str">
        <f>'Sardina comun'!M19</f>
        <v>-</v>
      </c>
      <c r="O174" s="34">
        <f>RESUMEN!$B$3</f>
        <v>44201</v>
      </c>
      <c r="P174" s="11">
        <v>2021</v>
      </c>
    </row>
    <row r="175" spans="1:16">
      <c r="A175" t="s">
        <v>155</v>
      </c>
      <c r="B175" t="s">
        <v>254</v>
      </c>
      <c r="C175" t="s">
        <v>249</v>
      </c>
      <c r="D175" t="s">
        <v>246</v>
      </c>
      <c r="E175" s="11" t="str">
        <f>'Sardina comun'!D20</f>
        <v>Cuota Residual VII</v>
      </c>
      <c r="F175" t="s">
        <v>233</v>
      </c>
      <c r="G175" t="s">
        <v>234</v>
      </c>
      <c r="H175" s="11">
        <f>'Sardina comun'!F20</f>
        <v>136.95099999999999</v>
      </c>
      <c r="I175" s="11">
        <f>'Sardina comun'!G20</f>
        <v>0</v>
      </c>
      <c r="J175" s="11">
        <f>'Sardina comun'!H20</f>
        <v>136.95099999999999</v>
      </c>
      <c r="K175" s="11">
        <f>'Sardina comun'!I20</f>
        <v>0</v>
      </c>
      <c r="L175" s="11">
        <f>'Sardina comun'!K20</f>
        <v>136.95099999999999</v>
      </c>
      <c r="M175" s="49">
        <f>'Sardina comun'!L20</f>
        <v>0</v>
      </c>
      <c r="N175" s="55" t="str">
        <f>'Sardina comun'!M20</f>
        <v>-</v>
      </c>
      <c r="O175" s="34">
        <f>RESUMEN!$B$3</f>
        <v>44201</v>
      </c>
      <c r="P175" s="11">
        <v>2021</v>
      </c>
    </row>
    <row r="176" spans="1:16">
      <c r="A176" s="43" t="s">
        <v>155</v>
      </c>
      <c r="B176" s="43" t="s">
        <v>254</v>
      </c>
      <c r="C176" s="43" t="s">
        <v>249</v>
      </c>
      <c r="D176" s="43" t="s">
        <v>46</v>
      </c>
      <c r="E176" s="43" t="str">
        <f>'Sardina comun'!D21</f>
        <v>Total Región del Maule</v>
      </c>
      <c r="F176" s="43" t="s">
        <v>233</v>
      </c>
      <c r="G176" s="43" t="s">
        <v>234</v>
      </c>
      <c r="H176" s="11">
        <f>'Sardina comun'!F21</f>
        <v>1397</v>
      </c>
      <c r="I176" s="11">
        <f>'Sardina comun'!G21</f>
        <v>-1260.039</v>
      </c>
      <c r="J176" s="11">
        <f>'Sardina comun'!H21</f>
        <v>136.96100000000001</v>
      </c>
      <c r="K176" s="11">
        <f>'Sardina comun'!I21</f>
        <v>0</v>
      </c>
      <c r="L176" s="11">
        <f>'Sardina comun'!K21</f>
        <v>136.96100000000001</v>
      </c>
      <c r="M176" s="49">
        <f>'Sardina comun'!L21</f>
        <v>0</v>
      </c>
      <c r="N176" s="55" t="str">
        <f>'Sardina comun'!M21</f>
        <v>-</v>
      </c>
      <c r="O176" s="34">
        <f>RESUMEN!$B$3</f>
        <v>44201</v>
      </c>
      <c r="P176" s="11">
        <v>2021</v>
      </c>
    </row>
    <row r="177" spans="1:16">
      <c r="A177" t="s">
        <v>155</v>
      </c>
      <c r="B177" t="s">
        <v>254</v>
      </c>
      <c r="C177" t="s">
        <v>251</v>
      </c>
      <c r="D177" t="s">
        <v>246</v>
      </c>
      <c r="E177" t="str">
        <f>'Sardina comun'!D23</f>
        <v>Agrupación de Armadores Golfo de Arauco, Personalidad Jurídica N° 621</v>
      </c>
      <c r="F177" t="s">
        <v>233</v>
      </c>
      <c r="G177" t="s">
        <v>234</v>
      </c>
      <c r="H177">
        <f>'Sardina comun'!F23</f>
        <v>347.04500000000002</v>
      </c>
      <c r="I177" s="11">
        <f>'Sardina comun'!G23</f>
        <v>-158.5</v>
      </c>
      <c r="J177" s="11">
        <f>'Sardina comun'!H23</f>
        <v>188.54500000000002</v>
      </c>
      <c r="K177" s="11">
        <f>'Sardina comun'!I23</f>
        <v>163.964</v>
      </c>
      <c r="L177">
        <f>'Sardina comun'!K23</f>
        <v>24.581000000000017</v>
      </c>
      <c r="M177" s="49">
        <f>'Sardina comun'!L23</f>
        <v>0.86962794027950874</v>
      </c>
      <c r="N177" s="55" t="str">
        <f>'IC Anch y SardC VIII'!O6</f>
        <v>-</v>
      </c>
      <c r="O177" s="34">
        <f>RESUMEN!$B$3</f>
        <v>44201</v>
      </c>
      <c r="P177" s="11">
        <v>2021</v>
      </c>
    </row>
    <row r="178" spans="1:16">
      <c r="A178" t="s">
        <v>155</v>
      </c>
      <c r="B178" t="s">
        <v>254</v>
      </c>
      <c r="C178" t="s">
        <v>251</v>
      </c>
      <c r="D178" t="s">
        <v>246</v>
      </c>
      <c r="E178" s="11" t="str">
        <f>'Sardina comun'!D24</f>
        <v>Agrupación de Armadores y Pescadores Artesanales Pelágicos Puerto Sur Isla Santa María. Personalidad Jurídica N° 1728</v>
      </c>
      <c r="F178" t="s">
        <v>233</v>
      </c>
      <c r="G178" t="s">
        <v>234</v>
      </c>
      <c r="H178" s="11">
        <f>'Sardina comun'!F24</f>
        <v>282.22800000000001</v>
      </c>
      <c r="I178" s="11">
        <f>'Sardina comun'!G24</f>
        <v>0</v>
      </c>
      <c r="J178" s="11">
        <f>'Sardina comun'!H24</f>
        <v>282.22800000000001</v>
      </c>
      <c r="K178" s="11">
        <f>'Sardina comun'!I24</f>
        <v>336.11500000000001</v>
      </c>
      <c r="L178" s="11">
        <f>'Sardina comun'!K24</f>
        <v>-53.887</v>
      </c>
      <c r="M178" s="49">
        <f>'Sardina comun'!L24</f>
        <v>1.1909342800856046</v>
      </c>
      <c r="N178" s="55" t="str">
        <f>'IC Anch y SardC VIII'!O7</f>
        <v>-</v>
      </c>
      <c r="O178" s="34">
        <f>RESUMEN!$B$3</f>
        <v>44201</v>
      </c>
      <c r="P178" s="11">
        <v>2021</v>
      </c>
    </row>
    <row r="179" spans="1:16">
      <c r="A179" t="s">
        <v>155</v>
      </c>
      <c r="B179" t="s">
        <v>254</v>
      </c>
      <c r="C179" t="s">
        <v>251</v>
      </c>
      <c r="D179" t="s">
        <v>246</v>
      </c>
      <c r="E179" s="11" t="str">
        <f>'Sardina comun'!D25</f>
        <v>Agrupación de Armadores y Pescadores Pelágicos de Caleta Tubul, Registro de Organización Comunitaria Funcional 478-2007</v>
      </c>
      <c r="F179" t="s">
        <v>233</v>
      </c>
      <c r="G179" t="s">
        <v>234</v>
      </c>
      <c r="H179" s="11">
        <f>'Sardina comun'!F25</f>
        <v>1701.7380000000001</v>
      </c>
      <c r="I179" s="11">
        <f>'Sardina comun'!G25</f>
        <v>-1631.5</v>
      </c>
      <c r="J179" s="11">
        <f>'Sardina comun'!H25</f>
        <v>70.238000000000056</v>
      </c>
      <c r="K179" s="11">
        <f>'Sardina comun'!I25</f>
        <v>70.224999999999994</v>
      </c>
      <c r="L179" s="11">
        <f>'Sardina comun'!K25</f>
        <v>1.3000000000062073E-2</v>
      </c>
      <c r="M179" s="49">
        <f>'Sardina comun'!L25</f>
        <v>0.99981491500327369</v>
      </c>
      <c r="N179" s="55" t="str">
        <f>'IC Anch y SardC VIII'!O8</f>
        <v>-</v>
      </c>
      <c r="O179" s="34">
        <f>RESUMEN!$B$3</f>
        <v>44201</v>
      </c>
      <c r="P179" s="11">
        <v>2021</v>
      </c>
    </row>
    <row r="180" spans="1:16">
      <c r="A180" s="11" t="s">
        <v>155</v>
      </c>
      <c r="B180" s="11" t="s">
        <v>254</v>
      </c>
      <c r="C180" s="11" t="s">
        <v>251</v>
      </c>
      <c r="D180" s="11" t="s">
        <v>246</v>
      </c>
      <c r="E180" s="11" t="str">
        <f>'Sardina comun'!D26</f>
        <v>Agrupación Gremial de Productores Pelágicos, Armadores Artesanales de Talcahuano, Región del Bío Bío "AGREPAR BIO BIO A.G". Registro de Asociaciones Gremiales N° 468-8</v>
      </c>
      <c r="F180" t="s">
        <v>233</v>
      </c>
      <c r="G180" t="s">
        <v>234</v>
      </c>
      <c r="H180" s="11">
        <f>'Sardina comun'!F26</f>
        <v>2472.598</v>
      </c>
      <c r="I180" s="11">
        <f>'Sardina comun'!G26</f>
        <v>-74.599999999999994</v>
      </c>
      <c r="J180" s="11">
        <f>'Sardina comun'!H26</f>
        <v>2397.998</v>
      </c>
      <c r="K180" s="11">
        <f>'Sardina comun'!I26</f>
        <v>1863.0989999999999</v>
      </c>
      <c r="L180" s="11">
        <f>'Sardina comun'!K26</f>
        <v>534.89900000000011</v>
      </c>
      <c r="M180" s="49">
        <f>'Sardina comun'!L26</f>
        <v>0.77693934690521005</v>
      </c>
      <c r="N180" s="55" t="str">
        <f>'IC Anch y SardC VIII'!O9</f>
        <v>-</v>
      </c>
      <c r="O180" s="34">
        <f>RESUMEN!$B$3</f>
        <v>44201</v>
      </c>
      <c r="P180" s="11">
        <v>2021</v>
      </c>
    </row>
    <row r="181" spans="1:16">
      <c r="A181" s="11" t="s">
        <v>155</v>
      </c>
      <c r="B181" s="11" t="s">
        <v>254</v>
      </c>
      <c r="C181" s="11" t="s">
        <v>251</v>
      </c>
      <c r="D181" s="11" t="s">
        <v>246</v>
      </c>
      <c r="E181" s="11" t="str">
        <f>'Sardina comun'!D27</f>
        <v>Asociación de Armadores, Pescadores Artesanales y Actividades Afines de la Octava Región, Asociación Gremial ARPESCA A.G., Registro de Asociaciones Gremiales 429-8</v>
      </c>
      <c r="F181" t="s">
        <v>233</v>
      </c>
      <c r="G181" t="s">
        <v>234</v>
      </c>
      <c r="H181" s="11">
        <f>'Sardina comun'!F27</f>
        <v>3379.0540000000001</v>
      </c>
      <c r="I181" s="11">
        <f>'Sardina comun'!G27</f>
        <v>-3378.4</v>
      </c>
      <c r="J181" s="11">
        <f>'Sardina comun'!H27</f>
        <v>0.65399999999999636</v>
      </c>
      <c r="K181" s="11">
        <f>'Sardina comun'!I27</f>
        <v>0</v>
      </c>
      <c r="L181" s="11">
        <f>'Sardina comun'!K27</f>
        <v>0.65399999999999636</v>
      </c>
      <c r="M181" s="49">
        <f>'Sardina comun'!L27</f>
        <v>0.99980645470596208</v>
      </c>
      <c r="N181" s="55">
        <f>'IC Anch y SardC VIII'!O10</f>
        <v>44491</v>
      </c>
      <c r="O181" s="34">
        <f>RESUMEN!$B$3</f>
        <v>44201</v>
      </c>
      <c r="P181" s="11">
        <v>2021</v>
      </c>
    </row>
    <row r="182" spans="1:16">
      <c r="A182" s="11" t="s">
        <v>155</v>
      </c>
      <c r="B182" s="11" t="s">
        <v>254</v>
      </c>
      <c r="C182" s="11" t="s">
        <v>251</v>
      </c>
      <c r="D182" s="11" t="s">
        <v>246</v>
      </c>
      <c r="E182" s="11" t="str">
        <f>'Sardina comun'!D28</f>
        <v>Asociación Gremial Armadores Artesanales Pelágico Coronel-Lota del Bío Bío, ARPES BIO BIO A.G., Registro de Asociaciones Gremiales 445-8</v>
      </c>
      <c r="F182" s="11" t="s">
        <v>233</v>
      </c>
      <c r="G182" s="11" t="s">
        <v>234</v>
      </c>
      <c r="H182" s="11">
        <f>'Sardina comun'!F28</f>
        <v>5840.8069999999998</v>
      </c>
      <c r="I182" s="11">
        <f>'Sardina comun'!G28</f>
        <v>0</v>
      </c>
      <c r="J182" s="11">
        <f>'Sardina comun'!H28</f>
        <v>5840.8069999999998</v>
      </c>
      <c r="K182" s="11">
        <f>'Sardina comun'!I28</f>
        <v>4849.5870000000004</v>
      </c>
      <c r="L182" s="11">
        <f>'Sardina comun'!K28</f>
        <v>991.21999999999935</v>
      </c>
      <c r="M182" s="49">
        <f>'Sardina comun'!L28</f>
        <v>0.83029399875736365</v>
      </c>
      <c r="N182" s="55" t="str">
        <f>'IC Anch y SardC VIII'!O11</f>
        <v>-</v>
      </c>
      <c r="O182" s="34">
        <f>RESUMEN!$B$3</f>
        <v>44201</v>
      </c>
      <c r="P182" s="11">
        <v>2021</v>
      </c>
    </row>
    <row r="183" spans="1:16">
      <c r="A183" s="11" t="s">
        <v>155</v>
      </c>
      <c r="B183" s="11" t="s">
        <v>254</v>
      </c>
      <c r="C183" s="11" t="s">
        <v>251</v>
      </c>
      <c r="D183" s="11" t="s">
        <v>246</v>
      </c>
      <c r="E183" s="11" t="str">
        <f>'Sardina comun'!D29</f>
        <v>Asociación Gremial de Armadores Artesanales "ARMAR A.G.". Registro de Asociaciones Gremiales 384-8</v>
      </c>
      <c r="F183" s="11" t="s">
        <v>233</v>
      </c>
      <c r="G183" s="11" t="s">
        <v>234</v>
      </c>
      <c r="H183" s="11">
        <f>'Sardina comun'!F29</f>
        <v>8838.0020000000004</v>
      </c>
      <c r="I183" s="11">
        <f>'Sardina comun'!G29</f>
        <v>0</v>
      </c>
      <c r="J183" s="11">
        <f>'Sardina comun'!H29</f>
        <v>8838.0020000000004</v>
      </c>
      <c r="K183" s="11">
        <f>'Sardina comun'!I29</f>
        <v>6789.3670000000002</v>
      </c>
      <c r="L183" s="11">
        <f>'Sardina comun'!K29</f>
        <v>2048.6350000000002</v>
      </c>
      <c r="M183" s="49">
        <f>'Sardina comun'!L29</f>
        <v>0.76820156863508293</v>
      </c>
      <c r="N183" s="55" t="str">
        <f>'IC Anch y SardC VIII'!O12</f>
        <v>-</v>
      </c>
      <c r="O183" s="34">
        <f>RESUMEN!$B$3</f>
        <v>44201</v>
      </c>
      <c r="P183" s="11">
        <v>2021</v>
      </c>
    </row>
    <row r="184" spans="1:16">
      <c r="A184" s="11" t="s">
        <v>155</v>
      </c>
      <c r="B184" s="11" t="s">
        <v>254</v>
      </c>
      <c r="C184" s="11" t="s">
        <v>251</v>
      </c>
      <c r="D184" s="11" t="s">
        <v>246</v>
      </c>
      <c r="E184" s="11" t="str">
        <f>'Sardina comun'!D30</f>
        <v xml:space="preserve">Asociación Gremial de Armadores Artesanales VALLEMAR LOTA, Registro de Asociaciones Gremiales 548-8 </v>
      </c>
      <c r="F184" s="11" t="s">
        <v>233</v>
      </c>
      <c r="G184" s="11" t="s">
        <v>234</v>
      </c>
      <c r="H184" s="11">
        <f>'Sardina comun'!F30</f>
        <v>3363.4850000000001</v>
      </c>
      <c r="I184" s="11">
        <f>'Sardina comun'!G30</f>
        <v>0</v>
      </c>
      <c r="J184" s="11">
        <f>'Sardina comun'!H30</f>
        <v>3363.4850000000001</v>
      </c>
      <c r="K184" s="11">
        <f>'Sardina comun'!I30</f>
        <v>3238.5250000000001</v>
      </c>
      <c r="L184" s="11">
        <f>'Sardina comun'!K30</f>
        <v>124.96000000000004</v>
      </c>
      <c r="M184" s="49">
        <f>'Sardina comun'!L30</f>
        <v>0.96284805789233485</v>
      </c>
      <c r="N184" s="55" t="str">
        <f>'IC Anch y SardC VIII'!O13</f>
        <v>-</v>
      </c>
      <c r="O184" s="34">
        <f>RESUMEN!$B$3</f>
        <v>44201</v>
      </c>
      <c r="P184" s="11">
        <v>2021</v>
      </c>
    </row>
    <row r="185" spans="1:16">
      <c r="A185" s="11" t="s">
        <v>155</v>
      </c>
      <c r="B185" s="11" t="s">
        <v>254</v>
      </c>
      <c r="C185" s="11" t="s">
        <v>251</v>
      </c>
      <c r="D185" s="11" t="s">
        <v>246</v>
      </c>
      <c r="E185" s="11" t="str">
        <f>'Sardina comun'!D31</f>
        <v>Asociación Gremial de Armadores Artesanales y Productores Pelágicos de la Caleta el Morro de Talcahuano - AGEMAPAR, Registro de Asociaciones Gremiales 376-8</v>
      </c>
      <c r="F185" s="11" t="s">
        <v>233</v>
      </c>
      <c r="G185" s="11" t="s">
        <v>234</v>
      </c>
      <c r="H185" s="11">
        <f>'Sardina comun'!F31</f>
        <v>4044.6590000000001</v>
      </c>
      <c r="I185" s="11">
        <f>'Sardina comun'!G31</f>
        <v>0</v>
      </c>
      <c r="J185" s="11">
        <f>'Sardina comun'!H31</f>
        <v>4044.6590000000001</v>
      </c>
      <c r="K185" s="11">
        <f>'Sardina comun'!I31</f>
        <v>2877.7849999999999</v>
      </c>
      <c r="L185" s="11">
        <f>'Sardina comun'!K31</f>
        <v>1166.8740000000003</v>
      </c>
      <c r="M185" s="49">
        <f>'Sardina comun'!L31</f>
        <v>0.71150250243592839</v>
      </c>
      <c r="N185" s="55" t="str">
        <f>'IC Anch y SardC VIII'!O14</f>
        <v>-</v>
      </c>
      <c r="O185" s="34">
        <f>RESUMEN!$B$3</f>
        <v>44201</v>
      </c>
      <c r="P185" s="11">
        <v>2021</v>
      </c>
    </row>
    <row r="186" spans="1:16">
      <c r="A186" s="11" t="s">
        <v>155</v>
      </c>
      <c r="B186" s="11" t="s">
        <v>254</v>
      </c>
      <c r="C186" s="11" t="s">
        <v>251</v>
      </c>
      <c r="D186" s="11" t="s">
        <v>246</v>
      </c>
      <c r="E186" s="11" t="str">
        <f>'Sardina comun'!D32</f>
        <v>Asociación Gremial de Armadores Embarcaciones Menores "AG MENOR COLIUMO". Registro de Asociaciones Gremiales 507-8</v>
      </c>
      <c r="F186" s="11" t="s">
        <v>233</v>
      </c>
      <c r="G186" s="11" t="s">
        <v>234</v>
      </c>
      <c r="H186" s="11">
        <f>'Sardina comun'!F32</f>
        <v>371.67899999999997</v>
      </c>
      <c r="I186" s="11">
        <f>'Sardina comun'!G32</f>
        <v>-52</v>
      </c>
      <c r="J186" s="11">
        <f>'Sardina comun'!H32</f>
        <v>319.67899999999997</v>
      </c>
      <c r="K186" s="11">
        <f>'Sardina comun'!I32</f>
        <v>319.41800000000001</v>
      </c>
      <c r="L186" s="11">
        <f>'Sardina comun'!K32</f>
        <v>0.26099999999996726</v>
      </c>
      <c r="M186" s="49">
        <f>'Sardina comun'!L32</f>
        <v>0.99918355600461728</v>
      </c>
      <c r="N186" s="55">
        <f>'IC Anch y SardC VIII'!O15</f>
        <v>44328</v>
      </c>
      <c r="O186" s="34">
        <f>RESUMEN!$B$3</f>
        <v>44201</v>
      </c>
      <c r="P186" s="11">
        <v>2021</v>
      </c>
    </row>
    <row r="187" spans="1:16">
      <c r="A187" s="11" t="s">
        <v>155</v>
      </c>
      <c r="B187" s="11" t="s">
        <v>254</v>
      </c>
      <c r="C187" s="11" t="s">
        <v>251</v>
      </c>
      <c r="D187" s="11" t="s">
        <v>246</v>
      </c>
      <c r="E187" s="11" t="str">
        <f>'Sardina comun'!D33</f>
        <v>Asociación Gremial de Armadores y Pescadores Artesanales  Miramar BioBio " MIRAMAR BIOBIO  A.G." Registro de Organizaciones Gremiales 633-8</v>
      </c>
      <c r="F187" s="11" t="s">
        <v>233</v>
      </c>
      <c r="G187" s="11" t="s">
        <v>234</v>
      </c>
      <c r="H187" s="11">
        <f>'Sardina comun'!F33</f>
        <v>3719.1219999999998</v>
      </c>
      <c r="I187" s="11">
        <f>'Sardina comun'!G33</f>
        <v>0</v>
      </c>
      <c r="J187" s="11">
        <f>'Sardina comun'!H33</f>
        <v>3719.1219999999998</v>
      </c>
      <c r="K187" s="11">
        <f>'Sardina comun'!I33</f>
        <v>1678.316</v>
      </c>
      <c r="L187" s="11">
        <f>'Sardina comun'!K33</f>
        <v>2040.8059999999998</v>
      </c>
      <c r="M187" s="49">
        <f>'Sardina comun'!L33</f>
        <v>0.45126672370521864</v>
      </c>
      <c r="N187" s="55" t="str">
        <f>'IC Anch y SardC VIII'!O16</f>
        <v>-</v>
      </c>
      <c r="O187" s="34">
        <f>RESUMEN!$B$3</f>
        <v>44201</v>
      </c>
      <c r="P187" s="11">
        <v>2021</v>
      </c>
    </row>
    <row r="188" spans="1:16">
      <c r="A188" s="11" t="s">
        <v>155</v>
      </c>
      <c r="B188" s="11" t="s">
        <v>254</v>
      </c>
      <c r="C188" s="11" t="s">
        <v>251</v>
      </c>
      <c r="D188" s="11" t="s">
        <v>246</v>
      </c>
      <c r="E188" s="11" t="str">
        <f>'Sardina comun'!D34</f>
        <v>Asociación Gremial de Armadores, Pescadores Artesanales y Actividades Afines, SIMBA A.G. Registro de Asociaciones Gremiales RAG N° 679-8</v>
      </c>
      <c r="F188" s="11" t="s">
        <v>233</v>
      </c>
      <c r="G188" s="11" t="s">
        <v>234</v>
      </c>
      <c r="H188" s="11">
        <f>'Sardina comun'!F34</f>
        <v>5221.9380000000001</v>
      </c>
      <c r="I188" s="11">
        <f>'Sardina comun'!G34</f>
        <v>904.5</v>
      </c>
      <c r="J188" s="11">
        <f>'Sardina comun'!H34</f>
        <v>6126.4380000000001</v>
      </c>
      <c r="K188" s="11">
        <f>'Sardina comun'!I34</f>
        <v>5127.433</v>
      </c>
      <c r="L188" s="11">
        <f>'Sardina comun'!K34</f>
        <v>999.00500000000011</v>
      </c>
      <c r="M188" s="49">
        <f>'Sardina comun'!L34</f>
        <v>0.83693542642560004</v>
      </c>
      <c r="N188" s="55" t="str">
        <f>'IC Anch y SardC VIII'!O17</f>
        <v>-</v>
      </c>
      <c r="O188" s="34">
        <f>RESUMEN!$B$3</f>
        <v>44201</v>
      </c>
      <c r="P188" s="11">
        <v>2021</v>
      </c>
    </row>
    <row r="189" spans="1:16">
      <c r="A189" s="11" t="s">
        <v>155</v>
      </c>
      <c r="B189" s="11" t="s">
        <v>254</v>
      </c>
      <c r="C189" s="11" t="s">
        <v>251</v>
      </c>
      <c r="D189" s="11" t="s">
        <v>246</v>
      </c>
      <c r="E189" s="11" t="str">
        <f>'Sardina comun'!D35</f>
        <v>Asociación Gremial de Armadores, Pescadores Artesanales y Actividades Afines de Lota, Octava región, Registro de Asociaciones Gremiales 577-8</v>
      </c>
      <c r="F189" s="11" t="s">
        <v>233</v>
      </c>
      <c r="G189" s="11" t="s">
        <v>234</v>
      </c>
      <c r="H189" s="11">
        <f>'Sardina comun'!F35</f>
        <v>2857.2339999999999</v>
      </c>
      <c r="I189" s="11">
        <f>'Sardina comun'!G35</f>
        <v>1881.4359999999999</v>
      </c>
      <c r="J189" s="11">
        <f>'Sardina comun'!H35</f>
        <v>4738.67</v>
      </c>
      <c r="K189" s="11">
        <f>'Sardina comun'!I35</f>
        <v>2873.134</v>
      </c>
      <c r="L189" s="11">
        <f>'Sardina comun'!K35</f>
        <v>1865.5360000000001</v>
      </c>
      <c r="M189" s="49">
        <f>'Sardina comun'!L35</f>
        <v>0.60631654029506166</v>
      </c>
      <c r="N189" s="55" t="str">
        <f>'IC Anch y SardC VIII'!O18</f>
        <v>-</v>
      </c>
      <c r="O189" s="34">
        <f>RESUMEN!$B$3</f>
        <v>44201</v>
      </c>
      <c r="P189" s="11">
        <v>2021</v>
      </c>
    </row>
    <row r="190" spans="1:16">
      <c r="A190" s="11" t="s">
        <v>155</v>
      </c>
      <c r="B190" s="11" t="s">
        <v>254</v>
      </c>
      <c r="C190" s="11" t="s">
        <v>251</v>
      </c>
      <c r="D190" s="11" t="s">
        <v>246</v>
      </c>
      <c r="E190" s="11" t="str">
        <f>'Sardina comun'!D36</f>
        <v>Asociación Gremial de Armadores, Pescadores Artesanales y Actividades Afines, CHALLWAFE A.G. Registro de Asociaciones Gremiales RAG N° 674-8</v>
      </c>
      <c r="F190" s="11" t="s">
        <v>233</v>
      </c>
      <c r="G190" s="11" t="s">
        <v>234</v>
      </c>
      <c r="H190" s="11">
        <f>'Sardina comun'!F36</f>
        <v>2266.404</v>
      </c>
      <c r="I190" s="11">
        <f>'Sardina comun'!G36</f>
        <v>98.8</v>
      </c>
      <c r="J190" s="11">
        <f>'Sardina comun'!H36</f>
        <v>2365.2040000000002</v>
      </c>
      <c r="K190" s="11">
        <f>'Sardina comun'!I36</f>
        <v>2379.998</v>
      </c>
      <c r="L190" s="11">
        <f>'Sardina comun'!K36</f>
        <v>-14.793999999999869</v>
      </c>
      <c r="M190" s="49">
        <f>'Sardina comun'!L36</f>
        <v>1.0062548515899685</v>
      </c>
      <c r="N190" s="55" t="str">
        <f>'IC Anch y SardC VIII'!O19</f>
        <v>-</v>
      </c>
      <c r="O190" s="34">
        <f>RESUMEN!$B$3</f>
        <v>44201</v>
      </c>
      <c r="P190" s="11">
        <v>2021</v>
      </c>
    </row>
    <row r="191" spans="1:16" s="11" customFormat="1">
      <c r="A191" s="11" t="s">
        <v>155</v>
      </c>
      <c r="B191" s="11" t="s">
        <v>254</v>
      </c>
      <c r="C191" s="11" t="s">
        <v>251</v>
      </c>
      <c r="D191" s="11" t="s">
        <v>246</v>
      </c>
      <c r="E191" s="11" t="str">
        <f>'Sardina comun'!D37</f>
        <v>Asociación Gremial de Armadores, Pescadores Artesanales y Actividades Afines, de las Caletas de Coronel y Lota de la Región del Biobío PESCA SUR A.G. Registro de Asociaciones Gremiales RAG N° 680-8</v>
      </c>
      <c r="F191" s="11" t="s">
        <v>233</v>
      </c>
      <c r="G191" s="11" t="s">
        <v>234</v>
      </c>
      <c r="H191" s="11">
        <f>'Sardina comun'!F37</f>
        <v>254.63800000000001</v>
      </c>
      <c r="I191" s="11">
        <f>'Sardina comun'!G37</f>
        <v>4310.6000000000004</v>
      </c>
      <c r="J191" s="11">
        <f>'Sardina comun'!H37</f>
        <v>4565.2380000000003</v>
      </c>
      <c r="K191" s="11">
        <f>'Sardina comun'!I37</f>
        <v>2382.94</v>
      </c>
      <c r="L191" s="11">
        <f>'Sardina comun'!K37</f>
        <v>2182.2980000000002</v>
      </c>
      <c r="M191" s="49">
        <f>'Sardina comun'!L37</f>
        <v>0.52197497698915152</v>
      </c>
      <c r="N191" s="55" t="str">
        <f>'IC Anch y SardC VIII'!O20</f>
        <v>-</v>
      </c>
      <c r="O191" s="34">
        <f>RESUMEN!$B$3</f>
        <v>44201</v>
      </c>
      <c r="P191" s="11">
        <v>2021</v>
      </c>
    </row>
    <row r="192" spans="1:16">
      <c r="A192" s="11" t="s">
        <v>155</v>
      </c>
      <c r="B192" s="11" t="s">
        <v>254</v>
      </c>
      <c r="C192" s="11" t="s">
        <v>251</v>
      </c>
      <c r="D192" s="11" t="s">
        <v>246</v>
      </c>
      <c r="E192" s="11" t="str">
        <f>'Sardina comun'!D38</f>
        <v>Asociacion Gremial de Armadores, Pescadores artesanales, Buzos mariscadores, Recolectores de orilla y Ramos afines "A.G. ESCAFANDRAS CON HISTORIA DE TALCAHUANO" Registro Asociaciones Gremiales 62-8</v>
      </c>
      <c r="F192" s="11" t="s">
        <v>233</v>
      </c>
      <c r="G192" s="11" t="s">
        <v>234</v>
      </c>
      <c r="H192" s="11">
        <f>'Sardina comun'!F38</f>
        <v>969.67100000000005</v>
      </c>
      <c r="I192" s="11">
        <f>'Sardina comun'!G38</f>
        <v>0</v>
      </c>
      <c r="J192" s="11">
        <f>'Sardina comun'!H38</f>
        <v>969.67100000000005</v>
      </c>
      <c r="K192" s="11">
        <f>'Sardina comun'!I38</f>
        <v>870.178</v>
      </c>
      <c r="L192" s="11">
        <f>'Sardina comun'!K38</f>
        <v>99.493000000000052</v>
      </c>
      <c r="M192" s="49">
        <f>'Sardina comun'!L38</f>
        <v>0.89739509586241106</v>
      </c>
      <c r="N192" s="55" t="str">
        <f>'IC Anch y SardC VIII'!O21</f>
        <v>-</v>
      </c>
      <c r="O192" s="34">
        <f>RESUMEN!$B$3</f>
        <v>44201</v>
      </c>
      <c r="P192" s="11">
        <v>2021</v>
      </c>
    </row>
    <row r="193" spans="1:16">
      <c r="A193" s="11" t="s">
        <v>155</v>
      </c>
      <c r="B193" s="11" t="s">
        <v>254</v>
      </c>
      <c r="C193" s="11" t="s">
        <v>251</v>
      </c>
      <c r="D193" s="11" t="s">
        <v>246</v>
      </c>
      <c r="E193" s="11" t="str">
        <f>'Sardina comun'!D39</f>
        <v>Asociación Gremial de Pescadores Artesanales BLUE A.G. – BLUE A.G. Registro de Asociaciones Gremiales RAG N° 661-8</v>
      </c>
      <c r="F193" s="11" t="s">
        <v>233</v>
      </c>
      <c r="G193" s="11" t="s">
        <v>234</v>
      </c>
      <c r="H193" s="11">
        <f>'Sardina comun'!F39</f>
        <v>4279.7669999999998</v>
      </c>
      <c r="I193" s="11">
        <f>'Sardina comun'!G39</f>
        <v>-595</v>
      </c>
      <c r="J193" s="11">
        <f>'Sardina comun'!H39</f>
        <v>3684.7669999999998</v>
      </c>
      <c r="K193" s="11">
        <f>'Sardina comun'!I39</f>
        <v>3114.96</v>
      </c>
      <c r="L193" s="11">
        <f>'Sardina comun'!K39</f>
        <v>569.80699999999979</v>
      </c>
      <c r="M193" s="49">
        <f>'Sardina comun'!L39</f>
        <v>0.84536145704735199</v>
      </c>
      <c r="N193" s="55" t="str">
        <f>'IC Anch y SardC VIII'!O22</f>
        <v>-</v>
      </c>
      <c r="O193" s="34">
        <f>RESUMEN!$B$3</f>
        <v>44201</v>
      </c>
      <c r="P193" s="11">
        <v>2021</v>
      </c>
    </row>
    <row r="194" spans="1:16">
      <c r="A194" s="11" t="s">
        <v>155</v>
      </c>
      <c r="B194" s="11" t="s">
        <v>254</v>
      </c>
      <c r="C194" s="11" t="s">
        <v>251</v>
      </c>
      <c r="D194" s="11" t="s">
        <v>246</v>
      </c>
      <c r="E194" s="11" t="str">
        <f>'Sardina comun'!D40</f>
        <v>Asociación Gremial de Pescadores Artesanales de caleta INFIERNILLO, Registro de Asociaciones Gremiales 98-8</v>
      </c>
      <c r="F194" s="11" t="s">
        <v>233</v>
      </c>
      <c r="G194" s="11" t="s">
        <v>234</v>
      </c>
      <c r="H194" s="11">
        <f>'Sardina comun'!F40</f>
        <v>63.567</v>
      </c>
      <c r="I194" s="11">
        <f>'Sardina comun'!G40</f>
        <v>0</v>
      </c>
      <c r="J194" s="11">
        <f>'Sardina comun'!H40</f>
        <v>63.567</v>
      </c>
      <c r="K194" s="11">
        <f>'Sardina comun'!I40</f>
        <v>66.703999999999994</v>
      </c>
      <c r="L194" s="11">
        <f>'Sardina comun'!K40</f>
        <v>-3.1369999999999933</v>
      </c>
      <c r="M194" s="49">
        <f>'Sardina comun'!L40</f>
        <v>1.0493495052464328</v>
      </c>
      <c r="N194" s="55">
        <f>'IC Anch y SardC VIII'!O23</f>
        <v>44264</v>
      </c>
      <c r="O194" s="34">
        <f>RESUMEN!$B$3</f>
        <v>44201</v>
      </c>
      <c r="P194" s="11">
        <v>2021</v>
      </c>
    </row>
    <row r="195" spans="1:16">
      <c r="A195" s="11" t="s">
        <v>155</v>
      </c>
      <c r="B195" s="11" t="s">
        <v>254</v>
      </c>
      <c r="C195" s="11" t="s">
        <v>251</v>
      </c>
      <c r="D195" s="11" t="s">
        <v>246</v>
      </c>
      <c r="E195" s="11" t="str">
        <f>'Sardina comun'!D41</f>
        <v>Asociación Gremial de Pescadores Artesanales de Coronel, Registro de Asociaciones Gremiales 5-8</v>
      </c>
      <c r="F195" s="11" t="s">
        <v>233</v>
      </c>
      <c r="G195" s="11" t="s">
        <v>234</v>
      </c>
      <c r="H195" s="11">
        <f>'Sardina comun'!F41</f>
        <v>22754.826000000001</v>
      </c>
      <c r="I195" s="11">
        <f>'Sardina comun'!G41</f>
        <v>6222.7000000000007</v>
      </c>
      <c r="J195" s="11">
        <f>'Sardina comun'!H41</f>
        <v>28977.526000000002</v>
      </c>
      <c r="K195" s="11">
        <f>'Sardina comun'!I41</f>
        <v>28707.419000000002</v>
      </c>
      <c r="L195" s="11">
        <f>'Sardina comun'!K41</f>
        <v>270.10699999999997</v>
      </c>
      <c r="M195" s="49">
        <f>'Sardina comun'!L41</f>
        <v>0.99067874186360838</v>
      </c>
      <c r="N195" s="55" t="str">
        <f>'IC Anch y SardC VIII'!O24</f>
        <v>-</v>
      </c>
      <c r="O195" s="34">
        <f>RESUMEN!$B$3</f>
        <v>44201</v>
      </c>
      <c r="P195" s="11">
        <v>2021</v>
      </c>
    </row>
    <row r="196" spans="1:16">
      <c r="A196" s="11" t="s">
        <v>155</v>
      </c>
      <c r="B196" s="11" t="s">
        <v>254</v>
      </c>
      <c r="C196" s="11" t="s">
        <v>251</v>
      </c>
      <c r="D196" s="11" t="s">
        <v>246</v>
      </c>
      <c r="E196" s="11" t="str">
        <f>'Sardina comun'!D42</f>
        <v>Asociación Gremial de Pescadores Artesanales de Lota - A.G. APESCA Lota, Registro de Asociaciones Gremiales 428-8</v>
      </c>
      <c r="F196" s="11" t="s">
        <v>233</v>
      </c>
      <c r="G196" s="11" t="s">
        <v>234</v>
      </c>
      <c r="H196" s="11">
        <f>'Sardina comun'!F42</f>
        <v>343.28500000000003</v>
      </c>
      <c r="I196" s="11">
        <f>'Sardina comun'!G42</f>
        <v>0</v>
      </c>
      <c r="J196" s="11">
        <f>'Sardina comun'!H42</f>
        <v>343.28500000000003</v>
      </c>
      <c r="K196" s="11">
        <f>'Sardina comun'!I42</f>
        <v>300.18900000000002</v>
      </c>
      <c r="L196" s="11">
        <f>'Sardina comun'!K42</f>
        <v>43.096000000000004</v>
      </c>
      <c r="M196" s="49">
        <f>'Sardina comun'!L42</f>
        <v>0.87445999679566544</v>
      </c>
      <c r="N196" s="55" t="str">
        <f>'IC Anch y SardC VIII'!O25</f>
        <v>-</v>
      </c>
      <c r="O196" s="34">
        <f>RESUMEN!$B$3</f>
        <v>44201</v>
      </c>
      <c r="P196" s="11">
        <v>2021</v>
      </c>
    </row>
    <row r="197" spans="1:16">
      <c r="A197" s="11" t="s">
        <v>155</v>
      </c>
      <c r="B197" s="11" t="s">
        <v>254</v>
      </c>
      <c r="C197" s="11" t="s">
        <v>251</v>
      </c>
      <c r="D197" s="11" t="s">
        <v>246</v>
      </c>
      <c r="E197" s="11" t="str">
        <f>'Sardina comun'!D43</f>
        <v>Asociación Gremial de Pescadores Artesanales de San Vicente – Talcahuano, Registro de Asociaciones Gremiales 18-8</v>
      </c>
      <c r="F197" s="11" t="s">
        <v>233</v>
      </c>
      <c r="G197" s="11" t="s">
        <v>234</v>
      </c>
      <c r="H197" s="11">
        <f>'Sardina comun'!F43</f>
        <v>4123.51</v>
      </c>
      <c r="I197" s="11">
        <f>'Sardina comun'!G43</f>
        <v>135</v>
      </c>
      <c r="J197" s="11">
        <f>'Sardina comun'!H43</f>
        <v>4258.51</v>
      </c>
      <c r="K197" s="11">
        <f>'Sardina comun'!I43</f>
        <v>2925.0059999999999</v>
      </c>
      <c r="L197" s="11">
        <f>'Sardina comun'!K43</f>
        <v>1333.5040000000004</v>
      </c>
      <c r="M197" s="49">
        <f>'Sardina comun'!L43</f>
        <v>0.68686136700395206</v>
      </c>
      <c r="N197" s="55" t="str">
        <f>'IC Anch y SardC VIII'!O26</f>
        <v>-</v>
      </c>
      <c r="O197" s="34">
        <f>RESUMEN!$B$3</f>
        <v>44201</v>
      </c>
      <c r="P197" s="11">
        <v>2021</v>
      </c>
    </row>
    <row r="198" spans="1:16">
      <c r="A198" s="11" t="s">
        <v>155</v>
      </c>
      <c r="B198" s="11" t="s">
        <v>254</v>
      </c>
      <c r="C198" s="11" t="s">
        <v>251</v>
      </c>
      <c r="D198" s="11" t="s">
        <v>246</v>
      </c>
      <c r="E198" s="11" t="str">
        <f>'Sardina comun'!D44</f>
        <v>Asociación Gremial de Pescadores Artesanales, Armadores Artesanales Pelágicos y actividades Afines de la Caleta de LOTA VIII Región A.G.-SIERRA AZUL A.G., Registro de Asociaciones Gremiales 576-8</v>
      </c>
      <c r="F198" s="11" t="s">
        <v>233</v>
      </c>
      <c r="G198" s="11" t="s">
        <v>234</v>
      </c>
      <c r="H198" s="11">
        <f>'Sardina comun'!F44</f>
        <v>2558.0230000000001</v>
      </c>
      <c r="I198" s="11">
        <f>'Sardina comun'!G44</f>
        <v>0</v>
      </c>
      <c r="J198" s="11">
        <f>'Sardina comun'!H44</f>
        <v>2558.0230000000001</v>
      </c>
      <c r="K198" s="120">
        <f>'Sardina comun'!I44</f>
        <v>1783.807</v>
      </c>
      <c r="L198" s="120">
        <f>'Sardina comun'!K44</f>
        <v>774.21600000000012</v>
      </c>
      <c r="M198" s="49">
        <f>'Sardina comun'!L44</f>
        <v>0.69733813964925251</v>
      </c>
      <c r="N198" s="55" t="str">
        <f>'IC Anch y SardC VIII'!O27</f>
        <v>-</v>
      </c>
      <c r="O198" s="34">
        <f>RESUMEN!$B$3</f>
        <v>44201</v>
      </c>
      <c r="P198" s="11">
        <v>2021</v>
      </c>
    </row>
    <row r="199" spans="1:16">
      <c r="A199" s="11" t="s">
        <v>155</v>
      </c>
      <c r="B199" s="11" t="s">
        <v>254</v>
      </c>
      <c r="C199" s="11" t="s">
        <v>251</v>
      </c>
      <c r="D199" s="11" t="s">
        <v>246</v>
      </c>
      <c r="E199" s="11" t="str">
        <f>'Sardina comun'!D45</f>
        <v>Asociación Gremial de Pescadores y Armadores Artesanales Pelágicos de la Región del Bío Bío, "PESCA MAR A.G.", Registro de Asociaciones Gremiales 450-8</v>
      </c>
      <c r="F199" s="11" t="s">
        <v>233</v>
      </c>
      <c r="G199" s="11" t="s">
        <v>234</v>
      </c>
      <c r="H199" s="11">
        <f>'Sardina comun'!F45</f>
        <v>2427.2020000000002</v>
      </c>
      <c r="I199" s="11">
        <f>'Sardina comun'!G45</f>
        <v>175</v>
      </c>
      <c r="J199" s="11">
        <f>'Sardina comun'!H45</f>
        <v>2602.2020000000002</v>
      </c>
      <c r="K199" s="11">
        <f>'Sardina comun'!I45</f>
        <v>1195.3340000000001</v>
      </c>
      <c r="L199" s="11">
        <f>'Sardina comun'!K45</f>
        <v>1406.8680000000002</v>
      </c>
      <c r="M199" s="49">
        <f>'Sardina comun'!L45</f>
        <v>0.45935480796648376</v>
      </c>
      <c r="N199" s="55" t="str">
        <f>'IC Anch y SardC VIII'!O28</f>
        <v>-</v>
      </c>
      <c r="O199" s="34">
        <f>RESUMEN!$B$3</f>
        <v>44201</v>
      </c>
      <c r="P199" s="11">
        <v>2021</v>
      </c>
    </row>
    <row r="200" spans="1:16">
      <c r="A200" s="11" t="s">
        <v>155</v>
      </c>
      <c r="B200" s="11" t="s">
        <v>254</v>
      </c>
      <c r="C200" s="11" t="s">
        <v>251</v>
      </c>
      <c r="D200" s="11" t="s">
        <v>246</v>
      </c>
      <c r="E200" s="11" t="str">
        <f>'Sardina comun'!D46</f>
        <v>Asociación Gremial de Pescadores y Armadores Artesanales Pelágicos Región Bío Bío A.G. ALTAMAR, Registro de Asociaciones Gremiales  555-8</v>
      </c>
      <c r="F200" s="11" t="s">
        <v>233</v>
      </c>
      <c r="G200" s="11" t="s">
        <v>234</v>
      </c>
      <c r="H200" s="11">
        <f>'Sardina comun'!F46</f>
        <v>5389.2139999999999</v>
      </c>
      <c r="I200" s="11">
        <f>'Sardina comun'!G46</f>
        <v>155</v>
      </c>
      <c r="J200" s="11">
        <f>'Sardina comun'!H46</f>
        <v>5544.2139999999999</v>
      </c>
      <c r="K200" s="11">
        <f>'Sardina comun'!I46</f>
        <v>4878.7820000000002</v>
      </c>
      <c r="L200" s="11">
        <f>'Sardina comun'!K46</f>
        <v>665.43199999999979</v>
      </c>
      <c r="M200" s="49">
        <f>'Sardina comun'!L46</f>
        <v>0.87997721588668842</v>
      </c>
      <c r="N200" s="55" t="str">
        <f>'IC Anch y SardC VIII'!O29</f>
        <v>-</v>
      </c>
      <c r="O200" s="34">
        <f>RESUMEN!$B$3</f>
        <v>44201</v>
      </c>
      <c r="P200" s="11">
        <v>2021</v>
      </c>
    </row>
    <row r="201" spans="1:16">
      <c r="A201" s="11" t="s">
        <v>155</v>
      </c>
      <c r="B201" s="11" t="s">
        <v>254</v>
      </c>
      <c r="C201" s="11" t="s">
        <v>251</v>
      </c>
      <c r="D201" s="11" t="s">
        <v>246</v>
      </c>
      <c r="E201" s="11" t="str">
        <f>'Sardina comun'!D47</f>
        <v>Asociación Gremial de Productores Pelágicos Artesanales de las Caletas de Talcahuano y San Vicente de la VIII Región GEMAR A.G., Registro de Asociaciones Gremiales 464-8</v>
      </c>
      <c r="F201" s="11" t="s">
        <v>233</v>
      </c>
      <c r="G201" s="11" t="s">
        <v>234</v>
      </c>
      <c r="H201" s="11">
        <f>'Sardina comun'!F47</f>
        <v>4312.8860000000004</v>
      </c>
      <c r="I201" s="11">
        <f>'Sardina comun'!G47</f>
        <v>351.35699999999997</v>
      </c>
      <c r="J201" s="11">
        <f>'Sardina comun'!H47</f>
        <v>4664.2430000000004</v>
      </c>
      <c r="K201" s="11">
        <f>'Sardina comun'!I47</f>
        <v>3142.4780000000001</v>
      </c>
      <c r="L201" s="11">
        <f>'Sardina comun'!K47</f>
        <v>1521.7650000000003</v>
      </c>
      <c r="M201" s="49">
        <f>'Sardina comun'!L47</f>
        <v>0.67373805352765703</v>
      </c>
      <c r="N201" s="55" t="str">
        <f>'IC Anch y SardC VIII'!O30</f>
        <v>-</v>
      </c>
      <c r="O201" s="34">
        <f>RESUMEN!$B$3</f>
        <v>44201</v>
      </c>
      <c r="P201" s="11">
        <v>2021</v>
      </c>
    </row>
    <row r="202" spans="1:16">
      <c r="A202" s="11" t="s">
        <v>155</v>
      </c>
      <c r="B202" s="11" t="s">
        <v>254</v>
      </c>
      <c r="C202" s="11" t="s">
        <v>251</v>
      </c>
      <c r="D202" s="11" t="s">
        <v>246</v>
      </c>
      <c r="E202" s="11" t="str">
        <f>'Sardina comun'!D48</f>
        <v>Cooperativa de Pescadores Sol de Israel Limitada "COOPES LTDA". Rol 5483</v>
      </c>
      <c r="F202" s="11" t="s">
        <v>233</v>
      </c>
      <c r="G202" s="11" t="s">
        <v>234</v>
      </c>
      <c r="H202" s="11">
        <f>'Sardina comun'!F48</f>
        <v>262.14400000000001</v>
      </c>
      <c r="I202" s="11">
        <f>'Sardina comun'!G48</f>
        <v>100</v>
      </c>
      <c r="J202" s="11">
        <f>'Sardina comun'!H48</f>
        <v>362.14400000000001</v>
      </c>
      <c r="K202" s="11">
        <f>'Sardina comun'!I48</f>
        <v>868.22</v>
      </c>
      <c r="L202" s="11">
        <f>'Sardina comun'!K48</f>
        <v>-506.07600000000002</v>
      </c>
      <c r="M202" s="49">
        <f>'Sardina comun'!L48</f>
        <v>2.3974441106300257</v>
      </c>
      <c r="N202" s="55">
        <f>'IC Anch y SardC VIII'!O31</f>
        <v>44264</v>
      </c>
      <c r="O202" s="34">
        <f>RESUMEN!$B$3</f>
        <v>44201</v>
      </c>
      <c r="P202" s="11">
        <v>2021</v>
      </c>
    </row>
    <row r="203" spans="1:16">
      <c r="A203" s="11" t="s">
        <v>155</v>
      </c>
      <c r="B203" s="11" t="s">
        <v>254</v>
      </c>
      <c r="C203" s="11" t="s">
        <v>251</v>
      </c>
      <c r="D203" s="11" t="s">
        <v>246</v>
      </c>
      <c r="E203" s="11" t="str">
        <f>'Sardina comun'!D49</f>
        <v>Cooperativa de Pescadores y Armadores Artesanales de Lota "GEVIMAR". Registro de Cooperativa Rol 4465</v>
      </c>
      <c r="F203" s="11" t="s">
        <v>233</v>
      </c>
      <c r="G203" s="11" t="s">
        <v>234</v>
      </c>
      <c r="H203" s="11">
        <f>'Sardina comun'!F49</f>
        <v>3322.44</v>
      </c>
      <c r="I203" s="11">
        <f>'Sardina comun'!G49</f>
        <v>0</v>
      </c>
      <c r="J203" s="11">
        <f>'Sardina comun'!H49</f>
        <v>3322.44</v>
      </c>
      <c r="K203" s="11">
        <f>'Sardina comun'!I49</f>
        <v>3002.2939999999999</v>
      </c>
      <c r="L203" s="11">
        <f>'Sardina comun'!K49</f>
        <v>320.14600000000019</v>
      </c>
      <c r="M203" s="49">
        <f>'Sardina comun'!L49</f>
        <v>0.90364129976764063</v>
      </c>
      <c r="N203" s="55" t="str">
        <f>'IC Anch y SardC VIII'!O32</f>
        <v>-</v>
      </c>
      <c r="O203" s="34">
        <f>RESUMEN!$B$3</f>
        <v>44201</v>
      </c>
      <c r="P203" s="11">
        <v>2021</v>
      </c>
    </row>
    <row r="204" spans="1:16">
      <c r="A204" s="11" t="s">
        <v>155</v>
      </c>
      <c r="B204" s="11" t="s">
        <v>254</v>
      </c>
      <c r="C204" s="11" t="s">
        <v>251</v>
      </c>
      <c r="D204" s="11" t="s">
        <v>246</v>
      </c>
      <c r="E204" s="11" t="str">
        <f>'Sardina comun'!D50</f>
        <v>Cooperativa Pesquera Artesanal de Coronel Limitada. ROL 5472</v>
      </c>
      <c r="F204" s="11" t="s">
        <v>233</v>
      </c>
      <c r="G204" s="11" t="s">
        <v>234</v>
      </c>
      <c r="H204" s="11">
        <f>'Sardina comun'!F50</f>
        <v>13.159000000000001</v>
      </c>
      <c r="I204" s="11">
        <f>'Sardina comun'!G50</f>
        <v>-9.1999999999999993</v>
      </c>
      <c r="J204" s="11">
        <f>'Sardina comun'!H50</f>
        <v>3.9590000000000014</v>
      </c>
      <c r="K204" s="11">
        <f>'Sardina comun'!I50</f>
        <v>0</v>
      </c>
      <c r="L204" s="11">
        <f>'Sardina comun'!K50</f>
        <v>3.9590000000000014</v>
      </c>
      <c r="M204" s="49">
        <f>'Sardina comun'!L50</f>
        <v>0</v>
      </c>
      <c r="N204" s="55">
        <f>'IC Anch y SardC VIII'!O33</f>
        <v>44491</v>
      </c>
      <c r="O204" s="34">
        <f>RESUMEN!$B$3</f>
        <v>44201</v>
      </c>
      <c r="P204" s="11">
        <v>2021</v>
      </c>
    </row>
    <row r="205" spans="1:16">
      <c r="A205" s="11" t="s">
        <v>155</v>
      </c>
      <c r="B205" s="11" t="s">
        <v>254</v>
      </c>
      <c r="C205" s="11" t="s">
        <v>251</v>
      </c>
      <c r="D205" s="11" t="s">
        <v>246</v>
      </c>
      <c r="E205" s="11" t="str">
        <f>'Sardina comun'!D51</f>
        <v>Sindicato de  Pescadores Artesanales, Armadores Pelágicos y Actividades Conexas de la Caleta Vegas de Coliumo. Registro Sindical Único 08.06.0113</v>
      </c>
      <c r="F205" s="11" t="s">
        <v>233</v>
      </c>
      <c r="G205" s="11" t="s">
        <v>234</v>
      </c>
      <c r="H205" s="11">
        <f>'Sardina comun'!F51</f>
        <v>2639.6</v>
      </c>
      <c r="I205" s="11">
        <f>'Sardina comun'!G51</f>
        <v>-520</v>
      </c>
      <c r="J205" s="11">
        <f>'Sardina comun'!H51</f>
        <v>2119.6</v>
      </c>
      <c r="K205" s="11">
        <f>'Sardina comun'!I51</f>
        <v>1602.338</v>
      </c>
      <c r="L205" s="11">
        <f>'Sardina comun'!K51</f>
        <v>517.26199999999994</v>
      </c>
      <c r="M205" s="49">
        <f>'Sardina comun'!L51</f>
        <v>0.75596244574448013</v>
      </c>
      <c r="N205" s="55" t="str">
        <f>'IC Anch y SardC VIII'!O34</f>
        <v>-</v>
      </c>
      <c r="O205" s="34">
        <f>RESUMEN!$B$3</f>
        <v>44201</v>
      </c>
      <c r="P205" s="11">
        <v>2021</v>
      </c>
    </row>
    <row r="206" spans="1:16">
      <c r="A206" s="11" t="s">
        <v>155</v>
      </c>
      <c r="B206" s="11" t="s">
        <v>254</v>
      </c>
      <c r="C206" s="11" t="s">
        <v>251</v>
      </c>
      <c r="D206" s="11" t="s">
        <v>246</v>
      </c>
      <c r="E206" s="11" t="str">
        <f>'Sardina comun'!D52</f>
        <v>Sindicato de Armadores y Pescadores Mares Profundo. Registro Sindical Unico 08.04.0179</v>
      </c>
      <c r="F206" s="11" t="s">
        <v>233</v>
      </c>
      <c r="G206" s="11" t="s">
        <v>234</v>
      </c>
      <c r="H206" s="11">
        <f>'Sardina comun'!F52</f>
        <v>100.699</v>
      </c>
      <c r="I206" s="11">
        <f>'Sardina comun'!G52</f>
        <v>-100.6</v>
      </c>
      <c r="J206" s="11">
        <f>'Sardina comun'!H52</f>
        <v>9.9000000000003752E-2</v>
      </c>
      <c r="K206" s="11">
        <f>'Sardina comun'!I52</f>
        <v>0</v>
      </c>
      <c r="L206" s="11">
        <f>'Sardina comun'!K52</f>
        <v>9.9000000000003752E-2</v>
      </c>
      <c r="M206" s="49">
        <f>'Sardina comun'!L52</f>
        <v>0.9990168720642707</v>
      </c>
      <c r="N206" s="55">
        <f>'IC Anch y SardC VIII'!O35</f>
        <v>44491</v>
      </c>
      <c r="O206" s="34">
        <f>RESUMEN!$B$3</f>
        <v>44201</v>
      </c>
      <c r="P206" s="11">
        <v>2021</v>
      </c>
    </row>
    <row r="207" spans="1:16">
      <c r="A207" s="11" t="s">
        <v>155</v>
      </c>
      <c r="B207" s="11" t="s">
        <v>254</v>
      </c>
      <c r="C207" s="11" t="s">
        <v>251</v>
      </c>
      <c r="D207" s="11" t="s">
        <v>246</v>
      </c>
      <c r="E207" s="11" t="str">
        <f>'Sardina comun'!D53</f>
        <v>Sindicato de Pescadores Artesanales y Armadores Artesanales de la Octava Región "SPAADA SD". Registro Sindical Único 08.05.0339</v>
      </c>
      <c r="F207" s="11" t="s">
        <v>233</v>
      </c>
      <c r="G207" s="11" t="s">
        <v>234</v>
      </c>
      <c r="H207" s="11">
        <f>'Sardina comun'!F53</f>
        <v>4873.6459999999997</v>
      </c>
      <c r="I207" s="11">
        <f>'Sardina comun'!G53</f>
        <v>-63</v>
      </c>
      <c r="J207" s="11">
        <f>'Sardina comun'!H53</f>
        <v>4810.6459999999997</v>
      </c>
      <c r="K207" s="11">
        <f>'Sardina comun'!I53</f>
        <v>3596.962</v>
      </c>
      <c r="L207" s="11">
        <f>'Sardina comun'!K53</f>
        <v>1213.6839999999997</v>
      </c>
      <c r="M207" s="49">
        <f>'Sardina comun'!L53</f>
        <v>0.74770872768439001</v>
      </c>
      <c r="N207" s="55" t="str">
        <f>'IC Anch y SardC VIII'!O36</f>
        <v>-</v>
      </c>
      <c r="O207" s="34">
        <f>RESUMEN!$B$3</f>
        <v>44201</v>
      </c>
      <c r="P207" s="11">
        <v>2021</v>
      </c>
    </row>
    <row r="208" spans="1:16">
      <c r="A208" s="11" t="s">
        <v>155</v>
      </c>
      <c r="B208" s="11" t="s">
        <v>254</v>
      </c>
      <c r="C208" s="11" t="s">
        <v>251</v>
      </c>
      <c r="D208" s="11" t="s">
        <v>246</v>
      </c>
      <c r="E208" s="11" t="str">
        <f>'Sardina comun'!D54</f>
        <v>Sindicato de Pescadores y Armadores Artesanales del Mar "SIPARMAR - Talcahuano". Registro Sindical Único 08.05.0399</v>
      </c>
      <c r="F208" s="11" t="s">
        <v>233</v>
      </c>
      <c r="G208" s="11" t="s">
        <v>234</v>
      </c>
      <c r="H208" s="11">
        <f>'Sardina comun'!F54</f>
        <v>4149.7190000000001</v>
      </c>
      <c r="I208" s="11">
        <f>'Sardina comun'!G54</f>
        <v>-400</v>
      </c>
      <c r="J208" s="11">
        <f>'Sardina comun'!H54</f>
        <v>3749.7190000000001</v>
      </c>
      <c r="K208" s="11">
        <f>'Sardina comun'!I54</f>
        <v>2974.6559999999999</v>
      </c>
      <c r="L208" s="11">
        <f>'Sardina comun'!K54</f>
        <v>775.0630000000001</v>
      </c>
      <c r="M208" s="49">
        <f>'Sardina comun'!L54</f>
        <v>0.79330104469161555</v>
      </c>
      <c r="N208" s="55" t="str">
        <f>'IC Anch y SardC VIII'!O37</f>
        <v>-</v>
      </c>
      <c r="O208" s="34">
        <f>RESUMEN!$B$3</f>
        <v>44201</v>
      </c>
      <c r="P208" s="11">
        <v>2021</v>
      </c>
    </row>
    <row r="209" spans="1:16">
      <c r="A209" s="11" t="s">
        <v>155</v>
      </c>
      <c r="B209" s="11" t="s">
        <v>254</v>
      </c>
      <c r="C209" s="11" t="s">
        <v>251</v>
      </c>
      <c r="D209" s="11" t="s">
        <v>246</v>
      </c>
      <c r="E209" s="11" t="str">
        <f>'Sardina comun'!D55</f>
        <v>Sindicato de Trabajadores Independientes "Brisas del Mar". Registro Sindical Único 08.04.0115</v>
      </c>
      <c r="F209" s="11" t="s">
        <v>233</v>
      </c>
      <c r="G209" s="11" t="s">
        <v>234</v>
      </c>
      <c r="H209" s="11">
        <f>'Sardina comun'!F55</f>
        <v>1.7999999999999999E-2</v>
      </c>
      <c r="I209" s="11">
        <f>'Sardina comun'!G55</f>
        <v>0</v>
      </c>
      <c r="J209" s="11">
        <f>'Sardina comun'!H55</f>
        <v>1.7999999999999999E-2</v>
      </c>
      <c r="K209" s="11">
        <f>'Sardina comun'!I55</f>
        <v>0</v>
      </c>
      <c r="L209" s="11">
        <f>'Sardina comun'!K55</f>
        <v>1.7999999999999999E-2</v>
      </c>
      <c r="M209" s="49">
        <f>'Sardina comun'!L55</f>
        <v>0</v>
      </c>
      <c r="N209" s="55">
        <f>'IC Anch y SardC VIII'!O38</f>
        <v>44491</v>
      </c>
      <c r="O209" s="34">
        <f>RESUMEN!$B$3</f>
        <v>44201</v>
      </c>
      <c r="P209" s="11">
        <v>2021</v>
      </c>
    </row>
    <row r="210" spans="1:16">
      <c r="A210" s="11" t="s">
        <v>155</v>
      </c>
      <c r="B210" s="11" t="s">
        <v>254</v>
      </c>
      <c r="C210" s="11" t="s">
        <v>251</v>
      </c>
      <c r="D210" s="11" t="s">
        <v>246</v>
      </c>
      <c r="E210" s="11" t="str">
        <f>'Sardina comun'!D56</f>
        <v>Sindicato de Trabajadores Independientes Armadores  y Pescadores Artesanales, Buzos Mariscadores, Algueros acuicultores y Actividades conexas de la Región del Bio Bio (BIO BIO PESCA), Registro Sindical Único 08.05.0555</v>
      </c>
      <c r="F210" s="11" t="s">
        <v>233</v>
      </c>
      <c r="G210" s="11" t="s">
        <v>234</v>
      </c>
      <c r="H210" s="11">
        <f>'Sardina comun'!F56</f>
        <v>612.09100000000001</v>
      </c>
      <c r="I210" s="11">
        <f>'Sardina comun'!G56</f>
        <v>393.10899999999998</v>
      </c>
      <c r="J210" s="11">
        <f>'Sardina comun'!H56</f>
        <v>1005.2</v>
      </c>
      <c r="K210" s="11">
        <f>'Sardina comun'!I56</f>
        <v>610.24</v>
      </c>
      <c r="L210" s="11">
        <f>'Sardina comun'!K56</f>
        <v>394.96000000000004</v>
      </c>
      <c r="M210" s="49">
        <f>'Sardina comun'!L56</f>
        <v>0.60708316752884994</v>
      </c>
      <c r="N210" s="55" t="str">
        <f>'IC Anch y SardC VIII'!O39</f>
        <v>-</v>
      </c>
      <c r="O210" s="34">
        <f>RESUMEN!$B$3</f>
        <v>44201</v>
      </c>
      <c r="P210" s="11">
        <v>2021</v>
      </c>
    </row>
    <row r="211" spans="1:16">
      <c r="A211" s="11" t="s">
        <v>155</v>
      </c>
      <c r="B211" s="11" t="s">
        <v>254</v>
      </c>
      <c r="C211" s="11" t="s">
        <v>251</v>
      </c>
      <c r="D211" s="11" t="s">
        <v>246</v>
      </c>
      <c r="E211" s="11" t="str">
        <f>'Sardina comun'!D57</f>
        <v>Sindicato de Trabajadores Independientes Armadores Pescadores Artesanales, Algueros y Ramos Afines "MEDITERRANEO". Registro Sindical Único 08.05.0605</v>
      </c>
      <c r="F211" s="11" t="s">
        <v>233</v>
      </c>
      <c r="G211" s="11" t="s">
        <v>234</v>
      </c>
      <c r="H211" s="11">
        <f>'Sardina comun'!F57</f>
        <v>1945.502</v>
      </c>
      <c r="I211" s="11">
        <f>'Sardina comun'!G57</f>
        <v>-10</v>
      </c>
      <c r="J211" s="11">
        <f>'Sardina comun'!H57</f>
        <v>1935.502</v>
      </c>
      <c r="K211" s="11">
        <f>'Sardina comun'!I57</f>
        <v>1854.4169999999999</v>
      </c>
      <c r="L211" s="11">
        <f>'Sardina comun'!K57</f>
        <v>81.085000000000036</v>
      </c>
      <c r="M211" s="49">
        <f>'Sardina comun'!L57</f>
        <v>0.9581064757360106</v>
      </c>
      <c r="N211" s="55" t="str">
        <f>'IC Anch y SardC VIII'!O40</f>
        <v>-</v>
      </c>
      <c r="O211" s="34">
        <f>RESUMEN!$B$3</f>
        <v>44201</v>
      </c>
      <c r="P211" s="11">
        <v>2021</v>
      </c>
    </row>
    <row r="212" spans="1:16">
      <c r="A212" s="11" t="s">
        <v>155</v>
      </c>
      <c r="B212" s="11" t="s">
        <v>254</v>
      </c>
      <c r="C212" s="11" t="s">
        <v>251</v>
      </c>
      <c r="D212" s="11" t="s">
        <v>246</v>
      </c>
      <c r="E212" s="11" t="str">
        <f>'Sardina comun'!D58</f>
        <v>Sindicato de Trabajadores Independientes Armadores Pescadores del Mar "SIARPEMAR". Registro Sindical Único 08.05.0459.</v>
      </c>
      <c r="F212" s="11" t="s">
        <v>233</v>
      </c>
      <c r="G212" s="11" t="s">
        <v>234</v>
      </c>
      <c r="H212" s="11">
        <f>'Sardina comun'!F58</f>
        <v>650.34199999999998</v>
      </c>
      <c r="I212" s="11">
        <f>'Sardina comun'!G58</f>
        <v>-432.2</v>
      </c>
      <c r="J212" s="11">
        <f>'Sardina comun'!H58</f>
        <v>218.142</v>
      </c>
      <c r="K212" s="11">
        <f>'Sardina comun'!I58</f>
        <v>75.021000000000001</v>
      </c>
      <c r="L212" s="11">
        <f>'Sardina comun'!K58</f>
        <v>143.12099999999998</v>
      </c>
      <c r="M212" s="49">
        <f>'Sardina comun'!L58</f>
        <v>0.34390901339494456</v>
      </c>
      <c r="N212" s="55">
        <f>'IC Anch y SardC VIII'!O41</f>
        <v>44491</v>
      </c>
      <c r="O212" s="34">
        <f>RESUMEN!$B$3</f>
        <v>44201</v>
      </c>
      <c r="P212" s="11">
        <v>2021</v>
      </c>
    </row>
    <row r="213" spans="1:16">
      <c r="A213" s="11" t="s">
        <v>155</v>
      </c>
      <c r="B213" s="11" t="s">
        <v>254</v>
      </c>
      <c r="C213" s="11" t="s">
        <v>251</v>
      </c>
      <c r="D213" s="11" t="s">
        <v>246</v>
      </c>
      <c r="E213" s="11" t="str">
        <f>'Sardina comun'!D59</f>
        <v xml:space="preserve"> Sindicato de Trabajadores Independientes Armadores y Pescadores Artesanales y Ramos Afines  Caleta La Gloria comuna de Talcahuano, Registro Sindical Único 08.05.0603</v>
      </c>
      <c r="F213" s="11" t="s">
        <v>233</v>
      </c>
      <c r="G213" s="11" t="s">
        <v>234</v>
      </c>
      <c r="H213" s="11">
        <f>'Sardina comun'!F59</f>
        <v>4017.348</v>
      </c>
      <c r="I213" s="11">
        <f>'Sardina comun'!G59</f>
        <v>2996</v>
      </c>
      <c r="J213" s="11">
        <f>'Sardina comun'!H59</f>
        <v>7013.348</v>
      </c>
      <c r="K213" s="11">
        <f>'Sardina comun'!I59</f>
        <v>5155.08</v>
      </c>
      <c r="L213" s="11">
        <f>'Sardina comun'!K59</f>
        <v>1858.268</v>
      </c>
      <c r="M213" s="49">
        <f>'Sardina comun'!L59</f>
        <v>0.73503838680185274</v>
      </c>
      <c r="N213" s="55" t="str">
        <f>'IC Anch y SardC VIII'!O42</f>
        <v>-</v>
      </c>
      <c r="O213" s="34">
        <f>RESUMEN!$B$3</f>
        <v>44201</v>
      </c>
      <c r="P213" s="11">
        <v>2021</v>
      </c>
    </row>
    <row r="214" spans="1:16">
      <c r="A214" s="11" t="s">
        <v>155</v>
      </c>
      <c r="B214" s="11" t="s">
        <v>254</v>
      </c>
      <c r="C214" s="11" t="s">
        <v>251</v>
      </c>
      <c r="D214" s="11" t="s">
        <v>246</v>
      </c>
      <c r="E214" s="11" t="str">
        <f>'Sardina comun'!D60</f>
        <v>Sindicato de Trabajadores Independientes Armadores y Pescadores y Ramos Afines de la Pesca Artesanal de la Caleta Lo Rojas "SITRAL", Registro Sindical Único 08.07.0322</v>
      </c>
      <c r="F214" s="11" t="s">
        <v>233</v>
      </c>
      <c r="G214" s="11" t="s">
        <v>234</v>
      </c>
      <c r="H214" s="11">
        <f>'Sardina comun'!F60</f>
        <v>1833.386</v>
      </c>
      <c r="I214" s="11">
        <f>'Sardina comun'!G60</f>
        <v>-245</v>
      </c>
      <c r="J214" s="11">
        <f>'Sardina comun'!H60</f>
        <v>1588.386</v>
      </c>
      <c r="K214" s="11">
        <f>'Sardina comun'!I60</f>
        <v>1587.328</v>
      </c>
      <c r="L214" s="11">
        <f>'Sardina comun'!K60</f>
        <v>1.0579999999999927</v>
      </c>
      <c r="M214" s="49">
        <f>'Sardina comun'!L60</f>
        <v>0.99933391505591207</v>
      </c>
      <c r="N214" s="55" t="str">
        <f>'IC Anch y SardC VIII'!O43</f>
        <v>-</v>
      </c>
      <c r="O214" s="34">
        <f>RESUMEN!$B$3</f>
        <v>44201</v>
      </c>
      <c r="P214" s="11">
        <v>2021</v>
      </c>
    </row>
    <row r="215" spans="1:16">
      <c r="A215" s="11" t="s">
        <v>155</v>
      </c>
      <c r="B215" s="11" t="s">
        <v>254</v>
      </c>
      <c r="C215" s="11" t="s">
        <v>251</v>
      </c>
      <c r="D215" s="11" t="s">
        <v>246</v>
      </c>
      <c r="E215" s="11" t="str">
        <f>'Sardina comun'!D61</f>
        <v>Sindicato de Trabajadores Independientes Armadores, Pescadores y Ramos Afines de la Pesca Artesanal de la Región del  Bio-Bio, "SARPAR BIO-BIO". Registro Sindical Único 08.05.0378</v>
      </c>
      <c r="F215" s="11" t="s">
        <v>233</v>
      </c>
      <c r="G215" s="11" t="s">
        <v>234</v>
      </c>
      <c r="H215" s="11">
        <f>'Sardina comun'!F61</f>
        <v>1047.8209999999999</v>
      </c>
      <c r="I215" s="11">
        <f>'Sardina comun'!G61</f>
        <v>0</v>
      </c>
      <c r="J215" s="11">
        <f>'Sardina comun'!H61</f>
        <v>1047.8209999999999</v>
      </c>
      <c r="K215" s="11">
        <f>'Sardina comun'!I61</f>
        <v>1046.595</v>
      </c>
      <c r="L215" s="11">
        <f>'Sardina comun'!K61</f>
        <v>1.2259999999998854</v>
      </c>
      <c r="M215" s="49">
        <f>'Sardina comun'!L61</f>
        <v>0.99882995282591214</v>
      </c>
      <c r="N215" s="55" t="str">
        <f>'IC Anch y SardC VIII'!O44</f>
        <v>-</v>
      </c>
      <c r="O215" s="34">
        <f>RESUMEN!$B$3</f>
        <v>44201</v>
      </c>
      <c r="P215" s="11">
        <v>2021</v>
      </c>
    </row>
    <row r="216" spans="1:16">
      <c r="A216" s="11" t="s">
        <v>155</v>
      </c>
      <c r="B216" s="11" t="s">
        <v>254</v>
      </c>
      <c r="C216" s="11" t="s">
        <v>251</v>
      </c>
      <c r="D216" s="11" t="s">
        <v>246</v>
      </c>
      <c r="E216" s="11" t="str">
        <f>'Sardina comun'!D62</f>
        <v>Sindicato de Trabajadores Independientes de Armadores y Pescadores Artesanales y Ramas afines, Registro Sindical Único 08.05.0512</v>
      </c>
      <c r="F216" s="11" t="s">
        <v>233</v>
      </c>
      <c r="G216" s="11" t="s">
        <v>234</v>
      </c>
      <c r="H216" s="11">
        <f>'Sardina comun'!F62</f>
        <v>3278.587</v>
      </c>
      <c r="I216" s="11">
        <f>'Sardina comun'!G62</f>
        <v>-600</v>
      </c>
      <c r="J216" s="11">
        <f>'Sardina comun'!H62</f>
        <v>2678.587</v>
      </c>
      <c r="K216" s="11">
        <f>'Sardina comun'!I62</f>
        <v>1773.441</v>
      </c>
      <c r="L216" s="11">
        <f>'Sardina comun'!K62</f>
        <v>905.14599999999996</v>
      </c>
      <c r="M216" s="49">
        <f>'Sardina comun'!L62</f>
        <v>0.66208079110366769</v>
      </c>
      <c r="N216" s="55" t="str">
        <f>'IC Anch y SardC VIII'!O45</f>
        <v>-</v>
      </c>
      <c r="O216" s="34">
        <f>RESUMEN!$B$3</f>
        <v>44201</v>
      </c>
      <c r="P216" s="11">
        <v>2021</v>
      </c>
    </row>
    <row r="217" spans="1:16">
      <c r="A217" s="11" t="s">
        <v>155</v>
      </c>
      <c r="B217" s="11" t="s">
        <v>254</v>
      </c>
      <c r="C217" s="11" t="s">
        <v>251</v>
      </c>
      <c r="D217" s="11" t="s">
        <v>246</v>
      </c>
      <c r="E217" s="11" t="str">
        <f>'Sardina comun'!D63</f>
        <v>Sindicato de Trabajadores Independientes de la Pesca Artesanal de la Peninsula de Hualpen. Registro Sindical Único 08.05.0502</v>
      </c>
      <c r="F217" s="11" t="s">
        <v>233</v>
      </c>
      <c r="G217" s="11" t="s">
        <v>234</v>
      </c>
      <c r="H217" s="11">
        <f>'Sardina comun'!F63</f>
        <v>192.214</v>
      </c>
      <c r="I217" s="11">
        <f>'Sardina comun'!G63</f>
        <v>-79.3</v>
      </c>
      <c r="J217" s="11">
        <f>'Sardina comun'!H63</f>
        <v>112.914</v>
      </c>
      <c r="K217" s="11">
        <f>'Sardina comun'!I63</f>
        <v>55.960999999999999</v>
      </c>
      <c r="L217" s="11">
        <f>'Sardina comun'!K63</f>
        <v>56.953000000000003</v>
      </c>
      <c r="M217" s="49">
        <f>'Sardina comun'!L63</f>
        <v>0.49560727633420121</v>
      </c>
      <c r="N217" s="55" t="str">
        <f>'IC Anch y SardC VIII'!O46</f>
        <v>-</v>
      </c>
      <c r="O217" s="34">
        <f>RESUMEN!$B$3</f>
        <v>44201</v>
      </c>
      <c r="P217" s="11">
        <v>2021</v>
      </c>
    </row>
    <row r="218" spans="1:16">
      <c r="A218" s="11" t="s">
        <v>155</v>
      </c>
      <c r="B218" s="11" t="s">
        <v>254</v>
      </c>
      <c r="C218" s="11" t="s">
        <v>251</v>
      </c>
      <c r="D218" s="11" t="s">
        <v>246</v>
      </c>
      <c r="E218" s="11" t="str">
        <f>'Sardina comun'!D64</f>
        <v>Sindicato de Trabajadores Independientes de la Pesca Artesanal, Armadores Artesanales Pelágicos Actividades Afines y Actividades Conexas de la Comuna de Talcahuano, "MAR AZUL".  Registro Sindical Único 08.05.0434</v>
      </c>
      <c r="F218" s="11" t="s">
        <v>233</v>
      </c>
      <c r="G218" s="11" t="s">
        <v>234</v>
      </c>
      <c r="H218" s="11">
        <f>'Sardina comun'!F64</f>
        <v>1511.221</v>
      </c>
      <c r="I218" s="11">
        <f>'Sardina comun'!G64</f>
        <v>0</v>
      </c>
      <c r="J218" s="11">
        <f>'Sardina comun'!H64</f>
        <v>1511.221</v>
      </c>
      <c r="K218" s="11">
        <f>'Sardina comun'!I64</f>
        <v>939.28200000000004</v>
      </c>
      <c r="L218" s="11">
        <f>'Sardina comun'!K64</f>
        <v>571.93899999999996</v>
      </c>
      <c r="M218" s="49">
        <f>'Sardina comun'!L64</f>
        <v>0.62153847782686977</v>
      </c>
      <c r="N218" s="55" t="str">
        <f>'IC Anch y SardC VIII'!O47</f>
        <v>-</v>
      </c>
      <c r="O218" s="34">
        <f>RESUMEN!$B$3</f>
        <v>44201</v>
      </c>
      <c r="P218" s="11">
        <v>2021</v>
      </c>
    </row>
    <row r="219" spans="1:16">
      <c r="A219" s="11" t="s">
        <v>155</v>
      </c>
      <c r="B219" s="11" t="s">
        <v>254</v>
      </c>
      <c r="C219" s="11" t="s">
        <v>251</v>
      </c>
      <c r="D219" s="11" t="s">
        <v>246</v>
      </c>
      <c r="E219" s="11" t="str">
        <f>'Sardina comun'!D65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19" s="11" t="s">
        <v>233</v>
      </c>
      <c r="G219" s="11" t="s">
        <v>234</v>
      </c>
      <c r="H219" s="11">
        <f>'Sardina comun'!F65</f>
        <v>3198.5810000000001</v>
      </c>
      <c r="I219" s="11">
        <f>'Sardina comun'!G65</f>
        <v>0</v>
      </c>
      <c r="J219" s="11">
        <f>'Sardina comun'!H65</f>
        <v>3198.5810000000001</v>
      </c>
      <c r="K219" s="11">
        <f>'Sardina comun'!I65</f>
        <v>1652.912</v>
      </c>
      <c r="L219" s="11">
        <f>'Sardina comun'!K65</f>
        <v>1545.6690000000001</v>
      </c>
      <c r="M219" s="49">
        <f>'Sardina comun'!L65</f>
        <v>0.51676415260392028</v>
      </c>
      <c r="N219" s="55" t="str">
        <f>'IC Anch y SardC VIII'!O48</f>
        <v>-</v>
      </c>
      <c r="O219" s="34">
        <f>RESUMEN!$B$3</f>
        <v>44201</v>
      </c>
      <c r="P219" s="11">
        <v>2021</v>
      </c>
    </row>
    <row r="220" spans="1:16">
      <c r="A220" s="11" t="s">
        <v>155</v>
      </c>
      <c r="B220" s="11" t="s">
        <v>254</v>
      </c>
      <c r="C220" s="11" t="s">
        <v>251</v>
      </c>
      <c r="D220" s="11" t="s">
        <v>246</v>
      </c>
      <c r="E220" s="11" t="str">
        <f>'Sardina comun'!D66</f>
        <v>Sindicato de Trabajadores Independientes de Pescadores Artesanales Caleta Lo Rojas "SITRAINPAR". Registro Sindical Único 08.07.0287.</v>
      </c>
      <c r="F220" s="11" t="s">
        <v>233</v>
      </c>
      <c r="G220" s="11" t="s">
        <v>234</v>
      </c>
      <c r="H220" s="11">
        <f>'Sardina comun'!F66</f>
        <v>1522.8040000000001</v>
      </c>
      <c r="I220" s="11">
        <f>'Sardina comun'!G66</f>
        <v>621.20000000000005</v>
      </c>
      <c r="J220" s="11">
        <f>'Sardina comun'!H66</f>
        <v>2144.0039999999999</v>
      </c>
      <c r="K220" s="11">
        <f>'Sardina comun'!I66</f>
        <v>1720.49</v>
      </c>
      <c r="L220" s="11">
        <f>'Sardina comun'!K66</f>
        <v>423.5139999999999</v>
      </c>
      <c r="M220" s="49">
        <f>'Sardina comun'!L66</f>
        <v>0.8024658536084821</v>
      </c>
      <c r="N220" s="55" t="str">
        <f>'IC Anch y SardC VIII'!O49</f>
        <v>-</v>
      </c>
      <c r="O220" s="34">
        <f>RESUMEN!$B$3</f>
        <v>44201</v>
      </c>
      <c r="P220" s="11">
        <v>2021</v>
      </c>
    </row>
    <row r="221" spans="1:16">
      <c r="A221" s="11" t="s">
        <v>155</v>
      </c>
      <c r="B221" s="11" t="s">
        <v>254</v>
      </c>
      <c r="C221" s="11" t="s">
        <v>251</v>
      </c>
      <c r="D221" s="11" t="s">
        <v>246</v>
      </c>
      <c r="E221" s="11" t="str">
        <f>'Sardina comun'!D67</f>
        <v>Sindicato de Trabajadores Independientes de Pescadores Artesanales Lo Rojas y Caletas Anexas del Golfo de Arauco. Registro Sindical Único 08.07.0307</v>
      </c>
      <c r="F221" s="11" t="s">
        <v>233</v>
      </c>
      <c r="G221" s="11" t="s">
        <v>234</v>
      </c>
      <c r="H221" s="11">
        <f>'Sardina comun'!F67</f>
        <v>3942.4859999999999</v>
      </c>
      <c r="I221" s="11">
        <f>'Sardina comun'!G67</f>
        <v>-3941.9</v>
      </c>
      <c r="J221" s="11">
        <f>'Sardina comun'!H67</f>
        <v>0.58599999999978536</v>
      </c>
      <c r="K221" s="11">
        <f>'Sardina comun'!I67</f>
        <v>0</v>
      </c>
      <c r="L221" s="11">
        <f>'Sardina comun'!K67</f>
        <v>0.58599999999978536</v>
      </c>
      <c r="M221" s="49">
        <f>'Sardina comun'!L67</f>
        <v>0.99985136282031195</v>
      </c>
      <c r="N221" s="55">
        <f>'IC Anch y SardC VIII'!O50</f>
        <v>44282</v>
      </c>
      <c r="O221" s="34">
        <f>RESUMEN!$B$3</f>
        <v>44201</v>
      </c>
      <c r="P221" s="11">
        <v>2021</v>
      </c>
    </row>
    <row r="222" spans="1:16">
      <c r="A222" s="11" t="s">
        <v>155</v>
      </c>
      <c r="B222" s="11" t="s">
        <v>254</v>
      </c>
      <c r="C222" s="11" t="s">
        <v>251</v>
      </c>
      <c r="D222" s="11" t="s">
        <v>246</v>
      </c>
      <c r="E222" s="11" t="str">
        <f>'Sardina comun'!D68</f>
        <v>Sindicato de Trabajadores Independientes de Pescadores Artesanales y Actividades Conexas Caleta de Pueblo Hundido, La Conchilla y El Morro - LOTA. Registro Sindical Único 08.07.0061</v>
      </c>
      <c r="F222" s="11" t="s">
        <v>233</v>
      </c>
      <c r="G222" s="11" t="s">
        <v>234</v>
      </c>
      <c r="H222" s="11">
        <f>'Sardina comun'!F68</f>
        <v>24.463000000000001</v>
      </c>
      <c r="I222" s="11">
        <f>'Sardina comun'!G68</f>
        <v>0</v>
      </c>
      <c r="J222" s="11">
        <f>'Sardina comun'!H68</f>
        <v>24.463000000000001</v>
      </c>
      <c r="K222" s="11">
        <f>'Sardina comun'!I68</f>
        <v>0</v>
      </c>
      <c r="L222" s="11">
        <f>'Sardina comun'!K68</f>
        <v>24.463000000000001</v>
      </c>
      <c r="M222" s="49">
        <f>'Sardina comun'!L68</f>
        <v>0</v>
      </c>
      <c r="N222" s="55" t="str">
        <f>'IC Anch y SardC VIII'!O51</f>
        <v>-</v>
      </c>
      <c r="O222" s="34">
        <f>RESUMEN!$B$3</f>
        <v>44201</v>
      </c>
      <c r="P222" s="11">
        <v>2021</v>
      </c>
    </row>
    <row r="223" spans="1:16">
      <c r="A223" s="11" t="s">
        <v>155</v>
      </c>
      <c r="B223" s="11" t="s">
        <v>254</v>
      </c>
      <c r="C223" s="11" t="s">
        <v>251</v>
      </c>
      <c r="D223" s="11" t="s">
        <v>246</v>
      </c>
      <c r="E223" s="11" t="str">
        <f>'Sardina comun'!D69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23" s="11" t="s">
        <v>233</v>
      </c>
      <c r="G223" s="11" t="s">
        <v>234</v>
      </c>
      <c r="H223" s="11">
        <f>'Sardina comun'!F69</f>
        <v>5348.1289999999999</v>
      </c>
      <c r="I223" s="11">
        <f>'Sardina comun'!G69</f>
        <v>-367</v>
      </c>
      <c r="J223" s="11">
        <f>'Sardina comun'!H69</f>
        <v>4981.1289999999999</v>
      </c>
      <c r="K223" s="11">
        <f>'Sardina comun'!I69</f>
        <v>3421.701</v>
      </c>
      <c r="L223" s="11">
        <f>'Sardina comun'!K69</f>
        <v>1559.4279999999999</v>
      </c>
      <c r="M223" s="49">
        <f>'Sardina comun'!L69</f>
        <v>0.68693282185624993</v>
      </c>
      <c r="N223" s="55" t="str">
        <f>'IC Anch y SardC VIII'!O52</f>
        <v>-</v>
      </c>
      <c r="O223" s="34">
        <f>RESUMEN!$B$3</f>
        <v>44201</v>
      </c>
      <c r="P223" s="11">
        <v>2021</v>
      </c>
    </row>
    <row r="224" spans="1:16">
      <c r="A224" s="11" t="s">
        <v>155</v>
      </c>
      <c r="B224" s="11" t="s">
        <v>254</v>
      </c>
      <c r="C224" s="11" t="s">
        <v>251</v>
      </c>
      <c r="D224" s="11" t="s">
        <v>246</v>
      </c>
      <c r="E224" s="11" t="str">
        <f>'Sardina comun'!D70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224" s="11" t="s">
        <v>233</v>
      </c>
      <c r="G224" s="11" t="s">
        <v>234</v>
      </c>
      <c r="H224" s="11">
        <f>'Sardina comun'!F70</f>
        <v>421.93599999999998</v>
      </c>
      <c r="I224" s="11">
        <f>'Sardina comun'!G70</f>
        <v>0</v>
      </c>
      <c r="J224" s="11">
        <f>'Sardina comun'!H70</f>
        <v>421.93599999999998</v>
      </c>
      <c r="K224" s="11">
        <f>'Sardina comun'!I70</f>
        <v>339.43099999999998</v>
      </c>
      <c r="L224" s="11">
        <f>'Sardina comun'!K70</f>
        <v>82.504999999999995</v>
      </c>
      <c r="M224" s="49">
        <f>'Sardina comun'!L70</f>
        <v>0.80446086610291612</v>
      </c>
      <c r="N224" s="55" t="str">
        <f>'IC Anch y SardC VIII'!O53</f>
        <v>-</v>
      </c>
      <c r="O224" s="34">
        <f>RESUMEN!$B$3</f>
        <v>44201</v>
      </c>
      <c r="P224" s="11">
        <v>2021</v>
      </c>
    </row>
    <row r="225" spans="1:16">
      <c r="A225" s="11" t="s">
        <v>155</v>
      </c>
      <c r="B225" s="11" t="s">
        <v>254</v>
      </c>
      <c r="C225" s="11" t="s">
        <v>251</v>
      </c>
      <c r="D225" s="11" t="s">
        <v>246</v>
      </c>
      <c r="E225" s="11" t="str">
        <f>'Sardina comun'!D71</f>
        <v>Sindicato de Trabajadores Independientes Pescadores Armadores y Ramos Afines de la Pesca Artesanal, APAT, Registro Sindical Único 08.05.0380</v>
      </c>
      <c r="F225" s="11" t="s">
        <v>233</v>
      </c>
      <c r="G225" s="11" t="s">
        <v>234</v>
      </c>
      <c r="H225" s="11">
        <f>'Sardina comun'!F71</f>
        <v>1429.5530000000001</v>
      </c>
      <c r="I225" s="11">
        <f>'Sardina comun'!G71</f>
        <v>-100</v>
      </c>
      <c r="J225" s="11">
        <f>'Sardina comun'!H71</f>
        <v>1329.5530000000001</v>
      </c>
      <c r="K225" s="11">
        <f>'Sardina comun'!I71</f>
        <v>1112.991</v>
      </c>
      <c r="L225" s="11">
        <f>'Sardina comun'!K71</f>
        <v>216.56200000000013</v>
      </c>
      <c r="M225" s="49">
        <f>'Sardina comun'!L71</f>
        <v>0.83711668508137693</v>
      </c>
      <c r="N225" s="55" t="str">
        <f>'IC Anch y SardC VIII'!O54</f>
        <v>-</v>
      </c>
      <c r="O225" s="34">
        <f>RESUMEN!$B$3</f>
        <v>44201</v>
      </c>
      <c r="P225" s="11">
        <v>2021</v>
      </c>
    </row>
    <row r="226" spans="1:16">
      <c r="A226" s="11" t="s">
        <v>155</v>
      </c>
      <c r="B226" s="11" t="s">
        <v>254</v>
      </c>
      <c r="C226" s="11" t="s">
        <v>251</v>
      </c>
      <c r="D226" s="11" t="s">
        <v>246</v>
      </c>
      <c r="E226" s="11" t="str">
        <f>'Sardina comun'!D72</f>
        <v>Sindicato de Trabajadores Independientes Pescadores Artesanales de Caleta Tumbes - Talcahuano, Registro Sindical Único 08.05.0057</v>
      </c>
      <c r="F226" s="11" t="s">
        <v>233</v>
      </c>
      <c r="G226" s="11" t="s">
        <v>234</v>
      </c>
      <c r="H226" s="11">
        <f>'Sardina comun'!F72</f>
        <v>6484.0649999999996</v>
      </c>
      <c r="I226" s="11">
        <f>'Sardina comun'!G72</f>
        <v>-216</v>
      </c>
      <c r="J226" s="11">
        <f>'Sardina comun'!H72</f>
        <v>6268.0649999999996</v>
      </c>
      <c r="K226" s="11">
        <f>'Sardina comun'!I72</f>
        <v>4118.6180000000004</v>
      </c>
      <c r="L226" s="11">
        <f>'Sardina comun'!K72</f>
        <v>2149.4469999999992</v>
      </c>
      <c r="M226" s="49">
        <f>'Sardina comun'!L72</f>
        <v>0.65707965695952431</v>
      </c>
      <c r="N226" s="55" t="str">
        <f>'IC Anch y SardC VIII'!O55</f>
        <v>-</v>
      </c>
      <c r="O226" s="34">
        <f>RESUMEN!$B$3</f>
        <v>44201</v>
      </c>
      <c r="P226" s="11">
        <v>2021</v>
      </c>
    </row>
    <row r="227" spans="1:16">
      <c r="A227" s="11" t="s">
        <v>155</v>
      </c>
      <c r="B227" s="11" t="s">
        <v>254</v>
      </c>
      <c r="C227" s="11" t="s">
        <v>251</v>
      </c>
      <c r="D227" s="11" t="s">
        <v>246</v>
      </c>
      <c r="E227" s="11" t="str">
        <f>'Sardina comun'!D73</f>
        <v>Sindicato de Trabajadores Independientes Pescadores Artesanales Históricos de Talcahuano, "SPARHITAL". Registro Sindical Único 08.05.0382</v>
      </c>
      <c r="F227" s="11" t="s">
        <v>233</v>
      </c>
      <c r="G227" s="11" t="s">
        <v>234</v>
      </c>
      <c r="H227" s="11">
        <f>'Sardina comun'!F73</f>
        <v>1968.5530000000001</v>
      </c>
      <c r="I227" s="11">
        <f>'Sardina comun'!G73</f>
        <v>-689</v>
      </c>
      <c r="J227" s="11">
        <f>'Sardina comun'!H73</f>
        <v>1279.5530000000001</v>
      </c>
      <c r="K227" s="11">
        <f>'Sardina comun'!I73</f>
        <v>710.428</v>
      </c>
      <c r="L227" s="11">
        <f>'Sardina comun'!K73</f>
        <v>569.12500000000011</v>
      </c>
      <c r="M227" s="49">
        <f>'Sardina comun'!L73</f>
        <v>0.55521576675604678</v>
      </c>
      <c r="N227" s="55" t="str">
        <f>'IC Anch y SardC VIII'!O56</f>
        <v>-</v>
      </c>
      <c r="O227" s="34">
        <f>RESUMEN!$B$3</f>
        <v>44201</v>
      </c>
      <c r="P227" s="11">
        <v>2021</v>
      </c>
    </row>
    <row r="228" spans="1:16">
      <c r="A228" s="11" t="s">
        <v>155</v>
      </c>
      <c r="B228" s="11" t="s">
        <v>254</v>
      </c>
      <c r="C228" s="11" t="s">
        <v>251</v>
      </c>
      <c r="D228" s="11" t="s">
        <v>246</v>
      </c>
      <c r="E228" s="11" t="str">
        <f>'Sardina comun'!D74</f>
        <v>Sindicato de Trabajadores Independientes Pescadores Artesanales Península de Tumbes, Registro Sindical Único 08.05.0391</v>
      </c>
      <c r="F228" s="11" t="s">
        <v>233</v>
      </c>
      <c r="G228" s="11" t="s">
        <v>234</v>
      </c>
      <c r="H228" s="11">
        <f>'Sardina comun'!F74</f>
        <v>3249.3449999999998</v>
      </c>
      <c r="I228" s="11">
        <f>'Sardina comun'!G74</f>
        <v>-401</v>
      </c>
      <c r="J228" s="11">
        <f>'Sardina comun'!H74</f>
        <v>2848.3449999999998</v>
      </c>
      <c r="K228" s="11">
        <f>'Sardina comun'!I74</f>
        <v>1605.271</v>
      </c>
      <c r="L228" s="11">
        <f>'Sardina comun'!K74</f>
        <v>1243.0739999999998</v>
      </c>
      <c r="M228" s="49">
        <f>'Sardina comun'!L74</f>
        <v>0.563580254498665</v>
      </c>
      <c r="N228" s="55" t="str">
        <f>'IC Anch y SardC VIII'!O57</f>
        <v>-</v>
      </c>
      <c r="O228" s="34">
        <f>RESUMEN!$B$3</f>
        <v>44201</v>
      </c>
      <c r="P228" s="11">
        <v>2021</v>
      </c>
    </row>
    <row r="229" spans="1:16">
      <c r="A229" s="11" t="s">
        <v>155</v>
      </c>
      <c r="B229" s="11" t="s">
        <v>254</v>
      </c>
      <c r="C229" s="11" t="s">
        <v>251</v>
      </c>
      <c r="D229" s="11" t="s">
        <v>246</v>
      </c>
      <c r="E229" s="11" t="str">
        <f>'Sardina comun'!D75</f>
        <v>Sindicato de Trabajadores Independientes Pescadores Artesanales, Armadores y Actividades Conexas de la Caleta Coliumo, Registro Sindical Único 08.06.0150</v>
      </c>
      <c r="F229" s="11" t="s">
        <v>233</v>
      </c>
      <c r="G229" s="11" t="s">
        <v>234</v>
      </c>
      <c r="H229" s="11">
        <f>'Sardina comun'!F75</f>
        <v>6272.3760000000002</v>
      </c>
      <c r="I229" s="11">
        <f>'Sardina comun'!G75</f>
        <v>300</v>
      </c>
      <c r="J229" s="11">
        <f>'Sardina comun'!H75</f>
        <v>6572.3760000000002</v>
      </c>
      <c r="K229" s="11">
        <f>'Sardina comun'!I75</f>
        <v>6544.018</v>
      </c>
      <c r="L229" s="11">
        <f>'Sardina comun'!K75</f>
        <v>28.358000000000175</v>
      </c>
      <c r="M229" s="49">
        <f>'Sardina comun'!L75</f>
        <v>0.9956852742448089</v>
      </c>
      <c r="N229" s="55" t="str">
        <f>'IC Anch y SardC VIII'!O58</f>
        <v>-</v>
      </c>
      <c r="O229" s="34">
        <f>RESUMEN!$B$3</f>
        <v>44201</v>
      </c>
      <c r="P229" s="11">
        <v>2021</v>
      </c>
    </row>
    <row r="230" spans="1:16">
      <c r="A230" s="11" t="s">
        <v>155</v>
      </c>
      <c r="B230" s="11" t="s">
        <v>254</v>
      </c>
      <c r="C230" s="11" t="s">
        <v>251</v>
      </c>
      <c r="D230" s="11" t="s">
        <v>246</v>
      </c>
      <c r="E230" s="11" t="str">
        <f>'Sardina comun'!D76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30" s="11" t="s">
        <v>233</v>
      </c>
      <c r="G230" s="11" t="s">
        <v>234</v>
      </c>
      <c r="H230" s="11">
        <f>'Sardina comun'!F76</f>
        <v>472.154</v>
      </c>
      <c r="I230" s="11">
        <f>'Sardina comun'!G76</f>
        <v>-240.3</v>
      </c>
      <c r="J230" s="11">
        <f>'Sardina comun'!H76</f>
        <v>231.85399999999998</v>
      </c>
      <c r="K230" s="11">
        <f>'Sardina comun'!I76</f>
        <v>231.86</v>
      </c>
      <c r="L230" s="11">
        <f>'Sardina comun'!K76</f>
        <v>-6.0000000000286491E-3</v>
      </c>
      <c r="M230" s="49">
        <f>'Sardina comun'!L76</f>
        <v>1.0000258783544818</v>
      </c>
      <c r="N230" s="55">
        <f>'IC Anch y SardC VIII'!O59</f>
        <v>44267</v>
      </c>
      <c r="O230" s="34">
        <f>RESUMEN!$B$3</f>
        <v>44201</v>
      </c>
      <c r="P230" s="11">
        <v>2021</v>
      </c>
    </row>
    <row r="231" spans="1:16">
      <c r="A231" s="11" t="s">
        <v>155</v>
      </c>
      <c r="B231" s="11" t="s">
        <v>254</v>
      </c>
      <c r="C231" s="11" t="s">
        <v>251</v>
      </c>
      <c r="D231" s="11" t="s">
        <v>246</v>
      </c>
      <c r="E231" s="11" t="str">
        <f>'Sardina comun'!D77</f>
        <v>Sindicato de Trabajadores Independientes Pescadores Artesanales, Buzos Mariscadores, Armadores Artesanales y Actividades Conexas de Coronel y del Golfo de Arauco VIII Region "SIPARBUMAR CORONEL". Registro Sindical Único 08.07.0183</v>
      </c>
      <c r="F231" s="11" t="s">
        <v>233</v>
      </c>
      <c r="G231" s="11" t="s">
        <v>234</v>
      </c>
      <c r="H231" s="11">
        <f>'Sardina comun'!F77</f>
        <v>8218.625</v>
      </c>
      <c r="I231" s="11">
        <f>'Sardina comun'!G77</f>
        <v>2171.8009999999999</v>
      </c>
      <c r="J231" s="11">
        <f>'Sardina comun'!H77</f>
        <v>10390.425999999999</v>
      </c>
      <c r="K231" s="11">
        <f>'Sardina comun'!I77</f>
        <v>9059.1299999999992</v>
      </c>
      <c r="L231" s="11">
        <f>'Sardina comun'!K77</f>
        <v>1331.2960000000003</v>
      </c>
      <c r="M231" s="49">
        <f>'Sardina comun'!L77</f>
        <v>0.87187281830408103</v>
      </c>
      <c r="N231" s="55" t="str">
        <f>'IC Anch y SardC VIII'!O60</f>
        <v>-</v>
      </c>
      <c r="O231" s="34">
        <f>RESUMEN!$B$3</f>
        <v>44201</v>
      </c>
      <c r="P231" s="11">
        <v>2021</v>
      </c>
    </row>
    <row r="232" spans="1:16">
      <c r="A232" s="11" t="s">
        <v>155</v>
      </c>
      <c r="B232" s="11" t="s">
        <v>254</v>
      </c>
      <c r="C232" s="11" t="s">
        <v>251</v>
      </c>
      <c r="D232" s="11" t="s">
        <v>246</v>
      </c>
      <c r="E232" s="11" t="str">
        <f>'Sardina comun'!D78</f>
        <v>Sindicato de Trabajadores Independientes Pescadores Artesanales, Lancheros, Acuicultores y Actividades Conexas de Caleta Lota Bajo "SIPESCA", Registro Sindical Único 08.07.0106</v>
      </c>
      <c r="F232" s="11" t="s">
        <v>233</v>
      </c>
      <c r="G232" s="11" t="s">
        <v>234</v>
      </c>
      <c r="H232" s="11">
        <f>'Sardina comun'!F78</f>
        <v>61.194000000000003</v>
      </c>
      <c r="I232" s="11">
        <f>'Sardina comun'!G78</f>
        <v>0</v>
      </c>
      <c r="J232" s="11">
        <f>'Sardina comun'!H78</f>
        <v>61.194000000000003</v>
      </c>
      <c r="K232" s="11">
        <f>'Sardina comun'!I78</f>
        <v>72.594999999999999</v>
      </c>
      <c r="L232" s="11">
        <f>'Sardina comun'!K78</f>
        <v>-11.400999999999996</v>
      </c>
      <c r="M232" s="49">
        <f>'Sardina comun'!L78</f>
        <v>1.1863091152727392</v>
      </c>
      <c r="N232" s="55">
        <f>'IC Anch y SardC VIII'!O61</f>
        <v>44261</v>
      </c>
      <c r="O232" s="34">
        <f>RESUMEN!$B$3</f>
        <v>44201</v>
      </c>
      <c r="P232" s="11">
        <v>2021</v>
      </c>
    </row>
    <row r="233" spans="1:16">
      <c r="A233" s="11" t="s">
        <v>155</v>
      </c>
      <c r="B233" s="11" t="s">
        <v>254</v>
      </c>
      <c r="C233" s="11" t="s">
        <v>251</v>
      </c>
      <c r="D233" s="11" t="s">
        <v>246</v>
      </c>
      <c r="E233" s="11" t="str">
        <f>'Sardina comun'!D79</f>
        <v>Sindicato de Trabajadores Independientes Pescadores de la Caleta Cocholgüe, Registro Sindical Único 08.06.0023</v>
      </c>
      <c r="F233" s="11" t="s">
        <v>233</v>
      </c>
      <c r="G233" s="11" t="s">
        <v>234</v>
      </c>
      <c r="H233" s="11">
        <f>'Sardina comun'!F79</f>
        <v>2.9529999999999998</v>
      </c>
      <c r="I233" s="11">
        <f>'Sardina comun'!G79</f>
        <v>-1.6</v>
      </c>
      <c r="J233" s="11">
        <f>'Sardina comun'!H79</f>
        <v>1.3529999999999998</v>
      </c>
      <c r="K233" s="11">
        <f>'Sardina comun'!I79</f>
        <v>0</v>
      </c>
      <c r="L233" s="11">
        <f>'Sardina comun'!K79</f>
        <v>1.3529999999999998</v>
      </c>
      <c r="M233" s="49">
        <f>'Sardina comun'!L79</f>
        <v>0.54182187605824594</v>
      </c>
      <c r="N233" s="55">
        <f>'IC Anch y SardC VIII'!O62</f>
        <v>44491</v>
      </c>
      <c r="O233" s="34">
        <f>RESUMEN!$B$3</f>
        <v>44201</v>
      </c>
      <c r="P233" s="11">
        <v>2021</v>
      </c>
    </row>
    <row r="234" spans="1:16">
      <c r="A234" s="11" t="s">
        <v>155</v>
      </c>
      <c r="B234" s="11" t="s">
        <v>254</v>
      </c>
      <c r="C234" s="11" t="s">
        <v>251</v>
      </c>
      <c r="D234" s="11" t="s">
        <v>246</v>
      </c>
      <c r="E234" s="11" t="str">
        <f>'Sardina comun'!D80</f>
        <v>Sindicato de Trabajadores Independientes Pescadores de la Caleta Coliumo, Registro Sindical Único 08.06.0027</v>
      </c>
      <c r="F234" s="11" t="s">
        <v>233</v>
      </c>
      <c r="G234" s="11" t="s">
        <v>234</v>
      </c>
      <c r="H234" s="11">
        <f>'Sardina comun'!F80</f>
        <v>10244.864</v>
      </c>
      <c r="I234" s="11">
        <f>'Sardina comun'!G80</f>
        <v>0</v>
      </c>
      <c r="J234" s="11">
        <f>'Sardina comun'!H80</f>
        <v>10244.864</v>
      </c>
      <c r="K234" s="11">
        <f>'Sardina comun'!I80</f>
        <v>8103.549</v>
      </c>
      <c r="L234" s="11">
        <f>'Sardina comun'!K80</f>
        <v>2141.3149999999996</v>
      </c>
      <c r="M234" s="49">
        <f>'Sardina comun'!L80</f>
        <v>0.79098648844923669</v>
      </c>
      <c r="N234" s="55" t="str">
        <f>'IC Anch y SardC VIII'!O63</f>
        <v>-</v>
      </c>
      <c r="O234" s="34">
        <f>RESUMEN!$B$3</f>
        <v>44201</v>
      </c>
      <c r="P234" s="11">
        <v>2021</v>
      </c>
    </row>
    <row r="235" spans="1:16">
      <c r="A235" s="11" t="s">
        <v>155</v>
      </c>
      <c r="B235" s="11" t="s">
        <v>254</v>
      </c>
      <c r="C235" s="11" t="s">
        <v>251</v>
      </c>
      <c r="D235" s="11" t="s">
        <v>246</v>
      </c>
      <c r="E235" s="11" t="str">
        <f>'Sardina comun'!D81</f>
        <v>Sindicato de Trabajadores Independientes Pescadores,  Armadores y  Buzos Mariscadores  y Actividades conexas de Talcahuano "SIPARBUM". Registro Sindical Único 08.05.0424</v>
      </c>
      <c r="F235" s="11" t="s">
        <v>233</v>
      </c>
      <c r="G235" s="11" t="s">
        <v>234</v>
      </c>
      <c r="H235" s="11">
        <f>'Sardina comun'!F81</f>
        <v>839.37599999999998</v>
      </c>
      <c r="I235" s="11">
        <f>'Sardina comun'!G81</f>
        <v>98.013000000000005</v>
      </c>
      <c r="J235" s="11">
        <f>'Sardina comun'!H81</f>
        <v>937.38900000000001</v>
      </c>
      <c r="K235" s="11">
        <f>'Sardina comun'!I81</f>
        <v>849.88800000000003</v>
      </c>
      <c r="L235" s="11">
        <f>'Sardina comun'!K81</f>
        <v>87.500999999999976</v>
      </c>
      <c r="M235" s="49">
        <f>'Sardina comun'!L81</f>
        <v>0.90665454789847122</v>
      </c>
      <c r="N235" s="55" t="str">
        <f>'IC Anch y SardC VIII'!O64</f>
        <v>-</v>
      </c>
      <c r="O235" s="34">
        <f>RESUMEN!$B$3</f>
        <v>44201</v>
      </c>
      <c r="P235" s="11">
        <v>2021</v>
      </c>
    </row>
    <row r="236" spans="1:16">
      <c r="A236" s="11" t="s">
        <v>155</v>
      </c>
      <c r="B236" s="11" t="s">
        <v>254</v>
      </c>
      <c r="C236" s="11" t="s">
        <v>251</v>
      </c>
      <c r="D236" s="11" t="s">
        <v>246</v>
      </c>
      <c r="E236" s="11" t="str">
        <f>'Sardina comun'!D82</f>
        <v>Sindicato de Trabajadores Independientes Pescadores, Armadores  y ramas afines de la Pesca Artesanal "JUANOVOAARCE-LOTA" Registro Sindical Unico 08.07.0485</v>
      </c>
      <c r="F236" s="11" t="s">
        <v>233</v>
      </c>
      <c r="G236" s="11" t="s">
        <v>234</v>
      </c>
      <c r="H236" s="11">
        <f>'Sardina comun'!F82</f>
        <v>752.55700000000002</v>
      </c>
      <c r="I236" s="11">
        <f>'Sardina comun'!G82</f>
        <v>0</v>
      </c>
      <c r="J236" s="11">
        <f>'Sardina comun'!H82</f>
        <v>752.55700000000002</v>
      </c>
      <c r="K236" s="11">
        <f>'Sardina comun'!I82</f>
        <v>818.36599999999999</v>
      </c>
      <c r="L236" s="11">
        <f>'Sardina comun'!K82</f>
        <v>-65.808999999999969</v>
      </c>
      <c r="M236" s="49">
        <f>'Sardina comun'!L82</f>
        <v>1.0874471966907491</v>
      </c>
      <c r="N236" s="55" t="str">
        <f>'IC Anch y SardC VIII'!O65</f>
        <v>-</v>
      </c>
      <c r="O236" s="34">
        <f>RESUMEN!$B$3</f>
        <v>44201</v>
      </c>
      <c r="P236" s="11">
        <v>2021</v>
      </c>
    </row>
    <row r="237" spans="1:16">
      <c r="A237" s="11" t="s">
        <v>155</v>
      </c>
      <c r="B237" s="11" t="s">
        <v>254</v>
      </c>
      <c r="C237" s="11" t="s">
        <v>251</v>
      </c>
      <c r="D237" s="11" t="s">
        <v>246</v>
      </c>
      <c r="E237" s="11" t="str">
        <f>'Sardina comun'!D83</f>
        <v>Sindicato de Trabajadores Independientes Pescadores, Armadores Artesanales, Buzos, Acuicultores y Ramos Afines de la Pesca Artesanal, Comuna de Talcahuano "SIPEARTAL". Registro Sindical Único 08.05.0487.</v>
      </c>
      <c r="F237" s="11" t="s">
        <v>233</v>
      </c>
      <c r="G237" s="11" t="s">
        <v>234</v>
      </c>
      <c r="H237" s="11">
        <f>'Sardina comun'!F83</f>
        <v>3337.2240000000002</v>
      </c>
      <c r="I237" s="11">
        <f>'Sardina comun'!G83</f>
        <v>433</v>
      </c>
      <c r="J237" s="11">
        <f>'Sardina comun'!H83</f>
        <v>3770.2240000000002</v>
      </c>
      <c r="K237" s="11">
        <f>'Sardina comun'!I83</f>
        <v>3379.0189999999998</v>
      </c>
      <c r="L237" s="11">
        <f>'Sardina comun'!K83</f>
        <v>391.20500000000038</v>
      </c>
      <c r="M237" s="49">
        <f>'Sardina comun'!L83</f>
        <v>0.89623826064446033</v>
      </c>
      <c r="N237" s="55" t="str">
        <f>'IC Anch y SardC VIII'!O66</f>
        <v>-</v>
      </c>
      <c r="O237" s="34">
        <f>RESUMEN!$B$3</f>
        <v>44201</v>
      </c>
      <c r="P237" s="11">
        <v>2021</v>
      </c>
    </row>
    <row r="238" spans="1:16">
      <c r="A238" s="11" t="s">
        <v>155</v>
      </c>
      <c r="B238" s="11" t="s">
        <v>254</v>
      </c>
      <c r="C238" s="11" t="s">
        <v>251</v>
      </c>
      <c r="D238" s="11" t="s">
        <v>246</v>
      </c>
      <c r="E238" s="11" t="str">
        <f>'Sardina comun'!D84</f>
        <v>Sindicato de Trabajadores Independientes Pescadores, Armadores y Ramas Afines de la Pesca Artesanal de Coronel "SIPESMAFESA". Registro Sindical Único 08.07.0332</v>
      </c>
      <c r="F238" s="11" t="s">
        <v>233</v>
      </c>
      <c r="G238" s="11" t="s">
        <v>234</v>
      </c>
      <c r="H238" s="11">
        <f>'Sardina comun'!F84</f>
        <v>4045.8629999999998</v>
      </c>
      <c r="I238" s="11">
        <f>'Sardina comun'!G84</f>
        <v>-100</v>
      </c>
      <c r="J238" s="11">
        <f>'Sardina comun'!H84</f>
        <v>3945.8629999999998</v>
      </c>
      <c r="K238" s="11">
        <f>'Sardina comun'!I84</f>
        <v>3206.6039999999998</v>
      </c>
      <c r="L238" s="11">
        <f>'Sardina comun'!K84</f>
        <v>739.25900000000001</v>
      </c>
      <c r="M238" s="49">
        <f>'Sardina comun'!L84</f>
        <v>0.81264960288788535</v>
      </c>
      <c r="N238" s="55" t="str">
        <f>'IC Anch y SardC VIII'!O67</f>
        <v>-</v>
      </c>
      <c r="O238" s="34">
        <f>RESUMEN!$B$3</f>
        <v>44201</v>
      </c>
      <c r="P238" s="11">
        <v>2021</v>
      </c>
    </row>
    <row r="239" spans="1:16">
      <c r="A239" s="11" t="s">
        <v>155</v>
      </c>
      <c r="B239" s="11" t="s">
        <v>254</v>
      </c>
      <c r="C239" s="11" t="s">
        <v>251</v>
      </c>
      <c r="D239" s="11" t="s">
        <v>246</v>
      </c>
      <c r="E239" s="11" t="str">
        <f>'Sardina comun'!D85</f>
        <v>Sindicato de Trabajadores Independientes Pescadores, Armadores y Ramos Afines "SIPEAYRAS" de Lota. Registro Sindical Único 08.07.0296</v>
      </c>
      <c r="F239" s="11" t="s">
        <v>233</v>
      </c>
      <c r="G239" s="11" t="s">
        <v>234</v>
      </c>
      <c r="H239" s="11">
        <f>'Sardina comun'!F85</f>
        <v>1124.8489999999999</v>
      </c>
      <c r="I239" s="11">
        <f>'Sardina comun'!G85</f>
        <v>-198</v>
      </c>
      <c r="J239" s="11">
        <f>'Sardina comun'!H85</f>
        <v>926.84899999999993</v>
      </c>
      <c r="K239" s="11">
        <f>'Sardina comun'!I85</f>
        <v>796.95299999999997</v>
      </c>
      <c r="L239" s="11">
        <f>'Sardina comun'!K85</f>
        <v>129.89599999999996</v>
      </c>
      <c r="M239" s="49">
        <f>'Sardina comun'!L85</f>
        <v>0.85985203630796392</v>
      </c>
      <c r="N239" s="55" t="str">
        <f>'IC Anch y SardC VIII'!O68</f>
        <v>-</v>
      </c>
      <c r="O239" s="34">
        <f>RESUMEN!$B$3</f>
        <v>44201</v>
      </c>
      <c r="P239" s="11">
        <v>2021</v>
      </c>
    </row>
    <row r="240" spans="1:16">
      <c r="A240" s="11" t="s">
        <v>155</v>
      </c>
      <c r="B240" s="11" t="s">
        <v>254</v>
      </c>
      <c r="C240" s="11" t="s">
        <v>251</v>
      </c>
      <c r="D240" s="11" t="s">
        <v>246</v>
      </c>
      <c r="E240" s="11" t="str">
        <f>'Sardina comun'!D86</f>
        <v>Sindicato de Trabajadores Independientes Pescadores, Armadores y Ramos Afines de la Pesca Artesanal de Coronel, SIPARMAR CORONEL , Registro Sindical Único 08.07.0271</v>
      </c>
      <c r="F240" s="11" t="s">
        <v>233</v>
      </c>
      <c r="G240" s="11" t="s">
        <v>234</v>
      </c>
      <c r="H240" s="11">
        <f>'Sardina comun'!F86</f>
        <v>2263.375</v>
      </c>
      <c r="I240" s="11">
        <f>'Sardina comun'!G86</f>
        <v>-190</v>
      </c>
      <c r="J240" s="11">
        <f>'Sardina comun'!H86</f>
        <v>2073.375</v>
      </c>
      <c r="K240" s="11">
        <f>'Sardina comun'!I86</f>
        <v>2517.91</v>
      </c>
      <c r="L240" s="11">
        <f>'Sardina comun'!K86</f>
        <v>-444.53499999999985</v>
      </c>
      <c r="M240" s="49">
        <f>'Sardina comun'!L86</f>
        <v>1.2144016398384276</v>
      </c>
      <c r="N240" s="55">
        <f>'IC Anch y SardC VIII'!O69</f>
        <v>44478</v>
      </c>
      <c r="O240" s="34">
        <f>RESUMEN!$B$3</f>
        <v>44201</v>
      </c>
      <c r="P240" s="11">
        <v>2021</v>
      </c>
    </row>
    <row r="241" spans="1:16">
      <c r="A241" s="11" t="s">
        <v>155</v>
      </c>
      <c r="B241" s="11" t="s">
        <v>254</v>
      </c>
      <c r="C241" s="11" t="s">
        <v>251</v>
      </c>
      <c r="D241" s="11" t="s">
        <v>246</v>
      </c>
      <c r="E241" s="11" t="str">
        <f>'Sardina comun'!D87</f>
        <v>Sindicato de Trabajadores Independientes Pescdores y Armadores artesanales de embarcaciones menores de la Caleta de Tumbes "SIPEAREM" Comuna Talcahuano, Registro Sindical Único 08.05.0569</v>
      </c>
      <c r="F241" s="11" t="s">
        <v>233</v>
      </c>
      <c r="G241" s="11" t="s">
        <v>234</v>
      </c>
      <c r="H241" s="11">
        <f>'Sardina comun'!F87</f>
        <v>566.59900000000005</v>
      </c>
      <c r="I241" s="11">
        <f>'Sardina comun'!G87</f>
        <v>-1</v>
      </c>
      <c r="J241" s="11">
        <f>'Sardina comun'!H87</f>
        <v>565.59900000000005</v>
      </c>
      <c r="K241" s="11">
        <f>'Sardina comun'!I87</f>
        <v>648.31200000000001</v>
      </c>
      <c r="L241" s="11">
        <f>'Sardina comun'!K87</f>
        <v>-82.712999999999965</v>
      </c>
      <c r="M241" s="49">
        <f>'Sardina comun'!L87</f>
        <v>1.1462396503529886</v>
      </c>
      <c r="N241" s="55" t="str">
        <f>'IC Anch y SardC VIII'!O70</f>
        <v>-</v>
      </c>
      <c r="O241" s="34">
        <f>RESUMEN!$B$3</f>
        <v>44201</v>
      </c>
      <c r="P241" s="11">
        <v>2021</v>
      </c>
    </row>
    <row r="242" spans="1:16">
      <c r="A242" s="11" t="s">
        <v>155</v>
      </c>
      <c r="B242" s="11" t="s">
        <v>254</v>
      </c>
      <c r="C242" s="11" t="s">
        <v>251</v>
      </c>
      <c r="D242" s="11" t="s">
        <v>246</v>
      </c>
      <c r="E242" s="11" t="str">
        <f>'Sardina comun'!D88</f>
        <v>Sindicato de Trabajadores Independientes, Ayudantes de Buzos, Pescadores Artesanales y Algueras y Actividades Conexas de las Caletas Tomé y Quichiuto, Registro Sindical Único 08.06.0043</v>
      </c>
      <c r="F242" s="11" t="s">
        <v>233</v>
      </c>
      <c r="G242" s="11" t="s">
        <v>234</v>
      </c>
      <c r="H242" s="11">
        <f>'Sardina comun'!F88</f>
        <v>2099.8380000000002</v>
      </c>
      <c r="I242" s="11">
        <f>'Sardina comun'!G88</f>
        <v>0</v>
      </c>
      <c r="J242" s="11">
        <f>'Sardina comun'!H88</f>
        <v>2099.8380000000002</v>
      </c>
      <c r="K242" s="11">
        <f>'Sardina comun'!I88</f>
        <v>1986.7349999999999</v>
      </c>
      <c r="L242" s="11">
        <f>'Sardina comun'!K88</f>
        <v>113.10300000000029</v>
      </c>
      <c r="M242" s="49">
        <f>'Sardina comun'!L88</f>
        <v>0.94613727344680865</v>
      </c>
      <c r="N242" s="55" t="str">
        <f>'IC Anch y SardC VIII'!O71</f>
        <v>-</v>
      </c>
      <c r="O242" s="34">
        <f>RESUMEN!$B$3</f>
        <v>44201</v>
      </c>
      <c r="P242" s="11">
        <v>2021</v>
      </c>
    </row>
    <row r="243" spans="1:16">
      <c r="A243" s="11" t="s">
        <v>155</v>
      </c>
      <c r="B243" s="11" t="s">
        <v>254</v>
      </c>
      <c r="C243" s="11" t="s">
        <v>251</v>
      </c>
      <c r="D243" s="11" t="s">
        <v>246</v>
      </c>
      <c r="E243" s="11" t="str">
        <f>'Sardina comun'!D89</f>
        <v>Sindicato de Trabajadores Independientes, Pescadores Artesanales Pelágicos, Patrones y Tripulantes de Pesca Artesanal y Actividades Conexas de la Comuna de Talcahuano, " ASPAS". Registro Sindical Único 08.05.0474</v>
      </c>
      <c r="F243" s="11" t="s">
        <v>233</v>
      </c>
      <c r="G243" s="11" t="s">
        <v>234</v>
      </c>
      <c r="H243" s="11">
        <f>'Sardina comun'!F89</f>
        <v>3403.0279999999998</v>
      </c>
      <c r="I243" s="11">
        <f>'Sardina comun'!G89</f>
        <v>-634</v>
      </c>
      <c r="J243" s="11">
        <f>'Sardina comun'!H89</f>
        <v>2769.0279999999998</v>
      </c>
      <c r="K243" s="11">
        <f>'Sardina comun'!I89</f>
        <v>2264.3980000000001</v>
      </c>
      <c r="L243" s="11">
        <f>'Sardina comun'!K89</f>
        <v>504.62999999999965</v>
      </c>
      <c r="M243" s="49">
        <f>'Sardina comun'!L89</f>
        <v>0.81775915592041692</v>
      </c>
      <c r="N243" s="55" t="str">
        <f>'IC Anch y SardC VIII'!O72</f>
        <v>-</v>
      </c>
      <c r="O243" s="34">
        <f>RESUMEN!$B$3</f>
        <v>44201</v>
      </c>
      <c r="P243" s="11">
        <v>2021</v>
      </c>
    </row>
    <row r="244" spans="1:16">
      <c r="A244" s="11" t="s">
        <v>155</v>
      </c>
      <c r="B244" s="11" t="s">
        <v>254</v>
      </c>
      <c r="C244" s="11" t="s">
        <v>251</v>
      </c>
      <c r="D244" s="11" t="s">
        <v>246</v>
      </c>
      <c r="E244" s="11" t="str">
        <f>'Sardina comun'!D90</f>
        <v>Sindicato de Trabajadores Independientes, Pescadores Artesanales y Ramos Afines Sta Maria Comuna de Talcahuano, " SIPASMA". Registro Sindical Único 08.05.0602</v>
      </c>
      <c r="F244" s="11" t="s">
        <v>233</v>
      </c>
      <c r="G244" s="11" t="s">
        <v>234</v>
      </c>
      <c r="H244" s="11">
        <f>'Sardina comun'!F90</f>
        <v>3627.9949999999999</v>
      </c>
      <c r="I244" s="11">
        <f>'Sardina comun'!G90</f>
        <v>802.67899999999997</v>
      </c>
      <c r="J244" s="11">
        <f>'Sardina comun'!H90</f>
        <v>4430.674</v>
      </c>
      <c r="K244" s="11">
        <f>'Sardina comun'!I90</f>
        <v>2953.924</v>
      </c>
      <c r="L244" s="11">
        <f>'Sardina comun'!K90</f>
        <v>1476.75</v>
      </c>
      <c r="M244" s="49">
        <f>'Sardina comun'!L90</f>
        <v>0.66669856550041817</v>
      </c>
      <c r="N244" s="55" t="str">
        <f>'IC Anch y SardC VIII'!O73</f>
        <v>-</v>
      </c>
      <c r="O244" s="34">
        <f>RESUMEN!$B$3</f>
        <v>44201</v>
      </c>
      <c r="P244" s="11">
        <v>2021</v>
      </c>
    </row>
    <row r="245" spans="1:16">
      <c r="A245" s="11" t="s">
        <v>155</v>
      </c>
      <c r="B245" s="11" t="s">
        <v>254</v>
      </c>
      <c r="C245" s="11" t="s">
        <v>251</v>
      </c>
      <c r="D245" s="11" t="s">
        <v>246</v>
      </c>
      <c r="E245" s="11" t="str">
        <f>'Sardina comun'!D91</f>
        <v>Sindicato de Trabajadores Independientes, Pescadores Artesanales, Armadores Artesanales y Actividades Conexas de la Caleta de Lota VIII Región "SIPAR GENTE DE MAR". Registros Sindical Único 08.07.0326</v>
      </c>
      <c r="F245" s="11" t="s">
        <v>233</v>
      </c>
      <c r="G245" s="11" t="s">
        <v>234</v>
      </c>
      <c r="H245" s="11">
        <f>'Sardina comun'!F91</f>
        <v>4055.35</v>
      </c>
      <c r="I245" s="11">
        <f>'Sardina comun'!G91</f>
        <v>-400</v>
      </c>
      <c r="J245" s="11">
        <f>'Sardina comun'!H91</f>
        <v>3655.35</v>
      </c>
      <c r="K245" s="11">
        <f>'Sardina comun'!I91</f>
        <v>3101.4</v>
      </c>
      <c r="L245" s="11">
        <f>'Sardina comun'!K91</f>
        <v>553.94999999999982</v>
      </c>
      <c r="M245" s="49">
        <f>'Sardina comun'!L91</f>
        <v>0.84845500430875298</v>
      </c>
      <c r="N245" s="55" t="str">
        <f>'IC Anch y SardC VIII'!O74</f>
        <v>-</v>
      </c>
      <c r="O245" s="34">
        <f>RESUMEN!$B$3</f>
        <v>44201</v>
      </c>
      <c r="P245" s="11">
        <v>2021</v>
      </c>
    </row>
    <row r="246" spans="1:16">
      <c r="A246" s="11" t="s">
        <v>155</v>
      </c>
      <c r="B246" s="11" t="s">
        <v>254</v>
      </c>
      <c r="C246" s="11" t="s">
        <v>251</v>
      </c>
      <c r="D246" s="11" t="s">
        <v>246</v>
      </c>
      <c r="E246" s="11" t="str">
        <f>'Sardina comun'!D92</f>
        <v>Sindicato de Trabajadores Independientes, Pescadores Artesanales, Armadores Artesanales, "Rio Maipo" de la Caleta de San Vicente de la Comuna de Talcahuano; Registro Sindical Único 08.05.0488.</v>
      </c>
      <c r="F246" s="11" t="s">
        <v>233</v>
      </c>
      <c r="G246" s="11" t="s">
        <v>234</v>
      </c>
      <c r="H246" s="11">
        <f>'Sardina comun'!F92</f>
        <v>1224.145</v>
      </c>
      <c r="I246" s="11">
        <f>'Sardina comun'!G92</f>
        <v>0</v>
      </c>
      <c r="J246" s="11">
        <f>'Sardina comun'!H92</f>
        <v>1224.145</v>
      </c>
      <c r="K246" s="11">
        <f>'Sardina comun'!I92</f>
        <v>762.67899999999997</v>
      </c>
      <c r="L246" s="11">
        <f>'Sardina comun'!K92</f>
        <v>461.46600000000001</v>
      </c>
      <c r="M246" s="49">
        <f>'Sardina comun'!L92</f>
        <v>0.62302995151718132</v>
      </c>
      <c r="N246" s="55" t="str">
        <f>'IC Anch y SardC VIII'!O75</f>
        <v>-</v>
      </c>
      <c r="O246" s="34">
        <f>RESUMEN!$B$3</f>
        <v>44201</v>
      </c>
      <c r="P246" s="11">
        <v>2021</v>
      </c>
    </row>
    <row r="247" spans="1:16">
      <c r="A247" s="11" t="s">
        <v>155</v>
      </c>
      <c r="B247" s="11" t="s">
        <v>254</v>
      </c>
      <c r="C247" s="11" t="s">
        <v>251</v>
      </c>
      <c r="D247" s="11" t="s">
        <v>246</v>
      </c>
      <c r="E247" s="11" t="str">
        <f>'Sardina comun'!D93</f>
        <v>Sindicato de Trabajadores Independientes, Pescadores Artesanales, Armadores Artesanales, Buzos Mariscadores y Recolectores de Orilla Isla Santa Maria Puerto Sur, Registro Sindical Único 08.07.0364.</v>
      </c>
      <c r="F247" s="11" t="s">
        <v>233</v>
      </c>
      <c r="G247" s="11" t="s">
        <v>234</v>
      </c>
      <c r="H247" s="11">
        <f>'Sardina comun'!F93</f>
        <v>18.207000000000001</v>
      </c>
      <c r="I247" s="11">
        <f>'Sardina comun'!G93</f>
        <v>-10.199999999999999</v>
      </c>
      <c r="J247" s="11">
        <f>'Sardina comun'!H93</f>
        <v>8.0070000000000014</v>
      </c>
      <c r="K247" s="11">
        <f>'Sardina comun'!I93</f>
        <v>0</v>
      </c>
      <c r="L247" s="11">
        <f>'Sardina comun'!K93</f>
        <v>8.0070000000000014</v>
      </c>
      <c r="M247" s="49">
        <f>'Sardina comun'!L93</f>
        <v>0.56022408963585424</v>
      </c>
      <c r="N247" s="55">
        <f>'IC Anch y SardC VIII'!O76</f>
        <v>44491</v>
      </c>
      <c r="O247" s="34">
        <f>RESUMEN!$B$3</f>
        <v>44201</v>
      </c>
      <c r="P247" s="11">
        <v>2021</v>
      </c>
    </row>
    <row r="248" spans="1:16">
      <c r="A248" s="11" t="s">
        <v>155</v>
      </c>
      <c r="B248" s="11" t="s">
        <v>254</v>
      </c>
      <c r="C248" s="11" t="s">
        <v>251</v>
      </c>
      <c r="D248" s="11" t="s">
        <v>246</v>
      </c>
      <c r="E248" s="11" t="str">
        <f>'Sardina comun'!D94</f>
        <v>Sindicato de Trabajadores Independientes, Tripulantes y Armadores de Botes, Pescadores Artesanales, Algueros, Mariscadores y Actividades conexas de la caleta Tumbes de la comuna de Talcahuano. Registro Sindical Único 08.050.0495</v>
      </c>
      <c r="F248" s="11" t="s">
        <v>233</v>
      </c>
      <c r="G248" s="11" t="s">
        <v>234</v>
      </c>
      <c r="H248" s="11">
        <f>'Sardina comun'!F94</f>
        <v>542.13400000000001</v>
      </c>
      <c r="I248" s="11">
        <f>'Sardina comun'!G94</f>
        <v>290</v>
      </c>
      <c r="J248" s="11">
        <f>'Sardina comun'!H94</f>
        <v>832.13400000000001</v>
      </c>
      <c r="K248" s="11">
        <f>'Sardina comun'!I94</f>
        <v>984.90599999999995</v>
      </c>
      <c r="L248" s="11">
        <f>'Sardina comun'!K94</f>
        <v>-152.77199999999993</v>
      </c>
      <c r="M248" s="49">
        <f>'Sardina comun'!L94</f>
        <v>1.1835906236255218</v>
      </c>
      <c r="N248" s="55" t="str">
        <f>'IC Anch y SardC VIII'!O77</f>
        <v>-</v>
      </c>
      <c r="O248" s="34">
        <f>RESUMEN!$B$3</f>
        <v>44201</v>
      </c>
      <c r="P248" s="11">
        <v>2021</v>
      </c>
    </row>
    <row r="249" spans="1:16">
      <c r="A249" s="11" t="s">
        <v>155</v>
      </c>
      <c r="B249" s="11" t="s">
        <v>254</v>
      </c>
      <c r="C249" s="11" t="s">
        <v>251</v>
      </c>
      <c r="D249" s="11" t="s">
        <v>246</v>
      </c>
      <c r="E249" s="11" t="str">
        <f>'Sardina comun'!D95</f>
        <v>Sindicato Independiente de Armadores Pescadores Artesanales Tripulantes y Ramas Similares "Bahia Concepción", Registro Sindical Unico 08.05.0648</v>
      </c>
      <c r="F249" s="11" t="s">
        <v>233</v>
      </c>
      <c r="G249" s="11" t="s">
        <v>234</v>
      </c>
      <c r="H249" s="11">
        <f>'Sardina comun'!F95</f>
        <v>1331.8810000000001</v>
      </c>
      <c r="I249" s="11">
        <f>'Sardina comun'!G95</f>
        <v>290</v>
      </c>
      <c r="J249" s="11">
        <f>'Sardina comun'!H95</f>
        <v>1621.8810000000001</v>
      </c>
      <c r="K249" s="11">
        <f>'Sardina comun'!I95</f>
        <v>1647.88</v>
      </c>
      <c r="L249" s="11">
        <f>'Sardina comun'!K95</f>
        <v>-25.999000000000024</v>
      </c>
      <c r="M249" s="49">
        <f>'Sardina comun'!L95</f>
        <v>1.0160301526437514</v>
      </c>
      <c r="N249" s="55">
        <f>'IC Anch y SardC VIII'!O78</f>
        <v>44292</v>
      </c>
      <c r="O249" s="34">
        <f>RESUMEN!$B$3</f>
        <v>44201</v>
      </c>
      <c r="P249" s="11">
        <v>2021</v>
      </c>
    </row>
    <row r="250" spans="1:16">
      <c r="A250" s="11" t="s">
        <v>155</v>
      </c>
      <c r="B250" s="11" t="s">
        <v>254</v>
      </c>
      <c r="C250" s="11" t="s">
        <v>251</v>
      </c>
      <c r="D250" s="11" t="s">
        <v>246</v>
      </c>
      <c r="E250" s="11" t="str">
        <f>'Sardina comun'!D96</f>
        <v>Sindicato Independiente de Armadores y Pescadores Artesanales Afines "SARPE". Registro Sindical Único 08.05.0398</v>
      </c>
      <c r="F250" s="11" t="s">
        <v>233</v>
      </c>
      <c r="G250" s="11" t="s">
        <v>234</v>
      </c>
      <c r="H250" s="11">
        <f>'Sardina comun'!F96</f>
        <v>10472.476000000001</v>
      </c>
      <c r="I250" s="11">
        <f>'Sardina comun'!G96</f>
        <v>0</v>
      </c>
      <c r="J250" s="11">
        <f>'Sardina comun'!H96</f>
        <v>10472.476000000001</v>
      </c>
      <c r="K250" s="11">
        <f>'Sardina comun'!I96</f>
        <v>7693.9579999999996</v>
      </c>
      <c r="L250" s="11">
        <f>'Sardina comun'!K96</f>
        <v>2778.5180000000009</v>
      </c>
      <c r="M250" s="49">
        <f>'Sardina comun'!L96</f>
        <v>0.73468375578039036</v>
      </c>
      <c r="N250" s="55" t="str">
        <f>'IC Anch y SardC VIII'!O79</f>
        <v>-</v>
      </c>
      <c r="O250" s="34">
        <f>RESUMEN!$B$3</f>
        <v>44201</v>
      </c>
      <c r="P250" s="11">
        <v>2021</v>
      </c>
    </row>
    <row r="251" spans="1:16" s="11" customFormat="1">
      <c r="A251" s="11" t="s">
        <v>155</v>
      </c>
      <c r="B251" s="11" t="s">
        <v>254</v>
      </c>
      <c r="C251" s="11" t="s">
        <v>251</v>
      </c>
      <c r="D251" s="11" t="s">
        <v>246</v>
      </c>
      <c r="E251" s="11" t="str">
        <f>'Sardina comun'!D97</f>
        <v>Sindicato Independiente de Pescadores Artesanales, Tripulantes Artesanales de Cerco y Ramos Conexos. RSU 8070220</v>
      </c>
      <c r="F251" s="11" t="s">
        <v>233</v>
      </c>
      <c r="G251" s="11" t="s">
        <v>234</v>
      </c>
      <c r="H251" s="11">
        <f>'Sardina comun'!F97</f>
        <v>69.018000000000001</v>
      </c>
      <c r="I251" s="11">
        <f>'Sardina comun'!G97</f>
        <v>-48.5</v>
      </c>
      <c r="J251" s="11">
        <f>'Sardina comun'!H97</f>
        <v>20.518000000000001</v>
      </c>
      <c r="K251" s="11">
        <f>'Sardina comun'!I97</f>
        <v>0</v>
      </c>
      <c r="L251" s="11">
        <f>'Sardina comun'!K97</f>
        <v>20.518000000000001</v>
      </c>
      <c r="M251" s="49">
        <f>'Sardina comun'!L97</f>
        <v>0</v>
      </c>
      <c r="N251" s="55" t="str">
        <f>'IC Anch y SardC VIII'!O80</f>
        <v>-</v>
      </c>
      <c r="O251" s="34">
        <f>RESUMEN!$B$3</f>
        <v>44201</v>
      </c>
      <c r="P251" s="11">
        <v>2021</v>
      </c>
    </row>
    <row r="252" spans="1:16" s="11" customFormat="1">
      <c r="A252" s="11" t="s">
        <v>155</v>
      </c>
      <c r="B252" s="11" t="s">
        <v>254</v>
      </c>
      <c r="C252" s="11" t="s">
        <v>251</v>
      </c>
      <c r="D252" s="11" t="s">
        <v>246</v>
      </c>
      <c r="E252" s="11" t="str">
        <f>'Sardina comun'!D98</f>
        <v>Sociedad Cooperativa Benesino Limitada ROL 5871</v>
      </c>
      <c r="F252" s="11" t="s">
        <v>233</v>
      </c>
      <c r="G252" s="11" t="s">
        <v>234</v>
      </c>
      <c r="H252" s="11">
        <f>'Sardina comun'!F98</f>
        <v>238.17099999999999</v>
      </c>
      <c r="I252" s="11">
        <f>'Sardina comun'!G98</f>
        <v>50</v>
      </c>
      <c r="J252" s="11">
        <f>'Sardina comun'!H98</f>
        <v>288.17099999999999</v>
      </c>
      <c r="K252" s="11">
        <f>'Sardina comun'!I98</f>
        <v>284.59899999999999</v>
      </c>
      <c r="L252" s="11">
        <f>'Sardina comun'!K98</f>
        <v>3.5720000000000027</v>
      </c>
      <c r="M252" s="49">
        <f>'Sardina comun'!L98</f>
        <v>0.98760458200165868</v>
      </c>
      <c r="N252" s="55" t="str">
        <f>'IC Anch y SardC VIII'!O81</f>
        <v>-</v>
      </c>
      <c r="O252" s="34">
        <f>RESUMEN!$B$3</f>
        <v>44201</v>
      </c>
      <c r="P252" s="11">
        <v>2021</v>
      </c>
    </row>
    <row r="253" spans="1:16">
      <c r="A253" s="11" t="s">
        <v>155</v>
      </c>
      <c r="B253" s="11" t="s">
        <v>254</v>
      </c>
      <c r="C253" s="11" t="s">
        <v>251</v>
      </c>
      <c r="D253" s="11" t="s">
        <v>246</v>
      </c>
      <c r="E253" s="11" t="str">
        <f>'Sardina comun'!D99</f>
        <v>STI Armadores y Pescadores artesanales, Acuicultores, Algueros (as) y Ramos afines "MAFMAR", Registro Sindical Unico 08.05.0645</v>
      </c>
      <c r="F253" s="11" t="s">
        <v>233</v>
      </c>
      <c r="G253" s="11" t="s">
        <v>234</v>
      </c>
      <c r="H253" s="11">
        <f>'Sardina comun'!F99</f>
        <v>2238.0259999999998</v>
      </c>
      <c r="I253" s="11">
        <f>'Sardina comun'!G99</f>
        <v>111.64</v>
      </c>
      <c r="J253" s="11">
        <f>'Sardina comun'!H99</f>
        <v>2349.6659999999997</v>
      </c>
      <c r="K253" s="11">
        <f>'Sardina comun'!I99</f>
        <v>2058.8020000000001</v>
      </c>
      <c r="L253" s="11">
        <f>'Sardina comun'!K99</f>
        <v>290.86399999999958</v>
      </c>
      <c r="M253" s="49">
        <f>'Sardina comun'!L99</f>
        <v>0.87621049119321659</v>
      </c>
      <c r="N253" s="55" t="str">
        <f>'IC Anch y SardC VIII'!O82</f>
        <v>-</v>
      </c>
      <c r="O253" s="34">
        <f>RESUMEN!$B$3</f>
        <v>44201</v>
      </c>
      <c r="P253" s="11">
        <v>2021</v>
      </c>
    </row>
    <row r="254" spans="1:16">
      <c r="A254" s="11" t="s">
        <v>155</v>
      </c>
      <c r="B254" s="11" t="s">
        <v>254</v>
      </c>
      <c r="C254" s="11" t="s">
        <v>251</v>
      </c>
      <c r="D254" s="11" t="s">
        <v>246</v>
      </c>
      <c r="E254" s="11" t="str">
        <f>'Sardina comun'!D100</f>
        <v>CUOTA RESIDUAL VIII</v>
      </c>
      <c r="F254" s="11" t="s">
        <v>233</v>
      </c>
      <c r="G254" s="11" t="s">
        <v>234</v>
      </c>
      <c r="H254" s="11">
        <f>'Sardina comun'!F100</f>
        <v>180.26300000000001</v>
      </c>
      <c r="I254" s="11">
        <f>'Sardina comun'!G100</f>
        <v>0</v>
      </c>
      <c r="J254" s="11">
        <f>'Sardina comun'!H100</f>
        <v>180.26300000000001</v>
      </c>
      <c r="K254" s="11">
        <f>'Sardina comun'!I100</f>
        <v>373.61500000000001</v>
      </c>
      <c r="L254" s="11">
        <f>'Sardina comun'!K100</f>
        <v>-193.352</v>
      </c>
      <c r="M254" s="49">
        <f>'Sardina comun'!L100</f>
        <v>2.0726105745494086</v>
      </c>
      <c r="N254" s="55">
        <f>'IC Anch y SardC VIII'!O83</f>
        <v>44256</v>
      </c>
      <c r="O254" s="34">
        <f>RESUMEN!$B$3</f>
        <v>44201</v>
      </c>
      <c r="P254" s="11">
        <v>2021</v>
      </c>
    </row>
    <row r="255" spans="1:16">
      <c r="A255" s="43" t="s">
        <v>155</v>
      </c>
      <c r="B255" s="43" t="s">
        <v>254</v>
      </c>
      <c r="C255" s="43" t="s">
        <v>251</v>
      </c>
      <c r="D255" s="43" t="s">
        <v>46</v>
      </c>
      <c r="E255" s="43" t="str">
        <f>'Sardina comun'!D102</f>
        <v>Total Región del Biobio y Ñuble</v>
      </c>
      <c r="F255" s="43" t="s">
        <v>233</v>
      </c>
      <c r="G255" s="43" t="s">
        <v>234</v>
      </c>
      <c r="H255" s="43">
        <f>'Sardina comun'!F102</f>
        <v>217924.97499999992</v>
      </c>
      <c r="I255" s="43">
        <f>'Sardina comun'!G102</f>
        <v>77530.473999999973</v>
      </c>
      <c r="J255" s="43">
        <f>'Sardina comun'!H102</f>
        <v>295455.44899999991</v>
      </c>
      <c r="K255" s="162">
        <f>'Sardina comun'!I102</f>
        <v>229277.71499999997</v>
      </c>
      <c r="L255" s="162">
        <f>'Sardina comun'!K102</f>
        <v>66177.733999999939</v>
      </c>
      <c r="M255" s="51">
        <f>'Sardina comun'!L102</f>
        <v>0.77601450836670827</v>
      </c>
      <c r="N255" s="56" t="str">
        <f>'Sardina comun'!M102</f>
        <v>-</v>
      </c>
      <c r="O255" s="34">
        <f>RESUMEN!$B$3</f>
        <v>44201</v>
      </c>
      <c r="P255" s="11">
        <v>2021</v>
      </c>
    </row>
    <row r="256" spans="1:16">
      <c r="A256" s="11" t="s">
        <v>155</v>
      </c>
      <c r="B256" s="11" t="s">
        <v>254</v>
      </c>
      <c r="C256" t="s">
        <v>213</v>
      </c>
      <c r="D256" t="s">
        <v>46</v>
      </c>
      <c r="E256" t="str">
        <f>'Sardina comun'!D104</f>
        <v>Región de la Araucanía</v>
      </c>
      <c r="F256" s="11" t="s">
        <v>233</v>
      </c>
      <c r="G256" s="11" t="s">
        <v>234</v>
      </c>
      <c r="H256">
        <f>'Sardina comun'!F104</f>
        <v>3225</v>
      </c>
      <c r="I256" s="11">
        <f>'Sardina comun'!G104</f>
        <v>914</v>
      </c>
      <c r="J256" s="11">
        <f>'Sardina comun'!H104</f>
        <v>4139</v>
      </c>
      <c r="K256" s="11">
        <f>'Sardina comun'!I104</f>
        <v>6569.79</v>
      </c>
      <c r="L256">
        <f>'Sardina comun'!K104</f>
        <v>-2430.79</v>
      </c>
      <c r="M256" s="49">
        <f>'Sardina comun'!L104</f>
        <v>1.587289200289925</v>
      </c>
      <c r="N256" s="55">
        <f>'Sardina comun'!M104</f>
        <v>44522</v>
      </c>
      <c r="O256" s="34">
        <f>RESUMEN!$B$3</f>
        <v>44201</v>
      </c>
      <c r="P256" s="11">
        <v>2021</v>
      </c>
    </row>
    <row r="257" spans="1:16">
      <c r="A257" s="43" t="s">
        <v>155</v>
      </c>
      <c r="B257" s="43" t="s">
        <v>254</v>
      </c>
      <c r="C257" s="43" t="s">
        <v>213</v>
      </c>
      <c r="D257" s="43" t="s">
        <v>46</v>
      </c>
      <c r="E257" s="43" t="str">
        <f>'Sardina comun'!D106</f>
        <v>Total Región de La Araucanía</v>
      </c>
      <c r="F257" s="43" t="s">
        <v>233</v>
      </c>
      <c r="G257" s="43" t="s">
        <v>234</v>
      </c>
      <c r="H257" s="43">
        <f>'Sardina comun'!F106</f>
        <v>3225</v>
      </c>
      <c r="I257" s="43">
        <f>'Sardina comun'!G106</f>
        <v>4378.482</v>
      </c>
      <c r="J257" s="43">
        <f>'Sardina comun'!H106</f>
        <v>7603.482</v>
      </c>
      <c r="K257" s="43">
        <f>'Sardina comun'!I106</f>
        <v>10515.347000000002</v>
      </c>
      <c r="L257" s="43">
        <f>'Sardina comun'!K106</f>
        <v>-2911.8650000000016</v>
      </c>
      <c r="M257" s="51">
        <f>'Sardina comun'!L106</f>
        <v>1.3829646732904743</v>
      </c>
      <c r="N257" s="56" t="str">
        <f>'Sardina comun'!M106</f>
        <v>-</v>
      </c>
      <c r="O257" s="34">
        <f>RESUMEN!$B$3</f>
        <v>44201</v>
      </c>
      <c r="P257" s="11">
        <v>2021</v>
      </c>
    </row>
    <row r="258" spans="1:16">
      <c r="A258" t="s">
        <v>155</v>
      </c>
      <c r="B258" t="s">
        <v>254</v>
      </c>
      <c r="C258" t="s">
        <v>212</v>
      </c>
      <c r="D258" t="s">
        <v>246</v>
      </c>
      <c r="E258" t="str">
        <f>'Sardina comun'!D108</f>
        <v>AG APEVAL. RAG 29-14</v>
      </c>
      <c r="F258" t="s">
        <v>233</v>
      </c>
      <c r="G258" t="s">
        <v>234</v>
      </c>
      <c r="H258">
        <f>'Sardina comun'!F108</f>
        <v>2397.069</v>
      </c>
      <c r="I258" s="11">
        <f>'Sardina comun'!G108</f>
        <v>-1512</v>
      </c>
      <c r="J258" s="11">
        <f>'Sardina comun'!H108</f>
        <v>885.06899999999996</v>
      </c>
      <c r="K258" s="11">
        <f>'Sardina comun'!I108</f>
        <v>878.94500000000005</v>
      </c>
      <c r="L258">
        <f>'Sardina comun'!K108</f>
        <v>6.12399999999991</v>
      </c>
      <c r="M258" s="49">
        <f>'Sardina comun'!L108</f>
        <v>0.9930807654544449</v>
      </c>
      <c r="N258" s="55" t="str">
        <f>'Sardina comun'!M108</f>
        <v>-</v>
      </c>
      <c r="O258" s="34">
        <f>RESUMEN!$B$3</f>
        <v>44201</v>
      </c>
      <c r="P258" s="11">
        <v>2021</v>
      </c>
    </row>
    <row r="259" spans="1:16">
      <c r="A259" t="s">
        <v>155</v>
      </c>
      <c r="B259" t="s">
        <v>254</v>
      </c>
      <c r="C259" s="11" t="s">
        <v>212</v>
      </c>
      <c r="D259" s="11" t="s">
        <v>246</v>
      </c>
      <c r="E259" s="11" t="str">
        <f>'Sardina comun'!D109</f>
        <v xml:space="preserve"> AG ACERVAL. RAG 207-10</v>
      </c>
      <c r="F259" s="11" t="s">
        <v>233</v>
      </c>
      <c r="G259" s="11" t="s">
        <v>234</v>
      </c>
      <c r="H259" s="11">
        <f>'Sardina comun'!F109</f>
        <v>4273.7809999999999</v>
      </c>
      <c r="I259" s="11">
        <f>'Sardina comun'!G109</f>
        <v>-270</v>
      </c>
      <c r="J259" s="11">
        <f>'Sardina comun'!H109</f>
        <v>4003.7809999999999</v>
      </c>
      <c r="K259" s="11">
        <f>'Sardina comun'!I109</f>
        <v>5669.83</v>
      </c>
      <c r="L259" s="11">
        <f>'Sardina comun'!K109</f>
        <v>-1666.049</v>
      </c>
      <c r="M259" s="49">
        <f>'Sardina comun'!L109</f>
        <v>1.4161189135969225</v>
      </c>
      <c r="N259" s="55">
        <f>'Sardina comun'!M109</f>
        <v>44524</v>
      </c>
      <c r="O259" s="34">
        <f>RESUMEN!$B$3</f>
        <v>44201</v>
      </c>
      <c r="P259" s="11">
        <v>2021</v>
      </c>
    </row>
    <row r="260" spans="1:16">
      <c r="A260" t="s">
        <v>155</v>
      </c>
      <c r="B260" t="s">
        <v>254</v>
      </c>
      <c r="C260" s="11" t="s">
        <v>212</v>
      </c>
      <c r="D260" s="11" t="s">
        <v>246</v>
      </c>
      <c r="E260" s="11" t="str">
        <f>'Sardina comun'!D110</f>
        <v>AG ACERMAR. RAG 4205</v>
      </c>
      <c r="F260" s="11" t="s">
        <v>233</v>
      </c>
      <c r="G260" s="11" t="s">
        <v>234</v>
      </c>
      <c r="H260" s="11">
        <f>'Sardina comun'!F110</f>
        <v>3385.8620000000001</v>
      </c>
      <c r="I260" s="11">
        <f>'Sardina comun'!G110</f>
        <v>0</v>
      </c>
      <c r="J260" s="11">
        <f>'Sardina comun'!H110</f>
        <v>3385.8620000000001</v>
      </c>
      <c r="K260" s="11">
        <f>'Sardina comun'!I110</f>
        <v>4374.6610000000001</v>
      </c>
      <c r="L260" s="11">
        <f>'Sardina comun'!K110</f>
        <v>-988.79899999999998</v>
      </c>
      <c r="M260" s="49">
        <f>'Sardina comun'!L110</f>
        <v>1.2920375963344046</v>
      </c>
      <c r="N260" s="55">
        <f>'Sardina comun'!M110</f>
        <v>44524</v>
      </c>
      <c r="O260" s="34">
        <f>RESUMEN!$B$3</f>
        <v>44201</v>
      </c>
      <c r="P260" s="11">
        <v>2021</v>
      </c>
    </row>
    <row r="261" spans="1:16">
      <c r="A261" t="s">
        <v>155</v>
      </c>
      <c r="B261" t="s">
        <v>254</v>
      </c>
      <c r="C261" s="11" t="s">
        <v>212</v>
      </c>
      <c r="D261" s="11" t="s">
        <v>246</v>
      </c>
      <c r="E261" s="11" t="str">
        <f>'Sardina comun'!D111</f>
        <v xml:space="preserve"> AG ACER. RAG 3793</v>
      </c>
      <c r="F261" s="11" t="s">
        <v>233</v>
      </c>
      <c r="G261" s="11" t="s">
        <v>234</v>
      </c>
      <c r="H261" s="11">
        <f>'Sardina comun'!F111</f>
        <v>2540.1410000000001</v>
      </c>
      <c r="I261" s="11">
        <f>'Sardina comun'!G111</f>
        <v>0</v>
      </c>
      <c r="J261" s="11">
        <f>'Sardina comun'!H111</f>
        <v>2540.1410000000001</v>
      </c>
      <c r="K261" s="11">
        <f>'Sardina comun'!I111</f>
        <v>3725.826</v>
      </c>
      <c r="L261" s="11">
        <f>'Sardina comun'!K111</f>
        <v>-1185.6849999999999</v>
      </c>
      <c r="M261" s="49">
        <f>'Sardina comun'!L111</f>
        <v>1.4667792063511436</v>
      </c>
      <c r="N261" s="55">
        <f>'Sardina comun'!M111</f>
        <v>44543</v>
      </c>
      <c r="O261" s="34">
        <f>RESUMEN!$B$3</f>
        <v>44201</v>
      </c>
      <c r="P261" s="11">
        <v>2021</v>
      </c>
    </row>
    <row r="262" spans="1:16">
      <c r="A262" t="s">
        <v>155</v>
      </c>
      <c r="B262" t="s">
        <v>254</v>
      </c>
      <c r="C262" s="11" t="s">
        <v>212</v>
      </c>
      <c r="D262" s="11" t="s">
        <v>246</v>
      </c>
      <c r="E262" s="11" t="str">
        <f>'Sardina comun'!D112</f>
        <v>AG SIPACERVAL RAG 44-14</v>
      </c>
      <c r="F262" s="11" t="s">
        <v>233</v>
      </c>
      <c r="G262" s="11" t="s">
        <v>234</v>
      </c>
      <c r="H262" s="11">
        <f>'Sardina comun'!F112</f>
        <v>10611.849</v>
      </c>
      <c r="I262" s="11">
        <f>'Sardina comun'!G112</f>
        <v>0</v>
      </c>
      <c r="J262" s="11">
        <f>'Sardina comun'!H112</f>
        <v>10611.849</v>
      </c>
      <c r="K262" s="11">
        <f>'Sardina comun'!I112</f>
        <v>14349.191999999999</v>
      </c>
      <c r="L262" s="11">
        <f>'Sardina comun'!K112</f>
        <v>-3737.3429999999989</v>
      </c>
      <c r="M262" s="49">
        <f>'Sardina comun'!L112</f>
        <v>1.3521858443330657</v>
      </c>
      <c r="N262" s="55">
        <f>'Sardina comun'!M112</f>
        <v>44559</v>
      </c>
      <c r="O262" s="34">
        <f>RESUMEN!$B$3</f>
        <v>44201</v>
      </c>
      <c r="P262" s="11">
        <v>2021</v>
      </c>
    </row>
    <row r="263" spans="1:16">
      <c r="A263" s="11" t="s">
        <v>155</v>
      </c>
      <c r="B263" s="11" t="s">
        <v>254</v>
      </c>
      <c r="C263" s="11" t="s">
        <v>212</v>
      </c>
      <c r="D263" s="11" t="s">
        <v>246</v>
      </c>
      <c r="E263" s="11" t="str">
        <f>'Sardina comun'!D113</f>
        <v>AG ARMAPES. RAG 264-10</v>
      </c>
      <c r="F263" s="11" t="s">
        <v>233</v>
      </c>
      <c r="G263" s="11" t="s">
        <v>234</v>
      </c>
      <c r="H263" s="11">
        <f>'Sardina comun'!F113</f>
        <v>1856.943</v>
      </c>
      <c r="I263" s="11">
        <f>'Sardina comun'!G113</f>
        <v>0</v>
      </c>
      <c r="J263" s="11">
        <f>'Sardina comun'!H113</f>
        <v>1856.943</v>
      </c>
      <c r="K263" s="11">
        <f>'Sardina comun'!I113</f>
        <v>2531.623</v>
      </c>
      <c r="L263" s="11">
        <f>'Sardina comun'!K113</f>
        <v>-674.68000000000006</v>
      </c>
      <c r="M263" s="49">
        <f>'Sardina comun'!L113</f>
        <v>1.3633283304872579</v>
      </c>
      <c r="N263" s="55">
        <f>'Sardina comun'!M113</f>
        <v>44510</v>
      </c>
      <c r="O263" s="34">
        <f>RESUMEN!$B$3</f>
        <v>44201</v>
      </c>
      <c r="P263" s="11">
        <v>2021</v>
      </c>
    </row>
    <row r="264" spans="1:16">
      <c r="A264" s="11" t="s">
        <v>155</v>
      </c>
      <c r="B264" s="11" t="s">
        <v>254</v>
      </c>
      <c r="C264" s="11" t="s">
        <v>212</v>
      </c>
      <c r="D264" s="11" t="s">
        <v>246</v>
      </c>
      <c r="E264" s="11" t="str">
        <f>'Sardina comun'!D114</f>
        <v xml:space="preserve"> AG APACER. RAG 46-14</v>
      </c>
      <c r="F264" s="11" t="s">
        <v>233</v>
      </c>
      <c r="G264" s="11" t="s">
        <v>234</v>
      </c>
      <c r="H264" s="11">
        <f>'Sardina comun'!F114</f>
        <v>1905.617</v>
      </c>
      <c r="I264" s="11">
        <f>'Sardina comun'!G114</f>
        <v>0</v>
      </c>
      <c r="J264" s="11">
        <f>'Sardina comun'!H114</f>
        <v>1905.617</v>
      </c>
      <c r="K264" s="11">
        <f>'Sardina comun'!I114</f>
        <v>2282.614</v>
      </c>
      <c r="L264" s="11">
        <f>'Sardina comun'!K114</f>
        <v>-376.99700000000007</v>
      </c>
      <c r="M264" s="49">
        <f>'Sardina comun'!L114</f>
        <v>1.1978346120967645</v>
      </c>
      <c r="N264" s="55">
        <f>'Sardina comun'!M114</f>
        <v>44531</v>
      </c>
      <c r="O264" s="34">
        <f>RESUMEN!$B$3</f>
        <v>44201</v>
      </c>
      <c r="P264" s="11">
        <v>2021</v>
      </c>
    </row>
    <row r="265" spans="1:16">
      <c r="A265" s="11" t="s">
        <v>155</v>
      </c>
      <c r="B265" s="11" t="s">
        <v>254</v>
      </c>
      <c r="C265" s="11" t="s">
        <v>212</v>
      </c>
      <c r="D265" s="11" t="s">
        <v>246</v>
      </c>
      <c r="E265" s="11" t="str">
        <f>'Sardina comun'!D115</f>
        <v xml:space="preserve"> STI DE AMARGO. RSU 14.01.0105</v>
      </c>
      <c r="F265" s="11" t="s">
        <v>233</v>
      </c>
      <c r="G265" s="11" t="s">
        <v>234</v>
      </c>
      <c r="H265" s="11">
        <f>'Sardina comun'!F115</f>
        <v>2217.799</v>
      </c>
      <c r="I265" s="11">
        <f>'Sardina comun'!G115</f>
        <v>0</v>
      </c>
      <c r="J265" s="11">
        <f>'Sardina comun'!H115</f>
        <v>2217.799</v>
      </c>
      <c r="K265" s="11">
        <f>'Sardina comun'!I115</f>
        <v>2842.2190000000001</v>
      </c>
      <c r="L265" s="11">
        <f>'Sardina comun'!K115</f>
        <v>-624.42000000000007</v>
      </c>
      <c r="M265" s="49">
        <f>'Sardina comun'!L115</f>
        <v>1.2815494100231806</v>
      </c>
      <c r="N265" s="55">
        <f>'Sardina comun'!M115</f>
        <v>44532</v>
      </c>
      <c r="O265" s="34">
        <f>RESUMEN!$B$3</f>
        <v>44201</v>
      </c>
      <c r="P265" s="11">
        <v>2021</v>
      </c>
    </row>
    <row r="266" spans="1:16">
      <c r="A266" s="11" t="s">
        <v>155</v>
      </c>
      <c r="B266" s="11" t="s">
        <v>254</v>
      </c>
      <c r="C266" s="11" t="s">
        <v>212</v>
      </c>
      <c r="D266" s="11" t="s">
        <v>246</v>
      </c>
      <c r="E266" s="11" t="str">
        <f>'Sardina comun'!D116</f>
        <v>STI DEL BALNEARIO DE NIEBLA. RSU 14.01.0127</v>
      </c>
      <c r="F266" s="11" t="s">
        <v>233</v>
      </c>
      <c r="G266" s="11" t="s">
        <v>234</v>
      </c>
      <c r="H266" s="11">
        <f>'Sardina comun'!F116</f>
        <v>903.529</v>
      </c>
      <c r="I266" s="11">
        <f>'Sardina comun'!G116</f>
        <v>-40</v>
      </c>
      <c r="J266" s="11">
        <f>'Sardina comun'!H116</f>
        <v>863.529</v>
      </c>
      <c r="K266" s="11">
        <f>'Sardina comun'!I116</f>
        <v>894.18799999999999</v>
      </c>
      <c r="L266" s="11">
        <f>'Sardina comun'!K116</f>
        <v>-30.658999999999992</v>
      </c>
      <c r="M266" s="49">
        <f>'Sardina comun'!L116</f>
        <v>1.0355043084829809</v>
      </c>
      <c r="N266" s="55">
        <f>'Sardina comun'!M116</f>
        <v>44519</v>
      </c>
      <c r="O266" s="34">
        <f>RESUMEN!$B$3</f>
        <v>44201</v>
      </c>
      <c r="P266" s="11">
        <v>2021</v>
      </c>
    </row>
    <row r="267" spans="1:16">
      <c r="A267" s="11" t="s">
        <v>155</v>
      </c>
      <c r="B267" s="11" t="s">
        <v>254</v>
      </c>
      <c r="C267" s="11" t="s">
        <v>212</v>
      </c>
      <c r="D267" s="11" t="s">
        <v>246</v>
      </c>
      <c r="E267" s="11" t="str">
        <f>'Sardina comun'!D117</f>
        <v xml:space="preserve"> STI ARPAVAL. RSU 14.01.0514</v>
      </c>
      <c r="F267" s="11" t="s">
        <v>233</v>
      </c>
      <c r="G267" s="11" t="s">
        <v>234</v>
      </c>
      <c r="H267" s="11">
        <f>'Sardina comun'!F117</f>
        <v>806.80499999999995</v>
      </c>
      <c r="I267" s="11">
        <f>'Sardina comun'!G117</f>
        <v>-804.3</v>
      </c>
      <c r="J267" s="11">
        <f>'Sardina comun'!H117</f>
        <v>2.5049999999999955</v>
      </c>
      <c r="K267" s="11">
        <f>'Sardina comun'!I117</f>
        <v>0</v>
      </c>
      <c r="L267" s="11">
        <f>'Sardina comun'!K117</f>
        <v>2.5049999999999955</v>
      </c>
      <c r="M267" s="49">
        <f>'Sardina comun'!L117</f>
        <v>0</v>
      </c>
      <c r="N267" s="55" t="str">
        <f>'Sardina comun'!M117</f>
        <v>-</v>
      </c>
      <c r="O267" s="34">
        <f>RESUMEN!$B$3</f>
        <v>44201</v>
      </c>
      <c r="P267" s="11">
        <v>2021</v>
      </c>
    </row>
    <row r="268" spans="1:16">
      <c r="A268" s="11" t="s">
        <v>155</v>
      </c>
      <c r="B268" s="11" t="s">
        <v>254</v>
      </c>
      <c r="C268" s="11" t="s">
        <v>212</v>
      </c>
      <c r="D268" s="11" t="s">
        <v>246</v>
      </c>
      <c r="E268" s="11" t="str">
        <f>'Sardina comun'!D118</f>
        <v>CUOTA RESIDUAL XIV</v>
      </c>
      <c r="F268" s="11" t="s">
        <v>233</v>
      </c>
      <c r="G268" s="11" t="s">
        <v>234</v>
      </c>
      <c r="H268" s="11">
        <f>'Sardina comun'!F118</f>
        <v>323.60399999999998</v>
      </c>
      <c r="I268" s="11">
        <f>'Sardina comun'!G118</f>
        <v>0</v>
      </c>
      <c r="J268" s="11">
        <f>'Sardina comun'!H118</f>
        <v>323.60399999999998</v>
      </c>
      <c r="K268" s="11">
        <f>'Sardina comun'!I118</f>
        <v>412.72500000000002</v>
      </c>
      <c r="L268" s="11">
        <f>'Sardina comun'!K118</f>
        <v>-89.121000000000038</v>
      </c>
      <c r="M268" s="49">
        <f>'Sardina comun'!L118</f>
        <v>1.2754014165461491</v>
      </c>
      <c r="N268" s="55">
        <f>'Sardina comun'!M118</f>
        <v>44524</v>
      </c>
      <c r="O268" s="34">
        <f>RESUMEN!$B$3</f>
        <v>44201</v>
      </c>
      <c r="P268" s="11">
        <v>2021</v>
      </c>
    </row>
    <row r="269" spans="1:16">
      <c r="A269" s="43" t="s">
        <v>155</v>
      </c>
      <c r="B269" s="43" t="s">
        <v>254</v>
      </c>
      <c r="C269" s="43" t="s">
        <v>212</v>
      </c>
      <c r="D269" s="43" t="s">
        <v>46</v>
      </c>
      <c r="E269" s="43" t="str">
        <f>'Sardina comun'!D120</f>
        <v>Total Región de Los Ríos</v>
      </c>
      <c r="F269" s="43" t="s">
        <v>233</v>
      </c>
      <c r="G269" s="43" t="s">
        <v>234</v>
      </c>
      <c r="H269" s="43">
        <f>'Sardina comun'!F120</f>
        <v>31222.998999999993</v>
      </c>
      <c r="I269" s="43">
        <f>'Sardina comun'!G120</f>
        <v>13164.48</v>
      </c>
      <c r="J269" s="43">
        <f>'Sardina comun'!H120</f>
        <v>44387.478999999992</v>
      </c>
      <c r="K269" s="43">
        <f>'Sardina comun'!I120</f>
        <v>57954.458999999988</v>
      </c>
      <c r="L269" s="43">
        <f>'Sardina comun'!K120</f>
        <v>-13566.979999999996</v>
      </c>
      <c r="M269" s="51">
        <f>'Sardina comun'!L120</f>
        <v>1.3056488069529697</v>
      </c>
      <c r="N269" s="56" t="str">
        <f>'Sardina comun'!M120</f>
        <v>-</v>
      </c>
      <c r="O269" s="34">
        <f>RESUMEN!$B$3</f>
        <v>44201</v>
      </c>
      <c r="P269" s="11">
        <v>2021</v>
      </c>
    </row>
    <row r="270" spans="1:16">
      <c r="A270" t="s">
        <v>155</v>
      </c>
      <c r="B270" s="52" t="s">
        <v>254</v>
      </c>
      <c r="C270" t="s">
        <v>253</v>
      </c>
      <c r="D270" t="s">
        <v>246</v>
      </c>
      <c r="E270" t="str">
        <f>'Sardina comun'!D122</f>
        <v>ARMAR AG. RAG 320-10</v>
      </c>
      <c r="F270" t="s">
        <v>233</v>
      </c>
      <c r="G270" t="s">
        <v>234</v>
      </c>
      <c r="H270">
        <f>'Sardina comun'!F122</f>
        <v>844.34799999999996</v>
      </c>
      <c r="I270" s="11">
        <f>'Sardina comun'!G122</f>
        <v>-816.125</v>
      </c>
      <c r="J270" s="11">
        <f>'Sardina comun'!H122</f>
        <v>28.222999999999956</v>
      </c>
      <c r="K270" s="11">
        <f>'Sardina comun'!I122</f>
        <v>28.222999999999999</v>
      </c>
      <c r="L270">
        <f>'Sardina comun'!K122</f>
        <v>-4.2632564145606011E-14</v>
      </c>
      <c r="M270" s="49">
        <f>'Sardina comun'!L122</f>
        <v>1.0000000000000016</v>
      </c>
      <c r="N270" s="55">
        <f>'Sardina comun'!M122</f>
        <v>44560</v>
      </c>
      <c r="O270" s="34">
        <f>RESUMEN!$B$3</f>
        <v>44201</v>
      </c>
      <c r="P270" s="11">
        <v>2021</v>
      </c>
    </row>
    <row r="271" spans="1:16">
      <c r="A271" t="s">
        <v>155</v>
      </c>
      <c r="B271" s="52" t="s">
        <v>254</v>
      </c>
      <c r="C271" s="11" t="s">
        <v>253</v>
      </c>
      <c r="D271" t="s">
        <v>246</v>
      </c>
      <c r="E271" s="11" t="str">
        <f>'Sardina comun'!D123</f>
        <v>ASOGFER AG. RAG 310-10</v>
      </c>
      <c r="F271" t="s">
        <v>233</v>
      </c>
      <c r="G271" t="s">
        <v>234</v>
      </c>
      <c r="H271" s="11">
        <f>'Sardina comun'!F123</f>
        <v>3013.018</v>
      </c>
      <c r="I271" s="11">
        <f>'Sardina comun'!G123</f>
        <v>-2523.4299999999998</v>
      </c>
      <c r="J271" s="11">
        <f>'Sardina comun'!H123</f>
        <v>489.58800000000019</v>
      </c>
      <c r="K271" s="11">
        <f>'Sardina comun'!I123</f>
        <v>318.89800000000002</v>
      </c>
      <c r="L271" s="11">
        <f>'Sardina comun'!K123</f>
        <v>170.69000000000017</v>
      </c>
      <c r="M271" s="49">
        <f>'Sardina comun'!L123</f>
        <v>0.65135991895226164</v>
      </c>
      <c r="N271" s="55">
        <f>'Sardina comun'!M123</f>
        <v>44498</v>
      </c>
      <c r="O271" s="34">
        <f>RESUMEN!$B$3</f>
        <v>44201</v>
      </c>
      <c r="P271" s="11">
        <v>2021</v>
      </c>
    </row>
    <row r="272" spans="1:16">
      <c r="A272" t="s">
        <v>155</v>
      </c>
      <c r="B272" s="52" t="s">
        <v>254</v>
      </c>
      <c r="C272" s="11" t="s">
        <v>253</v>
      </c>
      <c r="D272" t="s">
        <v>246</v>
      </c>
      <c r="E272" s="11" t="str">
        <f>'Sardina comun'!D124</f>
        <v>AGARMAR.  RAG 156-10</v>
      </c>
      <c r="F272" t="s">
        <v>233</v>
      </c>
      <c r="G272" t="s">
        <v>234</v>
      </c>
      <c r="H272" s="11">
        <f>'Sardina comun'!F124</f>
        <v>3556.82</v>
      </c>
      <c r="I272" s="11">
        <f>'Sardina comun'!G124</f>
        <v>-3105</v>
      </c>
      <c r="J272" s="11">
        <f>'Sardina comun'!H124</f>
        <v>451.82000000000016</v>
      </c>
      <c r="K272" s="11">
        <f>'Sardina comun'!I124</f>
        <v>194.96600000000001</v>
      </c>
      <c r="L272" s="11">
        <f>'Sardina comun'!K124</f>
        <v>256.85400000000016</v>
      </c>
      <c r="M272" s="49">
        <f>'Sardina comun'!L124</f>
        <v>0.43151254924527455</v>
      </c>
      <c r="N272" s="55" t="str">
        <f>'Sardina comun'!M124</f>
        <v>-</v>
      </c>
      <c r="O272" s="34">
        <f>RESUMEN!$B$3</f>
        <v>44201</v>
      </c>
      <c r="P272" s="11">
        <v>2021</v>
      </c>
    </row>
    <row r="273" spans="1:16">
      <c r="A273" s="11" t="s">
        <v>155</v>
      </c>
      <c r="B273" s="52" t="s">
        <v>254</v>
      </c>
      <c r="C273" s="11" t="s">
        <v>253</v>
      </c>
      <c r="D273" t="s">
        <v>246</v>
      </c>
      <c r="E273" s="11" t="str">
        <f>'Sardina comun'!D125</f>
        <v>PESCA AUSTRAL. RAG 326-10</v>
      </c>
      <c r="F273" t="s">
        <v>233</v>
      </c>
      <c r="G273" t="s">
        <v>234</v>
      </c>
      <c r="H273" s="11">
        <f>'Sardina comun'!F125</f>
        <v>1106.307</v>
      </c>
      <c r="I273" s="11">
        <f>'Sardina comun'!G125</f>
        <v>-1060</v>
      </c>
      <c r="J273" s="11">
        <f>'Sardina comun'!H125</f>
        <v>46.307000000000016</v>
      </c>
      <c r="K273" s="11">
        <f>'Sardina comun'!I125</f>
        <v>10.29</v>
      </c>
      <c r="L273" s="11">
        <f>'Sardina comun'!K125</f>
        <v>36.017000000000017</v>
      </c>
      <c r="M273" s="49">
        <f>'Sardina comun'!L125</f>
        <v>0.22221262444122908</v>
      </c>
      <c r="N273" s="55" t="str">
        <f>'Sardina comun'!M125</f>
        <v>-</v>
      </c>
      <c r="O273" s="34">
        <f>RESUMEN!$B$3</f>
        <v>44201</v>
      </c>
      <c r="P273" s="11">
        <v>2021</v>
      </c>
    </row>
    <row r="274" spans="1:16">
      <c r="A274" s="11" t="s">
        <v>155</v>
      </c>
      <c r="B274" s="52" t="s">
        <v>254</v>
      </c>
      <c r="C274" s="11" t="s">
        <v>253</v>
      </c>
      <c r="D274" t="s">
        <v>246</v>
      </c>
      <c r="E274" s="11" t="str">
        <f>'Sardina comun'!D126</f>
        <v>ASOGPESCA ANCUD. AG 4266</v>
      </c>
      <c r="F274" t="s">
        <v>233</v>
      </c>
      <c r="G274" t="s">
        <v>234</v>
      </c>
      <c r="H274" s="11">
        <f>'Sardina comun'!F126</f>
        <v>1162.4780000000001</v>
      </c>
      <c r="I274" s="11">
        <f>'Sardina comun'!G126</f>
        <v>-900</v>
      </c>
      <c r="J274" s="11">
        <f>'Sardina comun'!H126</f>
        <v>262.47800000000007</v>
      </c>
      <c r="K274" s="11">
        <f>'Sardina comun'!I126</f>
        <v>112.53400000000001</v>
      </c>
      <c r="L274" s="11">
        <f>'Sardina comun'!K126</f>
        <v>149.94400000000007</v>
      </c>
      <c r="M274" s="49">
        <f>'Sardina comun'!L126</f>
        <v>0.42873688461509146</v>
      </c>
      <c r="N274" s="55" t="str">
        <f>'Sardina comun'!M126</f>
        <v>-</v>
      </c>
      <c r="O274" s="34">
        <f>RESUMEN!$B$3</f>
        <v>44201</v>
      </c>
      <c r="P274" s="11">
        <v>2021</v>
      </c>
    </row>
    <row r="275" spans="1:16">
      <c r="A275" s="11" t="s">
        <v>155</v>
      </c>
      <c r="B275" s="52" t="s">
        <v>254</v>
      </c>
      <c r="C275" s="11" t="s">
        <v>253</v>
      </c>
      <c r="D275" t="s">
        <v>246</v>
      </c>
      <c r="E275" s="11" t="str">
        <f>'Sardina comun'!D127</f>
        <v>AQUEPESCA. AG 270-10</v>
      </c>
      <c r="F275" t="s">
        <v>233</v>
      </c>
      <c r="G275" t="s">
        <v>234</v>
      </c>
      <c r="H275" s="11">
        <f>'Sardina comun'!F127</f>
        <v>586.36500000000001</v>
      </c>
      <c r="I275" s="11">
        <f>'Sardina comun'!G127</f>
        <v>-580</v>
      </c>
      <c r="J275" s="11">
        <f>'Sardina comun'!H127</f>
        <v>6.3650000000000091</v>
      </c>
      <c r="K275" s="11">
        <f>'Sardina comun'!I127</f>
        <v>0</v>
      </c>
      <c r="L275" s="11">
        <f>'Sardina comun'!K127</f>
        <v>6.3650000000000091</v>
      </c>
      <c r="M275" s="49">
        <f>'Sardina comun'!L127</f>
        <v>0</v>
      </c>
      <c r="N275" s="55" t="str">
        <f>'Sardina comun'!M127</f>
        <v>-</v>
      </c>
      <c r="O275" s="34">
        <f>RESUMEN!$B$3</f>
        <v>44201</v>
      </c>
      <c r="P275" s="11">
        <v>2021</v>
      </c>
    </row>
    <row r="276" spans="1:16">
      <c r="A276" s="11" t="s">
        <v>155</v>
      </c>
      <c r="B276" s="52" t="s">
        <v>254</v>
      </c>
      <c r="C276" s="11" t="s">
        <v>253</v>
      </c>
      <c r="D276" t="s">
        <v>246</v>
      </c>
      <c r="E276" s="11" t="str">
        <f>'Sardina comun'!D128</f>
        <v>STI CAMINO CHINQUIHUE. RSU 10.01.0942</v>
      </c>
      <c r="F276" t="s">
        <v>233</v>
      </c>
      <c r="G276" t="s">
        <v>234</v>
      </c>
      <c r="H276" s="11">
        <f>'Sardina comun'!F128</f>
        <v>582.65</v>
      </c>
      <c r="I276" s="11">
        <f>'Sardina comun'!G128</f>
        <v>-581</v>
      </c>
      <c r="J276" s="11">
        <f>'Sardina comun'!H128</f>
        <v>1.6499999999999773</v>
      </c>
      <c r="K276" s="11">
        <f>'Sardina comun'!I128</f>
        <v>0</v>
      </c>
      <c r="L276" s="11">
        <f>'Sardina comun'!K128</f>
        <v>1.6499999999999773</v>
      </c>
      <c r="M276" s="49">
        <f>'Sardina comun'!L128</f>
        <v>0.99716811121599591</v>
      </c>
      <c r="N276" s="55">
        <f>'Sardina comun'!M128</f>
        <v>44498</v>
      </c>
      <c r="O276" s="34">
        <f>RESUMEN!$B$3</f>
        <v>44201</v>
      </c>
      <c r="P276" s="11">
        <v>2021</v>
      </c>
    </row>
    <row r="277" spans="1:16">
      <c r="A277" s="11" t="s">
        <v>155</v>
      </c>
      <c r="B277" s="52" t="s">
        <v>254</v>
      </c>
      <c r="C277" s="11" t="s">
        <v>253</v>
      </c>
      <c r="D277" t="s">
        <v>246</v>
      </c>
      <c r="E277" s="11" t="str">
        <f>'Sardina comun'!D129</f>
        <v xml:space="preserve">STI PECERCAL RSU 10.01.0948 </v>
      </c>
      <c r="F277" t="s">
        <v>233</v>
      </c>
      <c r="G277" t="s">
        <v>234</v>
      </c>
      <c r="H277" s="11">
        <f>'Sardina comun'!F129</f>
        <v>3033.0259999999998</v>
      </c>
      <c r="I277" s="11">
        <f>'Sardina comun'!G129</f>
        <v>-2661.2830000000004</v>
      </c>
      <c r="J277" s="11">
        <f>'Sardina comun'!H129</f>
        <v>371.74299999999948</v>
      </c>
      <c r="K277" s="11">
        <f>'Sardina comun'!I129</f>
        <v>370.74</v>
      </c>
      <c r="L277" s="11">
        <f>'Sardina comun'!K129</f>
        <v>1.0029999999994743</v>
      </c>
      <c r="M277" s="49">
        <f>'Sardina comun'!L129</f>
        <v>0.99730189943052194</v>
      </c>
      <c r="N277" s="55" t="str">
        <f>'Sardina comun'!M129</f>
        <v>-</v>
      </c>
      <c r="O277" s="34">
        <f>RESUMEN!$B$3</f>
        <v>44201</v>
      </c>
      <c r="P277" s="11">
        <v>2021</v>
      </c>
    </row>
    <row r="278" spans="1:16">
      <c r="A278" s="11" t="s">
        <v>155</v>
      </c>
      <c r="B278" s="52" t="s">
        <v>254</v>
      </c>
      <c r="C278" s="11" t="s">
        <v>253</v>
      </c>
      <c r="D278" s="11" t="s">
        <v>246</v>
      </c>
      <c r="E278" s="11" t="str">
        <f>'Sardina comun'!D130</f>
        <v>STI PROVEEDORES MARITIMOS DE QUILLAIPE. RSU 10.01.0835</v>
      </c>
      <c r="F278" t="s">
        <v>233</v>
      </c>
      <c r="G278" t="s">
        <v>234</v>
      </c>
      <c r="H278" s="11">
        <f>'Sardina comun'!F130</f>
        <v>515.29499999999996</v>
      </c>
      <c r="I278" s="11">
        <f>'Sardina comun'!G130</f>
        <v>-505</v>
      </c>
      <c r="J278" s="11">
        <f>'Sardina comun'!H130</f>
        <v>10.294999999999959</v>
      </c>
      <c r="K278" s="11">
        <f>'Sardina comun'!I130</f>
        <v>1.4690000000000001</v>
      </c>
      <c r="L278" s="11">
        <f>'Sardina comun'!K130</f>
        <v>8.8259999999999597</v>
      </c>
      <c r="M278" s="49">
        <f>'Sardina comun'!L130</f>
        <v>0.14269062651772763</v>
      </c>
      <c r="N278" s="55" t="str">
        <f>'Sardina comun'!M130</f>
        <v>-</v>
      </c>
      <c r="O278" s="34">
        <f>RESUMEN!$B$3</f>
        <v>44201</v>
      </c>
      <c r="P278" s="11">
        <v>2021</v>
      </c>
    </row>
    <row r="279" spans="1:16">
      <c r="A279" s="11" t="s">
        <v>155</v>
      </c>
      <c r="B279" s="52" t="s">
        <v>254</v>
      </c>
      <c r="C279" s="11" t="s">
        <v>253</v>
      </c>
      <c r="D279" s="11" t="s">
        <v>246</v>
      </c>
      <c r="E279" s="11" t="str">
        <f>'Sardina comun'!D131</f>
        <v>CUOTA RESIDUAL X</v>
      </c>
      <c r="F279" t="s">
        <v>233</v>
      </c>
      <c r="G279" t="s">
        <v>234</v>
      </c>
      <c r="H279" s="11">
        <f>'Sardina comun'!F131</f>
        <v>375.69299999999998</v>
      </c>
      <c r="I279" s="11">
        <f>'Sardina comun'!G131</f>
        <v>0</v>
      </c>
      <c r="J279" s="11">
        <f>'Sardina comun'!H131</f>
        <v>375.69299999999998</v>
      </c>
      <c r="K279" s="11">
        <f>'Sardina comun'!I131</f>
        <v>5.99</v>
      </c>
      <c r="L279" s="11">
        <f>'Sardina comun'!K131</f>
        <v>369.70299999999997</v>
      </c>
      <c r="M279" s="49">
        <f>'Sardina comun'!L131</f>
        <v>1.5943869063304347E-2</v>
      </c>
      <c r="N279" s="55" t="str">
        <f>'Sardina comun'!M131</f>
        <v>-</v>
      </c>
      <c r="O279" s="34">
        <f>RESUMEN!$B$3</f>
        <v>44201</v>
      </c>
      <c r="P279" s="11">
        <v>2021</v>
      </c>
    </row>
    <row r="280" spans="1:16">
      <c r="A280" s="43" t="s">
        <v>155</v>
      </c>
      <c r="B280" s="43" t="s">
        <v>254</v>
      </c>
      <c r="C280" s="43" t="s">
        <v>253</v>
      </c>
      <c r="D280" s="43" t="s">
        <v>246</v>
      </c>
      <c r="E280" s="43" t="str">
        <f>'Sardina comun'!D132</f>
        <v xml:space="preserve">Total Región de Los Lagos </v>
      </c>
      <c r="F280" s="43" t="s">
        <v>233</v>
      </c>
      <c r="G280" s="43" t="s">
        <v>234</v>
      </c>
      <c r="H280" s="43">
        <f>'Sardina comun'!F132</f>
        <v>14776</v>
      </c>
      <c r="I280" s="43">
        <f>'Sardina comun'!G132</f>
        <v>-12731.838</v>
      </c>
      <c r="J280" s="43">
        <f>'Sardina comun'!H132</f>
        <v>2044.1620000000003</v>
      </c>
      <c r="K280" s="43">
        <f>'Sardina comun'!I132</f>
        <v>1043.1099999999999</v>
      </c>
      <c r="L280" s="43">
        <f>'Sardina comun'!K132</f>
        <v>1001.0520000000004</v>
      </c>
      <c r="M280" s="51">
        <f>'Sardina comun'!L132</f>
        <v>0.51028734513213714</v>
      </c>
      <c r="N280" s="56" t="str">
        <f>'Sardina comun'!M132</f>
        <v>-</v>
      </c>
      <c r="O280" s="34">
        <f>RESUMEN!$B$3</f>
        <v>44201</v>
      </c>
      <c r="P280" s="11">
        <v>2021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C2:T57"/>
  <sheetViews>
    <sheetView topLeftCell="A16" workbookViewId="0">
      <selection activeCell="H35" sqref="H35"/>
    </sheetView>
  </sheetViews>
  <sheetFormatPr baseColWidth="10" defaultRowHeight="15"/>
  <cols>
    <col min="4" max="4" width="32.7109375" customWidth="1"/>
    <col min="5" max="6" width="14.140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  <col min="15" max="15" width="22.85546875" customWidth="1"/>
    <col min="16" max="16" width="22.7109375" customWidth="1"/>
    <col min="17" max="17" width="11.5703125" bestFit="1" customWidth="1"/>
    <col min="18" max="18" width="15.42578125" style="11" customWidth="1"/>
    <col min="19" max="19" width="14.28515625" style="11" customWidth="1"/>
    <col min="20" max="20" width="15" customWidth="1"/>
  </cols>
  <sheetData>
    <row r="2" spans="3:20">
      <c r="C2" s="231" t="s">
        <v>23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3:20">
      <c r="C3" s="232">
        <f>RESUMEN!B3</f>
        <v>44201</v>
      </c>
      <c r="D3" s="233"/>
      <c r="E3" s="233"/>
      <c r="F3" s="233"/>
      <c r="G3" s="233"/>
      <c r="H3" s="233"/>
      <c r="I3" s="233"/>
      <c r="J3" s="233"/>
      <c r="K3" s="233"/>
      <c r="L3" s="233"/>
    </row>
    <row r="5" spans="3:20">
      <c r="D5" s="67" t="s">
        <v>24</v>
      </c>
      <c r="E5" s="4">
        <v>45279</v>
      </c>
      <c r="O5" s="235" t="s">
        <v>272</v>
      </c>
      <c r="P5" s="235"/>
      <c r="Q5" s="235"/>
      <c r="R5" s="235"/>
      <c r="S5" s="235"/>
      <c r="T5" s="235"/>
    </row>
    <row r="6" spans="3:20" ht="20.25" customHeight="1">
      <c r="D6" s="122" t="s">
        <v>36</v>
      </c>
      <c r="E6" s="66" t="s">
        <v>0</v>
      </c>
      <c r="F6" s="66" t="s">
        <v>20</v>
      </c>
      <c r="G6" s="66" t="s">
        <v>1</v>
      </c>
      <c r="H6" s="66" t="s">
        <v>2</v>
      </c>
      <c r="I6" s="66" t="s">
        <v>3</v>
      </c>
      <c r="J6" s="66" t="s">
        <v>4</v>
      </c>
      <c r="K6" s="66" t="s">
        <v>5</v>
      </c>
      <c r="L6" s="66" t="s">
        <v>6</v>
      </c>
      <c r="O6" s="124" t="s">
        <v>36</v>
      </c>
      <c r="P6" s="124" t="s">
        <v>273</v>
      </c>
      <c r="Q6" s="158" t="s">
        <v>682</v>
      </c>
      <c r="R6" s="124" t="s">
        <v>275</v>
      </c>
      <c r="S6" s="124" t="s">
        <v>276</v>
      </c>
      <c r="T6" s="124" t="s">
        <v>274</v>
      </c>
    </row>
    <row r="7" spans="3:20" ht="15" customHeight="1">
      <c r="C7" s="228" t="s">
        <v>21</v>
      </c>
      <c r="D7" s="1" t="s">
        <v>7</v>
      </c>
      <c r="E7" s="1" t="s">
        <v>19</v>
      </c>
      <c r="F7" s="1">
        <v>0.20004810000000001</v>
      </c>
      <c r="G7" s="2">
        <f t="shared" ref="G7:G28" si="0">$E$5*F7</f>
        <v>9057.9779199000004</v>
      </c>
      <c r="H7" s="1">
        <f>-2403-1932-940-352-837-2476-86-30</f>
        <v>-9056</v>
      </c>
      <c r="I7" s="2">
        <f>G7+H7</f>
        <v>1.9779199000004155</v>
      </c>
      <c r="J7" s="1"/>
      <c r="K7" s="2">
        <f>I7-J7</f>
        <v>1.9779199000004155</v>
      </c>
      <c r="L7" s="3">
        <f>(H7/G7)*-1</f>
        <v>0.9997816378095099</v>
      </c>
      <c r="O7" s="123"/>
      <c r="P7" s="125"/>
      <c r="Q7" s="125"/>
      <c r="R7" s="125"/>
      <c r="S7" s="125"/>
      <c r="T7" s="126"/>
    </row>
    <row r="8" spans="3:20">
      <c r="C8" s="229"/>
      <c r="D8" s="1" t="s">
        <v>8</v>
      </c>
      <c r="E8" s="1" t="s">
        <v>19</v>
      </c>
      <c r="F8" s="1">
        <v>0.2116084</v>
      </c>
      <c r="G8" s="2">
        <f t="shared" si="0"/>
        <v>9581.4167436000007</v>
      </c>
      <c r="H8" s="1">
        <f>-550-685-538-600-120-305-170-636-243-305-310-750-750-498-425-125-250-550-290-125-420-100-50-35-154-170-50-176-100</f>
        <v>-9480</v>
      </c>
      <c r="I8" s="2">
        <f t="shared" ref="I8:I23" si="1">G8+H8</f>
        <v>101.4167436000007</v>
      </c>
      <c r="J8" s="1"/>
      <c r="K8" s="2">
        <f t="shared" ref="K8:K28" si="2">I8-J8</f>
        <v>101.4167436000007</v>
      </c>
      <c r="L8" s="3">
        <f>(H8/G8)*-1</f>
        <v>0.98941526641477706</v>
      </c>
      <c r="O8" s="123"/>
      <c r="P8" s="125"/>
      <c r="Q8" s="125"/>
      <c r="R8" s="125"/>
      <c r="S8" s="125"/>
      <c r="T8" s="126"/>
    </row>
    <row r="9" spans="3:20">
      <c r="C9" s="229"/>
      <c r="D9" s="1" t="s">
        <v>9</v>
      </c>
      <c r="E9" s="1" t="s">
        <v>19</v>
      </c>
      <c r="F9" s="1">
        <f>0.1393291+0.005+0.005+0.005+0.005+0.006984</f>
        <v>0.16631310000000002</v>
      </c>
      <c r="G9" s="2">
        <f t="shared" si="0"/>
        <v>7530.4908549000011</v>
      </c>
      <c r="H9" s="1">
        <f>-6089-933-186-50-5-15-115-92</f>
        <v>-7485</v>
      </c>
      <c r="I9" s="2">
        <f t="shared" si="1"/>
        <v>45.490854900001068</v>
      </c>
      <c r="J9" s="1"/>
      <c r="K9" s="2">
        <f t="shared" si="2"/>
        <v>45.490854900001068</v>
      </c>
      <c r="L9" s="3">
        <f>(H9/G9)*-1</f>
        <v>0.99395911159358219</v>
      </c>
    </row>
    <row r="10" spans="3:20">
      <c r="C10" s="229"/>
      <c r="D10" s="1" t="s">
        <v>10</v>
      </c>
      <c r="E10" s="1" t="s">
        <v>19</v>
      </c>
      <c r="F10" s="1">
        <v>0</v>
      </c>
      <c r="G10" s="2">
        <f t="shared" si="0"/>
        <v>0</v>
      </c>
      <c r="H10" s="1"/>
      <c r="I10" s="2">
        <f t="shared" si="1"/>
        <v>0</v>
      </c>
      <c r="J10" s="1"/>
      <c r="K10" s="2">
        <f t="shared" si="2"/>
        <v>0</v>
      </c>
      <c r="L10" s="3">
        <v>0</v>
      </c>
    </row>
    <row r="11" spans="3:20" s="11" customFormat="1">
      <c r="C11" s="229"/>
      <c r="D11" s="1" t="s">
        <v>28</v>
      </c>
      <c r="E11" s="1" t="s">
        <v>19</v>
      </c>
      <c r="F11" s="1">
        <f>0.005+0.005+0.005+0.0025+0.0025+0.001+0.001+0.0025+0.005+0.005</f>
        <v>3.4499999999999996E-2</v>
      </c>
      <c r="G11" s="2">
        <f t="shared" si="0"/>
        <v>1562.1254999999999</v>
      </c>
      <c r="H11" s="1">
        <f>-1562.127</f>
        <v>-1562.127</v>
      </c>
      <c r="I11" s="2">
        <f t="shared" si="1"/>
        <v>-1.5000000000782165E-3</v>
      </c>
      <c r="J11" s="1"/>
      <c r="K11" s="2">
        <f t="shared" si="2"/>
        <v>-1.5000000000782165E-3</v>
      </c>
      <c r="L11" s="3">
        <f t="shared" ref="L11:L23" si="3">(H11/G11)*-1</f>
        <v>1.0000009602301481</v>
      </c>
    </row>
    <row r="12" spans="3:20" s="11" customFormat="1">
      <c r="C12" s="229"/>
      <c r="D12" s="1" t="s">
        <v>268</v>
      </c>
      <c r="E12" s="1" t="s">
        <v>19</v>
      </c>
      <c r="F12" s="1">
        <f>0.005+0.005+0.005+0.005</f>
        <v>0.02</v>
      </c>
      <c r="G12" s="2">
        <f t="shared" si="0"/>
        <v>905.58</v>
      </c>
      <c r="H12" s="1">
        <f>-905.58</f>
        <v>-905.58</v>
      </c>
      <c r="I12" s="2">
        <f t="shared" si="1"/>
        <v>0</v>
      </c>
      <c r="J12" s="1"/>
      <c r="K12" s="2">
        <f t="shared" si="2"/>
        <v>0</v>
      </c>
      <c r="L12" s="3">
        <f t="shared" si="3"/>
        <v>1</v>
      </c>
    </row>
    <row r="13" spans="3:20" s="11" customFormat="1">
      <c r="C13" s="229"/>
      <c r="D13" s="1" t="s">
        <v>267</v>
      </c>
      <c r="E13" s="1" t="s">
        <v>19</v>
      </c>
      <c r="F13" s="1">
        <f>0.0025+0.0025+0.0015+0.0015+0.001+0.001</f>
        <v>1.0000000000000002E-2</v>
      </c>
      <c r="G13" s="2">
        <f t="shared" si="0"/>
        <v>452.79000000000008</v>
      </c>
      <c r="H13" s="1">
        <f>-452.792</f>
        <v>-452.79199999999997</v>
      </c>
      <c r="I13" s="2">
        <f t="shared" si="1"/>
        <v>-1.9999999998958629E-3</v>
      </c>
      <c r="J13" s="1"/>
      <c r="K13" s="2">
        <f t="shared" si="2"/>
        <v>-1.9999999998958629E-3</v>
      </c>
      <c r="L13" s="3">
        <f t="shared" si="3"/>
        <v>1.0000044170586804</v>
      </c>
    </row>
    <row r="14" spans="3:20">
      <c r="C14" s="229"/>
      <c r="D14" s="1" t="s">
        <v>11</v>
      </c>
      <c r="E14" s="1" t="s">
        <v>19</v>
      </c>
      <c r="F14" s="1">
        <f>0.0095586+0.0036352</f>
        <v>1.31938E-2</v>
      </c>
      <c r="G14" s="2">
        <f t="shared" si="0"/>
        <v>597.40207020000003</v>
      </c>
      <c r="H14" s="1">
        <f>-597.402</f>
        <v>-597.40200000000004</v>
      </c>
      <c r="I14" s="2">
        <f t="shared" si="1"/>
        <v>7.0199999981923611E-5</v>
      </c>
      <c r="J14" s="1"/>
      <c r="K14" s="2">
        <f t="shared" si="2"/>
        <v>7.0199999981923611E-5</v>
      </c>
      <c r="L14" s="3">
        <f t="shared" si="3"/>
        <v>0.99999988249120064</v>
      </c>
    </row>
    <row r="15" spans="3:20">
      <c r="C15" s="229"/>
      <c r="D15" s="1" t="s">
        <v>12</v>
      </c>
      <c r="E15" s="1" t="s">
        <v>19</v>
      </c>
      <c r="F15" s="1">
        <f>0.0095495+0.0086403+0.005364</f>
        <v>2.35538E-2</v>
      </c>
      <c r="G15" s="2">
        <f t="shared" si="0"/>
        <v>1066.4925102</v>
      </c>
      <c r="H15" s="1">
        <f>-30.337-30.337-43.921-99.161-244.877-33.959-219.603-72.899-11.37-53.603-6.63-19.88-19.88-19.88-6.63-26.5-108.22</f>
        <v>-1047.6869999999999</v>
      </c>
      <c r="I15" s="2">
        <f t="shared" si="1"/>
        <v>18.805510200000072</v>
      </c>
      <c r="J15" s="1"/>
      <c r="K15" s="2">
        <f t="shared" si="2"/>
        <v>18.805510200000072</v>
      </c>
      <c r="L15" s="3">
        <f t="shared" si="3"/>
        <v>0.98236695521052142</v>
      </c>
    </row>
    <row r="16" spans="3:20">
      <c r="C16" s="229"/>
      <c r="D16" s="1" t="s">
        <v>13</v>
      </c>
      <c r="E16" s="1" t="s">
        <v>19</v>
      </c>
      <c r="F16" s="1">
        <v>2.90072E-2</v>
      </c>
      <c r="G16" s="2">
        <f t="shared" si="0"/>
        <v>1313.4170088000001</v>
      </c>
      <c r="H16" s="1">
        <f>-1201-102-4-1</f>
        <v>-1308</v>
      </c>
      <c r="I16" s="2">
        <f t="shared" si="1"/>
        <v>5.417008800000076</v>
      </c>
      <c r="J16" s="1"/>
      <c r="K16" s="2">
        <f t="shared" si="2"/>
        <v>5.417008800000076</v>
      </c>
      <c r="L16" s="3">
        <f t="shared" si="3"/>
        <v>0.99587563678275393</v>
      </c>
    </row>
    <row r="17" spans="3:19">
      <c r="C17" s="229"/>
      <c r="D17" s="1" t="s">
        <v>14</v>
      </c>
      <c r="E17" s="1" t="s">
        <v>19</v>
      </c>
      <c r="F17" s="1">
        <v>1.4399999999999999E-5</v>
      </c>
      <c r="G17" s="2">
        <f t="shared" si="0"/>
        <v>0.65201759999999997</v>
      </c>
      <c r="H17" s="1"/>
      <c r="I17" s="2">
        <f t="shared" si="1"/>
        <v>0.65201759999999997</v>
      </c>
      <c r="J17" s="1"/>
      <c r="K17" s="2">
        <f t="shared" si="2"/>
        <v>0.65201759999999997</v>
      </c>
      <c r="L17" s="3">
        <f t="shared" si="3"/>
        <v>0</v>
      </c>
    </row>
    <row r="18" spans="3:19">
      <c r="C18" s="229"/>
      <c r="D18" s="1" t="s">
        <v>15</v>
      </c>
      <c r="E18" s="1" t="s">
        <v>19</v>
      </c>
      <c r="F18" s="1">
        <v>6.30193E-2</v>
      </c>
      <c r="G18" s="2">
        <f t="shared" si="0"/>
        <v>2853.4508847000002</v>
      </c>
      <c r="H18" s="2">
        <f>-306-333-115-460-116-115-230-115-460-176-111-238-47-0.45279</f>
        <v>-2822.4527899999998</v>
      </c>
      <c r="I18" s="2">
        <f t="shared" si="1"/>
        <v>30.998094700000365</v>
      </c>
      <c r="J18" s="104"/>
      <c r="K18" s="2">
        <f t="shared" si="2"/>
        <v>30.998094700000365</v>
      </c>
      <c r="L18" s="3">
        <f t="shared" si="3"/>
        <v>0.98913662931217428</v>
      </c>
    </row>
    <row r="19" spans="3:19">
      <c r="C19" s="229"/>
      <c r="D19" s="1" t="s">
        <v>16</v>
      </c>
      <c r="E19" s="1" t="s">
        <v>19</v>
      </c>
      <c r="F19" s="1">
        <v>1.4667100000000001E-2</v>
      </c>
      <c r="G19" s="2">
        <f t="shared" si="0"/>
        <v>664.11162090000005</v>
      </c>
      <c r="H19" s="1">
        <f>-660-1-0.45279</f>
        <v>-661.45279000000005</v>
      </c>
      <c r="I19" s="2">
        <f t="shared" si="1"/>
        <v>2.6588308999999981</v>
      </c>
      <c r="J19" s="1"/>
      <c r="K19" s="2">
        <f t="shared" si="2"/>
        <v>2.6588308999999981</v>
      </c>
      <c r="L19" s="3">
        <f t="shared" si="3"/>
        <v>0.99599640961500302</v>
      </c>
    </row>
    <row r="20" spans="3:19">
      <c r="C20" s="229"/>
      <c r="D20" s="1" t="s">
        <v>17</v>
      </c>
      <c r="E20" s="1" t="s">
        <v>19</v>
      </c>
      <c r="F20" s="1">
        <v>0.19170590000000001</v>
      </c>
      <c r="G20" s="2">
        <f t="shared" si="0"/>
        <v>8680.251446100001</v>
      </c>
      <c r="H20" s="1">
        <f>-1713-5672-1054-153-81</f>
        <v>-8673</v>
      </c>
      <c r="I20" s="2">
        <f t="shared" si="1"/>
        <v>7.251446100000976</v>
      </c>
      <c r="J20" s="104"/>
      <c r="K20" s="2">
        <f t="shared" si="2"/>
        <v>7.251446100000976</v>
      </c>
      <c r="L20" s="3">
        <f t="shared" si="3"/>
        <v>0.99916460414251496</v>
      </c>
    </row>
    <row r="21" spans="3:19">
      <c r="C21" s="229"/>
      <c r="D21" s="1" t="s">
        <v>18</v>
      </c>
      <c r="E21" s="1" t="s">
        <v>19</v>
      </c>
      <c r="F21" s="1">
        <v>8.1000000000000004E-5</v>
      </c>
      <c r="G21" s="2">
        <f t="shared" si="0"/>
        <v>3.6675990000000001</v>
      </c>
      <c r="H21" s="1"/>
      <c r="I21" s="2">
        <f t="shared" si="1"/>
        <v>3.6675990000000001</v>
      </c>
      <c r="J21" s="1"/>
      <c r="K21" s="2">
        <f t="shared" si="2"/>
        <v>3.6675990000000001</v>
      </c>
      <c r="L21" s="3">
        <f t="shared" si="3"/>
        <v>0</v>
      </c>
    </row>
    <row r="22" spans="3:19">
      <c r="C22" s="229"/>
      <c r="D22" s="1" t="s">
        <v>215</v>
      </c>
      <c r="E22" s="1" t="s">
        <v>19</v>
      </c>
      <c r="F22" s="1">
        <v>6.7778999999999999E-3</v>
      </c>
      <c r="G22" s="2">
        <f t="shared" si="0"/>
        <v>306.8965341</v>
      </c>
      <c r="H22" s="1">
        <f>-306-0.89</f>
        <v>-306.89</v>
      </c>
      <c r="I22" s="2">
        <f t="shared" si="1"/>
        <v>6.5341000000103122E-3</v>
      </c>
      <c r="J22" s="1"/>
      <c r="K22" s="2">
        <f t="shared" si="2"/>
        <v>6.5341000000103122E-3</v>
      </c>
      <c r="L22" s="3">
        <f t="shared" si="3"/>
        <v>0.99997870911113684</v>
      </c>
    </row>
    <row r="23" spans="3:19" s="11" customFormat="1">
      <c r="C23" s="229"/>
      <c r="D23" s="1" t="s">
        <v>495</v>
      </c>
      <c r="E23" s="1" t="s">
        <v>19</v>
      </c>
      <c r="F23" s="1">
        <f>0.0015+0.0025</f>
        <v>4.0000000000000001E-3</v>
      </c>
      <c r="G23" s="2">
        <f t="shared" si="0"/>
        <v>181.11600000000001</v>
      </c>
      <c r="H23" s="1">
        <f>-181.117</f>
        <v>-181.11699999999999</v>
      </c>
      <c r="I23" s="2">
        <f t="shared" si="1"/>
        <v>-9.9999999997635314E-4</v>
      </c>
      <c r="J23" s="1"/>
      <c r="K23" s="2">
        <f t="shared" si="2"/>
        <v>-9.9999999997635314E-4</v>
      </c>
      <c r="L23" s="3">
        <f t="shared" si="3"/>
        <v>1.0000055213233507</v>
      </c>
    </row>
    <row r="24" spans="3:19" s="11" customFormat="1">
      <c r="C24" s="229"/>
      <c r="D24" s="1" t="s">
        <v>674</v>
      </c>
      <c r="E24" s="1" t="s">
        <v>19</v>
      </c>
      <c r="F24" s="1">
        <v>2.5000000000000001E-3</v>
      </c>
      <c r="G24" s="2">
        <f t="shared" si="0"/>
        <v>113.19750000000001</v>
      </c>
      <c r="H24" s="1">
        <f>-113.198</f>
        <v>-113.19799999999999</v>
      </c>
      <c r="I24" s="2">
        <f t="shared" ref="I24:I27" si="4">G24+H24</f>
        <v>-4.9999999998817657E-4</v>
      </c>
      <c r="J24" s="1"/>
      <c r="K24" s="2">
        <f t="shared" ref="K24" si="5">I24-J24</f>
        <v>-4.9999999998817657E-4</v>
      </c>
      <c r="L24" s="3">
        <f t="shared" ref="L24" si="6">(H24/G24)*-1</f>
        <v>1.0000044170586806</v>
      </c>
    </row>
    <row r="25" spans="3:19" s="11" customFormat="1">
      <c r="C25" s="229"/>
      <c r="D25" s="1" t="s">
        <v>676</v>
      </c>
      <c r="E25" s="1" t="s">
        <v>19</v>
      </c>
      <c r="F25" s="1">
        <f>0.0015+0.0025</f>
        <v>4.0000000000000001E-3</v>
      </c>
      <c r="G25" s="2">
        <f t="shared" si="0"/>
        <v>181.11600000000001</v>
      </c>
      <c r="H25" s="1">
        <f>-181.116</f>
        <v>-181.11600000000001</v>
      </c>
      <c r="I25" s="2">
        <f t="shared" si="4"/>
        <v>0</v>
      </c>
      <c r="J25" s="1"/>
      <c r="K25" s="2">
        <f t="shared" ref="K25:K27" si="7">I25-J25</f>
        <v>0</v>
      </c>
      <c r="L25" s="3">
        <f t="shared" ref="L25:L28" si="8">(H25/G25)*-1</f>
        <v>1</v>
      </c>
    </row>
    <row r="26" spans="3:19" s="11" customFormat="1">
      <c r="C26" s="229"/>
      <c r="D26" s="1" t="s">
        <v>720</v>
      </c>
      <c r="E26" s="1" t="s">
        <v>19</v>
      </c>
      <c r="F26" s="1">
        <v>5.0000000000000001E-3</v>
      </c>
      <c r="G26" s="2">
        <f t="shared" si="0"/>
        <v>226.39500000000001</v>
      </c>
      <c r="H26" s="1">
        <f>-226.395</f>
        <v>-226.39500000000001</v>
      </c>
      <c r="I26" s="2">
        <f t="shared" ref="I26" si="9">G26+H26</f>
        <v>0</v>
      </c>
      <c r="J26" s="1"/>
      <c r="K26" s="2">
        <f t="shared" ref="K26" si="10">I26-J26</f>
        <v>0</v>
      </c>
      <c r="L26" s="3">
        <f t="shared" ref="L26" si="11">(H26/G26)*-1</f>
        <v>1</v>
      </c>
    </row>
    <row r="27" spans="3:19" s="11" customFormat="1">
      <c r="C27" s="229"/>
      <c r="D27" s="1" t="s">
        <v>689</v>
      </c>
      <c r="E27" s="1" t="s">
        <v>19</v>
      </c>
      <c r="F27" s="1">
        <v>1.0000000000000001E-5</v>
      </c>
      <c r="G27" s="2">
        <f t="shared" si="0"/>
        <v>0.45279000000000003</v>
      </c>
      <c r="H27" s="1">
        <f>0.45279</f>
        <v>0.45279000000000003</v>
      </c>
      <c r="I27" s="2">
        <f t="shared" si="4"/>
        <v>0.90558000000000005</v>
      </c>
      <c r="J27" s="1"/>
      <c r="K27" s="2">
        <f t="shared" si="7"/>
        <v>0.90558000000000005</v>
      </c>
      <c r="L27" s="3">
        <v>0</v>
      </c>
    </row>
    <row r="28" spans="3:19">
      <c r="C28" s="230"/>
      <c r="D28" s="7" t="s">
        <v>230</v>
      </c>
      <c r="E28" s="7" t="s">
        <v>19</v>
      </c>
      <c r="F28" s="7">
        <f>SUM(F7:F27)</f>
        <v>0.99999999999999989</v>
      </c>
      <c r="G28" s="8">
        <f t="shared" si="0"/>
        <v>45278.999999999993</v>
      </c>
      <c r="H28" s="7">
        <f>SUM(H7:H27)</f>
        <v>-45059.756789999999</v>
      </c>
      <c r="I28" s="8">
        <f>G28+H28</f>
        <v>219.24320999999327</v>
      </c>
      <c r="J28" s="7">
        <f>SUM(J7:J27)</f>
        <v>0</v>
      </c>
      <c r="K28" s="8">
        <f t="shared" si="2"/>
        <v>219.24320999999327</v>
      </c>
      <c r="L28" s="9">
        <f t="shared" si="8"/>
        <v>0.99515794938050772</v>
      </c>
    </row>
    <row r="30" spans="3:19">
      <c r="Q30" s="120"/>
      <c r="R30" s="120"/>
      <c r="S30" s="120"/>
    </row>
    <row r="31" spans="3:19">
      <c r="M31" s="120"/>
    </row>
    <row r="33" spans="3:12">
      <c r="D33" s="68" t="s">
        <v>25</v>
      </c>
      <c r="E33" s="4">
        <v>76936</v>
      </c>
    </row>
    <row r="34" spans="3:12">
      <c r="D34" s="70" t="s">
        <v>36</v>
      </c>
      <c r="E34" s="69" t="s">
        <v>0</v>
      </c>
      <c r="F34" s="69" t="s">
        <v>20</v>
      </c>
      <c r="G34" s="69" t="s">
        <v>1</v>
      </c>
      <c r="H34" s="69" t="s">
        <v>2</v>
      </c>
      <c r="I34" s="69" t="s">
        <v>3</v>
      </c>
      <c r="J34" s="69" t="s">
        <v>4</v>
      </c>
      <c r="K34" s="69" t="s">
        <v>5</v>
      </c>
      <c r="L34" s="69" t="s">
        <v>6</v>
      </c>
    </row>
    <row r="35" spans="3:12" ht="15" customHeight="1">
      <c r="C35" s="234" t="s">
        <v>22</v>
      </c>
      <c r="D35" s="1" t="s">
        <v>7</v>
      </c>
      <c r="E35" s="1" t="s">
        <v>19</v>
      </c>
      <c r="F35" s="1">
        <v>8.84022E-2</v>
      </c>
      <c r="G35" s="2">
        <f>F35*$E$33</f>
        <v>6801.3116591999997</v>
      </c>
      <c r="H35" s="1">
        <f>-1027-818-399-148-343-1060-757.794-232.541-358.057-300-18-552-392.528-344.297-50</f>
        <v>-6800.2170000000006</v>
      </c>
      <c r="I35" s="2">
        <f>G35+H35</f>
        <v>1.0946591999991142</v>
      </c>
      <c r="J35" s="1"/>
      <c r="K35" s="2">
        <f>I35-J35</f>
        <v>1.0946591999991142</v>
      </c>
      <c r="L35" s="6">
        <f>(H35/G35)*-1</f>
        <v>0.99983905175136056</v>
      </c>
    </row>
    <row r="36" spans="3:12">
      <c r="C36" s="234"/>
      <c r="D36" s="1" t="s">
        <v>8</v>
      </c>
      <c r="E36" s="1" t="s">
        <v>19</v>
      </c>
      <c r="F36" s="1">
        <v>0.212974</v>
      </c>
      <c r="G36" s="2">
        <f>F36*$E$33</f>
        <v>16385.367664000001</v>
      </c>
      <c r="H36" s="1">
        <f>-550-685-538-400-180-305-170-612-243-305-320-750-750-498-425-125-250-450-200-125-320-300-600-175-2261-1100-320-2684-640</f>
        <v>-16281</v>
      </c>
      <c r="I36" s="2">
        <f t="shared" ref="I36:I57" si="12">G36+H36</f>
        <v>104.36766400000124</v>
      </c>
      <c r="J36" s="1"/>
      <c r="K36" s="2">
        <f t="shared" ref="K36:K57" si="13">I36-J36</f>
        <v>104.36766400000124</v>
      </c>
      <c r="L36" s="6">
        <f>(H36/G36)*-1</f>
        <v>0.99363043502348103</v>
      </c>
    </row>
    <row r="37" spans="3:12">
      <c r="C37" s="234"/>
      <c r="D37" s="1" t="s">
        <v>9</v>
      </c>
      <c r="E37" s="1" t="s">
        <v>19</v>
      </c>
      <c r="F37" s="1">
        <f>0.1558129+0.0045+0.006+0.006+0.006+0.006+0.003+0.003+0.003+0.003+0.003+0.003+0.003+0.003+0.003+0.00235</f>
        <v>0.21366290000000004</v>
      </c>
      <c r="G37" s="2">
        <f>F37*$E$33</f>
        <v>16438.368874400003</v>
      </c>
      <c r="H37" s="1">
        <f>-7748-1187-314-700-630-300-265-495-3435-1308</f>
        <v>-16382</v>
      </c>
      <c r="I37" s="2">
        <f t="shared" si="12"/>
        <v>56.368874400002824</v>
      </c>
      <c r="J37" s="1"/>
      <c r="K37" s="2">
        <f t="shared" si="13"/>
        <v>56.368874400002824</v>
      </c>
      <c r="L37" s="6">
        <f>(H37/G37)*-1</f>
        <v>0.99657089612535776</v>
      </c>
    </row>
    <row r="38" spans="3:12">
      <c r="C38" s="234"/>
      <c r="D38" s="1" t="s">
        <v>11</v>
      </c>
      <c r="E38" s="1" t="s">
        <v>19</v>
      </c>
      <c r="F38" s="1">
        <f>0.0083744+0.0083744+0.0083744+0.0083734+0.0083734+0.0083734+0.0083734+0.0091293</f>
        <v>6.7746100000000004E-2</v>
      </c>
      <c r="G38" s="2">
        <f t="shared" ref="G38:G56" si="14">F38*$E$33</f>
        <v>5212.1139496000005</v>
      </c>
      <c r="H38" s="1">
        <f>-1607.969-106.291-422.317-231.671-42.516-512.747-29.238-37.901-60.641-810.93-340.96-972.2</f>
        <v>-5175.3809999999994</v>
      </c>
      <c r="I38" s="2">
        <f t="shared" si="12"/>
        <v>36.73294960000112</v>
      </c>
      <c r="J38" s="1"/>
      <c r="K38" s="2">
        <f t="shared" si="13"/>
        <v>36.73294960000112</v>
      </c>
      <c r="L38" s="6">
        <f t="shared" ref="L38:L57" si="15">(H38/G38)*-1</f>
        <v>0.99295238938457586</v>
      </c>
    </row>
    <row r="39" spans="3:12">
      <c r="C39" s="234"/>
      <c r="D39" s="1" t="s">
        <v>12</v>
      </c>
      <c r="E39" s="1" t="s">
        <v>19</v>
      </c>
      <c r="F39" s="1">
        <f>0.0080429+0.0080165</f>
        <v>1.6059400000000001E-2</v>
      </c>
      <c r="G39" s="2">
        <f t="shared" si="14"/>
        <v>1235.5459984000001</v>
      </c>
      <c r="H39" s="1">
        <f>-70.282-82.43-70.282-167.896-86.089-271.77-184.33-96.78-94.43</f>
        <v>-1124.2890000000002</v>
      </c>
      <c r="I39" s="2">
        <f t="shared" si="12"/>
        <v>111.25699839999993</v>
      </c>
      <c r="J39" s="1"/>
      <c r="K39" s="2">
        <f t="shared" si="13"/>
        <v>111.25699839999993</v>
      </c>
      <c r="L39" s="6">
        <f t="shared" si="15"/>
        <v>0.90995317167950462</v>
      </c>
    </row>
    <row r="40" spans="3:12">
      <c r="C40" s="234"/>
      <c r="D40" s="1" t="s">
        <v>13</v>
      </c>
      <c r="E40" s="1" t="s">
        <v>19</v>
      </c>
      <c r="F40" s="1">
        <v>2.0339699999999999E-2</v>
      </c>
      <c r="G40" s="2">
        <f t="shared" si="14"/>
        <v>1564.8551591999999</v>
      </c>
      <c r="H40" s="1">
        <f>-805-68-218-359-99</f>
        <v>-1549</v>
      </c>
      <c r="I40" s="2">
        <f t="shared" si="12"/>
        <v>15.855159199999889</v>
      </c>
      <c r="J40" s="1"/>
      <c r="K40" s="2">
        <f t="shared" si="13"/>
        <v>15.855159199999889</v>
      </c>
      <c r="L40" s="6">
        <f t="shared" si="15"/>
        <v>0.98986797013973771</v>
      </c>
    </row>
    <row r="41" spans="3:12">
      <c r="C41" s="234"/>
      <c r="D41" s="1" t="s">
        <v>14</v>
      </c>
      <c r="E41" s="1" t="s">
        <v>19</v>
      </c>
      <c r="F41" s="1">
        <v>1.7E-5</v>
      </c>
      <c r="G41" s="2">
        <f t="shared" si="14"/>
        <v>1.307912</v>
      </c>
      <c r="H41" s="1"/>
      <c r="I41" s="2">
        <f t="shared" si="12"/>
        <v>1.307912</v>
      </c>
      <c r="J41" s="1"/>
      <c r="K41" s="2">
        <f t="shared" si="13"/>
        <v>1.307912</v>
      </c>
      <c r="L41" s="6">
        <f t="shared" si="15"/>
        <v>0</v>
      </c>
    </row>
    <row r="42" spans="3:12">
      <c r="C42" s="234"/>
      <c r="D42" s="1" t="s">
        <v>15</v>
      </c>
      <c r="E42" s="1" t="s">
        <v>19</v>
      </c>
      <c r="F42" s="1">
        <v>8.2886199999999993E-2</v>
      </c>
      <c r="G42" s="2">
        <f t="shared" si="14"/>
        <v>6376.9326831999997</v>
      </c>
      <c r="H42" s="2">
        <f>-384-417-145-580-84-145-290-145-580-224-139-480-843-0.54144-1350-520</f>
        <v>-6326.54144</v>
      </c>
      <c r="I42" s="2">
        <f t="shared" si="12"/>
        <v>50.391243199999735</v>
      </c>
      <c r="J42" s="104"/>
      <c r="K42" s="2">
        <f t="shared" si="13"/>
        <v>50.391243199999735</v>
      </c>
      <c r="L42" s="6">
        <f t="shared" si="15"/>
        <v>0.9920978869146988</v>
      </c>
    </row>
    <row r="43" spans="3:12">
      <c r="C43" s="234"/>
      <c r="D43" s="1" t="s">
        <v>16</v>
      </c>
      <c r="E43" s="1" t="s">
        <v>19</v>
      </c>
      <c r="F43" s="1">
        <f>0.0361458-0.00001</f>
        <v>3.6135799999999996E-2</v>
      </c>
      <c r="G43" s="2">
        <f t="shared" si="14"/>
        <v>2780.1439087999997</v>
      </c>
      <c r="H43" s="1">
        <f>-1950-575-250</f>
        <v>-2775</v>
      </c>
      <c r="I43" s="2">
        <f t="shared" si="12"/>
        <v>5.1439087999997355</v>
      </c>
      <c r="J43" s="1"/>
      <c r="K43" s="2">
        <f t="shared" si="13"/>
        <v>5.1439087999997355</v>
      </c>
      <c r="L43" s="6">
        <f t="shared" si="15"/>
        <v>0.99814976887213724</v>
      </c>
    </row>
    <row r="44" spans="3:12">
      <c r="C44" s="234"/>
      <c r="D44" s="1" t="s">
        <v>17</v>
      </c>
      <c r="E44" s="1" t="s">
        <v>19</v>
      </c>
      <c r="F44" s="1">
        <f>0.1653059+0.00449</f>
        <v>0.1697959</v>
      </c>
      <c r="G44" s="2">
        <f t="shared" si="14"/>
        <v>13063.4173624</v>
      </c>
      <c r="H44" s="1">
        <f>-1453-4806-2346-347-219-310-3560</f>
        <v>-13041</v>
      </c>
      <c r="I44" s="2">
        <f t="shared" si="12"/>
        <v>22.417362399999547</v>
      </c>
      <c r="J44" s="104"/>
      <c r="K44" s="2">
        <f t="shared" si="13"/>
        <v>22.417362399999547</v>
      </c>
      <c r="L44" s="6">
        <f t="shared" si="15"/>
        <v>0.99828395880051091</v>
      </c>
    </row>
    <row r="45" spans="3:12">
      <c r="C45" s="234"/>
      <c r="D45" s="1" t="s">
        <v>26</v>
      </c>
      <c r="E45" s="1" t="s">
        <v>19</v>
      </c>
      <c r="F45" s="97">
        <f>0.0015+0.00225+0.00225+0.00225</f>
        <v>8.2500000000000004E-3</v>
      </c>
      <c r="G45" s="2">
        <f t="shared" si="14"/>
        <v>634.72199999999998</v>
      </c>
      <c r="H45" s="1">
        <f>-357.918-88.77-188.03</f>
        <v>-634.71799999999996</v>
      </c>
      <c r="I45" s="2">
        <f t="shared" si="12"/>
        <v>4.0000000000190994E-3</v>
      </c>
      <c r="J45" s="1"/>
      <c r="K45" s="2">
        <f t="shared" si="13"/>
        <v>4.0000000000190994E-3</v>
      </c>
      <c r="L45" s="6">
        <f t="shared" si="15"/>
        <v>0.99999369802842819</v>
      </c>
    </row>
    <row r="46" spans="3:12">
      <c r="C46" s="234"/>
      <c r="D46" s="1" t="s">
        <v>27</v>
      </c>
      <c r="E46" s="1" t="s">
        <v>19</v>
      </c>
      <c r="F46" s="1">
        <f>0.0015+0.0015+0.0015+0.0015+0.0015+0.0015+0.0015+0.0015+0.0015</f>
        <v>1.3499999999999998E-2</v>
      </c>
      <c r="G46" s="2">
        <f t="shared" si="14"/>
        <v>1038.636</v>
      </c>
      <c r="H46" s="1">
        <f>-1038.636</f>
        <v>-1038.636</v>
      </c>
      <c r="I46" s="2">
        <f t="shared" si="12"/>
        <v>0</v>
      </c>
      <c r="J46" s="1"/>
      <c r="K46" s="2">
        <f t="shared" si="13"/>
        <v>0</v>
      </c>
      <c r="L46" s="6">
        <f t="shared" si="15"/>
        <v>1</v>
      </c>
    </row>
    <row r="47" spans="3:12">
      <c r="C47" s="234"/>
      <c r="D47" s="1" t="s">
        <v>28</v>
      </c>
      <c r="E47" s="1" t="s">
        <v>19</v>
      </c>
      <c r="F47" s="65">
        <f>0.00225+0.00225+0.00225+0.00225+0.00225+0.00225</f>
        <v>1.35E-2</v>
      </c>
      <c r="G47" s="2">
        <f t="shared" si="14"/>
        <v>1038.636</v>
      </c>
      <c r="H47" s="1">
        <f>-585.684-452.952</f>
        <v>-1038.636</v>
      </c>
      <c r="I47" s="2">
        <f t="shared" si="12"/>
        <v>0</v>
      </c>
      <c r="J47" s="1"/>
      <c r="K47" s="2">
        <f t="shared" si="13"/>
        <v>0</v>
      </c>
      <c r="L47" s="6">
        <f t="shared" si="15"/>
        <v>1</v>
      </c>
    </row>
    <row r="48" spans="3:12">
      <c r="C48" s="234"/>
      <c r="D48" s="1" t="s">
        <v>29</v>
      </c>
      <c r="E48" s="1" t="s">
        <v>19</v>
      </c>
      <c r="F48" s="1">
        <f>0.00225+0.00225</f>
        <v>4.4999999999999997E-3</v>
      </c>
      <c r="G48" s="2">
        <f t="shared" si="14"/>
        <v>346.21199999999999</v>
      </c>
      <c r="H48" s="1">
        <f>-195.228-150.984</f>
        <v>-346.21199999999999</v>
      </c>
      <c r="I48" s="2">
        <f t="shared" si="12"/>
        <v>0</v>
      </c>
      <c r="J48" s="1"/>
      <c r="K48" s="2">
        <f t="shared" si="13"/>
        <v>0</v>
      </c>
      <c r="L48" s="6">
        <f t="shared" si="15"/>
        <v>1</v>
      </c>
    </row>
    <row r="49" spans="3:12">
      <c r="C49" s="234"/>
      <c r="D49" s="1" t="s">
        <v>30</v>
      </c>
      <c r="E49" s="1" t="s">
        <v>19</v>
      </c>
      <c r="F49" s="1">
        <f>0.00225</f>
        <v>2.2499999999999998E-3</v>
      </c>
      <c r="G49" s="2">
        <f t="shared" si="14"/>
        <v>173.10599999999999</v>
      </c>
      <c r="H49" s="1">
        <f>-121.824-51.282</f>
        <v>-173.10599999999999</v>
      </c>
      <c r="I49" s="2">
        <f t="shared" si="12"/>
        <v>0</v>
      </c>
      <c r="J49" s="1"/>
      <c r="K49" s="2">
        <f t="shared" si="13"/>
        <v>0</v>
      </c>
      <c r="L49" s="6">
        <f t="shared" si="15"/>
        <v>1</v>
      </c>
    </row>
    <row r="50" spans="3:12">
      <c r="C50" s="234"/>
      <c r="D50" s="1" t="s">
        <v>269</v>
      </c>
      <c r="E50" s="1" t="s">
        <v>19</v>
      </c>
      <c r="F50" s="65">
        <f>0.00225+0.00225+0.00225+0.00225</f>
        <v>8.9999999999999993E-3</v>
      </c>
      <c r="G50" s="2">
        <f t="shared" si="14"/>
        <v>692.42399999999998</v>
      </c>
      <c r="H50" s="1">
        <f>-390.456-301.968</f>
        <v>-692.42399999999998</v>
      </c>
      <c r="I50" s="2">
        <f t="shared" si="12"/>
        <v>0</v>
      </c>
      <c r="J50" s="1"/>
      <c r="K50" s="2">
        <f t="shared" si="13"/>
        <v>0</v>
      </c>
      <c r="L50" s="6">
        <f t="shared" si="15"/>
        <v>1</v>
      </c>
    </row>
    <row r="51" spans="3:12">
      <c r="C51" s="234"/>
      <c r="D51" s="1" t="s">
        <v>31</v>
      </c>
      <c r="E51" s="1" t="s">
        <v>19</v>
      </c>
      <c r="F51" s="1">
        <f>0.00225</f>
        <v>2.2499999999999998E-3</v>
      </c>
      <c r="G51" s="5">
        <f t="shared" si="14"/>
        <v>173.10599999999999</v>
      </c>
      <c r="H51" s="1">
        <f>-97.614-24.21-51.282</f>
        <v>-173.10599999999999</v>
      </c>
      <c r="I51" s="2">
        <f t="shared" si="12"/>
        <v>0</v>
      </c>
      <c r="J51" s="1"/>
      <c r="K51" s="2">
        <f t="shared" si="13"/>
        <v>0</v>
      </c>
      <c r="L51" s="6">
        <f t="shared" si="15"/>
        <v>1</v>
      </c>
    </row>
    <row r="52" spans="3:12">
      <c r="C52" s="234"/>
      <c r="D52" s="1" t="s">
        <v>32</v>
      </c>
      <c r="E52" s="1" t="s">
        <v>19</v>
      </c>
      <c r="F52" s="1">
        <f>0.00225+0.00225+0.00225</f>
        <v>6.7499999999999991E-3</v>
      </c>
      <c r="G52" s="5">
        <f t="shared" si="14"/>
        <v>519.31799999999998</v>
      </c>
      <c r="H52" s="1">
        <f>-195.228-97.614-72.63-59.62-43.79-50.436</f>
        <v>-519.31799999999998</v>
      </c>
      <c r="I52" s="2">
        <f t="shared" si="12"/>
        <v>0</v>
      </c>
      <c r="J52" s="1"/>
      <c r="K52" s="2">
        <f t="shared" si="13"/>
        <v>0</v>
      </c>
      <c r="L52" s="6">
        <f t="shared" si="15"/>
        <v>1</v>
      </c>
    </row>
    <row r="53" spans="3:12">
      <c r="C53" s="234"/>
      <c r="D53" s="1" t="s">
        <v>33</v>
      </c>
      <c r="E53" s="1" t="s">
        <v>19</v>
      </c>
      <c r="F53" s="1">
        <f>0.003+0.00215+0.0045+0.0045+0.0045+0.0045+0.0045</f>
        <v>2.7650000000000001E-2</v>
      </c>
      <c r="G53" s="5">
        <f t="shared" si="14"/>
        <v>2127.2804000000001</v>
      </c>
      <c r="H53" s="1">
        <f>-1199.568-297.514-630.198</f>
        <v>-2127.2799999999997</v>
      </c>
      <c r="I53" s="2">
        <f t="shared" si="12"/>
        <v>4.0000000035433914E-4</v>
      </c>
      <c r="J53" s="1"/>
      <c r="K53" s="2">
        <f t="shared" si="13"/>
        <v>4.0000000035433914E-4</v>
      </c>
      <c r="L53" s="6">
        <f t="shared" si="15"/>
        <v>0.99999981196649002</v>
      </c>
    </row>
    <row r="54" spans="3:12">
      <c r="C54" s="234"/>
      <c r="D54" s="1" t="s">
        <v>34</v>
      </c>
      <c r="E54" s="1" t="s">
        <v>19</v>
      </c>
      <c r="F54" s="1">
        <f>0.00001</f>
        <v>1.0000000000000001E-5</v>
      </c>
      <c r="G54" s="5">
        <f t="shared" si="14"/>
        <v>0.76936000000000004</v>
      </c>
      <c r="H54" s="1"/>
      <c r="I54" s="2">
        <f t="shared" si="12"/>
        <v>0.76936000000000004</v>
      </c>
      <c r="J54" s="1"/>
      <c r="K54" s="2">
        <f t="shared" si="13"/>
        <v>0.76936000000000004</v>
      </c>
      <c r="L54" s="6">
        <f t="shared" si="15"/>
        <v>0</v>
      </c>
    </row>
    <row r="55" spans="3:12">
      <c r="C55" s="234"/>
      <c r="D55" s="1" t="s">
        <v>215</v>
      </c>
      <c r="E55" s="1" t="s">
        <v>19</v>
      </c>
      <c r="F55" s="1">
        <v>4.3109999999999997E-3</v>
      </c>
      <c r="G55" s="5">
        <f t="shared" si="14"/>
        <v>331.67109599999998</v>
      </c>
      <c r="H55" s="1">
        <f>-187-144.6</f>
        <v>-331.6</v>
      </c>
      <c r="I55" s="2">
        <f t="shared" si="12"/>
        <v>7.1095999999954529E-2</v>
      </c>
      <c r="J55" s="1"/>
      <c r="K55" s="2">
        <f t="shared" si="13"/>
        <v>7.1095999999954529E-2</v>
      </c>
      <c r="L55" s="6">
        <f t="shared" si="15"/>
        <v>0.99978564306369355</v>
      </c>
    </row>
    <row r="56" spans="3:12" s="11" customFormat="1">
      <c r="C56" s="234"/>
      <c r="D56" s="1" t="s">
        <v>689</v>
      </c>
      <c r="E56" s="1" t="s">
        <v>19</v>
      </c>
      <c r="F56" s="1">
        <v>1.0000000000000001E-5</v>
      </c>
      <c r="G56" s="5">
        <f t="shared" si="14"/>
        <v>0.76936000000000004</v>
      </c>
      <c r="H56" s="1">
        <f>0.54144</f>
        <v>0.54144000000000003</v>
      </c>
      <c r="I56" s="2">
        <f t="shared" si="12"/>
        <v>1.3108</v>
      </c>
      <c r="J56" s="1"/>
      <c r="K56" s="2">
        <f t="shared" si="13"/>
        <v>1.3108</v>
      </c>
      <c r="L56" s="6">
        <v>0</v>
      </c>
    </row>
    <row r="57" spans="3:12">
      <c r="C57" s="234"/>
      <c r="D57" s="7" t="s">
        <v>230</v>
      </c>
      <c r="E57" s="7" t="s">
        <v>19</v>
      </c>
      <c r="F57" s="183">
        <f>SUM(F35:F56)</f>
        <v>1.0000001999999997</v>
      </c>
      <c r="G57" s="8">
        <f>SUM(G35:G56)</f>
        <v>76936.015387200008</v>
      </c>
      <c r="H57" s="7">
        <f>SUM(H35:H56)</f>
        <v>-76528.922999999995</v>
      </c>
      <c r="I57" s="8">
        <f t="shared" si="12"/>
        <v>407.09238720001304</v>
      </c>
      <c r="J57" s="7">
        <f>SUM(J35:J56)</f>
        <v>0</v>
      </c>
      <c r="K57" s="8">
        <f t="shared" si="13"/>
        <v>407.09238720001304</v>
      </c>
      <c r="L57" s="10">
        <f t="shared" si="15"/>
        <v>0.99470868896509368</v>
      </c>
    </row>
  </sheetData>
  <mergeCells count="5">
    <mergeCell ref="C7:C28"/>
    <mergeCell ref="C2:L2"/>
    <mergeCell ref="C3:L3"/>
    <mergeCell ref="C35:C57"/>
    <mergeCell ref="O5:T5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N134"/>
  <sheetViews>
    <sheetView zoomScale="90" zoomScaleNormal="90" workbookViewId="0">
      <pane ySplit="1" topLeftCell="A2" activePane="bottomLeft" state="frozen"/>
      <selection activeCell="B1" sqref="B1"/>
      <selection pane="bottomLeft" activeCell="D29" sqref="D29"/>
    </sheetView>
  </sheetViews>
  <sheetFormatPr baseColWidth="10" defaultRowHeight="15"/>
  <cols>
    <col min="1" max="2" width="11.42578125" style="11"/>
    <col min="3" max="3" width="13.28515625" style="11" customWidth="1"/>
    <col min="4" max="4" width="82.28515625" style="11" customWidth="1"/>
    <col min="5" max="5" width="12.140625" style="11" customWidth="1"/>
    <col min="6" max="6" width="14.5703125" style="11" bestFit="1" customWidth="1"/>
    <col min="7" max="7" width="12.7109375" style="11" customWidth="1"/>
    <col min="8" max="8" width="13.7109375" style="11" bestFit="1" customWidth="1"/>
    <col min="9" max="11" width="11.42578125" style="11"/>
    <col min="12" max="12" width="13.42578125" style="11" bestFit="1" customWidth="1"/>
    <col min="13" max="13" width="11.42578125" style="11"/>
    <col min="14" max="14" width="11.42578125" style="11" customWidth="1"/>
    <col min="15" max="15" width="10.140625" style="11" customWidth="1"/>
    <col min="16" max="16384" width="11.42578125" style="11"/>
  </cols>
  <sheetData>
    <row r="2" spans="3:13" ht="18.75">
      <c r="C2" s="242" t="s">
        <v>516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3:13">
      <c r="C3" s="243">
        <f>RESUMEN!B3</f>
        <v>44201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5" spans="3:13" ht="39" customHeight="1">
      <c r="C5" s="13" t="s">
        <v>38</v>
      </c>
      <c r="D5" s="13" t="s">
        <v>35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30" t="s">
        <v>185</v>
      </c>
      <c r="K5" s="13" t="s">
        <v>5</v>
      </c>
      <c r="L5" s="13" t="s">
        <v>6</v>
      </c>
      <c r="M5" s="14" t="s">
        <v>37</v>
      </c>
    </row>
    <row r="7" spans="3:13" ht="15" customHeight="1">
      <c r="C7" s="245" t="s">
        <v>39</v>
      </c>
      <c r="D7" s="15" t="s">
        <v>130</v>
      </c>
      <c r="E7" s="1" t="s">
        <v>19</v>
      </c>
      <c r="F7" s="1">
        <v>9757.9552000000003</v>
      </c>
      <c r="G7" s="1">
        <f>-8899-852</f>
        <v>-9751</v>
      </c>
      <c r="H7" s="1">
        <f t="shared" ref="H7:H12" si="0">F7+G7</f>
        <v>6.9552000000003318</v>
      </c>
      <c r="I7" s="92">
        <v>0.33</v>
      </c>
      <c r="J7" s="1"/>
      <c r="K7" s="1">
        <f t="shared" ref="K7:K13" si="1">H7-(I7+J7)</f>
        <v>6.6252000000003317</v>
      </c>
      <c r="L7" s="3">
        <f>(G7/F7)*-1</f>
        <v>0.99928722771754475</v>
      </c>
      <c r="M7" s="131" t="s">
        <v>496</v>
      </c>
    </row>
    <row r="8" spans="3:13">
      <c r="C8" s="246"/>
      <c r="D8" s="15" t="s">
        <v>477</v>
      </c>
      <c r="E8" s="1" t="s">
        <v>19</v>
      </c>
      <c r="F8" s="1">
        <v>170.41159999999999</v>
      </c>
      <c r="G8" s="1">
        <f>-170.4116</f>
        <v>-170.41159999999999</v>
      </c>
      <c r="H8" s="1">
        <f t="shared" si="0"/>
        <v>0</v>
      </c>
      <c r="I8" s="95"/>
      <c r="J8" s="1"/>
      <c r="K8" s="1">
        <f t="shared" si="1"/>
        <v>0</v>
      </c>
      <c r="L8" s="3">
        <f>(G8/F8)*-1</f>
        <v>1</v>
      </c>
      <c r="M8" s="142">
        <v>44547</v>
      </c>
    </row>
    <row r="9" spans="3:13">
      <c r="C9" s="246"/>
      <c r="D9" s="16" t="s">
        <v>132</v>
      </c>
      <c r="E9" s="1" t="s">
        <v>19</v>
      </c>
      <c r="F9" s="1">
        <v>0.14990000000000001</v>
      </c>
      <c r="G9" s="1"/>
      <c r="H9" s="1">
        <f t="shared" si="0"/>
        <v>0.14990000000000001</v>
      </c>
      <c r="I9" s="95"/>
      <c r="J9" s="1"/>
      <c r="K9" s="1">
        <f t="shared" si="1"/>
        <v>0.14990000000000001</v>
      </c>
      <c r="L9" s="3">
        <f t="shared" ref="L9:L13" si="2">I9/H9</f>
        <v>0</v>
      </c>
      <c r="M9" s="25" t="s">
        <v>496</v>
      </c>
    </row>
    <row r="10" spans="3:13">
      <c r="C10" s="246"/>
      <c r="D10" s="16" t="s">
        <v>265</v>
      </c>
      <c r="E10" s="1" t="s">
        <v>19</v>
      </c>
      <c r="F10" s="1">
        <v>7.5496999999999996</v>
      </c>
      <c r="G10" s="1"/>
      <c r="H10" s="1">
        <f t="shared" si="0"/>
        <v>7.5496999999999996</v>
      </c>
      <c r="I10" s="95"/>
      <c r="J10" s="1"/>
      <c r="K10" s="1">
        <f t="shared" si="1"/>
        <v>7.5496999999999996</v>
      </c>
      <c r="L10" s="3">
        <f t="shared" si="2"/>
        <v>0</v>
      </c>
      <c r="M10" s="25" t="s">
        <v>496</v>
      </c>
    </row>
    <row r="11" spans="3:13">
      <c r="C11" s="246"/>
      <c r="D11" s="16" t="s">
        <v>266</v>
      </c>
      <c r="E11" s="1" t="s">
        <v>19</v>
      </c>
      <c r="F11" s="1">
        <v>2.5000000000000001E-2</v>
      </c>
      <c r="G11" s="1"/>
      <c r="H11" s="1">
        <f t="shared" si="0"/>
        <v>2.5000000000000001E-2</v>
      </c>
      <c r="I11" s="95"/>
      <c r="J11" s="1"/>
      <c r="K11" s="1">
        <f t="shared" si="1"/>
        <v>2.5000000000000001E-2</v>
      </c>
      <c r="L11" s="3">
        <f t="shared" si="2"/>
        <v>0</v>
      </c>
      <c r="M11" s="25" t="s">
        <v>496</v>
      </c>
    </row>
    <row r="12" spans="3:13">
      <c r="C12" s="246"/>
      <c r="D12" s="15" t="s">
        <v>133</v>
      </c>
      <c r="E12" s="1" t="s">
        <v>19</v>
      </c>
      <c r="F12" s="1">
        <v>42.9086</v>
      </c>
      <c r="G12" s="1"/>
      <c r="H12" s="1">
        <f t="shared" si="0"/>
        <v>42.9086</v>
      </c>
      <c r="I12" s="92"/>
      <c r="J12" s="1"/>
      <c r="K12" s="1">
        <f t="shared" si="1"/>
        <v>42.9086</v>
      </c>
      <c r="L12" s="3">
        <f t="shared" si="2"/>
        <v>0</v>
      </c>
      <c r="M12" s="131" t="s">
        <v>496</v>
      </c>
    </row>
    <row r="13" spans="3:13">
      <c r="C13" s="246"/>
      <c r="D13" s="45" t="s">
        <v>235</v>
      </c>
      <c r="E13" s="1" t="s">
        <v>19</v>
      </c>
      <c r="F13" s="1">
        <f>SUM(F7:F12)</f>
        <v>9979</v>
      </c>
      <c r="G13" s="1">
        <f>SUM(G7:G12)</f>
        <v>-9921.4115999999995</v>
      </c>
      <c r="H13" s="1">
        <f>SUM(H7:H12)</f>
        <v>57.588400000000334</v>
      </c>
      <c r="I13" s="25">
        <f>SUM(I7:I12)</f>
        <v>0.33</v>
      </c>
      <c r="J13" s="1">
        <f>SUM(J7:J12)</f>
        <v>0</v>
      </c>
      <c r="K13" s="1">
        <f t="shared" si="1"/>
        <v>57.258400000000336</v>
      </c>
      <c r="L13" s="3">
        <f t="shared" si="2"/>
        <v>5.730320689583286E-3</v>
      </c>
      <c r="M13" s="47" t="s">
        <v>496</v>
      </c>
    </row>
    <row r="14" spans="3:13">
      <c r="I14" s="57"/>
      <c r="M14" s="57"/>
    </row>
    <row r="15" spans="3:13" ht="15.75" customHeight="1">
      <c r="C15" s="247" t="s">
        <v>40</v>
      </c>
      <c r="D15" s="17" t="s">
        <v>250</v>
      </c>
      <c r="E15" s="1" t="s">
        <v>19</v>
      </c>
      <c r="F15" s="1">
        <v>64</v>
      </c>
      <c r="G15" s="102">
        <v>0</v>
      </c>
      <c r="H15" s="102">
        <f>F15+G15</f>
        <v>64</v>
      </c>
      <c r="I15" s="92">
        <v>0</v>
      </c>
      <c r="J15" s="1"/>
      <c r="K15" s="1">
        <f>H15-(I15+J15)</f>
        <v>64</v>
      </c>
      <c r="L15" s="3">
        <f>I15/H15</f>
        <v>0</v>
      </c>
      <c r="M15" s="25" t="s">
        <v>496</v>
      </c>
    </row>
    <row r="16" spans="3:13" ht="18.75" customHeight="1">
      <c r="C16" s="248"/>
      <c r="D16" s="17" t="s">
        <v>236</v>
      </c>
      <c r="E16" s="25" t="s">
        <v>19</v>
      </c>
      <c r="F16" s="1">
        <f>F15</f>
        <v>64</v>
      </c>
      <c r="G16" s="1">
        <f>G15</f>
        <v>0</v>
      </c>
      <c r="H16" s="1">
        <f>F16+G16</f>
        <v>64</v>
      </c>
      <c r="I16" s="25">
        <f>I15</f>
        <v>0</v>
      </c>
      <c r="J16" s="1">
        <f>J15</f>
        <v>0</v>
      </c>
      <c r="K16" s="1">
        <f>H16-(I16+J16)</f>
        <v>64</v>
      </c>
      <c r="L16" s="41">
        <f>I16/H16</f>
        <v>0</v>
      </c>
      <c r="M16" s="25" t="s">
        <v>496</v>
      </c>
    </row>
    <row r="17" spans="2:13">
      <c r="I17" s="57"/>
      <c r="M17" s="57"/>
    </row>
    <row r="18" spans="2:13" ht="15" customHeight="1">
      <c r="C18" s="249" t="s">
        <v>41</v>
      </c>
      <c r="D18" s="15" t="s">
        <v>127</v>
      </c>
      <c r="E18" s="1" t="s">
        <v>19</v>
      </c>
      <c r="F18" s="1">
        <v>624.04499999999996</v>
      </c>
      <c r="G18" s="1">
        <f>-624.045</f>
        <v>-624.04499999999996</v>
      </c>
      <c r="H18" s="1">
        <f>F18+G18</f>
        <v>0</v>
      </c>
      <c r="I18" s="92"/>
      <c r="J18" s="1"/>
      <c r="K18" s="1">
        <f>H18-(I18+J18)</f>
        <v>0</v>
      </c>
      <c r="L18" s="3">
        <f>(G18/F18)*-1</f>
        <v>1</v>
      </c>
      <c r="M18" s="25" t="s">
        <v>496</v>
      </c>
    </row>
    <row r="19" spans="2:13">
      <c r="C19" s="249"/>
      <c r="D19" s="15" t="s">
        <v>128</v>
      </c>
      <c r="E19" s="1" t="s">
        <v>19</v>
      </c>
      <c r="F19" s="1">
        <v>338.35399999999998</v>
      </c>
      <c r="G19" s="1">
        <f>-338.354</f>
        <v>-338.35399999999998</v>
      </c>
      <c r="H19" s="1">
        <f>F19+G19</f>
        <v>0</v>
      </c>
      <c r="I19" s="25"/>
      <c r="J19" s="1"/>
      <c r="K19" s="1">
        <f t="shared" ref="K19:K83" si="3">H19-(I19+J19)</f>
        <v>0</v>
      </c>
      <c r="L19" s="3">
        <f>(G19/F19)*-1</f>
        <v>1</v>
      </c>
      <c r="M19" s="25" t="s">
        <v>496</v>
      </c>
    </row>
    <row r="20" spans="2:13">
      <c r="C20" s="249"/>
      <c r="D20" s="15" t="s">
        <v>129</v>
      </c>
      <c r="E20" s="1" t="s">
        <v>19</v>
      </c>
      <c r="F20" s="1">
        <v>104.601</v>
      </c>
      <c r="G20" s="1"/>
      <c r="H20" s="1">
        <f>F20+G20</f>
        <v>104.601</v>
      </c>
      <c r="I20" s="25"/>
      <c r="J20" s="1"/>
      <c r="K20" s="1">
        <f t="shared" si="3"/>
        <v>104.601</v>
      </c>
      <c r="L20" s="3">
        <f>I20/H20</f>
        <v>0</v>
      </c>
      <c r="M20" s="25" t="s">
        <v>496</v>
      </c>
    </row>
    <row r="21" spans="2:13">
      <c r="C21" s="249"/>
      <c r="D21" s="15" t="s">
        <v>237</v>
      </c>
      <c r="E21" s="25" t="s">
        <v>19</v>
      </c>
      <c r="F21" s="1">
        <f>SUM(F18:F20)</f>
        <v>1067</v>
      </c>
      <c r="G21" s="1">
        <f>SUM(G18:G20)</f>
        <v>-962.39899999999989</v>
      </c>
      <c r="H21" s="25">
        <f>F21+G21</f>
        <v>104.60100000000011</v>
      </c>
      <c r="I21" s="25">
        <f>SUM(I18:I20)</f>
        <v>0</v>
      </c>
      <c r="J21" s="1"/>
      <c r="K21" s="25">
        <f t="shared" si="3"/>
        <v>104.60100000000011</v>
      </c>
      <c r="L21" s="41">
        <f>I21/H21</f>
        <v>0</v>
      </c>
      <c r="M21" s="25" t="s">
        <v>496</v>
      </c>
    </row>
    <row r="22" spans="2:13">
      <c r="I22" s="57"/>
      <c r="M22" s="57"/>
    </row>
    <row r="23" spans="2:13" ht="15" customHeight="1">
      <c r="B23" s="11">
        <v>1</v>
      </c>
      <c r="C23" s="238" t="s">
        <v>42</v>
      </c>
      <c r="D23" s="16" t="s">
        <v>47</v>
      </c>
      <c r="E23" s="1" t="s">
        <v>19</v>
      </c>
      <c r="F23" s="2">
        <v>203.643</v>
      </c>
      <c r="G23" s="1">
        <f>-117.6-12.5-30.1-6.7</f>
        <v>-166.89999999999998</v>
      </c>
      <c r="H23" s="1">
        <f>F23+G23</f>
        <v>36.743000000000023</v>
      </c>
      <c r="I23" s="92">
        <v>4.7249999999999996</v>
      </c>
      <c r="J23" s="1"/>
      <c r="K23" s="1">
        <f t="shared" si="3"/>
        <v>32.018000000000022</v>
      </c>
      <c r="L23" s="3">
        <f>I23/H23</f>
        <v>0.12859592303295855</v>
      </c>
      <c r="M23" s="149">
        <v>44264</v>
      </c>
    </row>
    <row r="24" spans="2:13">
      <c r="B24" s="11">
        <v>2</v>
      </c>
      <c r="C24" s="239"/>
      <c r="D24" s="15" t="s">
        <v>173</v>
      </c>
      <c r="E24" s="1" t="s">
        <v>19</v>
      </c>
      <c r="F24" s="2">
        <v>165.60900000000001</v>
      </c>
      <c r="G24" s="1"/>
      <c r="H24" s="1">
        <f t="shared" ref="H24:H88" si="4">F24+G24</f>
        <v>165.60900000000001</v>
      </c>
      <c r="I24" s="92">
        <v>13.412000000000001</v>
      </c>
      <c r="J24" s="1"/>
      <c r="K24" s="1">
        <f t="shared" si="3"/>
        <v>152.197</v>
      </c>
      <c r="L24" s="3">
        <f>I24/H24</f>
        <v>8.098593675464498E-2</v>
      </c>
      <c r="M24" s="149">
        <v>44272</v>
      </c>
    </row>
    <row r="25" spans="2:13">
      <c r="B25" s="11">
        <v>3</v>
      </c>
      <c r="C25" s="239"/>
      <c r="D25" s="15" t="s">
        <v>48</v>
      </c>
      <c r="E25" s="1" t="s">
        <v>19</v>
      </c>
      <c r="F25" s="2">
        <v>998.56100000000004</v>
      </c>
      <c r="G25" s="1">
        <f>-350-50-596-2.5</f>
        <v>-998.5</v>
      </c>
      <c r="H25" s="1">
        <f t="shared" si="4"/>
        <v>6.100000000003547E-2</v>
      </c>
      <c r="I25" s="92">
        <v>1.7000000000000001E-2</v>
      </c>
      <c r="J25" s="1"/>
      <c r="K25" s="1">
        <f t="shared" si="3"/>
        <v>4.4000000000035469E-2</v>
      </c>
      <c r="L25" s="3">
        <f t="shared" ref="L25:L89" si="5">I25/H25</f>
        <v>0.27868852459000193</v>
      </c>
      <c r="M25" s="25" t="s">
        <v>496</v>
      </c>
    </row>
    <row r="26" spans="2:13">
      <c r="B26" s="11">
        <v>4</v>
      </c>
      <c r="C26" s="239"/>
      <c r="D26" s="15" t="s">
        <v>49</v>
      </c>
      <c r="E26" s="1" t="s">
        <v>19</v>
      </c>
      <c r="F26" s="2">
        <v>1450.905</v>
      </c>
      <c r="G26" s="1">
        <f>-235.8-52-300</f>
        <v>-587.79999999999995</v>
      </c>
      <c r="H26" s="1">
        <f t="shared" si="4"/>
        <v>863.10500000000002</v>
      </c>
      <c r="I26" s="92">
        <v>599.51900000000001</v>
      </c>
      <c r="J26" s="1"/>
      <c r="K26" s="1">
        <f t="shared" si="3"/>
        <v>263.58600000000001</v>
      </c>
      <c r="L26" s="3">
        <f t="shared" si="5"/>
        <v>0.69460726099373771</v>
      </c>
      <c r="M26" s="25" t="s">
        <v>496</v>
      </c>
    </row>
    <row r="27" spans="2:13">
      <c r="B27" s="11">
        <v>5</v>
      </c>
      <c r="C27" s="239"/>
      <c r="D27" s="16" t="s">
        <v>50</v>
      </c>
      <c r="E27" s="1" t="s">
        <v>19</v>
      </c>
      <c r="F27" s="2">
        <v>1982.808</v>
      </c>
      <c r="G27" s="1">
        <f>-525-35-35-35-35-475-170-190-132-175-175.6</f>
        <v>-1982.6</v>
      </c>
      <c r="H27" s="1">
        <f t="shared" si="4"/>
        <v>0.20800000000008367</v>
      </c>
      <c r="I27" s="92">
        <v>0</v>
      </c>
      <c r="J27" s="1"/>
      <c r="K27" s="1">
        <f t="shared" si="3"/>
        <v>0.20800000000008367</v>
      </c>
      <c r="L27" s="3">
        <f>(G27/F27)*-1</f>
        <v>0.99989509826468315</v>
      </c>
      <c r="M27" s="142">
        <v>44491</v>
      </c>
    </row>
    <row r="28" spans="2:13">
      <c r="B28" s="11">
        <v>6</v>
      </c>
      <c r="C28" s="239"/>
      <c r="D28" s="15" t="s">
        <v>51</v>
      </c>
      <c r="E28" s="1" t="s">
        <v>19</v>
      </c>
      <c r="F28" s="2">
        <v>3427.348</v>
      </c>
      <c r="G28" s="1"/>
      <c r="H28" s="1">
        <f t="shared" si="4"/>
        <v>3427.348</v>
      </c>
      <c r="I28" s="92">
        <v>2396.8870000000002</v>
      </c>
      <c r="J28" s="1"/>
      <c r="K28" s="1">
        <f t="shared" si="3"/>
        <v>1030.4609999999998</v>
      </c>
      <c r="L28" s="3">
        <f t="shared" si="5"/>
        <v>0.6993415900573855</v>
      </c>
      <c r="M28" s="47" t="s">
        <v>496</v>
      </c>
    </row>
    <row r="29" spans="2:13">
      <c r="B29" s="11">
        <v>7</v>
      </c>
      <c r="C29" s="239"/>
      <c r="D29" s="15" t="s">
        <v>52</v>
      </c>
      <c r="E29" s="1" t="s">
        <v>19</v>
      </c>
      <c r="F29" s="2">
        <v>5186.0839999999998</v>
      </c>
      <c r="G29" s="1"/>
      <c r="H29" s="1">
        <f t="shared" si="4"/>
        <v>5186.0839999999998</v>
      </c>
      <c r="I29" s="92">
        <v>4427.701</v>
      </c>
      <c r="J29" s="1"/>
      <c r="K29" s="1">
        <f t="shared" si="3"/>
        <v>758.38299999999981</v>
      </c>
      <c r="L29" s="3">
        <f t="shared" si="5"/>
        <v>0.85376577008779653</v>
      </c>
      <c r="M29" s="25" t="s">
        <v>496</v>
      </c>
    </row>
    <row r="30" spans="2:13">
      <c r="B30" s="11">
        <v>8</v>
      </c>
      <c r="C30" s="239"/>
      <c r="D30" s="15" t="s">
        <v>53</v>
      </c>
      <c r="E30" s="1" t="s">
        <v>19</v>
      </c>
      <c r="F30" s="2">
        <v>1973.671</v>
      </c>
      <c r="G30" s="1"/>
      <c r="H30" s="1">
        <f t="shared" si="4"/>
        <v>1973.671</v>
      </c>
      <c r="I30" s="92">
        <v>1199.0229999999999</v>
      </c>
      <c r="J30" s="1"/>
      <c r="K30" s="1">
        <f t="shared" si="3"/>
        <v>774.64800000000014</v>
      </c>
      <c r="L30" s="3">
        <f t="shared" si="5"/>
        <v>0.60750905292726087</v>
      </c>
      <c r="M30" s="149">
        <v>44387</v>
      </c>
    </row>
    <row r="31" spans="2:13">
      <c r="B31" s="11">
        <v>9</v>
      </c>
      <c r="C31" s="239"/>
      <c r="D31" s="15" t="s">
        <v>54</v>
      </c>
      <c r="E31" s="1" t="s">
        <v>19</v>
      </c>
      <c r="F31" s="2">
        <v>2373.3789999999999</v>
      </c>
      <c r="G31" s="1"/>
      <c r="H31" s="1">
        <f t="shared" si="4"/>
        <v>2373.3789999999999</v>
      </c>
      <c r="I31" s="92">
        <v>2485.9969999999998</v>
      </c>
      <c r="J31" s="1"/>
      <c r="K31" s="1">
        <f t="shared" si="3"/>
        <v>-112.61799999999994</v>
      </c>
      <c r="L31" s="3">
        <f t="shared" si="5"/>
        <v>1.0474504914722849</v>
      </c>
      <c r="M31" s="25" t="s">
        <v>496</v>
      </c>
    </row>
    <row r="32" spans="2:13">
      <c r="B32" s="11">
        <v>10</v>
      </c>
      <c r="C32" s="239"/>
      <c r="D32" s="15" t="s">
        <v>55</v>
      </c>
      <c r="E32" s="1" t="s">
        <v>19</v>
      </c>
      <c r="F32" s="2">
        <v>218.09700000000001</v>
      </c>
      <c r="G32" s="1">
        <f>-40-60-60</f>
        <v>-160</v>
      </c>
      <c r="H32" s="1">
        <f t="shared" si="4"/>
        <v>58.097000000000008</v>
      </c>
      <c r="I32" s="92">
        <v>56.286999999999999</v>
      </c>
      <c r="J32" s="1"/>
      <c r="K32" s="1">
        <f t="shared" si="3"/>
        <v>1.8100000000000094</v>
      </c>
      <c r="L32" s="3">
        <f t="shared" si="5"/>
        <v>0.96884520715355338</v>
      </c>
      <c r="M32" s="142">
        <v>44328</v>
      </c>
    </row>
    <row r="33" spans="2:13">
      <c r="B33" s="11">
        <v>11</v>
      </c>
      <c r="C33" s="239"/>
      <c r="D33" s="15" t="s">
        <v>56</v>
      </c>
      <c r="E33" s="1" t="s">
        <v>19</v>
      </c>
      <c r="F33" s="2">
        <v>2182.357</v>
      </c>
      <c r="G33" s="1"/>
      <c r="H33" s="1">
        <f t="shared" si="4"/>
        <v>2182.357</v>
      </c>
      <c r="I33" s="92">
        <v>3081.904</v>
      </c>
      <c r="J33" s="1"/>
      <c r="K33" s="1">
        <f t="shared" si="3"/>
        <v>-899.54700000000003</v>
      </c>
      <c r="L33" s="3">
        <f t="shared" si="5"/>
        <v>1.4121905811010755</v>
      </c>
      <c r="M33" s="47" t="s">
        <v>496</v>
      </c>
    </row>
    <row r="34" spans="2:13">
      <c r="B34" s="11">
        <v>12</v>
      </c>
      <c r="C34" s="239"/>
      <c r="D34" s="15" t="s">
        <v>282</v>
      </c>
      <c r="E34" s="1" t="s">
        <v>19</v>
      </c>
      <c r="F34" s="2">
        <v>3064.2</v>
      </c>
      <c r="G34" s="1">
        <f>100-100+45+100+60+50+40.5+6+50+60+30+150</f>
        <v>591.5</v>
      </c>
      <c r="H34" s="1">
        <f t="shared" si="4"/>
        <v>3655.7</v>
      </c>
      <c r="I34" s="92">
        <v>2430.7339999999999</v>
      </c>
      <c r="J34" s="1"/>
      <c r="K34" s="1">
        <f t="shared" si="3"/>
        <v>1224.9659999999999</v>
      </c>
      <c r="L34" s="3">
        <f t="shared" si="5"/>
        <v>0.66491615832809037</v>
      </c>
      <c r="M34" s="149">
        <v>44379</v>
      </c>
    </row>
    <row r="35" spans="2:13">
      <c r="B35" s="11">
        <v>13</v>
      </c>
      <c r="C35" s="239"/>
      <c r="D35" s="15" t="s">
        <v>183</v>
      </c>
      <c r="E35" s="1" t="s">
        <v>19</v>
      </c>
      <c r="F35" s="2">
        <v>1676.606</v>
      </c>
      <c r="G35" s="1">
        <f>338.354+475+900+240</f>
        <v>1953.354</v>
      </c>
      <c r="H35" s="1">
        <f t="shared" si="4"/>
        <v>3629.96</v>
      </c>
      <c r="I35" s="92">
        <v>3059.8389999999999</v>
      </c>
      <c r="J35" s="1"/>
      <c r="K35" s="1">
        <f t="shared" si="3"/>
        <v>570.12100000000009</v>
      </c>
      <c r="L35" s="3">
        <f t="shared" si="5"/>
        <v>0.84294014259110295</v>
      </c>
      <c r="M35" s="47" t="s">
        <v>496</v>
      </c>
    </row>
    <row r="36" spans="2:13">
      <c r="B36" s="11">
        <v>14</v>
      </c>
      <c r="C36" s="239"/>
      <c r="D36" s="15" t="s">
        <v>283</v>
      </c>
      <c r="E36" s="1" t="s">
        <v>19</v>
      </c>
      <c r="F36" s="2">
        <v>1329.912</v>
      </c>
      <c r="G36" s="1">
        <f>321-100+39-94.7+24.5</f>
        <v>189.8</v>
      </c>
      <c r="H36" s="1">
        <f t="shared" ref="H36:H37" si="6">F36+G36</f>
        <v>1519.712</v>
      </c>
      <c r="I36" s="92">
        <v>581.68899999999996</v>
      </c>
      <c r="J36" s="1"/>
      <c r="K36" s="1">
        <f t="shared" ref="K36:K37" si="7">H36-(I36+J36)</f>
        <v>938.02300000000002</v>
      </c>
      <c r="L36" s="3">
        <f t="shared" ref="L36:L37" si="8">I36/H36</f>
        <v>0.38276265502937395</v>
      </c>
      <c r="M36" s="47" t="s">
        <v>496</v>
      </c>
    </row>
    <row r="37" spans="2:13">
      <c r="B37" s="11">
        <v>15</v>
      </c>
      <c r="C37" s="239"/>
      <c r="D37" s="15" t="s">
        <v>284</v>
      </c>
      <c r="E37" s="1" t="s">
        <v>19</v>
      </c>
      <c r="F37" s="2">
        <v>149.41999999999999</v>
      </c>
      <c r="G37" s="1">
        <f>117.6+50+10.6+100+1156+100-100+40-45+415+60+1+30.1+9.8+6.7+276</f>
        <v>2227.8000000000002</v>
      </c>
      <c r="H37" s="1">
        <f t="shared" si="6"/>
        <v>2377.2200000000003</v>
      </c>
      <c r="I37" s="92">
        <v>2589.5309999999999</v>
      </c>
      <c r="J37" s="1"/>
      <c r="K37" s="1">
        <f t="shared" si="7"/>
        <v>-212.31099999999969</v>
      </c>
      <c r="L37" s="3">
        <f t="shared" si="8"/>
        <v>1.0893106233331369</v>
      </c>
      <c r="M37" s="149">
        <v>44397</v>
      </c>
    </row>
    <row r="38" spans="2:13">
      <c r="B38" s="11">
        <v>16</v>
      </c>
      <c r="C38" s="239"/>
      <c r="D38" s="15" t="s">
        <v>57</v>
      </c>
      <c r="E38" s="1" t="s">
        <v>19</v>
      </c>
      <c r="F38" s="2">
        <v>568.99800000000005</v>
      </c>
      <c r="G38" s="1"/>
      <c r="H38" s="1">
        <f t="shared" si="4"/>
        <v>568.99800000000005</v>
      </c>
      <c r="I38" s="92">
        <v>370.642</v>
      </c>
      <c r="J38" s="1"/>
      <c r="K38" s="1">
        <f t="shared" si="3"/>
        <v>198.35600000000005</v>
      </c>
      <c r="L38" s="3">
        <f t="shared" si="5"/>
        <v>0.6513942052520395</v>
      </c>
      <c r="M38" s="149">
        <v>44292</v>
      </c>
    </row>
    <row r="39" spans="2:13">
      <c r="B39" s="11">
        <v>17</v>
      </c>
      <c r="C39" s="239"/>
      <c r="D39" s="15" t="s">
        <v>261</v>
      </c>
      <c r="E39" s="1" t="s">
        <v>19</v>
      </c>
      <c r="F39" s="2">
        <v>2511.3409999999999</v>
      </c>
      <c r="G39" s="1">
        <f>-600-215</f>
        <v>-815</v>
      </c>
      <c r="H39" s="1">
        <f t="shared" si="4"/>
        <v>1696.3409999999999</v>
      </c>
      <c r="I39" s="92">
        <v>1283.2370000000001</v>
      </c>
      <c r="J39" s="1"/>
      <c r="K39" s="1">
        <f t="shared" si="3"/>
        <v>413.10399999999981</v>
      </c>
      <c r="L39" s="3">
        <f t="shared" si="5"/>
        <v>0.75647349206321146</v>
      </c>
      <c r="M39" s="47" t="s">
        <v>496</v>
      </c>
    </row>
    <row r="40" spans="2:13">
      <c r="B40" s="11">
        <v>18</v>
      </c>
      <c r="C40" s="239"/>
      <c r="D40" s="15" t="s">
        <v>58</v>
      </c>
      <c r="E40" s="1" t="s">
        <v>19</v>
      </c>
      <c r="F40" s="2">
        <v>37.301000000000002</v>
      </c>
      <c r="G40" s="1">
        <f>-29</f>
        <v>-29</v>
      </c>
      <c r="H40" s="1">
        <f t="shared" si="4"/>
        <v>8.3010000000000019</v>
      </c>
      <c r="I40" s="92">
        <v>4.6440000000000001</v>
      </c>
      <c r="J40" s="1"/>
      <c r="K40" s="1">
        <f t="shared" si="3"/>
        <v>3.6570000000000018</v>
      </c>
      <c r="L40" s="3">
        <f t="shared" si="5"/>
        <v>0.55945066859414516</v>
      </c>
      <c r="M40" s="142">
        <v>44264</v>
      </c>
    </row>
    <row r="41" spans="2:13">
      <c r="B41" s="11">
        <v>19</v>
      </c>
      <c r="C41" s="239"/>
      <c r="D41" s="15" t="s">
        <v>59</v>
      </c>
      <c r="E41" s="1" t="s">
        <v>19</v>
      </c>
      <c r="F41" s="2">
        <v>13352.383</v>
      </c>
      <c r="G41" s="159">
        <f>10+525+154+175.6+12.5+160+5009+1157+36.6+120+1+16.8+205+120-300-250-300</f>
        <v>6852.5000000000009</v>
      </c>
      <c r="H41" s="1">
        <f t="shared" si="4"/>
        <v>20204.883000000002</v>
      </c>
      <c r="I41" s="92">
        <v>10725.04</v>
      </c>
      <c r="J41" s="1"/>
      <c r="K41" s="1">
        <f t="shared" si="3"/>
        <v>9479.8430000000008</v>
      </c>
      <c r="L41" s="3">
        <f t="shared" si="5"/>
        <v>0.5308142591075633</v>
      </c>
      <c r="M41" s="25" t="s">
        <v>496</v>
      </c>
    </row>
    <row r="42" spans="2:13">
      <c r="B42" s="11">
        <v>20</v>
      </c>
      <c r="C42" s="239"/>
      <c r="D42" s="15" t="s">
        <v>60</v>
      </c>
      <c r="E42" s="1" t="s">
        <v>19</v>
      </c>
      <c r="F42" s="2">
        <v>201.43799999999999</v>
      </c>
      <c r="G42" s="1"/>
      <c r="H42" s="1">
        <f t="shared" si="4"/>
        <v>201.43799999999999</v>
      </c>
      <c r="I42" s="92">
        <v>137.03899999999999</v>
      </c>
      <c r="J42" s="1"/>
      <c r="K42" s="1">
        <f t="shared" si="3"/>
        <v>64.399000000000001</v>
      </c>
      <c r="L42" s="3">
        <f t="shared" si="5"/>
        <v>0.68030361699381448</v>
      </c>
      <c r="M42" s="131" t="s">
        <v>496</v>
      </c>
    </row>
    <row r="43" spans="2:13">
      <c r="B43" s="11">
        <v>21</v>
      </c>
      <c r="C43" s="239"/>
      <c r="D43" s="15" t="s">
        <v>61</v>
      </c>
      <c r="E43" s="1" t="s">
        <v>19</v>
      </c>
      <c r="F43" s="2">
        <v>2419.65</v>
      </c>
      <c r="G43" s="1"/>
      <c r="H43" s="1">
        <f t="shared" si="4"/>
        <v>2419.65</v>
      </c>
      <c r="I43" s="92">
        <v>2246.694</v>
      </c>
      <c r="J43" s="1"/>
      <c r="K43" s="1">
        <f t="shared" si="3"/>
        <v>172.95600000000013</v>
      </c>
      <c r="L43" s="3">
        <f t="shared" si="5"/>
        <v>0.92852024053065518</v>
      </c>
      <c r="M43" s="47" t="s">
        <v>496</v>
      </c>
    </row>
    <row r="44" spans="2:13">
      <c r="B44" s="11">
        <v>22</v>
      </c>
      <c r="C44" s="239"/>
      <c r="D44" s="15" t="s">
        <v>62</v>
      </c>
      <c r="E44" s="1" t="s">
        <v>19</v>
      </c>
      <c r="F44" s="2">
        <v>1501.0319999999999</v>
      </c>
      <c r="G44" s="1"/>
      <c r="H44" s="1">
        <f t="shared" si="4"/>
        <v>1501.0319999999999</v>
      </c>
      <c r="I44" s="160">
        <v>1270.1389999999999</v>
      </c>
      <c r="J44" s="1"/>
      <c r="K44" s="2">
        <f t="shared" si="3"/>
        <v>230.89300000000003</v>
      </c>
      <c r="L44" s="3">
        <f t="shared" si="5"/>
        <v>0.84617716344488325</v>
      </c>
      <c r="M44" s="25" t="s">
        <v>496</v>
      </c>
    </row>
    <row r="45" spans="2:13">
      <c r="B45" s="11">
        <v>23</v>
      </c>
      <c r="C45" s="239"/>
      <c r="D45" s="15" t="s">
        <v>63</v>
      </c>
      <c r="E45" s="1" t="s">
        <v>19</v>
      </c>
      <c r="F45" s="2">
        <v>1424.2670000000001</v>
      </c>
      <c r="G45" s="1"/>
      <c r="H45" s="1">
        <f t="shared" si="4"/>
        <v>1424.2670000000001</v>
      </c>
      <c r="I45" s="92">
        <v>1688.0050000000001</v>
      </c>
      <c r="J45" s="1"/>
      <c r="K45" s="1">
        <f t="shared" si="3"/>
        <v>-263.73800000000006</v>
      </c>
      <c r="L45" s="3">
        <f t="shared" si="5"/>
        <v>1.1851745494349024</v>
      </c>
      <c r="M45" s="25" t="s">
        <v>496</v>
      </c>
    </row>
    <row r="46" spans="2:13">
      <c r="B46" s="11">
        <v>24</v>
      </c>
      <c r="C46" s="239"/>
      <c r="D46" s="15" t="s">
        <v>182</v>
      </c>
      <c r="E46" s="1" t="s">
        <v>19</v>
      </c>
      <c r="F46" s="2">
        <v>3162.3560000000002</v>
      </c>
      <c r="G46" s="1">
        <f>3</f>
        <v>3</v>
      </c>
      <c r="H46" s="1">
        <f t="shared" si="4"/>
        <v>3165.3560000000002</v>
      </c>
      <c r="I46" s="92">
        <v>1916.5340000000001</v>
      </c>
      <c r="J46" s="1"/>
      <c r="K46" s="1">
        <f t="shared" si="3"/>
        <v>1248.8220000000001</v>
      </c>
      <c r="L46" s="3">
        <f t="shared" si="5"/>
        <v>0.60547186477603154</v>
      </c>
      <c r="M46" s="25" t="s">
        <v>496</v>
      </c>
    </row>
    <row r="47" spans="2:13">
      <c r="B47" s="11">
        <v>25</v>
      </c>
      <c r="C47" s="239"/>
      <c r="D47" s="15" t="s">
        <v>64</v>
      </c>
      <c r="E47" s="1" t="s">
        <v>19</v>
      </c>
      <c r="F47" s="2">
        <v>2530.777</v>
      </c>
      <c r="G47" s="1">
        <f>233.643+350+5</f>
        <v>588.64300000000003</v>
      </c>
      <c r="H47" s="1">
        <f t="shared" si="4"/>
        <v>3119.42</v>
      </c>
      <c r="I47" s="92">
        <v>2766.663</v>
      </c>
      <c r="J47" s="1"/>
      <c r="K47" s="1">
        <f t="shared" si="3"/>
        <v>352.75700000000006</v>
      </c>
      <c r="L47" s="3">
        <f t="shared" si="5"/>
        <v>0.88691583691840148</v>
      </c>
      <c r="M47" s="25" t="s">
        <v>496</v>
      </c>
    </row>
    <row r="48" spans="2:13">
      <c r="B48" s="11">
        <v>26</v>
      </c>
      <c r="C48" s="239"/>
      <c r="D48" s="15" t="s">
        <v>65</v>
      </c>
      <c r="E48" s="1" t="s">
        <v>19</v>
      </c>
      <c r="F48" s="2">
        <v>153.82400000000001</v>
      </c>
      <c r="G48" s="1">
        <f>490-9.8</f>
        <v>480.2</v>
      </c>
      <c r="H48" s="1">
        <f t="shared" ref="H48:H50" si="9">F48+G48</f>
        <v>634.024</v>
      </c>
      <c r="I48" s="92">
        <v>127.922</v>
      </c>
      <c r="J48" s="1"/>
      <c r="K48" s="1">
        <f t="shared" ref="K48:K50" si="10">H48-(I48+J48)</f>
        <v>506.10199999999998</v>
      </c>
      <c r="L48" s="3">
        <f t="shared" ref="L48:L50" si="11">I48/H48</f>
        <v>0.20176207840712654</v>
      </c>
      <c r="M48" s="142">
        <v>44264</v>
      </c>
    </row>
    <row r="49" spans="2:13" ht="16.5" customHeight="1">
      <c r="B49" s="11">
        <v>27</v>
      </c>
      <c r="C49" s="239"/>
      <c r="D49" s="15" t="s">
        <v>66</v>
      </c>
      <c r="E49" s="1" t="s">
        <v>19</v>
      </c>
      <c r="F49" s="2">
        <v>1949.587</v>
      </c>
      <c r="G49" s="1"/>
      <c r="H49" s="1">
        <f t="shared" si="9"/>
        <v>1949.587</v>
      </c>
      <c r="I49" s="92">
        <v>1267.92</v>
      </c>
      <c r="J49" s="1"/>
      <c r="K49" s="1">
        <f t="shared" si="10"/>
        <v>681.66699999999992</v>
      </c>
      <c r="L49" s="3">
        <f t="shared" si="11"/>
        <v>0.65035312607234252</v>
      </c>
      <c r="M49" s="47" t="s">
        <v>496</v>
      </c>
    </row>
    <row r="50" spans="2:13">
      <c r="B50" s="11">
        <v>28</v>
      </c>
      <c r="C50" s="239"/>
      <c r="D50" s="15" t="s">
        <v>172</v>
      </c>
      <c r="E50" s="1" t="s">
        <v>19</v>
      </c>
      <c r="F50" s="2">
        <v>7.7220000000000004</v>
      </c>
      <c r="G50" s="1">
        <f>-7.7</f>
        <v>-7.7</v>
      </c>
      <c r="H50" s="1">
        <f t="shared" si="9"/>
        <v>2.2000000000000242E-2</v>
      </c>
      <c r="I50" s="92">
        <v>0</v>
      </c>
      <c r="J50" s="1"/>
      <c r="K50" s="1">
        <f t="shared" si="10"/>
        <v>2.2000000000000242E-2</v>
      </c>
      <c r="L50" s="3">
        <f t="shared" si="11"/>
        <v>0</v>
      </c>
      <c r="M50" s="142">
        <v>44491</v>
      </c>
    </row>
    <row r="51" spans="2:13">
      <c r="B51" s="11">
        <v>29</v>
      </c>
      <c r="C51" s="239"/>
      <c r="D51" s="15" t="s">
        <v>67</v>
      </c>
      <c r="E51" s="1" t="s">
        <v>19</v>
      </c>
      <c r="F51" s="2">
        <v>1548.902</v>
      </c>
      <c r="G51" s="1">
        <f>-60+52</f>
        <v>-8</v>
      </c>
      <c r="H51" s="1">
        <f t="shared" si="4"/>
        <v>1540.902</v>
      </c>
      <c r="I51" s="92">
        <v>1792.127</v>
      </c>
      <c r="J51" s="1"/>
      <c r="K51" s="1">
        <f t="shared" si="3"/>
        <v>-251.22499999999991</v>
      </c>
      <c r="L51" s="3">
        <f t="shared" si="5"/>
        <v>1.163037623417972</v>
      </c>
      <c r="M51" s="25" t="s">
        <v>496</v>
      </c>
    </row>
    <row r="52" spans="2:13">
      <c r="B52" s="11">
        <v>30</v>
      </c>
      <c r="C52" s="239"/>
      <c r="D52" s="15" t="s">
        <v>68</v>
      </c>
      <c r="E52" s="1" t="s">
        <v>19</v>
      </c>
      <c r="F52" s="2">
        <v>59.093000000000004</v>
      </c>
      <c r="G52" s="1">
        <f>-59</f>
        <v>-59</v>
      </c>
      <c r="H52" s="1">
        <f t="shared" si="4"/>
        <v>9.3000000000003524E-2</v>
      </c>
      <c r="I52" s="92">
        <v>0</v>
      </c>
      <c r="J52" s="1"/>
      <c r="K52" s="1">
        <f t="shared" si="3"/>
        <v>9.3000000000003524E-2</v>
      </c>
      <c r="L52" s="3">
        <f>(G52/F52)*-1</f>
        <v>0.99842620953412409</v>
      </c>
      <c r="M52" s="142">
        <v>44491</v>
      </c>
    </row>
    <row r="53" spans="2:13">
      <c r="B53" s="11">
        <v>31</v>
      </c>
      <c r="C53" s="239"/>
      <c r="D53" s="15" t="s">
        <v>69</v>
      </c>
      <c r="E53" s="1" t="s">
        <v>19</v>
      </c>
      <c r="F53" s="2">
        <v>2859.8249999999998</v>
      </c>
      <c r="G53" s="1">
        <f>1-1</f>
        <v>0</v>
      </c>
      <c r="H53" s="1">
        <f t="shared" si="4"/>
        <v>2859.8249999999998</v>
      </c>
      <c r="I53" s="92">
        <v>2429.8139999999999</v>
      </c>
      <c r="J53" s="1"/>
      <c r="K53" s="1">
        <f t="shared" si="3"/>
        <v>430.01099999999997</v>
      </c>
      <c r="L53" s="3">
        <f t="shared" si="5"/>
        <v>0.84963730298182583</v>
      </c>
      <c r="M53" s="25" t="s">
        <v>496</v>
      </c>
    </row>
    <row r="54" spans="2:13">
      <c r="B54" s="11">
        <v>32</v>
      </c>
      <c r="C54" s="239"/>
      <c r="D54" s="15" t="s">
        <v>70</v>
      </c>
      <c r="E54" s="1" t="s">
        <v>19</v>
      </c>
      <c r="F54" s="2">
        <v>2435.0279999999998</v>
      </c>
      <c r="G54" s="1"/>
      <c r="H54" s="1">
        <f t="shared" si="4"/>
        <v>2435.0279999999998</v>
      </c>
      <c r="I54" s="92">
        <v>2042.4110000000001</v>
      </c>
      <c r="J54" s="1"/>
      <c r="K54" s="1">
        <f t="shared" si="3"/>
        <v>392.61699999999973</v>
      </c>
      <c r="L54" s="3">
        <f t="shared" si="5"/>
        <v>0.83876283968808585</v>
      </c>
      <c r="M54" s="25" t="s">
        <v>496</v>
      </c>
    </row>
    <row r="55" spans="2:13">
      <c r="B55" s="11">
        <v>33</v>
      </c>
      <c r="C55" s="239"/>
      <c r="D55" s="15" t="s">
        <v>71</v>
      </c>
      <c r="E55" s="1" t="s">
        <v>19</v>
      </c>
      <c r="F55" s="2">
        <v>1.2E-2</v>
      </c>
      <c r="G55" s="1"/>
      <c r="H55" s="1">
        <f t="shared" si="4"/>
        <v>1.2E-2</v>
      </c>
      <c r="I55" s="92">
        <v>0</v>
      </c>
      <c r="J55" s="1"/>
      <c r="K55" s="1">
        <f t="shared" si="3"/>
        <v>1.2E-2</v>
      </c>
      <c r="L55" s="3">
        <f t="shared" si="5"/>
        <v>0</v>
      </c>
      <c r="M55" s="142">
        <v>44491</v>
      </c>
    </row>
    <row r="56" spans="2:13">
      <c r="B56" s="11">
        <v>34</v>
      </c>
      <c r="C56" s="239"/>
      <c r="D56" s="15" t="s">
        <v>72</v>
      </c>
      <c r="E56" s="1" t="s">
        <v>19</v>
      </c>
      <c r="F56" s="2">
        <v>359.17099999999999</v>
      </c>
      <c r="G56" s="1">
        <f>-150</f>
        <v>-150</v>
      </c>
      <c r="H56" s="1">
        <f t="shared" si="4"/>
        <v>209.17099999999999</v>
      </c>
      <c r="I56" s="92">
        <v>105.92100000000001</v>
      </c>
      <c r="J56" s="1"/>
      <c r="K56" s="1">
        <f t="shared" si="3"/>
        <v>103.24999999999999</v>
      </c>
      <c r="L56" s="3">
        <f t="shared" si="5"/>
        <v>0.50638472828451364</v>
      </c>
      <c r="M56" s="47" t="s">
        <v>496</v>
      </c>
    </row>
    <row r="57" spans="2:13">
      <c r="B57" s="11">
        <v>35</v>
      </c>
      <c r="C57" s="239"/>
      <c r="D57" s="15" t="s">
        <v>73</v>
      </c>
      <c r="E57" s="1" t="s">
        <v>19</v>
      </c>
      <c r="F57" s="2">
        <v>1141.6079999999999</v>
      </c>
      <c r="G57" s="1">
        <f>-390</f>
        <v>-390</v>
      </c>
      <c r="H57" s="1">
        <f t="shared" si="4"/>
        <v>751.60799999999995</v>
      </c>
      <c r="I57" s="92">
        <v>655.12300000000005</v>
      </c>
      <c r="J57" s="1"/>
      <c r="K57" s="1">
        <f t="shared" si="3"/>
        <v>96.4849999999999</v>
      </c>
      <c r="L57" s="3">
        <f t="shared" si="5"/>
        <v>0.87162856169705494</v>
      </c>
      <c r="M57" s="25" t="s">
        <v>496</v>
      </c>
    </row>
    <row r="58" spans="2:13">
      <c r="B58" s="11">
        <v>36</v>
      </c>
      <c r="C58" s="239"/>
      <c r="D58" s="15" t="s">
        <v>74</v>
      </c>
      <c r="E58" s="1" t="s">
        <v>19</v>
      </c>
      <c r="F58" s="2">
        <v>381.61700000000002</v>
      </c>
      <c r="G58" s="1">
        <f>-100-50</f>
        <v>-150</v>
      </c>
      <c r="H58" s="1">
        <f t="shared" si="4"/>
        <v>231.61700000000002</v>
      </c>
      <c r="I58" s="92">
        <v>374.67099999999999</v>
      </c>
      <c r="J58" s="1"/>
      <c r="K58" s="1">
        <f t="shared" si="3"/>
        <v>-143.05399999999997</v>
      </c>
      <c r="L58" s="3">
        <f t="shared" si="5"/>
        <v>1.6176316937012394</v>
      </c>
      <c r="M58" s="142">
        <v>44491</v>
      </c>
    </row>
    <row r="59" spans="2:13">
      <c r="B59" s="11">
        <v>37</v>
      </c>
      <c r="C59" s="239"/>
      <c r="D59" s="15" t="s">
        <v>75</v>
      </c>
      <c r="E59" s="1" t="s">
        <v>19</v>
      </c>
      <c r="F59" s="2">
        <v>2357.355</v>
      </c>
      <c r="G59" s="1">
        <f>175+400+150</f>
        <v>725</v>
      </c>
      <c r="H59" s="1">
        <f t="shared" si="4"/>
        <v>3082.355</v>
      </c>
      <c r="I59" s="92">
        <v>2616.8339999999998</v>
      </c>
      <c r="J59" s="1"/>
      <c r="K59" s="1">
        <f t="shared" si="3"/>
        <v>465.52100000000019</v>
      </c>
      <c r="L59" s="3">
        <f t="shared" si="5"/>
        <v>0.84897229553377196</v>
      </c>
      <c r="M59" s="25" t="s">
        <v>496</v>
      </c>
    </row>
    <row r="60" spans="2:13">
      <c r="B60" s="11">
        <v>38</v>
      </c>
      <c r="C60" s="239"/>
      <c r="D60" s="15" t="s">
        <v>76</v>
      </c>
      <c r="E60" s="1" t="s">
        <v>19</v>
      </c>
      <c r="F60" s="2">
        <v>1075.817</v>
      </c>
      <c r="G60" s="1">
        <f>-61-321-39-29-82-276</f>
        <v>-808</v>
      </c>
      <c r="H60" s="1">
        <f t="shared" si="4"/>
        <v>267.81700000000001</v>
      </c>
      <c r="I60" s="92">
        <v>268.47000000000003</v>
      </c>
      <c r="J60" s="1"/>
      <c r="K60" s="1">
        <f t="shared" si="3"/>
        <v>-0.65300000000002001</v>
      </c>
      <c r="L60" s="3">
        <f t="shared" si="5"/>
        <v>1.0024382320763805</v>
      </c>
      <c r="M60" s="149">
        <v>44279</v>
      </c>
    </row>
    <row r="61" spans="2:13">
      <c r="B61" s="11">
        <v>39</v>
      </c>
      <c r="C61" s="239"/>
      <c r="D61" s="15" t="s">
        <v>77</v>
      </c>
      <c r="E61" s="1" t="s">
        <v>19</v>
      </c>
      <c r="F61" s="2">
        <v>614.85500000000002</v>
      </c>
      <c r="G61" s="1"/>
      <c r="H61" s="1">
        <f t="shared" si="4"/>
        <v>614.85500000000002</v>
      </c>
      <c r="I61" s="92">
        <v>206.93199999999999</v>
      </c>
      <c r="J61" s="1"/>
      <c r="K61" s="1">
        <f t="shared" si="3"/>
        <v>407.923</v>
      </c>
      <c r="L61" s="3">
        <f t="shared" si="5"/>
        <v>0.3365541469126867</v>
      </c>
      <c r="M61" s="25" t="s">
        <v>496</v>
      </c>
    </row>
    <row r="62" spans="2:13">
      <c r="B62" s="11">
        <v>40</v>
      </c>
      <c r="C62" s="239"/>
      <c r="D62" s="15" t="s">
        <v>78</v>
      </c>
      <c r="E62" s="1" t="s">
        <v>19</v>
      </c>
      <c r="F62" s="2">
        <v>1923.854</v>
      </c>
      <c r="G62" s="1">
        <f>-600</f>
        <v>-600</v>
      </c>
      <c r="H62" s="1">
        <f t="shared" si="4"/>
        <v>1323.854</v>
      </c>
      <c r="I62" s="92">
        <v>1016.586</v>
      </c>
      <c r="J62" s="1"/>
      <c r="K62" s="1">
        <f t="shared" si="3"/>
        <v>307.26800000000003</v>
      </c>
      <c r="L62" s="3">
        <f t="shared" si="5"/>
        <v>0.76789887706650428</v>
      </c>
      <c r="M62" s="25" t="s">
        <v>496</v>
      </c>
    </row>
    <row r="63" spans="2:13">
      <c r="B63" s="11">
        <v>41</v>
      </c>
      <c r="C63" s="239"/>
      <c r="D63" s="15" t="s">
        <v>79</v>
      </c>
      <c r="E63" s="1" t="s">
        <v>19</v>
      </c>
      <c r="F63" s="2">
        <v>112.79</v>
      </c>
      <c r="G63" s="1">
        <f>-108.7</f>
        <v>-108.7</v>
      </c>
      <c r="H63" s="1">
        <f t="shared" si="4"/>
        <v>4.0900000000000034</v>
      </c>
      <c r="I63" s="92">
        <v>4.0519999999999996</v>
      </c>
      <c r="J63" s="1"/>
      <c r="K63" s="1">
        <f t="shared" si="3"/>
        <v>3.8000000000003809E-2</v>
      </c>
      <c r="L63" s="3">
        <f t="shared" si="5"/>
        <v>0.99070904645476676</v>
      </c>
      <c r="M63" s="25" t="s">
        <v>496</v>
      </c>
    </row>
    <row r="64" spans="2:13">
      <c r="B64" s="11">
        <v>42</v>
      </c>
      <c r="C64" s="239"/>
      <c r="D64" s="15" t="s">
        <v>80</v>
      </c>
      <c r="E64" s="1" t="s">
        <v>19</v>
      </c>
      <c r="F64" s="2">
        <v>886.77499999999998</v>
      </c>
      <c r="G64" s="1"/>
      <c r="H64" s="1">
        <f t="shared" si="4"/>
        <v>886.77499999999998</v>
      </c>
      <c r="I64" s="92">
        <v>1003.51</v>
      </c>
      <c r="J64" s="1"/>
      <c r="K64" s="1">
        <f t="shared" si="3"/>
        <v>-116.73500000000001</v>
      </c>
      <c r="L64" s="3">
        <f t="shared" si="5"/>
        <v>1.1316399312114123</v>
      </c>
      <c r="M64" s="25" t="s">
        <v>496</v>
      </c>
    </row>
    <row r="65" spans="2:13">
      <c r="B65" s="11">
        <v>43</v>
      </c>
      <c r="C65" s="239"/>
      <c r="D65" s="15" t="s">
        <v>81</v>
      </c>
      <c r="E65" s="1" t="s">
        <v>19</v>
      </c>
      <c r="F65" s="2">
        <v>1876.9059999999999</v>
      </c>
      <c r="G65" s="1"/>
      <c r="H65" s="1">
        <f t="shared" si="4"/>
        <v>1876.9059999999999</v>
      </c>
      <c r="I65" s="92">
        <v>2176.2109999999998</v>
      </c>
      <c r="J65" s="1"/>
      <c r="K65" s="1">
        <f t="shared" si="3"/>
        <v>-299.30499999999984</v>
      </c>
      <c r="L65" s="3">
        <f t="shared" si="5"/>
        <v>1.1594672295788919</v>
      </c>
      <c r="M65" s="25" t="s">
        <v>496</v>
      </c>
    </row>
    <row r="66" spans="2:13">
      <c r="B66" s="11">
        <v>44</v>
      </c>
      <c r="C66" s="239"/>
      <c r="D66" s="15" t="s">
        <v>82</v>
      </c>
      <c r="E66" s="1" t="s">
        <v>19</v>
      </c>
      <c r="F66" s="2">
        <v>893.57100000000003</v>
      </c>
      <c r="G66" s="1">
        <v>75</v>
      </c>
      <c r="H66" s="1">
        <f t="shared" si="4"/>
        <v>968.57100000000003</v>
      </c>
      <c r="I66" s="92">
        <v>456.32400000000001</v>
      </c>
      <c r="J66" s="1"/>
      <c r="K66" s="1">
        <f t="shared" si="3"/>
        <v>512.24700000000007</v>
      </c>
      <c r="L66" s="3">
        <f t="shared" si="5"/>
        <v>0.4711311819164522</v>
      </c>
      <c r="M66" s="149">
        <v>44328</v>
      </c>
    </row>
    <row r="67" spans="2:13">
      <c r="B67" s="11">
        <v>45</v>
      </c>
      <c r="C67" s="239"/>
      <c r="D67" s="15" t="s">
        <v>83</v>
      </c>
      <c r="E67" s="1" t="s">
        <v>19</v>
      </c>
      <c r="F67" s="2">
        <v>2313.4259999999999</v>
      </c>
      <c r="G67" s="1">
        <f>-1156-1157</f>
        <v>-2313</v>
      </c>
      <c r="H67" s="1">
        <f t="shared" si="4"/>
        <v>0.42599999999993088</v>
      </c>
      <c r="I67" s="92">
        <v>0</v>
      </c>
      <c r="J67" s="1"/>
      <c r="K67" s="1">
        <f t="shared" si="3"/>
        <v>0.42599999999993088</v>
      </c>
      <c r="L67" s="3">
        <f>(G67/F67)*-1</f>
        <v>0.9998158575204048</v>
      </c>
      <c r="M67" s="142">
        <v>44282</v>
      </c>
    </row>
    <row r="68" spans="2:13">
      <c r="B68" s="11">
        <v>46</v>
      </c>
      <c r="C68" s="239"/>
      <c r="D68" s="15" t="s">
        <v>84</v>
      </c>
      <c r="E68" s="1" t="s">
        <v>19</v>
      </c>
      <c r="F68" s="2">
        <v>14.355</v>
      </c>
      <c r="G68" s="1"/>
      <c r="H68" s="1">
        <f t="shared" si="4"/>
        <v>14.355</v>
      </c>
      <c r="I68" s="92">
        <v>0</v>
      </c>
      <c r="J68" s="1"/>
      <c r="K68" s="1">
        <f t="shared" si="3"/>
        <v>14.355</v>
      </c>
      <c r="L68" s="3">
        <f t="shared" si="5"/>
        <v>0</v>
      </c>
      <c r="M68" s="47" t="s">
        <v>496</v>
      </c>
    </row>
    <row r="69" spans="2:13">
      <c r="B69" s="11">
        <v>47</v>
      </c>
      <c r="C69" s="239"/>
      <c r="D69" s="15" t="s">
        <v>85</v>
      </c>
      <c r="E69" s="1" t="s">
        <v>19</v>
      </c>
      <c r="F69" s="2">
        <v>3138.2489999999998</v>
      </c>
      <c r="G69" s="1">
        <f>1</f>
        <v>1</v>
      </c>
      <c r="H69" s="1">
        <f t="shared" si="4"/>
        <v>3139.2489999999998</v>
      </c>
      <c r="I69" s="92">
        <v>3489.768</v>
      </c>
      <c r="J69" s="1"/>
      <c r="K69" s="1">
        <f t="shared" si="3"/>
        <v>-350.51900000000023</v>
      </c>
      <c r="L69" s="3">
        <f t="shared" si="5"/>
        <v>1.1116569599926607</v>
      </c>
      <c r="M69" s="25" t="s">
        <v>496</v>
      </c>
    </row>
    <row r="70" spans="2:13">
      <c r="B70" s="11">
        <v>48</v>
      </c>
      <c r="C70" s="239"/>
      <c r="D70" s="15" t="s">
        <v>285</v>
      </c>
      <c r="E70" s="1" t="s">
        <v>19</v>
      </c>
      <c r="F70" s="2">
        <v>247.589</v>
      </c>
      <c r="G70" s="1">
        <f>174</f>
        <v>174</v>
      </c>
      <c r="H70" s="1">
        <f t="shared" ref="H70" si="12">F70+G70</f>
        <v>421.589</v>
      </c>
      <c r="I70" s="92">
        <v>335.98399999999998</v>
      </c>
      <c r="J70" s="1"/>
      <c r="K70" s="1">
        <f t="shared" ref="K70" si="13">H70-(I70+J70)</f>
        <v>85.605000000000018</v>
      </c>
      <c r="L70" s="3">
        <f t="shared" ref="L70" si="14">I70/H70</f>
        <v>0.79694678940864205</v>
      </c>
      <c r="M70" s="149">
        <v>44279</v>
      </c>
    </row>
    <row r="71" spans="2:13">
      <c r="B71" s="11">
        <v>49</v>
      </c>
      <c r="C71" s="239"/>
      <c r="D71" s="15" t="s">
        <v>86</v>
      </c>
      <c r="E71" s="1" t="s">
        <v>19</v>
      </c>
      <c r="F71" s="2">
        <v>838.85199999999998</v>
      </c>
      <c r="G71" s="1">
        <f>-66-25+39-60-25-10-20</f>
        <v>-167</v>
      </c>
      <c r="H71" s="1">
        <f t="shared" si="4"/>
        <v>671.85199999999998</v>
      </c>
      <c r="I71" s="92">
        <v>396.21100000000001</v>
      </c>
      <c r="J71" s="1"/>
      <c r="K71" s="1">
        <f t="shared" si="3"/>
        <v>275.64099999999996</v>
      </c>
      <c r="L71" s="3">
        <f t="shared" si="5"/>
        <v>0.58972958330108416</v>
      </c>
      <c r="M71" s="25" t="s">
        <v>496</v>
      </c>
    </row>
    <row r="72" spans="2:13">
      <c r="B72" s="11">
        <v>50</v>
      </c>
      <c r="C72" s="239"/>
      <c r="D72" s="15" t="s">
        <v>87</v>
      </c>
      <c r="E72" s="1" t="s">
        <v>19</v>
      </c>
      <c r="F72" s="2">
        <v>3804.8090000000002</v>
      </c>
      <c r="G72" s="1">
        <f>-235</f>
        <v>-235</v>
      </c>
      <c r="H72" s="1">
        <f t="shared" si="4"/>
        <v>3569.8090000000002</v>
      </c>
      <c r="I72" s="92">
        <v>3881.1030000000001</v>
      </c>
      <c r="J72" s="1"/>
      <c r="K72" s="1">
        <f t="shared" si="3"/>
        <v>-311.29399999999987</v>
      </c>
      <c r="L72" s="3">
        <f t="shared" si="5"/>
        <v>1.0872018643014234</v>
      </c>
      <c r="M72" s="25" t="s">
        <v>496</v>
      </c>
    </row>
    <row r="73" spans="2:13">
      <c r="B73" s="11">
        <v>51</v>
      </c>
      <c r="C73" s="239"/>
      <c r="D73" s="15" t="s">
        <v>88</v>
      </c>
      <c r="E73" s="1" t="s">
        <v>19</v>
      </c>
      <c r="F73" s="2">
        <v>1155.134</v>
      </c>
      <c r="G73" s="1">
        <f>100-75-100-10-240-100</f>
        <v>-425</v>
      </c>
      <c r="H73" s="1">
        <f t="shared" si="4"/>
        <v>730.13400000000001</v>
      </c>
      <c r="I73" s="92">
        <v>581.55600000000004</v>
      </c>
      <c r="J73" s="1"/>
      <c r="K73" s="1">
        <f t="shared" si="3"/>
        <v>148.57799999999997</v>
      </c>
      <c r="L73" s="3">
        <f t="shared" si="5"/>
        <v>0.79650584687194415</v>
      </c>
      <c r="M73" s="25" t="s">
        <v>496</v>
      </c>
    </row>
    <row r="74" spans="2:13">
      <c r="B74" s="11">
        <v>52</v>
      </c>
      <c r="C74" s="239"/>
      <c r="D74" s="15" t="s">
        <v>89</v>
      </c>
      <c r="E74" s="1" t="s">
        <v>19</v>
      </c>
      <c r="F74" s="2">
        <v>1906.6969999999999</v>
      </c>
      <c r="G74" s="1">
        <f>-235</f>
        <v>-235</v>
      </c>
      <c r="H74" s="1">
        <f t="shared" si="4"/>
        <v>1671.6969999999999</v>
      </c>
      <c r="I74" s="92">
        <v>1965.3979999999999</v>
      </c>
      <c r="J74" s="1"/>
      <c r="K74" s="1">
        <f t="shared" si="3"/>
        <v>-293.70100000000002</v>
      </c>
      <c r="L74" s="3">
        <f t="shared" si="5"/>
        <v>1.1756903314416429</v>
      </c>
      <c r="M74" s="25" t="s">
        <v>496</v>
      </c>
    </row>
    <row r="75" spans="2:13">
      <c r="B75" s="11">
        <v>53</v>
      </c>
      <c r="C75" s="239"/>
      <c r="D75" s="15" t="s">
        <v>174</v>
      </c>
      <c r="E75" s="1" t="s">
        <v>19</v>
      </c>
      <c r="F75" s="2">
        <v>3680.5920000000001</v>
      </c>
      <c r="G75" s="1">
        <f>200-120-6</f>
        <v>74</v>
      </c>
      <c r="H75" s="1">
        <f t="shared" si="4"/>
        <v>3754.5920000000001</v>
      </c>
      <c r="I75" s="92">
        <v>2090.9079999999999</v>
      </c>
      <c r="J75" s="1"/>
      <c r="K75" s="1">
        <f t="shared" si="3"/>
        <v>1663.6840000000002</v>
      </c>
      <c r="L75" s="3">
        <f t="shared" si="5"/>
        <v>0.55689353197364722</v>
      </c>
      <c r="M75" s="25" t="s">
        <v>496</v>
      </c>
    </row>
    <row r="76" spans="2:13">
      <c r="B76" s="11">
        <v>54</v>
      </c>
      <c r="C76" s="239"/>
      <c r="D76" s="15" t="s">
        <v>90</v>
      </c>
      <c r="E76" s="1" t="s">
        <v>19</v>
      </c>
      <c r="F76" s="2">
        <v>277.05599999999998</v>
      </c>
      <c r="G76" s="1">
        <f>-154-36.6-16.8-32.1</f>
        <v>-239.5</v>
      </c>
      <c r="H76" s="1">
        <f t="shared" si="4"/>
        <v>37.555999999999983</v>
      </c>
      <c r="I76" s="92">
        <v>37.509</v>
      </c>
      <c r="J76" s="1"/>
      <c r="K76" s="1">
        <f t="shared" si="3"/>
        <v>4.6999999999982833E-2</v>
      </c>
      <c r="L76" s="3">
        <f t="shared" si="5"/>
        <v>0.99874853552029019</v>
      </c>
      <c r="M76" s="142">
        <v>44267</v>
      </c>
    </row>
    <row r="77" spans="2:13">
      <c r="B77" s="11">
        <v>55</v>
      </c>
      <c r="C77" s="239"/>
      <c r="D77" s="15" t="s">
        <v>91</v>
      </c>
      <c r="E77" s="1" t="s">
        <v>19</v>
      </c>
      <c r="F77" s="2">
        <v>4822.6360000000004</v>
      </c>
      <c r="G77" s="1">
        <f>61-10+346.483+94.7+75+9.98+32.1+2+82+144</f>
        <v>837.26300000000003</v>
      </c>
      <c r="H77" s="1">
        <f t="shared" si="4"/>
        <v>5659.8990000000003</v>
      </c>
      <c r="I77" s="92">
        <v>2711.3409999999999</v>
      </c>
      <c r="J77" s="1"/>
      <c r="K77" s="1">
        <f t="shared" si="3"/>
        <v>2948.5580000000004</v>
      </c>
      <c r="L77" s="3">
        <f t="shared" si="5"/>
        <v>0.4790440606802347</v>
      </c>
      <c r="M77" s="25" t="s">
        <v>496</v>
      </c>
    </row>
    <row r="78" spans="2:13">
      <c r="B78" s="11">
        <v>56</v>
      </c>
      <c r="C78" s="239"/>
      <c r="D78" s="15" t="s">
        <v>175</v>
      </c>
      <c r="E78" s="1" t="s">
        <v>19</v>
      </c>
      <c r="F78" s="2">
        <v>35.908000000000001</v>
      </c>
      <c r="G78" s="1">
        <f>-24.5</f>
        <v>-24.5</v>
      </c>
      <c r="H78" s="1">
        <f t="shared" si="4"/>
        <v>11.408000000000001</v>
      </c>
      <c r="I78" s="92">
        <v>0</v>
      </c>
      <c r="J78" s="1"/>
      <c r="K78" s="1">
        <f t="shared" si="3"/>
        <v>11.408000000000001</v>
      </c>
      <c r="L78" s="3">
        <f t="shared" si="5"/>
        <v>0</v>
      </c>
      <c r="M78" s="142">
        <v>44261</v>
      </c>
    </row>
    <row r="79" spans="2:13">
      <c r="B79" s="11">
        <v>57</v>
      </c>
      <c r="C79" s="239"/>
      <c r="D79" s="15" t="s">
        <v>92</v>
      </c>
      <c r="E79" s="1" t="s">
        <v>19</v>
      </c>
      <c r="F79" s="2">
        <v>1.7330000000000001</v>
      </c>
      <c r="G79" s="1">
        <f>-1.7</f>
        <v>-1.7</v>
      </c>
      <c r="H79" s="1">
        <f t="shared" si="4"/>
        <v>3.300000000000014E-2</v>
      </c>
      <c r="I79" s="92">
        <v>0</v>
      </c>
      <c r="J79" s="1"/>
      <c r="K79" s="1">
        <f t="shared" si="3"/>
        <v>3.300000000000014E-2</v>
      </c>
      <c r="L79" s="3">
        <f>(G79/F79)*-1</f>
        <v>0.98095787651471433</v>
      </c>
      <c r="M79" s="142">
        <v>44491</v>
      </c>
    </row>
    <row r="80" spans="2:13">
      <c r="B80" s="11">
        <v>58</v>
      </c>
      <c r="C80" s="239"/>
      <c r="D80" s="15" t="s">
        <v>176</v>
      </c>
      <c r="E80" s="1" t="s">
        <v>19</v>
      </c>
      <c r="F80" s="2">
        <v>6011.6229999999996</v>
      </c>
      <c r="G80" s="1"/>
      <c r="H80" s="1">
        <f t="shared" si="4"/>
        <v>6011.6229999999996</v>
      </c>
      <c r="I80" s="92">
        <v>5446.8530000000001</v>
      </c>
      <c r="J80" s="1"/>
      <c r="K80" s="1">
        <f t="shared" si="3"/>
        <v>564.76999999999953</v>
      </c>
      <c r="L80" s="3">
        <f t="shared" si="5"/>
        <v>0.90605365639195945</v>
      </c>
      <c r="M80" s="25" t="s">
        <v>496</v>
      </c>
    </row>
    <row r="81" spans="2:13">
      <c r="B81" s="11">
        <v>59</v>
      </c>
      <c r="C81" s="239"/>
      <c r="D81" s="15" t="s">
        <v>177</v>
      </c>
      <c r="E81" s="1" t="s">
        <v>19</v>
      </c>
      <c r="F81" s="2">
        <v>492.541</v>
      </c>
      <c r="G81" s="1">
        <f>76.902-134</f>
        <v>-57.097999999999999</v>
      </c>
      <c r="H81" s="1">
        <f t="shared" si="4"/>
        <v>435.44299999999998</v>
      </c>
      <c r="I81" s="92">
        <v>255.66499999999999</v>
      </c>
      <c r="J81" s="1"/>
      <c r="K81" s="1">
        <f t="shared" si="3"/>
        <v>179.77799999999999</v>
      </c>
      <c r="L81" s="3">
        <f t="shared" si="5"/>
        <v>0.58713769655270609</v>
      </c>
      <c r="M81" s="149">
        <v>44279</v>
      </c>
    </row>
    <row r="82" spans="2:13">
      <c r="B82" s="11">
        <v>60</v>
      </c>
      <c r="C82" s="239"/>
      <c r="D82" s="15" t="s">
        <v>178</v>
      </c>
      <c r="E82" s="1" t="s">
        <v>19</v>
      </c>
      <c r="F82" s="2">
        <v>441.59500000000003</v>
      </c>
      <c r="G82" s="1"/>
      <c r="H82" s="1">
        <f t="shared" si="4"/>
        <v>441.59500000000003</v>
      </c>
      <c r="I82" s="92">
        <v>145.55199999999999</v>
      </c>
      <c r="J82" s="1"/>
      <c r="K82" s="1">
        <f t="shared" si="3"/>
        <v>296.04300000000001</v>
      </c>
      <c r="L82" s="3">
        <f t="shared" si="5"/>
        <v>0.32960518121808441</v>
      </c>
      <c r="M82" s="47" t="s">
        <v>496</v>
      </c>
    </row>
    <row r="83" spans="2:13">
      <c r="B83" s="11">
        <v>61</v>
      </c>
      <c r="C83" s="239"/>
      <c r="D83" s="15" t="s">
        <v>179</v>
      </c>
      <c r="E83" s="1" t="s">
        <v>19</v>
      </c>
      <c r="F83" s="2">
        <v>1958.261</v>
      </c>
      <c r="G83" s="1">
        <f>235+200-6-1</f>
        <v>428</v>
      </c>
      <c r="H83" s="1">
        <f t="shared" si="4"/>
        <v>2386.261</v>
      </c>
      <c r="I83" s="92">
        <v>1676.6959999999999</v>
      </c>
      <c r="J83" s="1"/>
      <c r="K83" s="1">
        <f t="shared" si="3"/>
        <v>709.56500000000005</v>
      </c>
      <c r="L83" s="3">
        <f t="shared" si="5"/>
        <v>0.70264568712307662</v>
      </c>
      <c r="M83" s="25" t="s">
        <v>496</v>
      </c>
    </row>
    <row r="84" spans="2:13">
      <c r="B84" s="11">
        <v>62</v>
      </c>
      <c r="C84" s="239"/>
      <c r="D84" s="15" t="s">
        <v>93</v>
      </c>
      <c r="E84" s="1" t="s">
        <v>19</v>
      </c>
      <c r="F84" s="2">
        <v>2374.0859999999998</v>
      </c>
      <c r="G84" s="1"/>
      <c r="H84" s="1">
        <f t="shared" si="4"/>
        <v>2374.0859999999998</v>
      </c>
      <c r="I84" s="92">
        <v>1901.184</v>
      </c>
      <c r="J84" s="1"/>
      <c r="K84" s="1">
        <f t="shared" ref="K84:K132" si="15">H84-(I84+J84)</f>
        <v>472.90199999999982</v>
      </c>
      <c r="L84" s="3">
        <f t="shared" si="5"/>
        <v>0.80080671045615037</v>
      </c>
      <c r="M84" s="149">
        <v>44292</v>
      </c>
    </row>
    <row r="85" spans="2:13">
      <c r="B85" s="11">
        <v>63</v>
      </c>
      <c r="C85" s="239"/>
      <c r="D85" s="15" t="s">
        <v>94</v>
      </c>
      <c r="E85" s="1" t="s">
        <v>19</v>
      </c>
      <c r="F85" s="2">
        <v>660.053</v>
      </c>
      <c r="G85" s="1">
        <f>-60-30</f>
        <v>-90</v>
      </c>
      <c r="H85" s="1">
        <f t="shared" si="4"/>
        <v>570.053</v>
      </c>
      <c r="I85" s="92">
        <v>503.363</v>
      </c>
      <c r="J85" s="1"/>
      <c r="K85" s="1">
        <f t="shared" si="15"/>
        <v>66.69</v>
      </c>
      <c r="L85" s="3">
        <f t="shared" si="5"/>
        <v>0.88301087793591126</v>
      </c>
      <c r="M85" s="47" t="s">
        <v>496</v>
      </c>
    </row>
    <row r="86" spans="2:13">
      <c r="B86" s="11">
        <v>64</v>
      </c>
      <c r="C86" s="239"/>
      <c r="D86" s="15" t="s">
        <v>95</v>
      </c>
      <c r="E86" s="1" t="s">
        <v>19</v>
      </c>
      <c r="F86" s="2">
        <v>1328.134</v>
      </c>
      <c r="G86" s="1">
        <f>-10-415-205</f>
        <v>-630</v>
      </c>
      <c r="H86" s="1">
        <f t="shared" si="4"/>
        <v>698.13400000000001</v>
      </c>
      <c r="I86" s="92">
        <v>252.17099999999999</v>
      </c>
      <c r="J86" s="1"/>
      <c r="K86" s="1">
        <f t="shared" si="15"/>
        <v>445.96300000000002</v>
      </c>
      <c r="L86" s="3">
        <f t="shared" si="5"/>
        <v>0.36120716080294041</v>
      </c>
      <c r="M86" s="142">
        <v>44478</v>
      </c>
    </row>
    <row r="87" spans="2:13">
      <c r="B87" s="11">
        <v>65</v>
      </c>
      <c r="C87" s="239"/>
      <c r="D87" s="15" t="s">
        <v>96</v>
      </c>
      <c r="E87" s="1" t="s">
        <v>19</v>
      </c>
      <c r="F87" s="2">
        <v>332.476</v>
      </c>
      <c r="G87" s="1">
        <f>-27-39</f>
        <v>-66</v>
      </c>
      <c r="H87" s="1">
        <f t="shared" si="4"/>
        <v>266.476</v>
      </c>
      <c r="I87" s="92">
        <v>17.992000000000001</v>
      </c>
      <c r="J87" s="1"/>
      <c r="K87" s="1">
        <f t="shared" si="15"/>
        <v>248.48400000000001</v>
      </c>
      <c r="L87" s="3">
        <f t="shared" si="5"/>
        <v>6.7518275567030425E-2</v>
      </c>
      <c r="M87" s="149">
        <v>44264</v>
      </c>
    </row>
    <row r="88" spans="2:13">
      <c r="B88" s="11">
        <v>66</v>
      </c>
      <c r="C88" s="239"/>
      <c r="D88" s="15" t="s">
        <v>97</v>
      </c>
      <c r="E88" s="1" t="s">
        <v>19</v>
      </c>
      <c r="F88" s="2">
        <v>1232.171</v>
      </c>
      <c r="G88" s="1"/>
      <c r="H88" s="1">
        <f t="shared" si="4"/>
        <v>1232.171</v>
      </c>
      <c r="I88" s="92">
        <v>795.8</v>
      </c>
      <c r="J88" s="1"/>
      <c r="K88" s="1">
        <f t="shared" si="15"/>
        <v>436.37100000000009</v>
      </c>
      <c r="L88" s="3">
        <f t="shared" si="5"/>
        <v>0.64585191503452033</v>
      </c>
      <c r="M88" s="149">
        <v>44327</v>
      </c>
    </row>
    <row r="89" spans="2:13">
      <c r="B89" s="11">
        <v>67</v>
      </c>
      <c r="C89" s="239"/>
      <c r="D89" s="15" t="s">
        <v>98</v>
      </c>
      <c r="E89" s="1" t="s">
        <v>19</v>
      </c>
      <c r="F89" s="2">
        <v>1996.874</v>
      </c>
      <c r="G89" s="1">
        <f>-350-5-1</f>
        <v>-356</v>
      </c>
      <c r="H89" s="1">
        <f t="shared" ref="H89:H101" si="16">F89+G89</f>
        <v>1640.874</v>
      </c>
      <c r="I89" s="92">
        <v>1470.192</v>
      </c>
      <c r="J89" s="1"/>
      <c r="K89" s="1">
        <f t="shared" si="15"/>
        <v>170.68200000000002</v>
      </c>
      <c r="L89" s="3">
        <f t="shared" si="5"/>
        <v>0.89598104424837011</v>
      </c>
      <c r="M89" s="25" t="s">
        <v>496</v>
      </c>
    </row>
    <row r="90" spans="2:13">
      <c r="B90" s="11">
        <v>68</v>
      </c>
      <c r="C90" s="239"/>
      <c r="D90" s="15" t="s">
        <v>99</v>
      </c>
      <c r="E90" s="1" t="s">
        <v>19</v>
      </c>
      <c r="F90" s="2">
        <v>2128.8850000000002</v>
      </c>
      <c r="G90" s="1">
        <f>313.5</f>
        <v>313.5</v>
      </c>
      <c r="H90" s="1">
        <f t="shared" si="16"/>
        <v>2442.3850000000002</v>
      </c>
      <c r="I90" s="92">
        <v>2918.7959999999998</v>
      </c>
      <c r="J90" s="1"/>
      <c r="K90" s="1">
        <f t="shared" si="15"/>
        <v>-476.4109999999996</v>
      </c>
      <c r="L90" s="3">
        <f t="shared" ref="L90:L102" si="17">I90/H90</f>
        <v>1.1950597469276956</v>
      </c>
      <c r="M90" s="25" t="s">
        <v>496</v>
      </c>
    </row>
    <row r="91" spans="2:13">
      <c r="B91" s="11">
        <v>69</v>
      </c>
      <c r="C91" s="239"/>
      <c r="D91" s="15" t="s">
        <v>100</v>
      </c>
      <c r="E91" s="1" t="s">
        <v>19</v>
      </c>
      <c r="F91" s="2">
        <v>2379.654</v>
      </c>
      <c r="G91" s="1">
        <f>-100-100-50</f>
        <v>-250</v>
      </c>
      <c r="H91" s="1">
        <f t="shared" si="16"/>
        <v>2129.654</v>
      </c>
      <c r="I91" s="92">
        <v>1674.2670000000001</v>
      </c>
      <c r="J91" s="1"/>
      <c r="K91" s="1">
        <f t="shared" si="15"/>
        <v>455.38699999999994</v>
      </c>
      <c r="L91" s="3">
        <f t="shared" si="17"/>
        <v>0.7861685513233605</v>
      </c>
      <c r="M91" s="47" t="s">
        <v>496</v>
      </c>
    </row>
    <row r="92" spans="2:13">
      <c r="B92" s="11">
        <v>70</v>
      </c>
      <c r="C92" s="239"/>
      <c r="D92" s="15" t="s">
        <v>180</v>
      </c>
      <c r="E92" s="1" t="s">
        <v>19</v>
      </c>
      <c r="F92" s="2">
        <v>718.32100000000003</v>
      </c>
      <c r="G92" s="1"/>
      <c r="H92" s="1">
        <f t="shared" si="16"/>
        <v>718.32100000000003</v>
      </c>
      <c r="I92" s="92">
        <v>791.32899999999995</v>
      </c>
      <c r="J92" s="1"/>
      <c r="K92" s="1">
        <f t="shared" si="15"/>
        <v>-73.007999999999925</v>
      </c>
      <c r="L92" s="3">
        <f t="shared" si="17"/>
        <v>1.1016370118651688</v>
      </c>
      <c r="M92" s="25" t="s">
        <v>496</v>
      </c>
    </row>
    <row r="93" spans="2:13">
      <c r="B93" s="11">
        <v>71</v>
      </c>
      <c r="C93" s="239"/>
      <c r="D93" s="15" t="s">
        <v>181</v>
      </c>
      <c r="E93" s="1" t="s">
        <v>19</v>
      </c>
      <c r="F93" s="2">
        <v>10.683999999999999</v>
      </c>
      <c r="G93" s="1">
        <f>-10.6</f>
        <v>-10.6</v>
      </c>
      <c r="H93" s="1">
        <f t="shared" si="16"/>
        <v>8.3999999999999631E-2</v>
      </c>
      <c r="I93" s="92">
        <v>0</v>
      </c>
      <c r="J93" s="1"/>
      <c r="K93" s="1">
        <f t="shared" si="15"/>
        <v>8.3999999999999631E-2</v>
      </c>
      <c r="L93" s="3">
        <f>(G93/F93)*-1</f>
        <v>0.99213777611381504</v>
      </c>
      <c r="M93" s="142">
        <v>44491</v>
      </c>
    </row>
    <row r="94" spans="2:13">
      <c r="B94" s="11">
        <v>72</v>
      </c>
      <c r="C94" s="239"/>
      <c r="D94" s="15" t="s">
        <v>101</v>
      </c>
      <c r="E94" s="1" t="s">
        <v>19</v>
      </c>
      <c r="F94" s="2">
        <v>318.12099999999998</v>
      </c>
      <c r="G94" s="1">
        <f>170-39+100-5-93.4</f>
        <v>132.6</v>
      </c>
      <c r="H94" s="1">
        <f t="shared" si="16"/>
        <v>450.721</v>
      </c>
      <c r="I94" s="92">
        <v>215.84299999999999</v>
      </c>
      <c r="J94" s="1"/>
      <c r="K94" s="1">
        <f t="shared" si="15"/>
        <v>234.87800000000001</v>
      </c>
      <c r="L94" s="3">
        <f t="shared" si="17"/>
        <v>0.47888383279234825</v>
      </c>
      <c r="M94" s="131" t="s">
        <v>496</v>
      </c>
    </row>
    <row r="95" spans="2:13">
      <c r="B95" s="11">
        <v>73</v>
      </c>
      <c r="C95" s="239"/>
      <c r="D95" s="15" t="s">
        <v>102</v>
      </c>
      <c r="E95" s="1" t="s">
        <v>19</v>
      </c>
      <c r="F95" s="2">
        <v>781.53899999999999</v>
      </c>
      <c r="G95" s="1">
        <f>190</f>
        <v>190</v>
      </c>
      <c r="H95" s="1">
        <f t="shared" si="16"/>
        <v>971.53899999999999</v>
      </c>
      <c r="I95" s="92">
        <v>449.20800000000003</v>
      </c>
      <c r="J95" s="1"/>
      <c r="K95" s="1">
        <f t="shared" si="15"/>
        <v>522.3309999999999</v>
      </c>
      <c r="L95" s="3">
        <f t="shared" si="17"/>
        <v>0.46236743970133987</v>
      </c>
      <c r="M95" s="149">
        <v>44292</v>
      </c>
    </row>
    <row r="96" spans="2:13">
      <c r="B96" s="11">
        <v>74</v>
      </c>
      <c r="C96" s="239"/>
      <c r="D96" s="15" t="s">
        <v>103</v>
      </c>
      <c r="E96" s="1" t="s">
        <v>19</v>
      </c>
      <c r="F96" s="2">
        <v>6145.1840000000002</v>
      </c>
      <c r="G96" s="1"/>
      <c r="H96" s="1">
        <f t="shared" si="16"/>
        <v>6145.1840000000002</v>
      </c>
      <c r="I96" s="92">
        <v>6103.2129999999997</v>
      </c>
      <c r="J96" s="1"/>
      <c r="K96" s="1">
        <f t="shared" si="15"/>
        <v>41.971000000000458</v>
      </c>
      <c r="L96" s="3">
        <f t="shared" si="17"/>
        <v>0.99317009873097362</v>
      </c>
      <c r="M96" s="25" t="s">
        <v>496</v>
      </c>
    </row>
    <row r="97" spans="2:14">
      <c r="B97" s="11">
        <v>75</v>
      </c>
      <c r="C97" s="239"/>
      <c r="D97" s="15" t="s">
        <v>262</v>
      </c>
      <c r="E97" s="1" t="s">
        <v>19</v>
      </c>
      <c r="F97" s="2">
        <v>40.499000000000002</v>
      </c>
      <c r="G97" s="1">
        <f>-40.5</f>
        <v>-40.5</v>
      </c>
      <c r="H97" s="1">
        <f t="shared" si="16"/>
        <v>-9.9999999999766942E-4</v>
      </c>
      <c r="I97" s="92">
        <v>0</v>
      </c>
      <c r="J97" s="1"/>
      <c r="K97" s="1">
        <f t="shared" si="15"/>
        <v>-9.9999999999766942E-4</v>
      </c>
      <c r="L97" s="3">
        <f t="shared" si="17"/>
        <v>0</v>
      </c>
      <c r="M97" s="131" t="s">
        <v>496</v>
      </c>
    </row>
    <row r="98" spans="2:14">
      <c r="B98" s="11">
        <v>76</v>
      </c>
      <c r="C98" s="239"/>
      <c r="D98" s="15" t="s">
        <v>263</v>
      </c>
      <c r="E98" s="1" t="s">
        <v>19</v>
      </c>
      <c r="F98" s="2">
        <v>139.75800000000001</v>
      </c>
      <c r="G98" s="1">
        <f>50</f>
        <v>50</v>
      </c>
      <c r="H98" s="1">
        <f t="shared" si="16"/>
        <v>189.75800000000001</v>
      </c>
      <c r="I98" s="92">
        <v>33.704000000000001</v>
      </c>
      <c r="J98" s="1"/>
      <c r="K98" s="1">
        <f t="shared" si="15"/>
        <v>156.054</v>
      </c>
      <c r="L98" s="3">
        <f t="shared" si="17"/>
        <v>0.17761569999683807</v>
      </c>
      <c r="M98" s="149">
        <v>44264</v>
      </c>
    </row>
    <row r="99" spans="2:14">
      <c r="B99" s="11">
        <v>77</v>
      </c>
      <c r="C99" s="239"/>
      <c r="D99" s="15" t="s">
        <v>104</v>
      </c>
      <c r="E99" s="1" t="s">
        <v>19</v>
      </c>
      <c r="F99" s="2">
        <v>1313.259</v>
      </c>
      <c r="G99" s="1">
        <f>66.04-174-163-100+240+1.6</f>
        <v>-129.35999999999999</v>
      </c>
      <c r="H99" s="1">
        <f t="shared" si="16"/>
        <v>1183.8990000000001</v>
      </c>
      <c r="I99" s="92">
        <v>757.94500000000005</v>
      </c>
      <c r="J99" s="1"/>
      <c r="K99" s="1">
        <f t="shared" si="15"/>
        <v>425.95400000000006</v>
      </c>
      <c r="L99" s="3">
        <f t="shared" si="17"/>
        <v>0.64021086258202764</v>
      </c>
      <c r="M99" s="149">
        <v>44379</v>
      </c>
    </row>
    <row r="100" spans="2:14">
      <c r="B100" s="11">
        <v>78</v>
      </c>
      <c r="C100" s="239"/>
      <c r="D100" s="15" t="s">
        <v>105</v>
      </c>
      <c r="E100" s="1" t="s">
        <v>19</v>
      </c>
      <c r="F100" s="2">
        <v>105.791</v>
      </c>
      <c r="G100" s="1"/>
      <c r="H100" s="1">
        <f t="shared" si="16"/>
        <v>105.791</v>
      </c>
      <c r="I100" s="92">
        <v>19.727</v>
      </c>
      <c r="J100" s="1"/>
      <c r="K100" s="1">
        <f t="shared" si="15"/>
        <v>86.063999999999993</v>
      </c>
      <c r="L100" s="3">
        <f t="shared" si="17"/>
        <v>0.1864714389692885</v>
      </c>
      <c r="M100" s="142">
        <v>44256</v>
      </c>
    </row>
    <row r="101" spans="2:14">
      <c r="C101" s="239"/>
      <c r="D101" s="15" t="s">
        <v>207</v>
      </c>
      <c r="E101" s="25" t="s">
        <v>19</v>
      </c>
      <c r="F101" s="25">
        <v>0</v>
      </c>
      <c r="G101" s="2">
        <f>59+400+187+60+66+35+35+35+35+306+25+132+235.8+1713+1201+102+685+538+2403+1932+350+30.337+30.337+43.921+99.161+940+352+244.877+7+597.402+33.959+219.603+596+10+72.899+6089+837+25+2476+226.395+452.792+170.4116+2500+235+1.7+933+852+181.117+100+600+120+305+170+243+305+306+333+115+460+116+108.7+115+230+115+460+176+111+310+750+498+5672+238+50+47+86+550+290+30+660+29+7.7+420+113.198+181.116+11.37+100+100+1054+153+53.603+81+5+27+163+10+90+50+293+3+60+25+93.4+5+10+240+0.89+115+6+1+390+4+92+135+100+6.63+19.88+19.88+19.88+6.63+50+2.5+29+26.5+100+108.22+1+0.45279+20+39+636</f>
        <v>47769.261389999992</v>
      </c>
      <c r="H101" s="5">
        <f t="shared" si="16"/>
        <v>47769.261389999992</v>
      </c>
      <c r="I101" s="25">
        <f>'Cesiones Indiv y Colecti VIII'!R3</f>
        <v>44779.421999999999</v>
      </c>
      <c r="J101" s="1"/>
      <c r="K101" s="1">
        <f t="shared" si="15"/>
        <v>2989.8393899999937</v>
      </c>
      <c r="L101" s="41">
        <f t="shared" si="17"/>
        <v>0.93741080973410473</v>
      </c>
      <c r="M101" s="25" t="s">
        <v>496</v>
      </c>
    </row>
    <row r="102" spans="2:14">
      <c r="C102" s="239"/>
      <c r="D102" s="45" t="s">
        <v>238</v>
      </c>
      <c r="E102" s="32" t="s">
        <v>19</v>
      </c>
      <c r="F102" s="63">
        <f>SUM(F23:F101)</f>
        <v>127876.99999999994</v>
      </c>
      <c r="G102" s="163">
        <f>SUM(G23:G101)</f>
        <v>51364.96338999999</v>
      </c>
      <c r="H102" s="164">
        <f>F102+G102</f>
        <v>179241.96338999993</v>
      </c>
      <c r="I102" s="36">
        <f>SUM(I23:I101)</f>
        <v>147579.43</v>
      </c>
      <c r="J102" s="31"/>
      <c r="K102" s="1">
        <f t="shared" si="15"/>
        <v>31662.533389999939</v>
      </c>
      <c r="L102" s="46">
        <f t="shared" si="17"/>
        <v>0.82335312115998383</v>
      </c>
      <c r="M102" s="36" t="s">
        <v>496</v>
      </c>
    </row>
    <row r="103" spans="2:14">
      <c r="I103" s="57"/>
      <c r="M103" s="57"/>
    </row>
    <row r="104" spans="2:14" ht="16.5" customHeight="1">
      <c r="C104" s="240" t="s">
        <v>43</v>
      </c>
      <c r="D104" s="15" t="s">
        <v>252</v>
      </c>
      <c r="E104" s="1" t="s">
        <v>19</v>
      </c>
      <c r="F104" s="1">
        <v>1992</v>
      </c>
      <c r="G104" s="1">
        <f>1042.6</f>
        <v>1042.5999999999999</v>
      </c>
      <c r="H104" s="1">
        <f>F104+G104</f>
        <v>3034.6</v>
      </c>
      <c r="I104" s="104">
        <v>744.47</v>
      </c>
      <c r="J104" s="1"/>
      <c r="K104" s="1">
        <f t="shared" si="15"/>
        <v>2290.13</v>
      </c>
      <c r="L104" s="3">
        <f>I104/H104</f>
        <v>0.24532722599354118</v>
      </c>
      <c r="M104" s="142">
        <v>44522</v>
      </c>
      <c r="N104" s="47"/>
    </row>
    <row r="105" spans="2:14" ht="20.25" customHeight="1">
      <c r="C105" s="241"/>
      <c r="D105" s="15" t="s">
        <v>207</v>
      </c>
      <c r="E105" s="25" t="s">
        <v>19</v>
      </c>
      <c r="F105" s="25"/>
      <c r="G105" s="1">
        <f>550+50+100+100+100+35+36+2+37</f>
        <v>1010</v>
      </c>
      <c r="H105" s="25">
        <f>F105+G105</f>
        <v>1010</v>
      </c>
      <c r="I105" s="25">
        <f>'Cesiones Ind IX-XIV'!U3</f>
        <v>358.012</v>
      </c>
      <c r="J105" s="1"/>
      <c r="K105" s="1">
        <f t="shared" si="15"/>
        <v>651.98800000000006</v>
      </c>
      <c r="L105" s="41">
        <f>I105/H105</f>
        <v>0.35446732673267328</v>
      </c>
      <c r="M105" s="25"/>
    </row>
    <row r="106" spans="2:14" ht="20.25" customHeight="1">
      <c r="C106" s="241"/>
      <c r="D106" s="15" t="s">
        <v>239</v>
      </c>
      <c r="E106" s="25" t="s">
        <v>19</v>
      </c>
      <c r="F106" s="25">
        <f>SUM(F104:F105)</f>
        <v>1992</v>
      </c>
      <c r="G106" s="1">
        <f>SUM(G104:G105)</f>
        <v>2052.6</v>
      </c>
      <c r="H106" s="25">
        <f>F106+G106</f>
        <v>4044.6</v>
      </c>
      <c r="I106" s="25">
        <f>SUM(I104:I105)</f>
        <v>1102.482</v>
      </c>
      <c r="J106" s="1">
        <f>J104+J105</f>
        <v>0</v>
      </c>
      <c r="K106" s="1">
        <f t="shared" si="15"/>
        <v>2942.1179999999999</v>
      </c>
      <c r="L106" s="41">
        <f>I106/H106</f>
        <v>0.27258121940364932</v>
      </c>
      <c r="M106" s="25" t="s">
        <v>496</v>
      </c>
    </row>
    <row r="107" spans="2:14">
      <c r="I107" s="57"/>
      <c r="M107" s="57"/>
    </row>
    <row r="108" spans="2:14" ht="15" customHeight="1">
      <c r="B108" s="11">
        <v>1</v>
      </c>
      <c r="C108" s="236" t="s">
        <v>44</v>
      </c>
      <c r="D108" s="15" t="s">
        <v>116</v>
      </c>
      <c r="E108" s="1" t="s">
        <v>19</v>
      </c>
      <c r="F108" s="1">
        <v>921.80799999999999</v>
      </c>
      <c r="G108" s="1">
        <f>-75-50-100-100-50+49.058-203-260</f>
        <v>-788.94200000000001</v>
      </c>
      <c r="H108" s="1">
        <f>F108+G108</f>
        <v>132.86599999999999</v>
      </c>
      <c r="I108" s="92">
        <v>82.352000000000004</v>
      </c>
      <c r="J108" s="1"/>
      <c r="K108" s="1">
        <f t="shared" si="15"/>
        <v>50.513999999999982</v>
      </c>
      <c r="L108" s="3">
        <f>(I108+J108)/H108</f>
        <v>0.61981244261135293</v>
      </c>
      <c r="M108" s="131" t="s">
        <v>496</v>
      </c>
    </row>
    <row r="109" spans="2:14">
      <c r="B109" s="11">
        <v>2</v>
      </c>
      <c r="C109" s="237"/>
      <c r="D109" s="15" t="s">
        <v>117</v>
      </c>
      <c r="E109" s="1" t="s">
        <v>19</v>
      </c>
      <c r="F109" s="1">
        <v>1643.509</v>
      </c>
      <c r="G109" s="1">
        <f>-30+87.466</f>
        <v>57.465999999999994</v>
      </c>
      <c r="H109" s="1">
        <f t="shared" ref="H109:H119" si="18">F109+G109</f>
        <v>1700.9749999999999</v>
      </c>
      <c r="I109" s="92">
        <v>162.643</v>
      </c>
      <c r="J109" s="1"/>
      <c r="K109" s="1">
        <f t="shared" si="15"/>
        <v>1538.3319999999999</v>
      </c>
      <c r="L109" s="3">
        <f t="shared" ref="L109:L120" si="19">(I109+J109)/H109</f>
        <v>9.5617513484913069E-2</v>
      </c>
      <c r="M109" s="142">
        <v>44524</v>
      </c>
    </row>
    <row r="110" spans="2:14">
      <c r="B110" s="11">
        <v>3</v>
      </c>
      <c r="C110" s="237"/>
      <c r="D110" s="15" t="s">
        <v>118</v>
      </c>
      <c r="E110" s="1" t="s">
        <v>19</v>
      </c>
      <c r="F110" s="1">
        <v>1302.0540000000001</v>
      </c>
      <c r="G110" s="1">
        <f>69.294</f>
        <v>69.293999999999997</v>
      </c>
      <c r="H110" s="1">
        <f t="shared" si="18"/>
        <v>1371.3480000000002</v>
      </c>
      <c r="I110" s="92">
        <v>377.55099999999999</v>
      </c>
      <c r="J110" s="1"/>
      <c r="K110" s="1">
        <f t="shared" si="15"/>
        <v>993.79700000000025</v>
      </c>
      <c r="L110" s="3">
        <f t="shared" si="19"/>
        <v>0.27531377885117414</v>
      </c>
      <c r="M110" s="142">
        <v>44524</v>
      </c>
    </row>
    <row r="111" spans="2:14">
      <c r="B111" s="11">
        <v>4</v>
      </c>
      <c r="C111" s="237"/>
      <c r="D111" s="15" t="s">
        <v>119</v>
      </c>
      <c r="E111" s="1" t="s">
        <v>19</v>
      </c>
      <c r="F111" s="1">
        <v>976.827</v>
      </c>
      <c r="G111" s="1">
        <f>51.986+300</f>
        <v>351.98599999999999</v>
      </c>
      <c r="H111" s="1">
        <f t="shared" si="18"/>
        <v>1328.8130000000001</v>
      </c>
      <c r="I111" s="92">
        <v>138.56399999999999</v>
      </c>
      <c r="J111" s="1"/>
      <c r="K111" s="1">
        <f t="shared" si="15"/>
        <v>1190.249</v>
      </c>
      <c r="L111" s="3">
        <f t="shared" si="19"/>
        <v>0.10427652348374074</v>
      </c>
      <c r="M111" s="142">
        <v>44543</v>
      </c>
    </row>
    <row r="112" spans="2:14">
      <c r="B112" s="11">
        <v>5</v>
      </c>
      <c r="C112" s="237"/>
      <c r="D112" s="15" t="s">
        <v>120</v>
      </c>
      <c r="E112" s="1" t="s">
        <v>19</v>
      </c>
      <c r="F112" s="1">
        <v>4080.8530000000001</v>
      </c>
      <c r="G112" s="1">
        <f>217.179</f>
        <v>217.179</v>
      </c>
      <c r="H112" s="1">
        <f t="shared" si="18"/>
        <v>4298.0320000000002</v>
      </c>
      <c r="I112" s="92">
        <v>555.13300000000004</v>
      </c>
      <c r="J112" s="1"/>
      <c r="K112" s="1">
        <f t="shared" si="15"/>
        <v>3742.8990000000003</v>
      </c>
      <c r="L112" s="3">
        <f t="shared" si="19"/>
        <v>0.12915981081574079</v>
      </c>
      <c r="M112" s="142">
        <v>44559</v>
      </c>
    </row>
    <row r="113" spans="2:13">
      <c r="B113" s="11">
        <v>6</v>
      </c>
      <c r="C113" s="237"/>
      <c r="D113" s="15" t="s">
        <v>121</v>
      </c>
      <c r="E113" s="1" t="s">
        <v>19</v>
      </c>
      <c r="F113" s="1">
        <v>714.09900000000005</v>
      </c>
      <c r="G113" s="1">
        <f>38.004</f>
        <v>38.003999999999998</v>
      </c>
      <c r="H113" s="1">
        <f t="shared" si="18"/>
        <v>752.10300000000007</v>
      </c>
      <c r="I113" s="92">
        <v>77.262</v>
      </c>
      <c r="J113" s="1"/>
      <c r="K113" s="1">
        <f t="shared" si="15"/>
        <v>674.84100000000012</v>
      </c>
      <c r="L113" s="3">
        <f t="shared" si="19"/>
        <v>0.10272795082588421</v>
      </c>
      <c r="M113" s="142">
        <v>44510</v>
      </c>
    </row>
    <row r="114" spans="2:13">
      <c r="B114" s="11">
        <v>7</v>
      </c>
      <c r="C114" s="237"/>
      <c r="D114" s="15" t="s">
        <v>122</v>
      </c>
      <c r="E114" s="1" t="s">
        <v>19</v>
      </c>
      <c r="F114" s="1">
        <v>732.81700000000001</v>
      </c>
      <c r="G114" s="1">
        <f>39</f>
        <v>39</v>
      </c>
      <c r="H114" s="1">
        <f t="shared" si="18"/>
        <v>771.81700000000001</v>
      </c>
      <c r="I114" s="92">
        <v>393.38600000000002</v>
      </c>
      <c r="J114" s="1"/>
      <c r="K114" s="1">
        <f t="shared" si="15"/>
        <v>378.43099999999998</v>
      </c>
      <c r="L114" s="3">
        <f t="shared" si="19"/>
        <v>0.50968817737883465</v>
      </c>
      <c r="M114" s="142">
        <v>44531</v>
      </c>
    </row>
    <row r="115" spans="2:13">
      <c r="B115" s="11">
        <v>8</v>
      </c>
      <c r="C115" s="237"/>
      <c r="D115" s="15" t="s">
        <v>123</v>
      </c>
      <c r="E115" s="1" t="s">
        <v>19</v>
      </c>
      <c r="F115" s="1">
        <v>852.86900000000003</v>
      </c>
      <c r="G115" s="1">
        <f>45.389</f>
        <v>45.389000000000003</v>
      </c>
      <c r="H115" s="1">
        <f t="shared" si="18"/>
        <v>898.25800000000004</v>
      </c>
      <c r="I115" s="92">
        <v>265.62799999999999</v>
      </c>
      <c r="J115" s="1"/>
      <c r="K115" s="1">
        <f t="shared" si="15"/>
        <v>632.63000000000011</v>
      </c>
      <c r="L115" s="3">
        <f t="shared" si="19"/>
        <v>0.29571459424797775</v>
      </c>
      <c r="M115" s="142">
        <v>44532</v>
      </c>
    </row>
    <row r="116" spans="2:13">
      <c r="B116" s="11">
        <v>9</v>
      </c>
      <c r="C116" s="237"/>
      <c r="D116" s="15" t="s">
        <v>124</v>
      </c>
      <c r="E116" s="1" t="s">
        <v>19</v>
      </c>
      <c r="F116" s="1">
        <v>347.45800000000003</v>
      </c>
      <c r="G116" s="1">
        <f>18.491-240</f>
        <v>-221.50900000000001</v>
      </c>
      <c r="H116" s="1">
        <f t="shared" si="18"/>
        <v>125.94900000000001</v>
      </c>
      <c r="I116" s="92">
        <v>95.122</v>
      </c>
      <c r="J116" s="1"/>
      <c r="K116" s="1">
        <f t="shared" si="15"/>
        <v>30.827000000000012</v>
      </c>
      <c r="L116" s="3">
        <f t="shared" si="19"/>
        <v>0.75524220120842556</v>
      </c>
      <c r="M116" s="142">
        <v>44519</v>
      </c>
    </row>
    <row r="117" spans="2:13">
      <c r="B117" s="11">
        <v>10</v>
      </c>
      <c r="C117" s="237"/>
      <c r="D117" s="15" t="s">
        <v>125</v>
      </c>
      <c r="E117" s="1" t="s">
        <v>19</v>
      </c>
      <c r="F117" s="1">
        <v>310.262</v>
      </c>
      <c r="G117" s="1">
        <f>-66.04-57.63-57.63-57.63-69.64+16.512-1.6</f>
        <v>-293.65800000000002</v>
      </c>
      <c r="H117" s="1">
        <f t="shared" si="18"/>
        <v>16.603999999999985</v>
      </c>
      <c r="I117" s="92">
        <v>0</v>
      </c>
      <c r="J117" s="1"/>
      <c r="K117" s="1">
        <f t="shared" si="15"/>
        <v>16.603999999999985</v>
      </c>
      <c r="L117" s="3">
        <f t="shared" si="19"/>
        <v>0</v>
      </c>
      <c r="M117" s="47" t="s">
        <v>496</v>
      </c>
    </row>
    <row r="118" spans="2:13">
      <c r="B118" s="11">
        <v>11</v>
      </c>
      <c r="C118" s="237"/>
      <c r="D118" s="15" t="s">
        <v>126</v>
      </c>
      <c r="E118" s="1" t="s">
        <v>19</v>
      </c>
      <c r="F118" s="1">
        <v>124.444</v>
      </c>
      <c r="G118" s="1">
        <f>6.623</f>
        <v>6.6230000000000002</v>
      </c>
      <c r="H118" s="1">
        <f t="shared" si="18"/>
        <v>131.06700000000001</v>
      </c>
      <c r="I118" s="92">
        <v>41.996000000000002</v>
      </c>
      <c r="J118" s="1"/>
      <c r="K118" s="1">
        <f t="shared" si="15"/>
        <v>89.070999999999998</v>
      </c>
      <c r="L118" s="3">
        <f t="shared" si="19"/>
        <v>0.32041627564528063</v>
      </c>
      <c r="M118" s="142">
        <v>44524</v>
      </c>
    </row>
    <row r="119" spans="2:13">
      <c r="C119" s="237"/>
      <c r="D119" s="15" t="s">
        <v>207</v>
      </c>
      <c r="E119" s="25" t="s">
        <v>19</v>
      </c>
      <c r="F119" s="25"/>
      <c r="G119" s="1">
        <f>600+90+1562.127+30+186+57.63+57.63+57.63+750+425+125+250+905.58+125+50+69.64+15+35+154+134+176+600+167+1+300+250+215+300+260</f>
        <v>7948.2370000000001</v>
      </c>
      <c r="H119" s="25">
        <f t="shared" si="18"/>
        <v>7948.2370000000001</v>
      </c>
      <c r="I119" s="25">
        <f>'Cesiones Ind IX-XIV'!W3</f>
        <v>3296.6239999999998</v>
      </c>
      <c r="J119" s="1"/>
      <c r="K119" s="1">
        <f t="shared" si="15"/>
        <v>4651.6130000000003</v>
      </c>
      <c r="L119" s="3">
        <f t="shared" si="19"/>
        <v>0.41476166349845883</v>
      </c>
      <c r="M119" s="25" t="s">
        <v>496</v>
      </c>
    </row>
    <row r="120" spans="2:13">
      <c r="C120" s="237"/>
      <c r="D120" s="15" t="s">
        <v>240</v>
      </c>
      <c r="E120" s="25" t="s">
        <v>19</v>
      </c>
      <c r="F120" s="25">
        <f>SUM(F108:F119)</f>
        <v>12007.000000000002</v>
      </c>
      <c r="G120" s="1">
        <f>SUM(G108:G119)</f>
        <v>7469.0690000000004</v>
      </c>
      <c r="H120" s="25">
        <f>F120+G120</f>
        <v>19476.069000000003</v>
      </c>
      <c r="I120" s="25">
        <f>SUM(I108:I119)</f>
        <v>5486.2609999999995</v>
      </c>
      <c r="J120" s="1"/>
      <c r="K120" s="1">
        <f t="shared" si="15"/>
        <v>13989.808000000005</v>
      </c>
      <c r="L120" s="3">
        <f t="shared" si="19"/>
        <v>0.28169241955345292</v>
      </c>
      <c r="M120" s="25" t="s">
        <v>496</v>
      </c>
    </row>
    <row r="121" spans="2:13">
      <c r="I121" s="57"/>
      <c r="M121" s="57"/>
    </row>
    <row r="122" spans="2:13" ht="15" customHeight="1">
      <c r="B122" s="11">
        <v>1</v>
      </c>
      <c r="C122" s="236" t="s">
        <v>45</v>
      </c>
      <c r="D122" s="18" t="s">
        <v>106</v>
      </c>
      <c r="E122" s="1" t="s">
        <v>19</v>
      </c>
      <c r="F122" s="1">
        <v>422.74599999999998</v>
      </c>
      <c r="G122" s="1">
        <f>-160-180-55.777</f>
        <v>-395.77699999999999</v>
      </c>
      <c r="H122" s="1">
        <f>F122+G122</f>
        <v>26.968999999999994</v>
      </c>
      <c r="I122" s="92">
        <v>26.969000000000001</v>
      </c>
      <c r="J122" s="1"/>
      <c r="K122" s="1">
        <f t="shared" si="15"/>
        <v>0</v>
      </c>
      <c r="L122" s="3">
        <f>I122/H122</f>
        <v>1.0000000000000002</v>
      </c>
      <c r="M122" s="142">
        <v>44560</v>
      </c>
    </row>
    <row r="123" spans="2:13">
      <c r="B123" s="11">
        <v>2</v>
      </c>
      <c r="C123" s="237"/>
      <c r="D123" s="18" t="s">
        <v>107</v>
      </c>
      <c r="E123" s="1" t="s">
        <v>19</v>
      </c>
      <c r="F123" s="1">
        <v>1508.548</v>
      </c>
      <c r="G123" s="1">
        <f>-150-240-1+180+55.777</f>
        <v>-155.22300000000001</v>
      </c>
      <c r="H123" s="1">
        <f t="shared" ref="H123:H131" si="20">F123+G123</f>
        <v>1353.325</v>
      </c>
      <c r="I123" s="92">
        <v>1292.8510000000001</v>
      </c>
      <c r="J123" s="1"/>
      <c r="K123" s="1">
        <f t="shared" si="15"/>
        <v>60.473999999999933</v>
      </c>
      <c r="L123" s="3">
        <f t="shared" ref="L123:L132" si="21">I123/H123</f>
        <v>0.95531450316812305</v>
      </c>
      <c r="M123" s="149">
        <v>44498</v>
      </c>
    </row>
    <row r="124" spans="2:13">
      <c r="B124" s="11">
        <v>3</v>
      </c>
      <c r="C124" s="237"/>
      <c r="D124" s="18" t="s">
        <v>270</v>
      </c>
      <c r="E124" s="1" t="s">
        <v>19</v>
      </c>
      <c r="F124" s="1">
        <v>1780.817</v>
      </c>
      <c r="G124" s="1">
        <f>-400-37</f>
        <v>-437</v>
      </c>
      <c r="H124" s="1">
        <f t="shared" si="20"/>
        <v>1343.817</v>
      </c>
      <c r="I124" s="92">
        <v>1259.433</v>
      </c>
      <c r="J124" s="1"/>
      <c r="K124" s="1">
        <f t="shared" si="15"/>
        <v>84.384000000000015</v>
      </c>
      <c r="L124" s="3">
        <f t="shared" si="21"/>
        <v>0.93720573560239229</v>
      </c>
      <c r="M124" s="25" t="s">
        <v>496</v>
      </c>
    </row>
    <row r="125" spans="2:13">
      <c r="B125" s="11">
        <v>4</v>
      </c>
      <c r="C125" s="237"/>
      <c r="D125" s="18" t="s">
        <v>109</v>
      </c>
      <c r="E125" s="1" t="s">
        <v>19</v>
      </c>
      <c r="F125" s="1">
        <v>553.90200000000004</v>
      </c>
      <c r="G125" s="1">
        <f>-400-90</f>
        <v>-490</v>
      </c>
      <c r="H125" s="1">
        <f t="shared" si="20"/>
        <v>63.902000000000044</v>
      </c>
      <c r="I125" s="92">
        <v>37.878</v>
      </c>
      <c r="J125" s="1"/>
      <c r="K125" s="1">
        <f t="shared" si="15"/>
        <v>26.024000000000044</v>
      </c>
      <c r="L125" s="3">
        <f t="shared" si="21"/>
        <v>0.59275140058214104</v>
      </c>
      <c r="M125" s="25" t="s">
        <v>496</v>
      </c>
    </row>
    <row r="126" spans="2:13">
      <c r="B126" s="11">
        <v>5</v>
      </c>
      <c r="C126" s="237"/>
      <c r="D126" s="18" t="s">
        <v>110</v>
      </c>
      <c r="E126" s="1" t="s">
        <v>19</v>
      </c>
      <c r="F126" s="1">
        <v>582.02499999999998</v>
      </c>
      <c r="G126" s="1">
        <f>-200-50-1</f>
        <v>-251</v>
      </c>
      <c r="H126" s="1">
        <f t="shared" si="20"/>
        <v>331.02499999999998</v>
      </c>
      <c r="I126" s="92">
        <v>226.18600000000001</v>
      </c>
      <c r="J126" s="1"/>
      <c r="K126" s="1">
        <f t="shared" si="15"/>
        <v>104.83899999999997</v>
      </c>
      <c r="L126" s="3">
        <f t="shared" si="21"/>
        <v>0.68328978173853949</v>
      </c>
      <c r="M126" s="25" t="s">
        <v>496</v>
      </c>
    </row>
    <row r="127" spans="2:13">
      <c r="B127" s="11">
        <v>6</v>
      </c>
      <c r="C127" s="237"/>
      <c r="D127" s="18" t="s">
        <v>111</v>
      </c>
      <c r="E127" s="1" t="s">
        <v>19</v>
      </c>
      <c r="F127" s="1">
        <v>293.57900000000001</v>
      </c>
      <c r="G127" s="1">
        <f>-293</f>
        <v>-293</v>
      </c>
      <c r="H127" s="1">
        <f t="shared" si="20"/>
        <v>0.57900000000000773</v>
      </c>
      <c r="I127" s="92"/>
      <c r="J127" s="1"/>
      <c r="K127" s="1">
        <f t="shared" si="15"/>
        <v>0.57900000000000773</v>
      </c>
      <c r="L127" s="3">
        <f t="shared" si="21"/>
        <v>0</v>
      </c>
      <c r="M127" s="131" t="s">
        <v>496</v>
      </c>
    </row>
    <row r="128" spans="2:13">
      <c r="B128" s="11">
        <v>7</v>
      </c>
      <c r="C128" s="237"/>
      <c r="D128" s="18" t="s">
        <v>112</v>
      </c>
      <c r="E128" s="1" t="s">
        <v>19</v>
      </c>
      <c r="F128" s="1">
        <v>291.72000000000003</v>
      </c>
      <c r="G128" s="1">
        <f>-187-25-90</f>
        <v>-302</v>
      </c>
      <c r="H128" s="1">
        <f t="shared" si="20"/>
        <v>-10.279999999999973</v>
      </c>
      <c r="I128" s="92"/>
      <c r="J128" s="1"/>
      <c r="K128" s="37">
        <f t="shared" si="15"/>
        <v>-10.279999999999973</v>
      </c>
      <c r="L128" s="3">
        <f>(G128/F128)*-1</f>
        <v>1.0352392705333882</v>
      </c>
      <c r="M128" s="142">
        <v>44498</v>
      </c>
    </row>
    <row r="129" spans="2:13">
      <c r="B129" s="11">
        <v>8</v>
      </c>
      <c r="C129" s="237"/>
      <c r="D129" s="18" t="s">
        <v>113</v>
      </c>
      <c r="E129" s="1" t="s">
        <v>19</v>
      </c>
      <c r="F129" s="1">
        <v>1518.5630000000001</v>
      </c>
      <c r="G129" s="1">
        <f>-346.483-300-9.98-2-2-144</f>
        <v>-804.46299999999997</v>
      </c>
      <c r="H129" s="1">
        <f t="shared" si="20"/>
        <v>714.10000000000014</v>
      </c>
      <c r="I129" s="92">
        <v>694.76</v>
      </c>
      <c r="J129" s="1"/>
      <c r="K129" s="1">
        <f t="shared" si="15"/>
        <v>19.340000000000146</v>
      </c>
      <c r="L129" s="3">
        <f t="shared" si="21"/>
        <v>0.97291695840918624</v>
      </c>
      <c r="M129" s="25" t="s">
        <v>496</v>
      </c>
    </row>
    <row r="130" spans="2:13">
      <c r="B130" s="11">
        <v>9</v>
      </c>
      <c r="C130" s="237"/>
      <c r="D130" s="18" t="s">
        <v>114</v>
      </c>
      <c r="E130" s="1" t="s">
        <v>19</v>
      </c>
      <c r="F130" s="1">
        <v>257.99599999999998</v>
      </c>
      <c r="G130" s="1">
        <f>-7-3-3-120</f>
        <v>-133</v>
      </c>
      <c r="H130" s="1">
        <f t="shared" si="20"/>
        <v>124.99599999999998</v>
      </c>
      <c r="I130" s="92">
        <v>93.52</v>
      </c>
      <c r="J130" s="1"/>
      <c r="K130" s="1">
        <f t="shared" si="15"/>
        <v>31.475999999999985</v>
      </c>
      <c r="L130" s="3">
        <f t="shared" si="21"/>
        <v>0.74818394188614046</v>
      </c>
      <c r="M130" s="25" t="s">
        <v>496</v>
      </c>
    </row>
    <row r="131" spans="2:13">
      <c r="B131" s="11">
        <v>10</v>
      </c>
      <c r="C131" s="237"/>
      <c r="D131" s="18" t="s">
        <v>115</v>
      </c>
      <c r="E131" s="1" t="s">
        <v>19</v>
      </c>
      <c r="F131" s="1">
        <v>188.1</v>
      </c>
      <c r="G131" s="1"/>
      <c r="H131" s="1">
        <f t="shared" si="20"/>
        <v>188.1</v>
      </c>
      <c r="I131" s="92">
        <v>14.75</v>
      </c>
      <c r="J131" s="1"/>
      <c r="K131" s="1">
        <f t="shared" si="15"/>
        <v>173.35</v>
      </c>
      <c r="L131" s="3">
        <f t="shared" si="21"/>
        <v>7.8415736310473161E-2</v>
      </c>
      <c r="M131" s="25" t="s">
        <v>496</v>
      </c>
    </row>
    <row r="132" spans="2:13">
      <c r="C132" s="237"/>
      <c r="D132" s="18" t="s">
        <v>241</v>
      </c>
      <c r="E132" s="1" t="s">
        <v>19</v>
      </c>
      <c r="F132" s="1">
        <f>SUM(F122:F131)</f>
        <v>7397.9960000000001</v>
      </c>
      <c r="G132" s="1">
        <f>SUM(G122:G131)</f>
        <v>-3261.4629999999997</v>
      </c>
      <c r="H132" s="25">
        <f>F132+G132</f>
        <v>4136.5330000000004</v>
      </c>
      <c r="I132" s="25">
        <f>SUM(I122:I131)</f>
        <v>3646.3470000000002</v>
      </c>
      <c r="J132" s="1"/>
      <c r="K132" s="1">
        <f t="shared" si="15"/>
        <v>490.18600000000015</v>
      </c>
      <c r="L132" s="41">
        <f t="shared" si="21"/>
        <v>0.8814983465622056</v>
      </c>
      <c r="M132" s="25" t="s">
        <v>496</v>
      </c>
    </row>
    <row r="133" spans="2:13">
      <c r="I133" s="57"/>
    </row>
    <row r="134" spans="2:13">
      <c r="G134" s="35">
        <f>SUM(G7:G131)</f>
        <v>96744.18058</v>
      </c>
    </row>
  </sheetData>
  <mergeCells count="9">
    <mergeCell ref="C108:C120"/>
    <mergeCell ref="C23:C102"/>
    <mergeCell ref="C104:C106"/>
    <mergeCell ref="C122:C132"/>
    <mergeCell ref="C2:M2"/>
    <mergeCell ref="C3:M3"/>
    <mergeCell ref="C7:C13"/>
    <mergeCell ref="C15:C16"/>
    <mergeCell ref="C18:C2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00"/>
  </sheetPr>
  <dimension ref="B2:N134"/>
  <sheetViews>
    <sheetView topLeftCell="A88" zoomScale="90" zoomScaleNormal="90" workbookViewId="0">
      <selection activeCell="I112" sqref="I112"/>
    </sheetView>
  </sheetViews>
  <sheetFormatPr baseColWidth="10" defaultRowHeight="15"/>
  <cols>
    <col min="1" max="1" width="7.5703125" customWidth="1"/>
    <col min="2" max="2" width="7.42578125" customWidth="1"/>
    <col min="3" max="3" width="14.42578125" customWidth="1"/>
    <col min="4" max="4" width="61.28515625" customWidth="1"/>
    <col min="5" max="5" width="13.140625" customWidth="1"/>
    <col min="6" max="6" width="14.5703125" bestFit="1" customWidth="1"/>
    <col min="7" max="7" width="12.7109375" customWidth="1"/>
    <col min="8" max="8" width="13.7109375" bestFit="1" customWidth="1"/>
    <col min="9" max="9" width="14.85546875" customWidth="1"/>
    <col min="10" max="10" width="11.42578125" style="11"/>
    <col min="12" max="12" width="13.42578125" bestFit="1" customWidth="1"/>
  </cols>
  <sheetData>
    <row r="2" spans="3:13" ht="18.75">
      <c r="C2" s="256" t="s">
        <v>517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3:13">
      <c r="C3" s="232">
        <f>RESUMEN!B3</f>
        <v>44201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5" spans="3:13" ht="30" customHeight="1">
      <c r="C5" s="71" t="s">
        <v>38</v>
      </c>
      <c r="D5" s="71" t="s">
        <v>35</v>
      </c>
      <c r="E5" s="71" t="s">
        <v>0</v>
      </c>
      <c r="F5" s="71" t="s">
        <v>1</v>
      </c>
      <c r="G5" s="71" t="s">
        <v>2</v>
      </c>
      <c r="H5" s="71" t="s">
        <v>3</v>
      </c>
      <c r="I5" s="71" t="s">
        <v>4</v>
      </c>
      <c r="J5" s="72" t="s">
        <v>159</v>
      </c>
      <c r="K5" s="71" t="s">
        <v>5</v>
      </c>
      <c r="L5" s="71" t="s">
        <v>6</v>
      </c>
      <c r="M5" s="73" t="s">
        <v>37</v>
      </c>
    </row>
    <row r="7" spans="3:13" ht="15" customHeight="1">
      <c r="C7" s="252" t="s">
        <v>39</v>
      </c>
      <c r="D7" s="7" t="s">
        <v>130</v>
      </c>
      <c r="E7" s="1" t="s">
        <v>19</v>
      </c>
      <c r="F7" s="1">
        <v>3018.6950000000002</v>
      </c>
      <c r="G7" s="1">
        <f>-1551-148-423-895</f>
        <v>-3017</v>
      </c>
      <c r="H7" s="1">
        <f t="shared" ref="H7:H13" si="0">F7+G7</f>
        <v>1.6950000000001637</v>
      </c>
      <c r="I7" s="25"/>
      <c r="J7" s="1"/>
      <c r="K7" s="1">
        <f t="shared" ref="K7:K13" si="1">H7-(I7+J7)</f>
        <v>1.6950000000001637</v>
      </c>
      <c r="L7" s="3">
        <f>(G7/F7)*-1</f>
        <v>0.99943849908652571</v>
      </c>
      <c r="M7" s="131" t="s">
        <v>496</v>
      </c>
    </row>
    <row r="8" spans="3:13">
      <c r="C8" s="253"/>
      <c r="D8" s="7" t="s">
        <v>477</v>
      </c>
      <c r="E8" s="1" t="s">
        <v>19</v>
      </c>
      <c r="F8" s="1">
        <v>621.94000000000005</v>
      </c>
      <c r="G8" s="1">
        <f>-350.636-87-184+141.284</f>
        <v>-480.35199999999998</v>
      </c>
      <c r="H8" s="1">
        <f t="shared" si="0"/>
        <v>141.58800000000008</v>
      </c>
      <c r="I8" s="25"/>
      <c r="J8" s="1"/>
      <c r="K8" s="1">
        <f t="shared" si="1"/>
        <v>141.58800000000008</v>
      </c>
      <c r="L8" s="3">
        <f>(G8/F8)*-1</f>
        <v>0.77234459915747489</v>
      </c>
      <c r="M8" s="142">
        <v>44547</v>
      </c>
    </row>
    <row r="9" spans="3:13">
      <c r="C9" s="253"/>
      <c r="D9" s="74" t="s">
        <v>132</v>
      </c>
      <c r="E9" s="1" t="s">
        <v>19</v>
      </c>
      <c r="F9" s="1">
        <v>3.0259999999999998</v>
      </c>
      <c r="G9" s="1"/>
      <c r="H9" s="1">
        <f t="shared" si="0"/>
        <v>3.0259999999999998</v>
      </c>
      <c r="I9" s="92"/>
      <c r="J9" s="1"/>
      <c r="K9" s="1">
        <f t="shared" si="1"/>
        <v>3.0259999999999998</v>
      </c>
      <c r="L9" s="3">
        <f t="shared" ref="L9:L13" si="2">I9/H9</f>
        <v>0</v>
      </c>
      <c r="M9" s="25" t="s">
        <v>496</v>
      </c>
    </row>
    <row r="10" spans="3:13" s="11" customFormat="1">
      <c r="C10" s="253"/>
      <c r="D10" s="74" t="s">
        <v>265</v>
      </c>
      <c r="E10" s="1" t="s">
        <v>19</v>
      </c>
      <c r="F10" s="1">
        <v>35.006999999999998</v>
      </c>
      <c r="G10" s="1"/>
      <c r="H10" s="1">
        <f t="shared" si="0"/>
        <v>35.006999999999998</v>
      </c>
      <c r="I10" s="92">
        <v>31</v>
      </c>
      <c r="J10" s="1"/>
      <c r="K10" s="1">
        <f t="shared" si="1"/>
        <v>4.0069999999999979</v>
      </c>
      <c r="L10" s="3">
        <f t="shared" si="2"/>
        <v>0.88553717827862999</v>
      </c>
      <c r="M10" s="25" t="s">
        <v>496</v>
      </c>
    </row>
    <row r="11" spans="3:13" s="11" customFormat="1">
      <c r="C11" s="253"/>
      <c r="D11" s="74" t="s">
        <v>266</v>
      </c>
      <c r="E11" s="1" t="s">
        <v>19</v>
      </c>
      <c r="F11" s="1">
        <v>1.887</v>
      </c>
      <c r="G11" s="1"/>
      <c r="H11" s="1">
        <f t="shared" si="0"/>
        <v>1.887</v>
      </c>
      <c r="I11" s="95"/>
      <c r="J11" s="1"/>
      <c r="K11" s="1">
        <f t="shared" si="1"/>
        <v>1.887</v>
      </c>
      <c r="L11" s="3">
        <f t="shared" si="2"/>
        <v>0</v>
      </c>
      <c r="M11" s="25" t="s">
        <v>496</v>
      </c>
    </row>
    <row r="12" spans="3:13">
      <c r="C12" s="253"/>
      <c r="D12" s="7" t="s">
        <v>133</v>
      </c>
      <c r="E12" s="1" t="s">
        <v>19</v>
      </c>
      <c r="F12" s="1">
        <v>184.44499999999999</v>
      </c>
      <c r="G12" s="1"/>
      <c r="H12" s="1">
        <f t="shared" si="0"/>
        <v>184.44499999999999</v>
      </c>
      <c r="I12" s="43">
        <v>190.27</v>
      </c>
      <c r="J12" s="1"/>
      <c r="K12" s="1">
        <f t="shared" si="1"/>
        <v>-5.8250000000000171</v>
      </c>
      <c r="L12" s="88">
        <f t="shared" si="2"/>
        <v>1.0315812301770175</v>
      </c>
      <c r="M12" s="132" t="s">
        <v>496</v>
      </c>
    </row>
    <row r="13" spans="3:13" s="11" customFormat="1">
      <c r="C13" s="253"/>
      <c r="D13" s="7" t="s">
        <v>242</v>
      </c>
      <c r="E13" s="25" t="s">
        <v>19</v>
      </c>
      <c r="F13" s="1">
        <f>SUM(F7:F12)</f>
        <v>3865.0000000000005</v>
      </c>
      <c r="G13" s="1">
        <f>SUM(G7:G12)</f>
        <v>-3497.3519999999999</v>
      </c>
      <c r="H13" s="25">
        <f t="shared" si="0"/>
        <v>367.64800000000059</v>
      </c>
      <c r="I13" s="92">
        <f>SUM(I7:I12)</f>
        <v>221.27</v>
      </c>
      <c r="J13" s="1">
        <f>SUM(J7:J12)</f>
        <v>0</v>
      </c>
      <c r="K13" s="1">
        <f t="shared" si="1"/>
        <v>146.37800000000058</v>
      </c>
      <c r="L13" s="3">
        <f t="shared" si="2"/>
        <v>0.60185285925667931</v>
      </c>
      <c r="M13" s="47" t="s">
        <v>496</v>
      </c>
    </row>
    <row r="14" spans="3:13">
      <c r="I14" s="57"/>
      <c r="M14" s="57"/>
    </row>
    <row r="15" spans="3:13" ht="18.75" customHeight="1">
      <c r="C15" s="257" t="s">
        <v>40</v>
      </c>
      <c r="D15" s="64" t="s">
        <v>250</v>
      </c>
      <c r="E15" s="1" t="s">
        <v>19</v>
      </c>
      <c r="F15" s="1">
        <v>91</v>
      </c>
      <c r="G15" s="1">
        <v>0</v>
      </c>
      <c r="H15" s="1">
        <f>F15+G15</f>
        <v>91</v>
      </c>
      <c r="I15" s="92">
        <v>0</v>
      </c>
      <c r="J15" s="1"/>
      <c r="K15" s="1">
        <f>H15-(I15+J15)</f>
        <v>91</v>
      </c>
      <c r="L15" s="1">
        <f>I15/H15</f>
        <v>0</v>
      </c>
      <c r="M15" s="25" t="s">
        <v>496</v>
      </c>
    </row>
    <row r="16" spans="3:13" s="11" customFormat="1" ht="18.75" customHeight="1">
      <c r="C16" s="258"/>
      <c r="D16" s="64" t="s">
        <v>236</v>
      </c>
      <c r="E16" s="25" t="s">
        <v>19</v>
      </c>
      <c r="F16" s="1">
        <f>F15</f>
        <v>91</v>
      </c>
      <c r="G16" s="1">
        <f>G15</f>
        <v>0</v>
      </c>
      <c r="H16" s="25">
        <f>F16+G16</f>
        <v>91</v>
      </c>
      <c r="I16" s="25">
        <f>I15</f>
        <v>0</v>
      </c>
      <c r="J16" s="1">
        <f>J15</f>
        <v>0</v>
      </c>
      <c r="K16" s="1">
        <f>H16-(I16+J16)</f>
        <v>91</v>
      </c>
      <c r="L16" s="41">
        <f>I16/H16</f>
        <v>0</v>
      </c>
      <c r="M16" s="25" t="s">
        <v>496</v>
      </c>
    </row>
    <row r="17" spans="2:13">
      <c r="I17" s="57"/>
      <c r="M17" s="57"/>
    </row>
    <row r="18" spans="2:13" ht="15" customHeight="1">
      <c r="C18" s="252" t="s">
        <v>41</v>
      </c>
      <c r="D18" s="7" t="s">
        <v>127</v>
      </c>
      <c r="E18" s="1" t="s">
        <v>19</v>
      </c>
      <c r="F18" s="1">
        <v>817.04899999999998</v>
      </c>
      <c r="G18" s="1">
        <f>-460.87-114.632-241.547</f>
        <v>-817.04899999999998</v>
      </c>
      <c r="H18" s="1">
        <f>F18+G18</f>
        <v>0</v>
      </c>
      <c r="I18" s="92"/>
      <c r="J18" s="1"/>
      <c r="K18" s="1">
        <f>H18-(I18+J18)</f>
        <v>0</v>
      </c>
      <c r="L18" s="3">
        <f>(G18/F18)*-1</f>
        <v>1</v>
      </c>
      <c r="M18" s="25" t="s">
        <v>496</v>
      </c>
    </row>
    <row r="19" spans="2:13">
      <c r="C19" s="253"/>
      <c r="D19" s="7" t="s">
        <v>128</v>
      </c>
      <c r="E19" s="1" t="s">
        <v>19</v>
      </c>
      <c r="F19" s="1">
        <v>443</v>
      </c>
      <c r="G19" s="1">
        <f>-249.881-62.135-130.974</f>
        <v>-442.99</v>
      </c>
      <c r="H19" s="1">
        <f>F19+G19</f>
        <v>9.9999999999909051E-3</v>
      </c>
      <c r="I19" s="25"/>
      <c r="J19" s="1"/>
      <c r="K19" s="1">
        <f t="shared" ref="K19:K82" si="3">H19-(I19+J19)</f>
        <v>9.9999999999909051E-3</v>
      </c>
      <c r="L19" s="3">
        <f>(G19/F19)*-1</f>
        <v>0.99997742663656886</v>
      </c>
      <c r="M19" s="25" t="s">
        <v>496</v>
      </c>
    </row>
    <row r="20" spans="2:13">
      <c r="C20" s="253"/>
      <c r="D20" s="7" t="s">
        <v>129</v>
      </c>
      <c r="E20" s="1" t="s">
        <v>19</v>
      </c>
      <c r="F20" s="1">
        <v>136.95099999999999</v>
      </c>
      <c r="G20" s="1"/>
      <c r="H20" s="1">
        <f>F20+G20</f>
        <v>136.95099999999999</v>
      </c>
      <c r="I20" s="25"/>
      <c r="J20" s="1"/>
      <c r="K20" s="1">
        <f t="shared" si="3"/>
        <v>136.95099999999999</v>
      </c>
      <c r="L20" s="3">
        <f>I20/H20</f>
        <v>0</v>
      </c>
      <c r="M20" s="25" t="s">
        <v>496</v>
      </c>
    </row>
    <row r="21" spans="2:13" s="11" customFormat="1">
      <c r="C21" s="253"/>
      <c r="D21" s="7" t="s">
        <v>237</v>
      </c>
      <c r="E21" s="25" t="s">
        <v>19</v>
      </c>
      <c r="F21" s="1">
        <f>SUM(F18:F20)</f>
        <v>1397</v>
      </c>
      <c r="G21" s="1">
        <f>SUM(G18:G20)</f>
        <v>-1260.039</v>
      </c>
      <c r="H21" s="25">
        <f>F21+G21</f>
        <v>136.96100000000001</v>
      </c>
      <c r="I21" s="25">
        <f>SUM(I18:I20)</f>
        <v>0</v>
      </c>
      <c r="J21" s="1"/>
      <c r="K21" s="1">
        <f t="shared" si="3"/>
        <v>136.96100000000001</v>
      </c>
      <c r="L21" s="41">
        <f>I21/H21</f>
        <v>0</v>
      </c>
      <c r="M21" s="25" t="s">
        <v>496</v>
      </c>
    </row>
    <row r="22" spans="2:13">
      <c r="I22" s="57"/>
      <c r="M22" s="57"/>
    </row>
    <row r="23" spans="2:13" ht="15" customHeight="1">
      <c r="B23">
        <v>1</v>
      </c>
      <c r="C23" s="250" t="s">
        <v>42</v>
      </c>
      <c r="D23" s="7" t="s">
        <v>47</v>
      </c>
      <c r="E23" s="1" t="s">
        <v>19</v>
      </c>
      <c r="F23" s="2">
        <v>347.04500000000002</v>
      </c>
      <c r="G23" s="1">
        <f>-110.5-12-30-6</f>
        <v>-158.5</v>
      </c>
      <c r="H23" s="1">
        <f>F23+G23</f>
        <v>188.54500000000002</v>
      </c>
      <c r="I23" s="92">
        <v>163.964</v>
      </c>
      <c r="J23" s="1"/>
      <c r="K23" s="1">
        <f t="shared" si="3"/>
        <v>24.581000000000017</v>
      </c>
      <c r="L23" s="3">
        <f>I23/H23</f>
        <v>0.86962794027950874</v>
      </c>
      <c r="M23" s="149">
        <v>44264</v>
      </c>
    </row>
    <row r="24" spans="2:13">
      <c r="B24">
        <v>2</v>
      </c>
      <c r="C24" s="251"/>
      <c r="D24" s="7" t="s">
        <v>173</v>
      </c>
      <c r="E24" s="1" t="s">
        <v>19</v>
      </c>
      <c r="F24" s="2">
        <v>282.22800000000001</v>
      </c>
      <c r="G24" s="1"/>
      <c r="H24" s="1">
        <f t="shared" ref="H24:H87" si="4">F24+G24</f>
        <v>282.22800000000001</v>
      </c>
      <c r="I24" s="92">
        <v>336.11500000000001</v>
      </c>
      <c r="J24" s="1"/>
      <c r="K24" s="1">
        <f t="shared" si="3"/>
        <v>-53.887</v>
      </c>
      <c r="L24" s="3">
        <f>I24/H24</f>
        <v>1.1909342800856046</v>
      </c>
      <c r="M24" s="149">
        <v>44272</v>
      </c>
    </row>
    <row r="25" spans="2:13">
      <c r="B25">
        <v>3</v>
      </c>
      <c r="C25" s="251"/>
      <c r="D25" s="7" t="s">
        <v>48</v>
      </c>
      <c r="E25" s="1" t="s">
        <v>19</v>
      </c>
      <c r="F25" s="2">
        <v>1701.7380000000001</v>
      </c>
      <c r="G25" s="1">
        <f>-450-50-384-747.5</f>
        <v>-1631.5</v>
      </c>
      <c r="H25" s="1">
        <f t="shared" si="4"/>
        <v>70.238000000000056</v>
      </c>
      <c r="I25" s="92">
        <v>70.224999999999994</v>
      </c>
      <c r="J25" s="1"/>
      <c r="K25" s="1">
        <f t="shared" si="3"/>
        <v>1.3000000000062073E-2</v>
      </c>
      <c r="L25" s="3">
        <f t="shared" ref="L25:L88" si="5">I25/H25</f>
        <v>0.99981491500327369</v>
      </c>
      <c r="M25" s="25" t="s">
        <v>496</v>
      </c>
    </row>
    <row r="26" spans="2:13">
      <c r="B26">
        <v>4</v>
      </c>
      <c r="C26" s="251"/>
      <c r="D26" s="7" t="s">
        <v>49</v>
      </c>
      <c r="E26" s="1" t="s">
        <v>19</v>
      </c>
      <c r="F26" s="2">
        <v>2472.598</v>
      </c>
      <c r="G26" s="1">
        <f>-226.6+302-150</f>
        <v>-74.599999999999994</v>
      </c>
      <c r="H26" s="1">
        <f t="shared" si="4"/>
        <v>2397.998</v>
      </c>
      <c r="I26" s="92">
        <v>1863.0989999999999</v>
      </c>
      <c r="J26" s="1"/>
      <c r="K26" s="1">
        <f t="shared" si="3"/>
        <v>534.89900000000011</v>
      </c>
      <c r="L26" s="3">
        <f t="shared" si="5"/>
        <v>0.77693934690521005</v>
      </c>
      <c r="M26" s="25" t="s">
        <v>496</v>
      </c>
    </row>
    <row r="27" spans="2:13">
      <c r="B27">
        <v>5</v>
      </c>
      <c r="C27" s="251"/>
      <c r="D27" s="7" t="s">
        <v>50</v>
      </c>
      <c r="E27" s="1" t="s">
        <v>19</v>
      </c>
      <c r="F27" s="2">
        <v>3379.0540000000001</v>
      </c>
      <c r="G27" s="1">
        <f>-525-35-35-35-35-457-170-190-274-75-74.4-208-140-125-353-106-106-150-106-50-100-29</f>
        <v>-3378.4</v>
      </c>
      <c r="H27" s="1">
        <f t="shared" si="4"/>
        <v>0.65399999999999636</v>
      </c>
      <c r="I27" s="92">
        <v>0</v>
      </c>
      <c r="J27" s="1"/>
      <c r="K27" s="1">
        <f t="shared" si="3"/>
        <v>0.65399999999999636</v>
      </c>
      <c r="L27" s="3">
        <f>(G27/F27)*-1</f>
        <v>0.99980645470596208</v>
      </c>
      <c r="M27" s="142">
        <v>44491</v>
      </c>
    </row>
    <row r="28" spans="2:13">
      <c r="B28" s="11">
        <v>6</v>
      </c>
      <c r="C28" s="251"/>
      <c r="D28" s="7" t="s">
        <v>51</v>
      </c>
      <c r="E28" s="1" t="s">
        <v>19</v>
      </c>
      <c r="F28" s="2">
        <v>5840.8069999999998</v>
      </c>
      <c r="G28" s="1"/>
      <c r="H28" s="1">
        <f t="shared" si="4"/>
        <v>5840.8069999999998</v>
      </c>
      <c r="I28" s="92">
        <v>4849.5870000000004</v>
      </c>
      <c r="J28" s="1"/>
      <c r="K28" s="1">
        <f t="shared" si="3"/>
        <v>991.21999999999935</v>
      </c>
      <c r="L28" s="3">
        <f t="shared" si="5"/>
        <v>0.83029399875736365</v>
      </c>
      <c r="M28" s="47" t="s">
        <v>496</v>
      </c>
    </row>
    <row r="29" spans="2:13">
      <c r="B29" s="11">
        <v>7</v>
      </c>
      <c r="C29" s="251"/>
      <c r="D29" s="7" t="s">
        <v>52</v>
      </c>
      <c r="E29" s="1" t="s">
        <v>19</v>
      </c>
      <c r="F29" s="2">
        <v>8838.0020000000004</v>
      </c>
      <c r="G29" s="1"/>
      <c r="H29" s="1">
        <f t="shared" si="4"/>
        <v>8838.0020000000004</v>
      </c>
      <c r="I29" s="92">
        <v>6789.3670000000002</v>
      </c>
      <c r="J29" s="1"/>
      <c r="K29" s="1">
        <f t="shared" si="3"/>
        <v>2048.6350000000002</v>
      </c>
      <c r="L29" s="3">
        <f t="shared" si="5"/>
        <v>0.76820156863508293</v>
      </c>
      <c r="M29" s="25" t="s">
        <v>496</v>
      </c>
    </row>
    <row r="30" spans="2:13">
      <c r="B30" s="11">
        <v>8</v>
      </c>
      <c r="C30" s="251"/>
      <c r="D30" s="7" t="s">
        <v>53</v>
      </c>
      <c r="E30" s="1" t="s">
        <v>19</v>
      </c>
      <c r="F30" s="2">
        <v>3363.4850000000001</v>
      </c>
      <c r="G30" s="1"/>
      <c r="H30" s="1">
        <f t="shared" si="4"/>
        <v>3363.4850000000001</v>
      </c>
      <c r="I30" s="92">
        <v>3238.5250000000001</v>
      </c>
      <c r="J30" s="1"/>
      <c r="K30" s="1">
        <f t="shared" si="3"/>
        <v>124.96000000000004</v>
      </c>
      <c r="L30" s="3">
        <f t="shared" si="5"/>
        <v>0.96284805789233485</v>
      </c>
      <c r="M30" s="149">
        <v>44387</v>
      </c>
    </row>
    <row r="31" spans="2:13">
      <c r="B31" s="11">
        <v>9</v>
      </c>
      <c r="C31" s="251"/>
      <c r="D31" s="7" t="s">
        <v>54</v>
      </c>
      <c r="E31" s="1" t="s">
        <v>19</v>
      </c>
      <c r="F31" s="2">
        <v>4044.6590000000001</v>
      </c>
      <c r="G31" s="1"/>
      <c r="H31" s="1">
        <f t="shared" si="4"/>
        <v>4044.6590000000001</v>
      </c>
      <c r="I31" s="92">
        <v>2877.7849999999999</v>
      </c>
      <c r="J31" s="1"/>
      <c r="K31" s="1">
        <f t="shared" si="3"/>
        <v>1166.8740000000003</v>
      </c>
      <c r="L31" s="3">
        <f t="shared" si="5"/>
        <v>0.71150250243592839</v>
      </c>
      <c r="M31" s="25" t="s">
        <v>496</v>
      </c>
    </row>
    <row r="32" spans="2:13">
      <c r="B32" s="11">
        <v>10</v>
      </c>
      <c r="C32" s="251"/>
      <c r="D32" s="7" t="s">
        <v>55</v>
      </c>
      <c r="E32" s="1" t="s">
        <v>19</v>
      </c>
      <c r="F32" s="2">
        <v>371.67899999999997</v>
      </c>
      <c r="G32" s="1">
        <f>-52</f>
        <v>-52</v>
      </c>
      <c r="H32" s="1">
        <f t="shared" si="4"/>
        <v>319.67899999999997</v>
      </c>
      <c r="I32" s="92">
        <v>319.41800000000001</v>
      </c>
      <c r="J32" s="1"/>
      <c r="K32" s="1">
        <f t="shared" si="3"/>
        <v>0.26099999999996726</v>
      </c>
      <c r="L32" s="3">
        <f t="shared" si="5"/>
        <v>0.99918355600461728</v>
      </c>
      <c r="M32" s="142">
        <v>44328</v>
      </c>
    </row>
    <row r="33" spans="2:13">
      <c r="B33" s="11">
        <v>11</v>
      </c>
      <c r="C33" s="251"/>
      <c r="D33" s="7" t="s">
        <v>56</v>
      </c>
      <c r="E33" s="1" t="s">
        <v>19</v>
      </c>
      <c r="F33" s="2">
        <v>3719.1219999999998</v>
      </c>
      <c r="G33" s="1"/>
      <c r="H33" s="1">
        <f t="shared" si="4"/>
        <v>3719.1219999999998</v>
      </c>
      <c r="I33" s="92">
        <v>1678.316</v>
      </c>
      <c r="J33" s="1"/>
      <c r="K33" s="1">
        <f t="shared" si="3"/>
        <v>2040.8059999999998</v>
      </c>
      <c r="L33" s="3">
        <f t="shared" si="5"/>
        <v>0.45126672370521864</v>
      </c>
      <c r="M33" s="47" t="s">
        <v>496</v>
      </c>
    </row>
    <row r="34" spans="2:13">
      <c r="B34" s="11">
        <v>12</v>
      </c>
      <c r="C34" s="251"/>
      <c r="D34" s="7" t="s">
        <v>282</v>
      </c>
      <c r="E34" s="1" t="s">
        <v>19</v>
      </c>
      <c r="F34" s="2">
        <v>5221.9380000000001</v>
      </c>
      <c r="G34" s="1">
        <f>200-400+175+200+48.5+100+61+122+200+129+69</f>
        <v>904.5</v>
      </c>
      <c r="H34" s="1">
        <f t="shared" si="4"/>
        <v>6126.4380000000001</v>
      </c>
      <c r="I34" s="92">
        <v>5127.433</v>
      </c>
      <c r="J34" s="1"/>
      <c r="K34" s="1">
        <f t="shared" si="3"/>
        <v>999.00500000000011</v>
      </c>
      <c r="L34" s="3">
        <f t="shared" si="5"/>
        <v>0.83693542642560004</v>
      </c>
      <c r="M34" s="149">
        <v>44379</v>
      </c>
    </row>
    <row r="35" spans="2:13">
      <c r="B35" s="11">
        <v>13</v>
      </c>
      <c r="C35" s="251"/>
      <c r="D35" s="7" t="s">
        <v>183</v>
      </c>
      <c r="E35" s="1" t="s">
        <v>19</v>
      </c>
      <c r="F35" s="2">
        <v>2857.2339999999999</v>
      </c>
      <c r="G35" s="1">
        <f>249.881+457+100+460+353+150+111.555</f>
        <v>1881.4359999999999</v>
      </c>
      <c r="H35" s="1">
        <f t="shared" si="4"/>
        <v>4738.67</v>
      </c>
      <c r="I35" s="92">
        <v>2873.134</v>
      </c>
      <c r="J35" s="1"/>
      <c r="K35" s="1">
        <f t="shared" si="3"/>
        <v>1865.5360000000001</v>
      </c>
      <c r="L35" s="3">
        <f t="shared" si="5"/>
        <v>0.60631654029506166</v>
      </c>
      <c r="M35" s="47" t="s">
        <v>496</v>
      </c>
    </row>
    <row r="36" spans="2:13">
      <c r="B36" s="11">
        <v>14</v>
      </c>
      <c r="C36" s="251"/>
      <c r="D36" s="7" t="s">
        <v>283</v>
      </c>
      <c r="E36" s="1" t="s">
        <v>19</v>
      </c>
      <c r="F36" s="2">
        <v>2266.404</v>
      </c>
      <c r="G36" s="1">
        <f>14.8+84</f>
        <v>98.8</v>
      </c>
      <c r="H36" s="1">
        <f t="shared" si="4"/>
        <v>2365.2040000000002</v>
      </c>
      <c r="I36" s="92">
        <v>2379.998</v>
      </c>
      <c r="J36" s="1"/>
      <c r="K36" s="1">
        <f t="shared" si="3"/>
        <v>-14.793999999999869</v>
      </c>
      <c r="L36" s="3">
        <f t="shared" si="5"/>
        <v>1.0062548515899685</v>
      </c>
      <c r="M36" s="47" t="s">
        <v>496</v>
      </c>
    </row>
    <row r="37" spans="2:13" s="11" customFormat="1">
      <c r="B37" s="11">
        <v>15</v>
      </c>
      <c r="C37" s="251"/>
      <c r="D37" s="7" t="s">
        <v>284</v>
      </c>
      <c r="E37" s="1" t="s">
        <v>19</v>
      </c>
      <c r="F37" s="2">
        <v>254.63800000000001</v>
      </c>
      <c r="G37" s="1">
        <f>110.5+50+10.2+400+1112-175+551.9+423+87+1167+184+52+300+30+6+2</f>
        <v>4310.6000000000004</v>
      </c>
      <c r="H37" s="1">
        <f t="shared" si="4"/>
        <v>4565.2380000000003</v>
      </c>
      <c r="I37" s="92">
        <v>2382.94</v>
      </c>
      <c r="J37" s="1"/>
      <c r="K37" s="1">
        <f t="shared" si="3"/>
        <v>2182.2980000000002</v>
      </c>
      <c r="L37" s="3">
        <f t="shared" si="5"/>
        <v>0.52197497698915152</v>
      </c>
      <c r="M37" s="149">
        <v>44397</v>
      </c>
    </row>
    <row r="38" spans="2:13">
      <c r="B38" s="11">
        <v>16</v>
      </c>
      <c r="C38" s="251"/>
      <c r="D38" s="7" t="s">
        <v>57</v>
      </c>
      <c r="E38" s="1" t="s">
        <v>19</v>
      </c>
      <c r="F38" s="2">
        <v>969.67100000000005</v>
      </c>
      <c r="G38" s="1"/>
      <c r="H38" s="1">
        <f t="shared" si="4"/>
        <v>969.67100000000005</v>
      </c>
      <c r="I38" s="92">
        <v>870.178</v>
      </c>
      <c r="J38" s="1"/>
      <c r="K38" s="1">
        <f t="shared" si="3"/>
        <v>99.493000000000052</v>
      </c>
      <c r="L38" s="3">
        <f t="shared" si="5"/>
        <v>0.89739509586241106</v>
      </c>
      <c r="M38" s="149">
        <v>44292</v>
      </c>
    </row>
    <row r="39" spans="2:13">
      <c r="B39" s="11">
        <v>17</v>
      </c>
      <c r="C39" s="251"/>
      <c r="D39" s="7" t="s">
        <v>261</v>
      </c>
      <c r="E39" s="1" t="s">
        <v>19</v>
      </c>
      <c r="F39" s="2">
        <v>4279.7669999999998</v>
      </c>
      <c r="G39" s="1">
        <f>-400-195</f>
        <v>-595</v>
      </c>
      <c r="H39" s="1">
        <f t="shared" si="4"/>
        <v>3684.7669999999998</v>
      </c>
      <c r="I39" s="92">
        <v>3114.96</v>
      </c>
      <c r="J39" s="1"/>
      <c r="K39" s="1">
        <f t="shared" si="3"/>
        <v>569.80699999999979</v>
      </c>
      <c r="L39" s="3">
        <f t="shared" si="5"/>
        <v>0.84536145704735199</v>
      </c>
      <c r="M39" s="25" t="s">
        <v>496</v>
      </c>
    </row>
    <row r="40" spans="2:13">
      <c r="B40" s="11">
        <v>18</v>
      </c>
      <c r="C40" s="251"/>
      <c r="D40" s="7" t="s">
        <v>58</v>
      </c>
      <c r="E40" s="1" t="s">
        <v>19</v>
      </c>
      <c r="F40" s="2">
        <v>63.567</v>
      </c>
      <c r="G40" s="1"/>
      <c r="H40" s="1">
        <f t="shared" si="4"/>
        <v>63.567</v>
      </c>
      <c r="I40" s="92">
        <v>66.703999999999994</v>
      </c>
      <c r="J40" s="1"/>
      <c r="K40" s="1">
        <f t="shared" si="3"/>
        <v>-3.1369999999999933</v>
      </c>
      <c r="L40" s="3">
        <f t="shared" si="5"/>
        <v>1.0493495052464328</v>
      </c>
      <c r="M40" s="142">
        <v>44264</v>
      </c>
    </row>
    <row r="41" spans="2:13">
      <c r="B41" s="11">
        <v>19</v>
      </c>
      <c r="C41" s="251"/>
      <c r="D41" s="7" t="s">
        <v>59</v>
      </c>
      <c r="E41" s="1" t="s">
        <v>19</v>
      </c>
      <c r="F41" s="2">
        <v>22754.826000000001</v>
      </c>
      <c r="G41" s="1">
        <f>190+525+147.9+74.4+12+440+451+1111+125+495+62.4+106+745+470+368+600+300</f>
        <v>6222.7000000000007</v>
      </c>
      <c r="H41" s="1">
        <f t="shared" si="4"/>
        <v>28977.526000000002</v>
      </c>
      <c r="I41" s="92">
        <v>28707.419000000002</v>
      </c>
      <c r="J41" s="1"/>
      <c r="K41" s="1">
        <f t="shared" si="3"/>
        <v>270.10699999999997</v>
      </c>
      <c r="L41" s="3">
        <f t="shared" si="5"/>
        <v>0.99067874186360838</v>
      </c>
      <c r="M41" s="47" t="s">
        <v>496</v>
      </c>
    </row>
    <row r="42" spans="2:13">
      <c r="B42" s="11">
        <v>20</v>
      </c>
      <c r="C42" s="251"/>
      <c r="D42" s="7" t="s">
        <v>60</v>
      </c>
      <c r="E42" s="1" t="s">
        <v>19</v>
      </c>
      <c r="F42" s="2">
        <v>343.28500000000003</v>
      </c>
      <c r="G42" s="100"/>
      <c r="H42" s="1">
        <f t="shared" si="4"/>
        <v>343.28500000000003</v>
      </c>
      <c r="I42" s="92">
        <v>300.18900000000002</v>
      </c>
      <c r="J42" s="1"/>
      <c r="K42" s="1">
        <f t="shared" si="3"/>
        <v>43.096000000000004</v>
      </c>
      <c r="L42" s="3">
        <f t="shared" si="5"/>
        <v>0.87445999679566544</v>
      </c>
      <c r="M42" s="25" t="s">
        <v>496</v>
      </c>
    </row>
    <row r="43" spans="2:13">
      <c r="B43" s="11">
        <v>21</v>
      </c>
      <c r="C43" s="251"/>
      <c r="D43" s="7" t="s">
        <v>61</v>
      </c>
      <c r="E43" s="1" t="s">
        <v>19</v>
      </c>
      <c r="F43" s="2">
        <v>4123.51</v>
      </c>
      <c r="G43" s="1">
        <f>135</f>
        <v>135</v>
      </c>
      <c r="H43" s="1">
        <f t="shared" si="4"/>
        <v>4258.51</v>
      </c>
      <c r="I43" s="92">
        <v>2925.0059999999999</v>
      </c>
      <c r="J43" s="1"/>
      <c r="K43" s="1">
        <f t="shared" si="3"/>
        <v>1333.5040000000004</v>
      </c>
      <c r="L43" s="3">
        <f t="shared" si="5"/>
        <v>0.68686136700395206</v>
      </c>
      <c r="M43" s="25" t="s">
        <v>496</v>
      </c>
    </row>
    <row r="44" spans="2:13">
      <c r="B44" s="11">
        <v>22</v>
      </c>
      <c r="C44" s="251"/>
      <c r="D44" s="7" t="s">
        <v>62</v>
      </c>
      <c r="E44" s="1" t="s">
        <v>19</v>
      </c>
      <c r="F44" s="2">
        <v>2558.0230000000001</v>
      </c>
      <c r="G44" s="1"/>
      <c r="H44" s="1">
        <f t="shared" si="4"/>
        <v>2558.0230000000001</v>
      </c>
      <c r="I44" s="160">
        <v>1783.807</v>
      </c>
      <c r="J44" s="1"/>
      <c r="K44" s="2">
        <f t="shared" si="3"/>
        <v>774.21600000000012</v>
      </c>
      <c r="L44" s="3">
        <f t="shared" si="5"/>
        <v>0.69733813964925251</v>
      </c>
      <c r="M44" s="25" t="s">
        <v>496</v>
      </c>
    </row>
    <row r="45" spans="2:13">
      <c r="B45" s="11">
        <v>23</v>
      </c>
      <c r="C45" s="251"/>
      <c r="D45" s="7" t="s">
        <v>63</v>
      </c>
      <c r="E45" s="1" t="s">
        <v>19</v>
      </c>
      <c r="F45" s="2">
        <v>2427.2020000000002</v>
      </c>
      <c r="G45" s="1">
        <f>56+119</f>
        <v>175</v>
      </c>
      <c r="H45" s="1">
        <f t="shared" si="4"/>
        <v>2602.2020000000002</v>
      </c>
      <c r="I45" s="92">
        <v>1195.3340000000001</v>
      </c>
      <c r="J45" s="1"/>
      <c r="K45" s="1">
        <f t="shared" si="3"/>
        <v>1406.8680000000002</v>
      </c>
      <c r="L45" s="3">
        <f t="shared" si="5"/>
        <v>0.45935480796648376</v>
      </c>
      <c r="M45" s="25" t="s">
        <v>496</v>
      </c>
    </row>
    <row r="46" spans="2:13">
      <c r="B46">
        <v>24</v>
      </c>
      <c r="C46" s="251"/>
      <c r="D46" s="7" t="s">
        <v>182</v>
      </c>
      <c r="E46" s="1" t="s">
        <v>19</v>
      </c>
      <c r="F46" s="2">
        <v>5389.2139999999999</v>
      </c>
      <c r="G46" s="1">
        <f>155</f>
        <v>155</v>
      </c>
      <c r="H46" s="1">
        <f t="shared" si="4"/>
        <v>5544.2139999999999</v>
      </c>
      <c r="I46" s="92">
        <v>4878.7820000000002</v>
      </c>
      <c r="J46" s="1"/>
      <c r="K46" s="1">
        <f t="shared" si="3"/>
        <v>665.43199999999979</v>
      </c>
      <c r="L46" s="3">
        <f t="shared" si="5"/>
        <v>0.87997721588668842</v>
      </c>
      <c r="M46" s="47" t="s">
        <v>496</v>
      </c>
    </row>
    <row r="47" spans="2:13">
      <c r="B47">
        <v>25</v>
      </c>
      <c r="C47" s="251"/>
      <c r="D47" s="7" t="s">
        <v>64</v>
      </c>
      <c r="E47" s="1" t="s">
        <v>19</v>
      </c>
      <c r="F47" s="2">
        <v>4312.8860000000004</v>
      </c>
      <c r="G47" s="1">
        <f>166.357+10+175</f>
        <v>351.35699999999997</v>
      </c>
      <c r="H47" s="1">
        <f t="shared" si="4"/>
        <v>4664.2430000000004</v>
      </c>
      <c r="I47" s="92">
        <v>3142.4780000000001</v>
      </c>
      <c r="J47" s="1"/>
      <c r="K47" s="1">
        <f t="shared" si="3"/>
        <v>1521.7650000000003</v>
      </c>
      <c r="L47" s="3">
        <f t="shared" si="5"/>
        <v>0.67373805352765703</v>
      </c>
      <c r="M47" s="25" t="s">
        <v>496</v>
      </c>
    </row>
    <row r="48" spans="2:13">
      <c r="B48">
        <v>26</v>
      </c>
      <c r="C48" s="251"/>
      <c r="D48" s="7" t="s">
        <v>65</v>
      </c>
      <c r="E48" s="1" t="s">
        <v>19</v>
      </c>
      <c r="F48" s="2">
        <v>262.14400000000001</v>
      </c>
      <c r="G48" s="1">
        <f>100</f>
        <v>100</v>
      </c>
      <c r="H48" s="1">
        <f t="shared" si="4"/>
        <v>362.14400000000001</v>
      </c>
      <c r="I48" s="92">
        <v>868.22</v>
      </c>
      <c r="J48" s="1"/>
      <c r="K48" s="1">
        <f t="shared" si="3"/>
        <v>-506.07600000000002</v>
      </c>
      <c r="L48" s="3">
        <f t="shared" si="5"/>
        <v>2.3974441106300257</v>
      </c>
      <c r="M48" s="142">
        <v>44264</v>
      </c>
    </row>
    <row r="49" spans="2:13">
      <c r="B49">
        <v>27</v>
      </c>
      <c r="C49" s="251"/>
      <c r="D49" s="7" t="s">
        <v>66</v>
      </c>
      <c r="E49" s="1" t="s">
        <v>19</v>
      </c>
      <c r="F49" s="2">
        <v>3322.44</v>
      </c>
      <c r="G49" s="1"/>
      <c r="H49" s="1">
        <f t="shared" si="4"/>
        <v>3322.44</v>
      </c>
      <c r="I49" s="92">
        <v>3002.2939999999999</v>
      </c>
      <c r="J49" s="1"/>
      <c r="K49" s="1">
        <f t="shared" si="3"/>
        <v>320.14600000000019</v>
      </c>
      <c r="L49" s="3">
        <f t="shared" si="5"/>
        <v>0.90364129976764063</v>
      </c>
      <c r="M49" s="25" t="s">
        <v>496</v>
      </c>
    </row>
    <row r="50" spans="2:13">
      <c r="B50">
        <v>28</v>
      </c>
      <c r="C50" s="251"/>
      <c r="D50" s="7" t="s">
        <v>172</v>
      </c>
      <c r="E50" s="1" t="s">
        <v>19</v>
      </c>
      <c r="F50" s="2">
        <v>13.159000000000001</v>
      </c>
      <c r="G50" s="1">
        <f>-9.2</f>
        <v>-9.1999999999999993</v>
      </c>
      <c r="H50" s="1">
        <f t="shared" si="4"/>
        <v>3.9590000000000014</v>
      </c>
      <c r="I50" s="92">
        <v>0</v>
      </c>
      <c r="J50" s="1"/>
      <c r="K50" s="1">
        <f t="shared" si="3"/>
        <v>3.9590000000000014</v>
      </c>
      <c r="L50" s="3">
        <f t="shared" si="5"/>
        <v>0</v>
      </c>
      <c r="M50" s="142">
        <v>44491</v>
      </c>
    </row>
    <row r="51" spans="2:13">
      <c r="B51">
        <v>29</v>
      </c>
      <c r="C51" s="251"/>
      <c r="D51" s="7" t="s">
        <v>67</v>
      </c>
      <c r="E51" s="1" t="s">
        <v>19</v>
      </c>
      <c r="F51" s="2">
        <v>2639.6</v>
      </c>
      <c r="G51" s="1">
        <f>-60-460</f>
        <v>-520</v>
      </c>
      <c r="H51" s="1">
        <f t="shared" si="4"/>
        <v>2119.6</v>
      </c>
      <c r="I51" s="92">
        <v>1602.338</v>
      </c>
      <c r="J51" s="1"/>
      <c r="K51" s="1">
        <f t="shared" si="3"/>
        <v>517.26199999999994</v>
      </c>
      <c r="L51" s="3">
        <f t="shared" si="5"/>
        <v>0.75596244574448013</v>
      </c>
      <c r="M51" s="25" t="s">
        <v>496</v>
      </c>
    </row>
    <row r="52" spans="2:13">
      <c r="B52">
        <v>30</v>
      </c>
      <c r="C52" s="251"/>
      <c r="D52" s="7" t="s">
        <v>68</v>
      </c>
      <c r="E52" s="1" t="s">
        <v>19</v>
      </c>
      <c r="F52" s="2">
        <v>100.699</v>
      </c>
      <c r="G52" s="1">
        <f>-56-14.8-29.8</f>
        <v>-100.6</v>
      </c>
      <c r="H52" s="1">
        <f t="shared" si="4"/>
        <v>9.9000000000003752E-2</v>
      </c>
      <c r="I52" s="92">
        <v>0</v>
      </c>
      <c r="J52" s="1"/>
      <c r="K52" s="1">
        <f t="shared" si="3"/>
        <v>9.9000000000003752E-2</v>
      </c>
      <c r="L52" s="3">
        <f>(G52/F52)*-1</f>
        <v>0.9990168720642707</v>
      </c>
      <c r="M52" s="142">
        <v>44491</v>
      </c>
    </row>
    <row r="53" spans="2:13">
      <c r="B53">
        <v>31</v>
      </c>
      <c r="C53" s="251"/>
      <c r="D53" s="7" t="s">
        <v>69</v>
      </c>
      <c r="E53" s="1" t="s">
        <v>19</v>
      </c>
      <c r="F53" s="2">
        <v>4873.6459999999997</v>
      </c>
      <c r="G53" s="1">
        <f>149-212</f>
        <v>-63</v>
      </c>
      <c r="H53" s="1">
        <f t="shared" si="4"/>
        <v>4810.6459999999997</v>
      </c>
      <c r="I53" s="92">
        <v>3596.962</v>
      </c>
      <c r="J53" s="1"/>
      <c r="K53" s="1">
        <f t="shared" si="3"/>
        <v>1213.6839999999997</v>
      </c>
      <c r="L53" s="3">
        <f t="shared" si="5"/>
        <v>0.74770872768439001</v>
      </c>
      <c r="M53" s="47" t="s">
        <v>496</v>
      </c>
    </row>
    <row r="54" spans="2:13">
      <c r="B54">
        <v>32</v>
      </c>
      <c r="C54" s="251"/>
      <c r="D54" s="7" t="s">
        <v>70</v>
      </c>
      <c r="E54" s="1" t="s">
        <v>19</v>
      </c>
      <c r="F54" s="2">
        <v>4149.7190000000001</v>
      </c>
      <c r="G54" s="1">
        <f>-400</f>
        <v>-400</v>
      </c>
      <c r="H54" s="1">
        <f t="shared" si="4"/>
        <v>3749.7190000000001</v>
      </c>
      <c r="I54" s="92">
        <v>2974.6559999999999</v>
      </c>
      <c r="J54" s="1"/>
      <c r="K54" s="1">
        <f t="shared" si="3"/>
        <v>775.0630000000001</v>
      </c>
      <c r="L54" s="3">
        <f t="shared" si="5"/>
        <v>0.79330104469161555</v>
      </c>
      <c r="M54" s="47" t="s">
        <v>496</v>
      </c>
    </row>
    <row r="55" spans="2:13">
      <c r="B55" s="11">
        <v>33</v>
      </c>
      <c r="C55" s="251"/>
      <c r="D55" s="7" t="s">
        <v>71</v>
      </c>
      <c r="E55" s="1" t="s">
        <v>19</v>
      </c>
      <c r="F55" s="2">
        <v>1.7999999999999999E-2</v>
      </c>
      <c r="G55" s="1"/>
      <c r="H55" s="1">
        <f t="shared" si="4"/>
        <v>1.7999999999999999E-2</v>
      </c>
      <c r="I55" s="92">
        <v>0</v>
      </c>
      <c r="J55" s="1"/>
      <c r="K55" s="1">
        <f t="shared" si="3"/>
        <v>1.7999999999999999E-2</v>
      </c>
      <c r="L55" s="3">
        <f t="shared" si="5"/>
        <v>0</v>
      </c>
      <c r="M55" s="142">
        <v>44491</v>
      </c>
    </row>
    <row r="56" spans="2:13">
      <c r="B56" s="11">
        <v>34</v>
      </c>
      <c r="C56" s="251"/>
      <c r="D56" s="7" t="s">
        <v>72</v>
      </c>
      <c r="E56" s="1" t="s">
        <v>19</v>
      </c>
      <c r="F56" s="2">
        <v>612.09100000000001</v>
      </c>
      <c r="G56" s="1">
        <f>62.135+130.974+200</f>
        <v>393.10899999999998</v>
      </c>
      <c r="H56" s="1">
        <f t="shared" si="4"/>
        <v>1005.2</v>
      </c>
      <c r="I56" s="92">
        <v>610.24</v>
      </c>
      <c r="J56" s="1"/>
      <c r="K56" s="1">
        <f t="shared" si="3"/>
        <v>394.96000000000004</v>
      </c>
      <c r="L56" s="3">
        <f t="shared" si="5"/>
        <v>0.60708316752884994</v>
      </c>
      <c r="M56" s="47" t="s">
        <v>496</v>
      </c>
    </row>
    <row r="57" spans="2:13">
      <c r="B57" s="11">
        <v>35</v>
      </c>
      <c r="C57" s="251"/>
      <c r="D57" s="7" t="s">
        <v>73</v>
      </c>
      <c r="E57" s="1" t="s">
        <v>19</v>
      </c>
      <c r="F57" s="2">
        <v>1945.502</v>
      </c>
      <c r="G57" s="1">
        <f>-10</f>
        <v>-10</v>
      </c>
      <c r="H57" s="1">
        <f t="shared" si="4"/>
        <v>1935.502</v>
      </c>
      <c r="I57" s="92">
        <v>1854.4169999999999</v>
      </c>
      <c r="J57" s="1"/>
      <c r="K57" s="1">
        <f t="shared" si="3"/>
        <v>81.085000000000036</v>
      </c>
      <c r="L57" s="3">
        <f t="shared" si="5"/>
        <v>0.9581064757360106</v>
      </c>
      <c r="M57" s="25" t="s">
        <v>496</v>
      </c>
    </row>
    <row r="58" spans="2:13">
      <c r="B58" s="11">
        <v>36</v>
      </c>
      <c r="C58" s="251"/>
      <c r="D58" s="7" t="s">
        <v>74</v>
      </c>
      <c r="E58" s="1" t="s">
        <v>19</v>
      </c>
      <c r="F58" s="2">
        <v>650.34199999999998</v>
      </c>
      <c r="G58" s="1">
        <f>-100-50-282.2</f>
        <v>-432.2</v>
      </c>
      <c r="H58" s="1">
        <f t="shared" si="4"/>
        <v>218.142</v>
      </c>
      <c r="I58" s="92">
        <v>75.021000000000001</v>
      </c>
      <c r="J58" s="1"/>
      <c r="K58" s="1">
        <f t="shared" si="3"/>
        <v>143.12099999999998</v>
      </c>
      <c r="L58" s="3">
        <f t="shared" si="5"/>
        <v>0.34390901339494456</v>
      </c>
      <c r="M58" s="142">
        <v>44491</v>
      </c>
    </row>
    <row r="59" spans="2:13">
      <c r="B59" s="11">
        <v>37</v>
      </c>
      <c r="C59" s="251"/>
      <c r="D59" s="7" t="s">
        <v>75</v>
      </c>
      <c r="E59" s="1" t="s">
        <v>19</v>
      </c>
      <c r="F59" s="2">
        <v>4017.348</v>
      </c>
      <c r="G59" s="1">
        <f>75+1285+865+106+665</f>
        <v>2996</v>
      </c>
      <c r="H59" s="1">
        <f t="shared" si="4"/>
        <v>7013.348</v>
      </c>
      <c r="I59" s="92">
        <v>5155.08</v>
      </c>
      <c r="J59" s="1"/>
      <c r="K59" s="1">
        <f t="shared" si="3"/>
        <v>1858.268</v>
      </c>
      <c r="L59" s="3">
        <f t="shared" si="5"/>
        <v>0.73503838680185274</v>
      </c>
      <c r="M59" s="25" t="s">
        <v>496</v>
      </c>
    </row>
    <row r="60" spans="2:13">
      <c r="B60" s="11">
        <v>38</v>
      </c>
      <c r="C60" s="251"/>
      <c r="D60" s="7" t="s">
        <v>76</v>
      </c>
      <c r="E60" s="1" t="s">
        <v>19</v>
      </c>
      <c r="F60" s="2">
        <v>1833.386</v>
      </c>
      <c r="G60" s="1">
        <f>-60-61-122-2</f>
        <v>-245</v>
      </c>
      <c r="H60" s="1">
        <f t="shared" si="4"/>
        <v>1588.386</v>
      </c>
      <c r="I60" s="92">
        <v>1587.328</v>
      </c>
      <c r="J60" s="1"/>
      <c r="K60" s="1">
        <f t="shared" si="3"/>
        <v>1.0579999999999927</v>
      </c>
      <c r="L60" s="3">
        <f t="shared" si="5"/>
        <v>0.99933391505591207</v>
      </c>
      <c r="M60" s="149">
        <v>44279</v>
      </c>
    </row>
    <row r="61" spans="2:13">
      <c r="B61" s="11">
        <v>39</v>
      </c>
      <c r="C61" s="251"/>
      <c r="D61" s="7" t="s">
        <v>77</v>
      </c>
      <c r="E61" s="1" t="s">
        <v>19</v>
      </c>
      <c r="F61" s="2">
        <v>1047.8209999999999</v>
      </c>
      <c r="G61" s="1"/>
      <c r="H61" s="1">
        <f t="shared" si="4"/>
        <v>1047.8209999999999</v>
      </c>
      <c r="I61" s="92">
        <v>1046.595</v>
      </c>
      <c r="J61" s="1"/>
      <c r="K61" s="1">
        <f t="shared" si="3"/>
        <v>1.2259999999998854</v>
      </c>
      <c r="L61" s="3">
        <f t="shared" si="5"/>
        <v>0.99882995282591214</v>
      </c>
      <c r="M61" s="25" t="s">
        <v>496</v>
      </c>
    </row>
    <row r="62" spans="2:13">
      <c r="B62" s="11">
        <v>40</v>
      </c>
      <c r="C62" s="251"/>
      <c r="D62" s="7" t="s">
        <v>78</v>
      </c>
      <c r="E62" s="1" t="s">
        <v>19</v>
      </c>
      <c r="F62" s="2">
        <v>3278.587</v>
      </c>
      <c r="G62" s="1">
        <f>-600</f>
        <v>-600</v>
      </c>
      <c r="H62" s="1">
        <f t="shared" si="4"/>
        <v>2678.587</v>
      </c>
      <c r="I62" s="92">
        <v>1773.441</v>
      </c>
      <c r="J62" s="1"/>
      <c r="K62" s="1">
        <f t="shared" si="3"/>
        <v>905.14599999999996</v>
      </c>
      <c r="L62" s="3">
        <f t="shared" si="5"/>
        <v>0.66208079110366769</v>
      </c>
      <c r="M62" s="25" t="s">
        <v>496</v>
      </c>
    </row>
    <row r="63" spans="2:13">
      <c r="B63" s="11">
        <v>41</v>
      </c>
      <c r="C63" s="251"/>
      <c r="D63" s="7" t="s">
        <v>79</v>
      </c>
      <c r="E63" s="1" t="s">
        <v>19</v>
      </c>
      <c r="F63" s="2">
        <v>192.214</v>
      </c>
      <c r="G63" s="1">
        <f>-79.3</f>
        <v>-79.3</v>
      </c>
      <c r="H63" s="1">
        <f t="shared" si="4"/>
        <v>112.914</v>
      </c>
      <c r="I63" s="92">
        <v>55.960999999999999</v>
      </c>
      <c r="J63" s="1"/>
      <c r="K63" s="1">
        <f t="shared" si="3"/>
        <v>56.953000000000003</v>
      </c>
      <c r="L63" s="3">
        <f t="shared" si="5"/>
        <v>0.49560727633420121</v>
      </c>
      <c r="M63" s="25" t="s">
        <v>496</v>
      </c>
    </row>
    <row r="64" spans="2:13">
      <c r="B64" s="11">
        <v>42</v>
      </c>
      <c r="C64" s="251"/>
      <c r="D64" s="7" t="s">
        <v>80</v>
      </c>
      <c r="E64" s="1" t="s">
        <v>19</v>
      </c>
      <c r="F64" s="2">
        <v>1511.221</v>
      </c>
      <c r="G64" s="1"/>
      <c r="H64" s="1">
        <f t="shared" si="4"/>
        <v>1511.221</v>
      </c>
      <c r="I64" s="92">
        <v>939.28200000000004</v>
      </c>
      <c r="J64" s="1"/>
      <c r="K64" s="1">
        <f t="shared" si="3"/>
        <v>571.93899999999996</v>
      </c>
      <c r="L64" s="3">
        <f t="shared" si="5"/>
        <v>0.62153847782686977</v>
      </c>
      <c r="M64" s="25" t="s">
        <v>496</v>
      </c>
    </row>
    <row r="65" spans="2:13">
      <c r="B65" s="11">
        <v>43</v>
      </c>
      <c r="C65" s="251"/>
      <c r="D65" s="7" t="s">
        <v>81</v>
      </c>
      <c r="E65" s="1" t="s">
        <v>19</v>
      </c>
      <c r="F65" s="2">
        <v>3198.5810000000001</v>
      </c>
      <c r="G65" s="1"/>
      <c r="H65" s="1">
        <f t="shared" si="4"/>
        <v>3198.5810000000001</v>
      </c>
      <c r="I65" s="92">
        <v>1652.912</v>
      </c>
      <c r="J65" s="1"/>
      <c r="K65" s="1">
        <f t="shared" si="3"/>
        <v>1545.6690000000001</v>
      </c>
      <c r="L65" s="3">
        <f t="shared" si="5"/>
        <v>0.51676415260392028</v>
      </c>
      <c r="M65" s="47" t="s">
        <v>496</v>
      </c>
    </row>
    <row r="66" spans="2:13">
      <c r="B66" s="11">
        <v>44</v>
      </c>
      <c r="C66" s="251"/>
      <c r="D66" s="7" t="s">
        <v>82</v>
      </c>
      <c r="E66" s="1" t="s">
        <v>19</v>
      </c>
      <c r="F66" s="2">
        <v>1522.8040000000001</v>
      </c>
      <c r="G66" s="1">
        <f>75+282.2+264</f>
        <v>621.20000000000005</v>
      </c>
      <c r="H66" s="1">
        <f t="shared" si="4"/>
        <v>2144.0039999999999</v>
      </c>
      <c r="I66" s="92">
        <v>1720.49</v>
      </c>
      <c r="J66" s="1"/>
      <c r="K66" s="1">
        <f t="shared" si="3"/>
        <v>423.5139999999999</v>
      </c>
      <c r="L66" s="3">
        <f t="shared" si="5"/>
        <v>0.8024658536084821</v>
      </c>
      <c r="M66" s="149">
        <v>44328</v>
      </c>
    </row>
    <row r="67" spans="2:13">
      <c r="B67" s="11">
        <v>45</v>
      </c>
      <c r="C67" s="251"/>
      <c r="D67" s="7" t="s">
        <v>83</v>
      </c>
      <c r="E67" s="1" t="s">
        <v>19</v>
      </c>
      <c r="F67" s="2">
        <v>3942.4859999999999</v>
      </c>
      <c r="G67" s="1">
        <f>-1112-1111-551.9-1167</f>
        <v>-3941.9</v>
      </c>
      <c r="H67" s="1">
        <f t="shared" si="4"/>
        <v>0.58599999999978536</v>
      </c>
      <c r="I67" s="92">
        <v>0</v>
      </c>
      <c r="J67" s="1"/>
      <c r="K67" s="1">
        <f t="shared" si="3"/>
        <v>0.58599999999978536</v>
      </c>
      <c r="L67" s="3">
        <f>(G67/F67)*-1</f>
        <v>0.99985136282031195</v>
      </c>
      <c r="M67" s="142">
        <v>44282</v>
      </c>
    </row>
    <row r="68" spans="2:13">
      <c r="B68" s="11">
        <v>46</v>
      </c>
      <c r="C68" s="251"/>
      <c r="D68" s="7" t="s">
        <v>84</v>
      </c>
      <c r="E68" s="1" t="s">
        <v>19</v>
      </c>
      <c r="F68" s="2">
        <v>24.463000000000001</v>
      </c>
      <c r="G68" s="1"/>
      <c r="H68" s="1">
        <f t="shared" si="4"/>
        <v>24.463000000000001</v>
      </c>
      <c r="I68" s="92">
        <v>0</v>
      </c>
      <c r="J68" s="1"/>
      <c r="K68" s="1">
        <f t="shared" si="3"/>
        <v>24.463000000000001</v>
      </c>
      <c r="L68" s="3">
        <f t="shared" si="5"/>
        <v>0</v>
      </c>
      <c r="M68" s="25" t="s">
        <v>496</v>
      </c>
    </row>
    <row r="69" spans="2:13">
      <c r="B69" s="11">
        <v>47</v>
      </c>
      <c r="C69" s="251"/>
      <c r="D69" s="7" t="s">
        <v>85</v>
      </c>
      <c r="E69" s="1" t="s">
        <v>19</v>
      </c>
      <c r="F69" s="2">
        <v>5348.1289999999999</v>
      </c>
      <c r="G69" s="1">
        <f>-135+70-302</f>
        <v>-367</v>
      </c>
      <c r="H69" s="1">
        <f t="shared" si="4"/>
        <v>4981.1289999999999</v>
      </c>
      <c r="I69" s="92">
        <v>3421.701</v>
      </c>
      <c r="J69" s="1"/>
      <c r="K69" s="1">
        <f t="shared" si="3"/>
        <v>1559.4279999999999</v>
      </c>
      <c r="L69" s="3">
        <f t="shared" si="5"/>
        <v>0.68693282185624993</v>
      </c>
      <c r="M69" s="25" t="s">
        <v>496</v>
      </c>
    </row>
    <row r="70" spans="2:13">
      <c r="B70" s="11">
        <v>48</v>
      </c>
      <c r="C70" s="251"/>
      <c r="D70" s="7" t="s">
        <v>285</v>
      </c>
      <c r="E70" s="1" t="s">
        <v>19</v>
      </c>
      <c r="F70" s="2">
        <v>421.93599999999998</v>
      </c>
      <c r="G70" s="1"/>
      <c r="H70" s="1">
        <f t="shared" si="4"/>
        <v>421.93599999999998</v>
      </c>
      <c r="I70" s="92">
        <v>339.43099999999998</v>
      </c>
      <c r="J70" s="1"/>
      <c r="K70" s="1">
        <f t="shared" si="3"/>
        <v>82.504999999999995</v>
      </c>
      <c r="L70" s="3">
        <f t="shared" si="5"/>
        <v>0.80446086610291612</v>
      </c>
      <c r="M70" s="149">
        <v>44279</v>
      </c>
    </row>
    <row r="71" spans="2:13">
      <c r="B71" s="11">
        <v>49</v>
      </c>
      <c r="C71" s="251"/>
      <c r="D71" s="7" t="s">
        <v>86</v>
      </c>
      <c r="E71" s="1" t="s">
        <v>19</v>
      </c>
      <c r="F71" s="2">
        <v>1429.5530000000001</v>
      </c>
      <c r="G71" s="1">
        <f>-60-25-10-5</f>
        <v>-100</v>
      </c>
      <c r="H71" s="1">
        <f t="shared" si="4"/>
        <v>1329.5530000000001</v>
      </c>
      <c r="I71" s="92">
        <v>1112.991</v>
      </c>
      <c r="J71" s="1"/>
      <c r="K71" s="1">
        <f t="shared" si="3"/>
        <v>216.56200000000013</v>
      </c>
      <c r="L71" s="3">
        <f t="shared" si="5"/>
        <v>0.83711668508137693</v>
      </c>
      <c r="M71" s="25" t="s">
        <v>496</v>
      </c>
    </row>
    <row r="72" spans="2:13">
      <c r="B72" s="11">
        <v>50</v>
      </c>
      <c r="C72" s="251"/>
      <c r="D72" s="7" t="s">
        <v>87</v>
      </c>
      <c r="E72" s="1" t="s">
        <v>19</v>
      </c>
      <c r="F72" s="2">
        <v>6484.0649999999996</v>
      </c>
      <c r="G72" s="1">
        <f>-226+208-84-114</f>
        <v>-216</v>
      </c>
      <c r="H72" s="1">
        <f t="shared" si="4"/>
        <v>6268.0649999999996</v>
      </c>
      <c r="I72" s="92">
        <v>4118.6180000000004</v>
      </c>
      <c r="J72" s="1"/>
      <c r="K72" s="1">
        <f t="shared" si="3"/>
        <v>2149.4469999999992</v>
      </c>
      <c r="L72" s="3">
        <f t="shared" si="5"/>
        <v>0.65707965695952431</v>
      </c>
      <c r="M72" s="25" t="s">
        <v>496</v>
      </c>
    </row>
    <row r="73" spans="2:13">
      <c r="B73" s="11">
        <v>51</v>
      </c>
      <c r="C73" s="251"/>
      <c r="D73" s="7" t="s">
        <v>88</v>
      </c>
      <c r="E73" s="1" t="s">
        <v>19</v>
      </c>
      <c r="F73" s="2">
        <v>1968.5530000000001</v>
      </c>
      <c r="G73" s="1">
        <f>100-75-100-10-300-304</f>
        <v>-689</v>
      </c>
      <c r="H73" s="1">
        <f t="shared" si="4"/>
        <v>1279.5530000000001</v>
      </c>
      <c r="I73" s="92">
        <v>710.428</v>
      </c>
      <c r="J73" s="1"/>
      <c r="K73" s="1">
        <f t="shared" si="3"/>
        <v>569.12500000000011</v>
      </c>
      <c r="L73" s="3">
        <f t="shared" si="5"/>
        <v>0.55521576675604678</v>
      </c>
      <c r="M73" s="131" t="s">
        <v>496</v>
      </c>
    </row>
    <row r="74" spans="2:13">
      <c r="B74" s="11">
        <v>52</v>
      </c>
      <c r="C74" s="251"/>
      <c r="D74" s="7" t="s">
        <v>89</v>
      </c>
      <c r="E74" s="1" t="s">
        <v>19</v>
      </c>
      <c r="F74" s="2">
        <v>3249.3449999999998</v>
      </c>
      <c r="G74" s="1">
        <f>-226-56-119</f>
        <v>-401</v>
      </c>
      <c r="H74" s="1">
        <f t="shared" si="4"/>
        <v>2848.3449999999998</v>
      </c>
      <c r="I74" s="92">
        <v>1605.271</v>
      </c>
      <c r="J74" s="1"/>
      <c r="K74" s="1">
        <f t="shared" si="3"/>
        <v>1243.0739999999998</v>
      </c>
      <c r="L74" s="3">
        <f t="shared" si="5"/>
        <v>0.563580254498665</v>
      </c>
      <c r="M74" s="25" t="s">
        <v>496</v>
      </c>
    </row>
    <row r="75" spans="2:13">
      <c r="B75" s="11">
        <v>53</v>
      </c>
      <c r="C75" s="251"/>
      <c r="D75" s="7" t="s">
        <v>174</v>
      </c>
      <c r="E75" s="1" t="s">
        <v>19</v>
      </c>
      <c r="F75" s="2">
        <v>6272.3760000000002</v>
      </c>
      <c r="G75" s="1">
        <f>400-100</f>
        <v>300</v>
      </c>
      <c r="H75" s="1">
        <f t="shared" si="4"/>
        <v>6572.3760000000002</v>
      </c>
      <c r="I75" s="92">
        <v>6544.018</v>
      </c>
      <c r="J75" s="1"/>
      <c r="K75" s="1">
        <f t="shared" si="3"/>
        <v>28.358000000000175</v>
      </c>
      <c r="L75" s="3">
        <f t="shared" si="5"/>
        <v>0.9956852742448089</v>
      </c>
      <c r="M75" s="131" t="s">
        <v>496</v>
      </c>
    </row>
    <row r="76" spans="2:13">
      <c r="B76" s="11">
        <v>54</v>
      </c>
      <c r="C76" s="251"/>
      <c r="D76" s="7" t="s">
        <v>90</v>
      </c>
      <c r="E76" s="1" t="s">
        <v>19</v>
      </c>
      <c r="F76" s="2">
        <v>472.154</v>
      </c>
      <c r="G76" s="1">
        <f>-147.9-62.4-30</f>
        <v>-240.3</v>
      </c>
      <c r="H76" s="1">
        <f t="shared" si="4"/>
        <v>231.85399999999998</v>
      </c>
      <c r="I76" s="92">
        <v>231.86</v>
      </c>
      <c r="J76" s="1"/>
      <c r="K76" s="1">
        <f t="shared" si="3"/>
        <v>-6.0000000000286491E-3</v>
      </c>
      <c r="L76" s="3">
        <f t="shared" si="5"/>
        <v>1.0000258783544818</v>
      </c>
      <c r="M76" s="142">
        <v>44267</v>
      </c>
    </row>
    <row r="77" spans="2:13">
      <c r="B77" s="11">
        <v>55</v>
      </c>
      <c r="C77" s="251"/>
      <c r="D77" s="7" t="s">
        <v>91</v>
      </c>
      <c r="E77" s="1" t="s">
        <v>19</v>
      </c>
      <c r="F77" s="2">
        <v>8218.625</v>
      </c>
      <c r="G77" s="1">
        <f>60-90+632.686+130+75+318.306+30+680.809+100+235</f>
        <v>2171.8009999999999</v>
      </c>
      <c r="H77" s="1">
        <f t="shared" si="4"/>
        <v>10390.425999999999</v>
      </c>
      <c r="I77" s="92">
        <v>9059.1299999999992</v>
      </c>
      <c r="J77" s="1"/>
      <c r="K77" s="1">
        <f t="shared" si="3"/>
        <v>1331.2960000000003</v>
      </c>
      <c r="L77" s="3">
        <f t="shared" si="5"/>
        <v>0.87187281830408103</v>
      </c>
      <c r="M77" s="25" t="s">
        <v>496</v>
      </c>
    </row>
    <row r="78" spans="2:13">
      <c r="B78" s="11">
        <v>56</v>
      </c>
      <c r="C78" s="251"/>
      <c r="D78" s="7" t="s">
        <v>175</v>
      </c>
      <c r="E78" s="1" t="s">
        <v>19</v>
      </c>
      <c r="F78" s="2">
        <v>61.194000000000003</v>
      </c>
      <c r="G78" s="1"/>
      <c r="H78" s="1">
        <f t="shared" si="4"/>
        <v>61.194000000000003</v>
      </c>
      <c r="I78" s="92">
        <v>72.594999999999999</v>
      </c>
      <c r="J78" s="1"/>
      <c r="K78" s="1">
        <f t="shared" si="3"/>
        <v>-11.400999999999996</v>
      </c>
      <c r="L78" s="3">
        <f t="shared" si="5"/>
        <v>1.1863091152727392</v>
      </c>
      <c r="M78" s="142">
        <v>44261</v>
      </c>
    </row>
    <row r="79" spans="2:13">
      <c r="B79" s="11">
        <v>57</v>
      </c>
      <c r="C79" s="251"/>
      <c r="D79" s="7" t="s">
        <v>92</v>
      </c>
      <c r="E79" s="1" t="s">
        <v>19</v>
      </c>
      <c r="F79" s="2">
        <v>2.9529999999999998</v>
      </c>
      <c r="G79" s="1">
        <f>-1.6</f>
        <v>-1.6</v>
      </c>
      <c r="H79" s="1">
        <f t="shared" si="4"/>
        <v>1.3529999999999998</v>
      </c>
      <c r="I79" s="92">
        <v>0</v>
      </c>
      <c r="J79" s="1"/>
      <c r="K79" s="1">
        <f t="shared" si="3"/>
        <v>1.3529999999999998</v>
      </c>
      <c r="L79" s="3">
        <f>(G79/F79)*-1</f>
        <v>0.54182187605824594</v>
      </c>
      <c r="M79" s="142">
        <v>44491</v>
      </c>
    </row>
    <row r="80" spans="2:13">
      <c r="B80" s="11">
        <v>58</v>
      </c>
      <c r="C80" s="251"/>
      <c r="D80" s="7" t="s">
        <v>176</v>
      </c>
      <c r="E80" s="1" t="s">
        <v>19</v>
      </c>
      <c r="F80" s="2">
        <v>10244.864</v>
      </c>
      <c r="G80" s="1"/>
      <c r="H80" s="1">
        <f t="shared" si="4"/>
        <v>10244.864</v>
      </c>
      <c r="I80" s="92">
        <v>8103.549</v>
      </c>
      <c r="J80" s="1"/>
      <c r="K80" s="1">
        <f t="shared" si="3"/>
        <v>2141.3149999999996</v>
      </c>
      <c r="L80" s="3">
        <f t="shared" si="5"/>
        <v>0.79098648844923669</v>
      </c>
      <c r="M80" s="25" t="s">
        <v>496</v>
      </c>
    </row>
    <row r="81" spans="2:13">
      <c r="B81" s="11">
        <v>59</v>
      </c>
      <c r="C81" s="251"/>
      <c r="D81" s="7" t="s">
        <v>177</v>
      </c>
      <c r="E81" s="1" t="s">
        <v>19</v>
      </c>
      <c r="F81" s="2">
        <v>839.37599999999998</v>
      </c>
      <c r="G81" s="1">
        <f>58.013+40</f>
        <v>98.013000000000005</v>
      </c>
      <c r="H81" s="1">
        <f t="shared" si="4"/>
        <v>937.38900000000001</v>
      </c>
      <c r="I81" s="92">
        <v>849.88800000000003</v>
      </c>
      <c r="J81" s="1"/>
      <c r="K81" s="1">
        <f t="shared" si="3"/>
        <v>87.500999999999976</v>
      </c>
      <c r="L81" s="3">
        <f t="shared" si="5"/>
        <v>0.90665454789847122</v>
      </c>
      <c r="M81" s="149">
        <v>44279</v>
      </c>
    </row>
    <row r="82" spans="2:13">
      <c r="B82" s="11">
        <v>60</v>
      </c>
      <c r="C82" s="251"/>
      <c r="D82" s="7" t="s">
        <v>178</v>
      </c>
      <c r="E82" s="1" t="s">
        <v>19</v>
      </c>
      <c r="F82" s="2">
        <v>752.55700000000002</v>
      </c>
      <c r="G82" s="1"/>
      <c r="H82" s="1">
        <f t="shared" si="4"/>
        <v>752.55700000000002</v>
      </c>
      <c r="I82" s="92">
        <v>818.36599999999999</v>
      </c>
      <c r="J82" s="1"/>
      <c r="K82" s="1">
        <f t="shared" si="3"/>
        <v>-65.808999999999969</v>
      </c>
      <c r="L82" s="3">
        <f t="shared" si="5"/>
        <v>1.0874471966907491</v>
      </c>
      <c r="M82" s="25" t="s">
        <v>496</v>
      </c>
    </row>
    <row r="83" spans="2:13">
      <c r="B83" s="11">
        <v>61</v>
      </c>
      <c r="C83" s="251"/>
      <c r="D83" s="7" t="s">
        <v>179</v>
      </c>
      <c r="E83" s="1" t="s">
        <v>19</v>
      </c>
      <c r="F83" s="2">
        <v>3337.2240000000002</v>
      </c>
      <c r="G83" s="1">
        <f>226+294-17-70</f>
        <v>433</v>
      </c>
      <c r="H83" s="1">
        <f t="shared" si="4"/>
        <v>3770.2240000000002</v>
      </c>
      <c r="I83" s="92">
        <v>3379.0189999999998</v>
      </c>
      <c r="J83" s="1"/>
      <c r="K83" s="1">
        <f t="shared" ref="K83:K132" si="6">H83-(I83+J83)</f>
        <v>391.20500000000038</v>
      </c>
      <c r="L83" s="3">
        <f t="shared" si="5"/>
        <v>0.89623826064446033</v>
      </c>
      <c r="M83" s="47" t="s">
        <v>496</v>
      </c>
    </row>
    <row r="84" spans="2:13">
      <c r="B84" s="11">
        <v>62</v>
      </c>
      <c r="C84" s="251"/>
      <c r="D84" s="7" t="s">
        <v>93</v>
      </c>
      <c r="E84" s="1" t="s">
        <v>19</v>
      </c>
      <c r="F84" s="2">
        <v>4045.8629999999998</v>
      </c>
      <c r="G84" s="1">
        <f>-100</f>
        <v>-100</v>
      </c>
      <c r="H84" s="1">
        <f t="shared" si="4"/>
        <v>3945.8629999999998</v>
      </c>
      <c r="I84" s="92">
        <v>3206.6039999999998</v>
      </c>
      <c r="J84" s="1"/>
      <c r="K84" s="1">
        <f t="shared" si="6"/>
        <v>739.25900000000001</v>
      </c>
      <c r="L84" s="3">
        <f t="shared" si="5"/>
        <v>0.81264960288788535</v>
      </c>
      <c r="M84" s="149">
        <v>44292</v>
      </c>
    </row>
    <row r="85" spans="2:13">
      <c r="B85" s="11">
        <v>63</v>
      </c>
      <c r="C85" s="251"/>
      <c r="D85" s="7" t="s">
        <v>94</v>
      </c>
      <c r="E85" s="1" t="s">
        <v>19</v>
      </c>
      <c r="F85" s="2">
        <v>1124.8489999999999</v>
      </c>
      <c r="G85" s="1">
        <f>-129-69</f>
        <v>-198</v>
      </c>
      <c r="H85" s="1">
        <f t="shared" si="4"/>
        <v>926.84899999999993</v>
      </c>
      <c r="I85" s="92">
        <v>796.95299999999997</v>
      </c>
      <c r="J85" s="1"/>
      <c r="K85" s="1">
        <f t="shared" si="6"/>
        <v>129.89599999999996</v>
      </c>
      <c r="L85" s="3">
        <f t="shared" si="5"/>
        <v>0.85985203630796392</v>
      </c>
      <c r="M85" s="25" t="s">
        <v>496</v>
      </c>
    </row>
    <row r="86" spans="2:13">
      <c r="B86" s="11">
        <v>64</v>
      </c>
      <c r="C86" s="251"/>
      <c r="D86" s="7" t="s">
        <v>95</v>
      </c>
      <c r="E86" s="1" t="s">
        <v>19</v>
      </c>
      <c r="F86" s="2">
        <v>2263.375</v>
      </c>
      <c r="G86" s="1">
        <f>-190</f>
        <v>-190</v>
      </c>
      <c r="H86" s="1">
        <f t="shared" si="4"/>
        <v>2073.375</v>
      </c>
      <c r="I86" s="92">
        <v>2517.91</v>
      </c>
      <c r="J86" s="1"/>
      <c r="K86" s="1">
        <f t="shared" si="6"/>
        <v>-444.53499999999985</v>
      </c>
      <c r="L86" s="3">
        <f t="shared" si="5"/>
        <v>1.2144016398384276</v>
      </c>
      <c r="M86" s="142">
        <v>44478</v>
      </c>
    </row>
    <row r="87" spans="2:13">
      <c r="B87" s="11">
        <v>65</v>
      </c>
      <c r="C87" s="251"/>
      <c r="D87" s="7" t="s">
        <v>96</v>
      </c>
      <c r="E87" s="1" t="s">
        <v>19</v>
      </c>
      <c r="F87" s="2">
        <v>566.59900000000005</v>
      </c>
      <c r="G87" s="1">
        <f>-1</f>
        <v>-1</v>
      </c>
      <c r="H87" s="1">
        <f t="shared" si="4"/>
        <v>565.59900000000005</v>
      </c>
      <c r="I87" s="92">
        <v>648.31200000000001</v>
      </c>
      <c r="J87" s="1"/>
      <c r="K87" s="1">
        <f t="shared" si="6"/>
        <v>-82.712999999999965</v>
      </c>
      <c r="L87" s="3">
        <f t="shared" si="5"/>
        <v>1.1462396503529886</v>
      </c>
      <c r="M87" s="149">
        <v>44264</v>
      </c>
    </row>
    <row r="88" spans="2:13">
      <c r="B88" s="11">
        <v>66</v>
      </c>
      <c r="C88" s="251"/>
      <c r="D88" s="7" t="s">
        <v>97</v>
      </c>
      <c r="E88" s="1" t="s">
        <v>19</v>
      </c>
      <c r="F88" s="2">
        <v>2099.8380000000002</v>
      </c>
      <c r="G88" s="1"/>
      <c r="H88" s="1">
        <f t="shared" ref="H88:H101" si="7">F88+G88</f>
        <v>2099.8380000000002</v>
      </c>
      <c r="I88" s="92">
        <v>1986.7349999999999</v>
      </c>
      <c r="J88" s="1"/>
      <c r="K88" s="1">
        <f t="shared" si="6"/>
        <v>113.10300000000029</v>
      </c>
      <c r="L88" s="3">
        <f t="shared" si="5"/>
        <v>0.94613727344680865</v>
      </c>
      <c r="M88" s="149">
        <v>44327</v>
      </c>
    </row>
    <row r="89" spans="2:13">
      <c r="B89" s="11">
        <v>67</v>
      </c>
      <c r="C89" s="251"/>
      <c r="D89" s="7" t="s">
        <v>98</v>
      </c>
      <c r="E89" s="1" t="s">
        <v>19</v>
      </c>
      <c r="F89" s="2">
        <v>3403.0279999999998</v>
      </c>
      <c r="G89" s="1">
        <f>-10-175-149-300</f>
        <v>-634</v>
      </c>
      <c r="H89" s="1">
        <f t="shared" si="7"/>
        <v>2769.0279999999998</v>
      </c>
      <c r="I89" s="92">
        <v>2264.3980000000001</v>
      </c>
      <c r="J89" s="1"/>
      <c r="K89" s="1">
        <f t="shared" si="6"/>
        <v>504.62999999999965</v>
      </c>
      <c r="L89" s="3">
        <f t="shared" ref="L89:L102" si="8">I89/H89</f>
        <v>0.81775915592041692</v>
      </c>
      <c r="M89" s="25" t="s">
        <v>496</v>
      </c>
    </row>
    <row r="90" spans="2:13">
      <c r="B90" s="11">
        <v>68</v>
      </c>
      <c r="C90" s="251"/>
      <c r="D90" s="7" t="s">
        <v>99</v>
      </c>
      <c r="E90" s="1" t="s">
        <v>19</v>
      </c>
      <c r="F90" s="2">
        <v>3627.9949999999999</v>
      </c>
      <c r="G90" s="1">
        <f>236.5+114.632+201.547+250</f>
        <v>802.67899999999997</v>
      </c>
      <c r="H90" s="1">
        <f t="shared" si="7"/>
        <v>4430.674</v>
      </c>
      <c r="I90" s="92">
        <v>2953.924</v>
      </c>
      <c r="J90" s="1"/>
      <c r="K90" s="1">
        <f t="shared" si="6"/>
        <v>1476.75</v>
      </c>
      <c r="L90" s="3">
        <f t="shared" si="8"/>
        <v>0.66669856550041817</v>
      </c>
      <c r="M90" s="47" t="s">
        <v>496</v>
      </c>
    </row>
    <row r="91" spans="2:13">
      <c r="B91" s="11">
        <v>69</v>
      </c>
      <c r="C91" s="251"/>
      <c r="D91" s="7" t="s">
        <v>100</v>
      </c>
      <c r="E91" s="1" t="s">
        <v>19</v>
      </c>
      <c r="F91" s="2">
        <v>4055.35</v>
      </c>
      <c r="G91" s="1">
        <f>-200-200</f>
        <v>-400</v>
      </c>
      <c r="H91" s="1">
        <f t="shared" si="7"/>
        <v>3655.35</v>
      </c>
      <c r="I91" s="92">
        <v>3101.4</v>
      </c>
      <c r="J91" s="1"/>
      <c r="K91" s="1">
        <f t="shared" si="6"/>
        <v>553.94999999999982</v>
      </c>
      <c r="L91" s="3">
        <f t="shared" si="8"/>
        <v>0.84845500430875298</v>
      </c>
      <c r="M91" s="25" t="s">
        <v>496</v>
      </c>
    </row>
    <row r="92" spans="2:13">
      <c r="B92" s="11">
        <v>70</v>
      </c>
      <c r="C92" s="251"/>
      <c r="D92" s="7" t="s">
        <v>180</v>
      </c>
      <c r="E92" s="1" t="s">
        <v>19</v>
      </c>
      <c r="F92" s="2">
        <v>1224.145</v>
      </c>
      <c r="G92" s="1"/>
      <c r="H92" s="1">
        <f t="shared" si="7"/>
        <v>1224.145</v>
      </c>
      <c r="I92" s="92">
        <v>762.67899999999997</v>
      </c>
      <c r="J92" s="1"/>
      <c r="K92" s="1">
        <f t="shared" si="6"/>
        <v>461.46600000000001</v>
      </c>
      <c r="L92" s="3">
        <f t="shared" si="8"/>
        <v>0.62302995151718132</v>
      </c>
      <c r="M92" s="131" t="s">
        <v>496</v>
      </c>
    </row>
    <row r="93" spans="2:13">
      <c r="B93" s="11">
        <v>71</v>
      </c>
      <c r="C93" s="251"/>
      <c r="D93" s="7" t="s">
        <v>181</v>
      </c>
      <c r="E93" s="1" t="s">
        <v>19</v>
      </c>
      <c r="F93" s="2">
        <v>18.207000000000001</v>
      </c>
      <c r="G93" s="1">
        <f>-10.2</f>
        <v>-10.199999999999999</v>
      </c>
      <c r="H93" s="1">
        <f t="shared" si="7"/>
        <v>8.0070000000000014</v>
      </c>
      <c r="I93" s="92">
        <v>0</v>
      </c>
      <c r="J93" s="1"/>
      <c r="K93" s="1">
        <f t="shared" si="6"/>
        <v>8.0070000000000014</v>
      </c>
      <c r="L93" s="3">
        <f>(G93/F93)*-1</f>
        <v>0.56022408963585424</v>
      </c>
      <c r="M93" s="142">
        <v>44491</v>
      </c>
    </row>
    <row r="94" spans="2:13">
      <c r="B94" s="11">
        <v>72</v>
      </c>
      <c r="C94" s="251"/>
      <c r="D94" s="7" t="s">
        <v>101</v>
      </c>
      <c r="E94" s="1" t="s">
        <v>19</v>
      </c>
      <c r="F94" s="2">
        <v>542.13400000000001</v>
      </c>
      <c r="G94" s="1">
        <f>170+120</f>
        <v>290</v>
      </c>
      <c r="H94" s="1">
        <f t="shared" si="7"/>
        <v>832.13400000000001</v>
      </c>
      <c r="I94" s="92">
        <v>984.90599999999995</v>
      </c>
      <c r="J94" s="1"/>
      <c r="K94" s="1">
        <f t="shared" si="6"/>
        <v>-152.77199999999993</v>
      </c>
      <c r="L94" s="3">
        <f t="shared" si="8"/>
        <v>1.1835906236255218</v>
      </c>
      <c r="M94" s="132" t="s">
        <v>496</v>
      </c>
    </row>
    <row r="95" spans="2:13">
      <c r="B95" s="11">
        <v>73</v>
      </c>
      <c r="C95" s="251"/>
      <c r="D95" s="7" t="s">
        <v>102</v>
      </c>
      <c r="E95" s="1" t="s">
        <v>19</v>
      </c>
      <c r="F95" s="2">
        <v>1331.8810000000001</v>
      </c>
      <c r="G95" s="1">
        <f>190+100</f>
        <v>290</v>
      </c>
      <c r="H95" s="1">
        <f t="shared" si="7"/>
        <v>1621.8810000000001</v>
      </c>
      <c r="I95" s="92">
        <v>1647.88</v>
      </c>
      <c r="J95" s="1"/>
      <c r="K95" s="1">
        <f t="shared" si="6"/>
        <v>-25.999000000000024</v>
      </c>
      <c r="L95" s="3">
        <f t="shared" si="8"/>
        <v>1.0160301526437514</v>
      </c>
      <c r="M95" s="149">
        <v>44292</v>
      </c>
    </row>
    <row r="96" spans="2:13">
      <c r="B96" s="11">
        <v>74</v>
      </c>
      <c r="C96" s="251"/>
      <c r="D96" s="7" t="s">
        <v>103</v>
      </c>
      <c r="E96" s="1" t="s">
        <v>19</v>
      </c>
      <c r="F96" s="2">
        <v>10472.476000000001</v>
      </c>
      <c r="G96" s="1"/>
      <c r="H96" s="1">
        <f t="shared" si="7"/>
        <v>10472.476000000001</v>
      </c>
      <c r="I96" s="92">
        <v>7693.9579999999996</v>
      </c>
      <c r="J96" s="1"/>
      <c r="K96" s="1">
        <f t="shared" si="6"/>
        <v>2778.5180000000009</v>
      </c>
      <c r="L96" s="3">
        <f t="shared" si="8"/>
        <v>0.73468375578039036</v>
      </c>
      <c r="M96" s="131" t="s">
        <v>496</v>
      </c>
    </row>
    <row r="97" spans="2:14" s="11" customFormat="1">
      <c r="B97" s="11">
        <v>75</v>
      </c>
      <c r="C97" s="251"/>
      <c r="D97" s="7" t="s">
        <v>262</v>
      </c>
      <c r="E97" s="1" t="s">
        <v>19</v>
      </c>
      <c r="F97" s="2">
        <v>69.018000000000001</v>
      </c>
      <c r="G97" s="1">
        <f>-48.5</f>
        <v>-48.5</v>
      </c>
      <c r="H97" s="1">
        <f t="shared" si="7"/>
        <v>20.518000000000001</v>
      </c>
      <c r="I97" s="92">
        <v>0</v>
      </c>
      <c r="J97" s="1"/>
      <c r="K97" s="1">
        <f t="shared" si="6"/>
        <v>20.518000000000001</v>
      </c>
      <c r="L97" s="3">
        <f t="shared" si="8"/>
        <v>0</v>
      </c>
      <c r="M97" s="131" t="s">
        <v>496</v>
      </c>
    </row>
    <row r="98" spans="2:14" s="11" customFormat="1">
      <c r="B98" s="11">
        <v>76</v>
      </c>
      <c r="C98" s="251"/>
      <c r="D98" s="7" t="s">
        <v>263</v>
      </c>
      <c r="E98" s="1" t="s">
        <v>19</v>
      </c>
      <c r="F98" s="2">
        <v>238.17099999999999</v>
      </c>
      <c r="G98" s="1">
        <f>50</f>
        <v>50</v>
      </c>
      <c r="H98" s="1">
        <f t="shared" si="7"/>
        <v>288.17099999999999</v>
      </c>
      <c r="I98" s="92">
        <v>284.59899999999999</v>
      </c>
      <c r="J98" s="1"/>
      <c r="K98" s="1">
        <f t="shared" si="6"/>
        <v>3.5720000000000027</v>
      </c>
      <c r="L98" s="3">
        <f t="shared" si="8"/>
        <v>0.98760458200165868</v>
      </c>
      <c r="M98" s="149">
        <v>44264</v>
      </c>
    </row>
    <row r="99" spans="2:14">
      <c r="B99" s="11">
        <v>77</v>
      </c>
      <c r="C99" s="251"/>
      <c r="D99" s="7" t="s">
        <v>104</v>
      </c>
      <c r="E99" s="1" t="s">
        <v>19</v>
      </c>
      <c r="F99" s="2">
        <v>2238.0259999999998</v>
      </c>
      <c r="G99" s="1">
        <f>96.84-2-100+40+76.8</f>
        <v>111.64</v>
      </c>
      <c r="H99" s="1">
        <f t="shared" si="7"/>
        <v>2349.6659999999997</v>
      </c>
      <c r="I99" s="92">
        <v>2058.8020000000001</v>
      </c>
      <c r="J99" s="1"/>
      <c r="K99" s="1">
        <f t="shared" si="6"/>
        <v>290.86399999999958</v>
      </c>
      <c r="L99" s="3">
        <f t="shared" si="8"/>
        <v>0.87621049119321659</v>
      </c>
      <c r="M99" s="149">
        <v>44379</v>
      </c>
    </row>
    <row r="100" spans="2:14">
      <c r="B100" s="11">
        <v>78</v>
      </c>
      <c r="C100" s="251"/>
      <c r="D100" s="7" t="s">
        <v>105</v>
      </c>
      <c r="E100" s="1" t="s">
        <v>19</v>
      </c>
      <c r="F100" s="2">
        <v>180.26300000000001</v>
      </c>
      <c r="G100" s="1"/>
      <c r="H100" s="1">
        <f t="shared" si="7"/>
        <v>180.26300000000001</v>
      </c>
      <c r="I100" s="92">
        <v>373.61500000000001</v>
      </c>
      <c r="J100" s="1"/>
      <c r="K100" s="1">
        <f t="shared" si="6"/>
        <v>-193.352</v>
      </c>
      <c r="L100" s="3">
        <f t="shared" si="8"/>
        <v>2.0726105745494086</v>
      </c>
      <c r="M100" s="142">
        <v>44256</v>
      </c>
    </row>
    <row r="101" spans="2:14" s="11" customFormat="1">
      <c r="C101" s="251"/>
      <c r="D101" s="7" t="s">
        <v>257</v>
      </c>
      <c r="E101" s="25" t="s">
        <v>19</v>
      </c>
      <c r="F101" s="25"/>
      <c r="G101" s="1">
        <f>56+500+217+60+60+35+35+35+35+187+25+274+226.6+1453+805+68+685+538+1027+357.918+818+450+70.282+82.43+70.282+399+148+250+195.228+97.614+1607.969+106.291+422.317+231.671+42.516+512.747+384+90+167.896+7748+343+1199.568+297.514+20+1060+350.636+900+226+1.6+1187+148+400+180+305+170+243+305+384+417+145+580+84+79.3+140+145+290+145+580+224+139+320+750+498+4806+480+50+843+757.794+72.63+450+200+86.089+29.238+232.541+1950+9.2+320+37.901+60.641+218+300+100+630+2346+347+88.77+219+2+10+90+300+330+100+265+10+29.8+300+150+106+358.057+300+144.6+18+552+392.528+344.297+50+3435+17+50+29+575+10+160+359+1350+310+1308+3560+520+840+100+810.93+271.77+340.96+972.2+59.62+184.33+96.78+94.43+320+43.79+50.436+747.5+630.198+640+188.03+55+99+250+114+5+1+612</f>
        <v>70526.438999999969</v>
      </c>
      <c r="H101" s="25">
        <f t="shared" si="7"/>
        <v>70526.438999999969</v>
      </c>
      <c r="I101" s="25">
        <f>'Cesiones Indiv y Colecti VIII'!S3</f>
        <v>47178.175000000003</v>
      </c>
      <c r="J101" s="1"/>
      <c r="K101" s="1">
        <f t="shared" si="6"/>
        <v>23348.263999999966</v>
      </c>
      <c r="L101" s="41">
        <f t="shared" si="8"/>
        <v>0.66894310373447363</v>
      </c>
      <c r="M101" s="25" t="s">
        <v>496</v>
      </c>
    </row>
    <row r="102" spans="2:14" s="11" customFormat="1">
      <c r="C102" s="251"/>
      <c r="D102" s="7" t="s">
        <v>243</v>
      </c>
      <c r="E102" s="25" t="s">
        <v>19</v>
      </c>
      <c r="F102" s="5">
        <f>SUM(F23:F101)</f>
        <v>217924.97499999992</v>
      </c>
      <c r="G102" s="1">
        <f>SUM(G23:G101)</f>
        <v>77530.473999999973</v>
      </c>
      <c r="H102" s="25">
        <f>F102+G102</f>
        <v>295455.44899999991</v>
      </c>
      <c r="I102" s="5">
        <f>SUM(I23:I101)</f>
        <v>229277.71499999997</v>
      </c>
      <c r="J102" s="1">
        <f>SUM(J23:J101)</f>
        <v>0</v>
      </c>
      <c r="K102" s="1">
        <f t="shared" si="6"/>
        <v>66177.733999999939</v>
      </c>
      <c r="L102" s="41">
        <f t="shared" si="8"/>
        <v>0.77601450836670827</v>
      </c>
      <c r="M102" s="25" t="s">
        <v>496</v>
      </c>
    </row>
    <row r="103" spans="2:14">
      <c r="I103" s="57"/>
      <c r="M103" s="57"/>
    </row>
    <row r="104" spans="2:14" ht="18.75" customHeight="1">
      <c r="C104" s="252" t="s">
        <v>43</v>
      </c>
      <c r="D104" s="7" t="s">
        <v>252</v>
      </c>
      <c r="E104" s="1" t="s">
        <v>19</v>
      </c>
      <c r="F104" s="1">
        <v>3225</v>
      </c>
      <c r="G104" s="1">
        <f>733+181</f>
        <v>914</v>
      </c>
      <c r="H104" s="1">
        <f>F104+G104</f>
        <v>4139</v>
      </c>
      <c r="I104" s="92">
        <v>6569.79</v>
      </c>
      <c r="J104" s="1"/>
      <c r="K104" s="1">
        <f t="shared" si="6"/>
        <v>-2430.79</v>
      </c>
      <c r="L104" s="3">
        <f>I104/H104</f>
        <v>1.587289200289925</v>
      </c>
      <c r="M104" s="142">
        <v>44522</v>
      </c>
      <c r="N104" s="59"/>
    </row>
    <row r="105" spans="2:14" s="11" customFormat="1" ht="18" customHeight="1">
      <c r="C105" s="253"/>
      <c r="D105" s="7" t="s">
        <v>196</v>
      </c>
      <c r="E105" s="25" t="s">
        <v>19</v>
      </c>
      <c r="F105" s="25"/>
      <c r="G105" s="1">
        <f>550+600+100+100+304+900+260+400+250.482</f>
        <v>3464.482</v>
      </c>
      <c r="H105" s="25">
        <f>F105+G105</f>
        <v>3464.482</v>
      </c>
      <c r="I105" s="25">
        <f>'Cesiones Ind IX-XIV'!V3</f>
        <v>3945.5570000000007</v>
      </c>
      <c r="J105" s="1"/>
      <c r="K105" s="1">
        <f t="shared" si="6"/>
        <v>-481.07500000000073</v>
      </c>
      <c r="L105" s="41">
        <f>I105/H105</f>
        <v>1.1388591425788908</v>
      </c>
      <c r="M105" s="25"/>
    </row>
    <row r="106" spans="2:14" s="11" customFormat="1" ht="18" customHeight="1">
      <c r="C106" s="253"/>
      <c r="D106" s="7" t="s">
        <v>244</v>
      </c>
      <c r="E106" s="25" t="s">
        <v>19</v>
      </c>
      <c r="F106" s="25">
        <f>SUM(F104:F105)</f>
        <v>3225</v>
      </c>
      <c r="G106" s="1">
        <f>SUM(G104:G105)</f>
        <v>4378.482</v>
      </c>
      <c r="H106" s="25">
        <f>F106+G106</f>
        <v>7603.482</v>
      </c>
      <c r="I106" s="25">
        <f>SUM(I104:I105)</f>
        <v>10515.347000000002</v>
      </c>
      <c r="J106" s="1">
        <f>SUM(J104:J105)</f>
        <v>0</v>
      </c>
      <c r="K106" s="1">
        <f t="shared" si="6"/>
        <v>-2911.8650000000016</v>
      </c>
      <c r="L106" s="41">
        <f>I106/H106</f>
        <v>1.3829646732904743</v>
      </c>
      <c r="M106" s="25" t="s">
        <v>496</v>
      </c>
    </row>
    <row r="107" spans="2:14">
      <c r="I107" s="57"/>
      <c r="M107" s="57"/>
    </row>
    <row r="108" spans="2:14" ht="15" customHeight="1">
      <c r="B108">
        <v>1</v>
      </c>
      <c r="C108" s="254" t="s">
        <v>44</v>
      </c>
      <c r="D108" s="7" t="s">
        <v>116</v>
      </c>
      <c r="E108" s="1" t="s">
        <v>19</v>
      </c>
      <c r="F108" s="1">
        <v>2397.069</v>
      </c>
      <c r="G108" s="1">
        <f>-75-50-100-100-150-628-409</f>
        <v>-1512</v>
      </c>
      <c r="H108" s="1">
        <f>F108+G108</f>
        <v>885.06899999999996</v>
      </c>
      <c r="I108" s="92">
        <v>878.94500000000005</v>
      </c>
      <c r="J108" s="1"/>
      <c r="K108" s="1">
        <f t="shared" si="6"/>
        <v>6.12399999999991</v>
      </c>
      <c r="L108" s="3">
        <f>(I108+J108)/H108</f>
        <v>0.9930807654544449</v>
      </c>
      <c r="M108" s="131" t="s">
        <v>496</v>
      </c>
    </row>
    <row r="109" spans="2:14">
      <c r="B109">
        <v>2</v>
      </c>
      <c r="C109" s="255"/>
      <c r="D109" s="7" t="s">
        <v>117</v>
      </c>
      <c r="E109" s="1" t="s">
        <v>19</v>
      </c>
      <c r="F109" s="1">
        <v>4273.7809999999999</v>
      </c>
      <c r="G109" s="1">
        <f>-270</f>
        <v>-270</v>
      </c>
      <c r="H109" s="1">
        <f t="shared" ref="H109:H119" si="9">F109+G109</f>
        <v>4003.7809999999999</v>
      </c>
      <c r="I109" s="92">
        <v>5669.83</v>
      </c>
      <c r="J109" s="1"/>
      <c r="K109" s="1">
        <f t="shared" si="6"/>
        <v>-1666.049</v>
      </c>
      <c r="L109" s="3">
        <f t="shared" ref="L109:L120" si="10">(I109+J109)/H109</f>
        <v>1.4161189135969225</v>
      </c>
      <c r="M109" s="142">
        <v>44524</v>
      </c>
    </row>
    <row r="110" spans="2:14">
      <c r="B110">
        <v>3</v>
      </c>
      <c r="C110" s="255"/>
      <c r="D110" s="7" t="s">
        <v>118</v>
      </c>
      <c r="E110" s="1" t="s">
        <v>19</v>
      </c>
      <c r="F110" s="1">
        <v>3385.8620000000001</v>
      </c>
      <c r="G110" s="1"/>
      <c r="H110" s="1">
        <f t="shared" si="9"/>
        <v>3385.8620000000001</v>
      </c>
      <c r="I110" s="92">
        <v>4374.6610000000001</v>
      </c>
      <c r="J110" s="1"/>
      <c r="K110" s="1">
        <f t="shared" si="6"/>
        <v>-988.79899999999998</v>
      </c>
      <c r="L110" s="3">
        <f t="shared" si="10"/>
        <v>1.2920375963344046</v>
      </c>
      <c r="M110" s="142">
        <v>44524</v>
      </c>
    </row>
    <row r="111" spans="2:14">
      <c r="B111">
        <v>4</v>
      </c>
      <c r="C111" s="255"/>
      <c r="D111" s="7" t="s">
        <v>119</v>
      </c>
      <c r="E111" s="1" t="s">
        <v>19</v>
      </c>
      <c r="F111" s="1">
        <v>2540.1410000000001</v>
      </c>
      <c r="G111" s="1"/>
      <c r="H111" s="1">
        <f t="shared" si="9"/>
        <v>2540.1410000000001</v>
      </c>
      <c r="I111" s="92">
        <v>3725.826</v>
      </c>
      <c r="J111" s="1"/>
      <c r="K111" s="1">
        <f t="shared" si="6"/>
        <v>-1185.6849999999999</v>
      </c>
      <c r="L111" s="3">
        <f t="shared" si="10"/>
        <v>1.4667792063511436</v>
      </c>
      <c r="M111" s="142">
        <v>44543</v>
      </c>
    </row>
    <row r="112" spans="2:14">
      <c r="B112">
        <v>5</v>
      </c>
      <c r="C112" s="255"/>
      <c r="D112" s="7" t="s">
        <v>120</v>
      </c>
      <c r="E112" s="1" t="s">
        <v>19</v>
      </c>
      <c r="F112" s="1">
        <v>10611.849</v>
      </c>
      <c r="G112" s="1"/>
      <c r="H112" s="1">
        <f t="shared" si="9"/>
        <v>10611.849</v>
      </c>
      <c r="I112" s="92">
        <v>14349.191999999999</v>
      </c>
      <c r="J112" s="1"/>
      <c r="K112" s="1">
        <f t="shared" si="6"/>
        <v>-3737.3429999999989</v>
      </c>
      <c r="L112" s="3">
        <f t="shared" si="10"/>
        <v>1.3521858443330657</v>
      </c>
      <c r="M112" s="142">
        <v>44559</v>
      </c>
    </row>
    <row r="113" spans="2:13">
      <c r="B113" s="57">
        <v>6</v>
      </c>
      <c r="C113" s="255"/>
      <c r="D113" s="7" t="s">
        <v>121</v>
      </c>
      <c r="E113" s="1" t="s">
        <v>19</v>
      </c>
      <c r="F113" s="1">
        <v>1856.943</v>
      </c>
      <c r="G113" s="1"/>
      <c r="H113" s="1">
        <f t="shared" si="9"/>
        <v>1856.943</v>
      </c>
      <c r="I113" s="92">
        <v>2531.623</v>
      </c>
      <c r="J113" s="1"/>
      <c r="K113" s="1">
        <f t="shared" si="6"/>
        <v>-674.68000000000006</v>
      </c>
      <c r="L113" s="3">
        <f t="shared" si="10"/>
        <v>1.3633283304872579</v>
      </c>
      <c r="M113" s="142">
        <v>44510</v>
      </c>
    </row>
    <row r="114" spans="2:13">
      <c r="B114">
        <v>7</v>
      </c>
      <c r="C114" s="255"/>
      <c r="D114" s="7" t="s">
        <v>122</v>
      </c>
      <c r="E114" s="1" t="s">
        <v>19</v>
      </c>
      <c r="F114" s="1">
        <v>1905.617</v>
      </c>
      <c r="G114" s="1"/>
      <c r="H114" s="1">
        <f t="shared" si="9"/>
        <v>1905.617</v>
      </c>
      <c r="I114" s="92">
        <v>2282.614</v>
      </c>
      <c r="J114" s="1"/>
      <c r="K114" s="1">
        <f t="shared" si="6"/>
        <v>-376.99700000000007</v>
      </c>
      <c r="L114" s="3">
        <f t="shared" si="10"/>
        <v>1.1978346120967645</v>
      </c>
      <c r="M114" s="142">
        <v>44531</v>
      </c>
    </row>
    <row r="115" spans="2:13">
      <c r="B115">
        <v>8</v>
      </c>
      <c r="C115" s="255"/>
      <c r="D115" s="7" t="s">
        <v>123</v>
      </c>
      <c r="E115" s="1" t="s">
        <v>19</v>
      </c>
      <c r="F115" s="1">
        <v>2217.799</v>
      </c>
      <c r="G115" s="1"/>
      <c r="H115" s="1">
        <f t="shared" si="9"/>
        <v>2217.799</v>
      </c>
      <c r="I115" s="92">
        <v>2842.2190000000001</v>
      </c>
      <c r="J115" s="1"/>
      <c r="K115" s="1">
        <f t="shared" si="6"/>
        <v>-624.42000000000007</v>
      </c>
      <c r="L115" s="3">
        <f t="shared" si="10"/>
        <v>1.2815494100231806</v>
      </c>
      <c r="M115" s="142">
        <v>44532</v>
      </c>
    </row>
    <row r="116" spans="2:13">
      <c r="B116">
        <v>9</v>
      </c>
      <c r="C116" s="255"/>
      <c r="D116" s="7" t="s">
        <v>124</v>
      </c>
      <c r="E116" s="1" t="s">
        <v>19</v>
      </c>
      <c r="F116" s="1">
        <v>903.529</v>
      </c>
      <c r="G116" s="1">
        <f>-40</f>
        <v>-40</v>
      </c>
      <c r="H116" s="1">
        <f t="shared" si="9"/>
        <v>863.529</v>
      </c>
      <c r="I116" s="92">
        <v>894.18799999999999</v>
      </c>
      <c r="J116" s="1"/>
      <c r="K116" s="1">
        <f t="shared" si="6"/>
        <v>-30.658999999999992</v>
      </c>
      <c r="L116" s="3">
        <f t="shared" si="10"/>
        <v>1.0355043084829809</v>
      </c>
      <c r="M116" s="142">
        <v>44519</v>
      </c>
    </row>
    <row r="117" spans="2:13">
      <c r="B117">
        <v>10</v>
      </c>
      <c r="C117" s="255"/>
      <c r="D117" s="7" t="s">
        <v>125</v>
      </c>
      <c r="E117" s="1" t="s">
        <v>19</v>
      </c>
      <c r="F117" s="1">
        <v>806.80499999999995</v>
      </c>
      <c r="G117" s="1">
        <f>-96.84-84.51-84.51-84.51-169.43-207.7-76.8</f>
        <v>-804.3</v>
      </c>
      <c r="H117" s="1">
        <f t="shared" si="9"/>
        <v>2.5049999999999955</v>
      </c>
      <c r="I117" s="92">
        <v>0</v>
      </c>
      <c r="J117" s="1"/>
      <c r="K117" s="1">
        <f t="shared" si="6"/>
        <v>2.5049999999999955</v>
      </c>
      <c r="L117" s="3">
        <f t="shared" si="10"/>
        <v>0</v>
      </c>
      <c r="M117" s="47" t="s">
        <v>496</v>
      </c>
    </row>
    <row r="118" spans="2:13">
      <c r="B118">
        <v>11</v>
      </c>
      <c r="C118" s="255"/>
      <c r="D118" s="7" t="s">
        <v>126</v>
      </c>
      <c r="E118" s="1" t="s">
        <v>19</v>
      </c>
      <c r="F118" s="1">
        <v>323.60399999999998</v>
      </c>
      <c r="G118" s="1"/>
      <c r="H118" s="1">
        <f t="shared" si="9"/>
        <v>323.60399999999998</v>
      </c>
      <c r="I118" s="92">
        <v>412.72500000000002</v>
      </c>
      <c r="J118" s="1"/>
      <c r="K118" s="1">
        <f t="shared" si="6"/>
        <v>-89.121000000000038</v>
      </c>
      <c r="L118" s="3">
        <f t="shared" si="10"/>
        <v>1.2754014165461491</v>
      </c>
      <c r="M118" s="142">
        <v>44524</v>
      </c>
    </row>
    <row r="119" spans="2:13" s="11" customFormat="1">
      <c r="C119" s="255"/>
      <c r="D119" s="7" t="s">
        <v>257</v>
      </c>
      <c r="E119" s="25" t="s">
        <v>19</v>
      </c>
      <c r="F119" s="25"/>
      <c r="G119" s="1">
        <f>390.456+600+80+585.684+270+585.684+314+84.51+84.51+84.51+97.614+195.228+750+425+121.824+125+250+125+700+150+24.21+169.43+301.968+495+207.7+452.952+175+2261+51.282+51.282+150.984+2684+400+228+212+195+150+300+452.952+409+400</f>
        <v>15790.779999999999</v>
      </c>
      <c r="H119" s="25">
        <f t="shared" si="9"/>
        <v>15790.779999999999</v>
      </c>
      <c r="I119" s="25">
        <f>'Cesiones Ind IX-XIV'!X3</f>
        <v>19992.635999999995</v>
      </c>
      <c r="J119" s="1"/>
      <c r="K119" s="1">
        <f t="shared" si="6"/>
        <v>-4201.8559999999961</v>
      </c>
      <c r="L119" s="3">
        <f t="shared" si="10"/>
        <v>1.266095531696344</v>
      </c>
      <c r="M119" s="25" t="s">
        <v>496</v>
      </c>
    </row>
    <row r="120" spans="2:13" s="11" customFormat="1">
      <c r="C120" s="255"/>
      <c r="D120" s="75" t="s">
        <v>245</v>
      </c>
      <c r="E120" s="25" t="s">
        <v>19</v>
      </c>
      <c r="F120" s="25">
        <f>SUM(F108:F119)</f>
        <v>31222.998999999993</v>
      </c>
      <c r="G120" s="1">
        <f>SUM(G108:G119)</f>
        <v>13164.48</v>
      </c>
      <c r="H120" s="25">
        <f>F120+G120</f>
        <v>44387.478999999992</v>
      </c>
      <c r="I120" s="25">
        <f>SUM(I108:I119)</f>
        <v>57954.458999999988</v>
      </c>
      <c r="J120" s="1">
        <f>SUM(J108:J119)</f>
        <v>0</v>
      </c>
      <c r="K120" s="1">
        <f t="shared" si="6"/>
        <v>-13566.979999999996</v>
      </c>
      <c r="L120" s="3">
        <f t="shared" si="10"/>
        <v>1.3056488069529697</v>
      </c>
      <c r="M120" s="25" t="s">
        <v>496</v>
      </c>
    </row>
    <row r="121" spans="2:13">
      <c r="I121" s="57"/>
      <c r="M121" s="57"/>
    </row>
    <row r="122" spans="2:13" ht="15" customHeight="1">
      <c r="B122">
        <v>1</v>
      </c>
      <c r="C122" s="254" t="s">
        <v>45</v>
      </c>
      <c r="D122" s="76" t="s">
        <v>106</v>
      </c>
      <c r="E122" s="1" t="s">
        <v>19</v>
      </c>
      <c r="F122" s="1">
        <v>844.34799999999996</v>
      </c>
      <c r="G122" s="1">
        <f>-440-368-8.125</f>
        <v>-816.125</v>
      </c>
      <c r="H122" s="1">
        <f>F122+G122</f>
        <v>28.222999999999956</v>
      </c>
      <c r="I122" s="92">
        <v>28.222999999999999</v>
      </c>
      <c r="J122" s="1"/>
      <c r="K122" s="27">
        <f t="shared" si="6"/>
        <v>-4.2632564145606011E-14</v>
      </c>
      <c r="L122" s="3">
        <f>I122/H122</f>
        <v>1.0000000000000016</v>
      </c>
      <c r="M122" s="142">
        <v>44560</v>
      </c>
    </row>
    <row r="123" spans="2:13">
      <c r="B123">
        <v>2</v>
      </c>
      <c r="C123" s="255"/>
      <c r="D123" s="76" t="s">
        <v>107</v>
      </c>
      <c r="E123" s="1" t="s">
        <v>19</v>
      </c>
      <c r="F123" s="1">
        <v>3013.018</v>
      </c>
      <c r="G123" s="1">
        <f>-865-460-495-600-111.555+8.125</f>
        <v>-2523.4299999999998</v>
      </c>
      <c r="H123" s="1">
        <f t="shared" ref="H123:H131" si="11">F123+G123</f>
        <v>489.58800000000019</v>
      </c>
      <c r="I123" s="92">
        <v>318.89800000000002</v>
      </c>
      <c r="J123" s="1"/>
      <c r="K123" s="1">
        <f t="shared" si="6"/>
        <v>170.69000000000017</v>
      </c>
      <c r="L123" s="3">
        <f t="shared" ref="L123:L132" si="12">I123/H123</f>
        <v>0.65135991895226164</v>
      </c>
      <c r="M123" s="149">
        <v>44498</v>
      </c>
    </row>
    <row r="124" spans="2:13">
      <c r="B124">
        <v>3</v>
      </c>
      <c r="C124" s="255"/>
      <c r="D124" s="76" t="s">
        <v>270</v>
      </c>
      <c r="E124" s="1" t="s">
        <v>19</v>
      </c>
      <c r="F124" s="1">
        <v>3556.82</v>
      </c>
      <c r="G124" s="1">
        <f>-1285-900-200-665-55</f>
        <v>-3105</v>
      </c>
      <c r="H124" s="1">
        <f t="shared" si="11"/>
        <v>451.82000000000016</v>
      </c>
      <c r="I124" s="92">
        <v>194.96600000000001</v>
      </c>
      <c r="J124" s="1"/>
      <c r="K124" s="1">
        <f t="shared" si="6"/>
        <v>256.85400000000016</v>
      </c>
      <c r="L124" s="3">
        <f t="shared" si="12"/>
        <v>0.43151254924527455</v>
      </c>
      <c r="M124" s="25" t="s">
        <v>496</v>
      </c>
    </row>
    <row r="125" spans="2:13">
      <c r="B125">
        <v>4</v>
      </c>
      <c r="C125" s="255"/>
      <c r="D125" s="76" t="s">
        <v>109</v>
      </c>
      <c r="E125" s="1" t="s">
        <v>19</v>
      </c>
      <c r="F125" s="1">
        <v>1106.307</v>
      </c>
      <c r="G125" s="1">
        <f>-500-90-470</f>
        <v>-1060</v>
      </c>
      <c r="H125" s="1">
        <f t="shared" si="11"/>
        <v>46.307000000000016</v>
      </c>
      <c r="I125" s="92">
        <v>10.29</v>
      </c>
      <c r="J125" s="1"/>
      <c r="K125" s="1">
        <f t="shared" si="6"/>
        <v>36.017000000000017</v>
      </c>
      <c r="L125" s="3">
        <f t="shared" si="12"/>
        <v>0.22221262444122908</v>
      </c>
      <c r="M125" s="25" t="s">
        <v>496</v>
      </c>
    </row>
    <row r="126" spans="2:13">
      <c r="B126">
        <v>5</v>
      </c>
      <c r="C126" s="255"/>
      <c r="D126" s="76" t="s">
        <v>110</v>
      </c>
      <c r="E126" s="1" t="s">
        <v>19</v>
      </c>
      <c r="F126" s="1">
        <v>1162.4780000000001</v>
      </c>
      <c r="G126" s="1">
        <f>-400-200-300</f>
        <v>-900</v>
      </c>
      <c r="H126" s="1">
        <f t="shared" si="11"/>
        <v>262.47800000000007</v>
      </c>
      <c r="I126" s="92">
        <v>112.53400000000001</v>
      </c>
      <c r="J126" s="1"/>
      <c r="K126" s="1">
        <f t="shared" si="6"/>
        <v>149.94400000000007</v>
      </c>
      <c r="L126" s="3">
        <f t="shared" si="12"/>
        <v>0.42873688461509146</v>
      </c>
      <c r="M126" s="25" t="s">
        <v>496</v>
      </c>
    </row>
    <row r="127" spans="2:13">
      <c r="B127">
        <v>6</v>
      </c>
      <c r="C127" s="255"/>
      <c r="D127" s="76" t="s">
        <v>111</v>
      </c>
      <c r="E127" s="1" t="s">
        <v>19</v>
      </c>
      <c r="F127" s="1">
        <v>586.36500000000001</v>
      </c>
      <c r="G127" s="1">
        <f>-330-250</f>
        <v>-580</v>
      </c>
      <c r="H127" s="1">
        <f t="shared" si="11"/>
        <v>6.3650000000000091</v>
      </c>
      <c r="I127" s="92">
        <v>0</v>
      </c>
      <c r="J127" s="1"/>
      <c r="K127" s="1">
        <f t="shared" si="6"/>
        <v>6.3650000000000091</v>
      </c>
      <c r="L127" s="3">
        <f t="shared" si="12"/>
        <v>0</v>
      </c>
      <c r="M127" s="131" t="s">
        <v>496</v>
      </c>
    </row>
    <row r="128" spans="2:13">
      <c r="B128">
        <v>7</v>
      </c>
      <c r="C128" s="255"/>
      <c r="D128" s="76" t="s">
        <v>112</v>
      </c>
      <c r="E128" s="1" t="s">
        <v>19</v>
      </c>
      <c r="F128" s="1">
        <v>582.65</v>
      </c>
      <c r="G128" s="1">
        <f>-217-20-80-264</f>
        <v>-581</v>
      </c>
      <c r="H128" s="1">
        <f t="shared" si="11"/>
        <v>1.6499999999999773</v>
      </c>
      <c r="I128" s="92">
        <v>0</v>
      </c>
      <c r="J128" s="1"/>
      <c r="K128" s="1">
        <f>H128-(I128+J128)</f>
        <v>1.6499999999999773</v>
      </c>
      <c r="L128" s="3">
        <f>(G128/F128)*-1</f>
        <v>0.99716811121599591</v>
      </c>
      <c r="M128" s="142">
        <v>44498</v>
      </c>
    </row>
    <row r="129" spans="2:13">
      <c r="B129">
        <v>8</v>
      </c>
      <c r="C129" s="255"/>
      <c r="D129" s="76" t="s">
        <v>113</v>
      </c>
      <c r="E129" s="1" t="s">
        <v>19</v>
      </c>
      <c r="F129" s="1">
        <v>3033.0259999999998</v>
      </c>
      <c r="G129" s="1">
        <f>-632.686-414-130-318.306-680.809-250.482-235</f>
        <v>-2661.2830000000004</v>
      </c>
      <c r="H129" s="1">
        <f t="shared" si="11"/>
        <v>371.74299999999948</v>
      </c>
      <c r="I129" s="92">
        <v>370.74</v>
      </c>
      <c r="J129" s="1"/>
      <c r="K129" s="1">
        <f>H129-(I129+J129)</f>
        <v>1.0029999999994743</v>
      </c>
      <c r="L129" s="3">
        <f>I129/H129</f>
        <v>0.99730189943052194</v>
      </c>
      <c r="M129" s="25" t="s">
        <v>496</v>
      </c>
    </row>
    <row r="130" spans="2:13">
      <c r="B130">
        <v>9</v>
      </c>
      <c r="C130" s="255"/>
      <c r="D130" s="76" t="s">
        <v>114</v>
      </c>
      <c r="E130" s="1" t="s">
        <v>19</v>
      </c>
      <c r="F130" s="1">
        <v>515.29499999999996</v>
      </c>
      <c r="G130" s="1">
        <f>-250-100-155</f>
        <v>-505</v>
      </c>
      <c r="H130" s="1">
        <f t="shared" si="11"/>
        <v>10.294999999999959</v>
      </c>
      <c r="I130" s="92">
        <v>1.4690000000000001</v>
      </c>
      <c r="J130" s="1"/>
      <c r="K130" s="1">
        <f t="shared" si="6"/>
        <v>8.8259999999999597</v>
      </c>
      <c r="L130" s="3">
        <f t="shared" si="12"/>
        <v>0.14269062651772763</v>
      </c>
      <c r="M130" s="25" t="s">
        <v>496</v>
      </c>
    </row>
    <row r="131" spans="2:13">
      <c r="B131">
        <v>10</v>
      </c>
      <c r="C131" s="255"/>
      <c r="D131" s="76" t="s">
        <v>115</v>
      </c>
      <c r="E131" s="1" t="s">
        <v>19</v>
      </c>
      <c r="F131" s="1">
        <v>375.69299999999998</v>
      </c>
      <c r="G131" s="1"/>
      <c r="H131" s="1">
        <f t="shared" si="11"/>
        <v>375.69299999999998</v>
      </c>
      <c r="I131" s="92">
        <v>5.99</v>
      </c>
      <c r="J131" s="1"/>
      <c r="K131" s="1">
        <f t="shared" si="6"/>
        <v>369.70299999999997</v>
      </c>
      <c r="L131" s="3">
        <f t="shared" si="12"/>
        <v>1.5943869063304347E-2</v>
      </c>
      <c r="M131" s="25" t="s">
        <v>496</v>
      </c>
    </row>
    <row r="132" spans="2:13">
      <c r="C132" s="255"/>
      <c r="D132" s="77" t="s">
        <v>241</v>
      </c>
      <c r="E132" s="32" t="s">
        <v>19</v>
      </c>
      <c r="F132">
        <f>SUM(F122:F131)</f>
        <v>14776</v>
      </c>
      <c r="G132">
        <f>SUM(G122:G131)</f>
        <v>-12731.838</v>
      </c>
      <c r="H132" s="32">
        <f>F132+G132</f>
        <v>2044.1620000000003</v>
      </c>
      <c r="I132" s="57">
        <f>SUM(I122:I131)</f>
        <v>1043.1099999999999</v>
      </c>
      <c r="J132" s="11">
        <f>SUM(J122:J131)</f>
        <v>0</v>
      </c>
      <c r="K132" s="32">
        <f t="shared" si="6"/>
        <v>1001.0520000000004</v>
      </c>
      <c r="L132" s="48">
        <f t="shared" si="12"/>
        <v>0.51028734513213714</v>
      </c>
      <c r="M132" s="32" t="s">
        <v>496</v>
      </c>
    </row>
    <row r="134" spans="2:13">
      <c r="G134" s="35">
        <f>SUM(G7:G131)</f>
        <v>167900.25199999995</v>
      </c>
    </row>
  </sheetData>
  <mergeCells count="9">
    <mergeCell ref="C23:C102"/>
    <mergeCell ref="C104:C106"/>
    <mergeCell ref="C108:C120"/>
    <mergeCell ref="C122:C132"/>
    <mergeCell ref="C2:M2"/>
    <mergeCell ref="C3:M3"/>
    <mergeCell ref="C7:C13"/>
    <mergeCell ref="C15:C16"/>
    <mergeCell ref="C18:C2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12"/>
  <sheetViews>
    <sheetView zoomScaleNormal="100" workbookViewId="0">
      <pane ySplit="5" topLeftCell="A6" activePane="bottomLeft" state="frozen"/>
      <selection pane="bottomLeft" activeCell="M5" sqref="C5:M5"/>
    </sheetView>
  </sheetViews>
  <sheetFormatPr baseColWidth="10" defaultRowHeight="15"/>
  <cols>
    <col min="1" max="1" width="11.42578125" style="84"/>
    <col min="2" max="2" width="21.5703125" style="84" customWidth="1"/>
    <col min="3" max="3" width="60.140625" style="84" customWidth="1"/>
    <col min="4" max="4" width="22.28515625" style="84" customWidth="1"/>
    <col min="5" max="6" width="24.42578125" style="84" customWidth="1"/>
    <col min="7" max="7" width="12.5703125" style="84" customWidth="1"/>
    <col min="8" max="8" width="13.85546875" style="84" customWidth="1"/>
    <col min="9" max="9" width="13.140625" style="84" customWidth="1"/>
    <col min="10" max="10" width="11.85546875" style="84" customWidth="1"/>
    <col min="11" max="12" width="12.42578125" style="84" customWidth="1"/>
    <col min="13" max="13" width="13.42578125" style="84" bestFit="1" customWidth="1"/>
    <col min="14" max="16384" width="11.42578125" style="84"/>
  </cols>
  <sheetData>
    <row r="2" spans="2:14">
      <c r="B2" s="259" t="s">
        <v>655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2:14">
      <c r="B3" s="260">
        <f>RESUMEN!B3</f>
        <v>44201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5" spans="2:14" s="157" customFormat="1" ht="45">
      <c r="B5" s="153" t="s">
        <v>38</v>
      </c>
      <c r="C5" s="153" t="s">
        <v>35</v>
      </c>
      <c r="D5" s="153" t="s">
        <v>0</v>
      </c>
      <c r="E5" s="153" t="s">
        <v>650</v>
      </c>
      <c r="F5" s="153" t="s">
        <v>651</v>
      </c>
      <c r="G5" s="153" t="s">
        <v>679</v>
      </c>
      <c r="H5" s="153" t="s">
        <v>652</v>
      </c>
      <c r="I5" s="153" t="s">
        <v>653</v>
      </c>
      <c r="J5" s="153" t="s">
        <v>688</v>
      </c>
      <c r="K5" s="153" t="s">
        <v>654</v>
      </c>
      <c r="L5" s="153" t="s">
        <v>161</v>
      </c>
      <c r="M5" s="153" t="s">
        <v>6</v>
      </c>
      <c r="N5" s="153" t="s">
        <v>37</v>
      </c>
    </row>
    <row r="7" spans="2:14">
      <c r="B7" s="259" t="s">
        <v>39</v>
      </c>
      <c r="C7" s="150" t="s">
        <v>130</v>
      </c>
      <c r="D7" s="130" t="s">
        <v>539</v>
      </c>
      <c r="E7" s="125">
        <v>356.20099999999923</v>
      </c>
      <c r="F7" s="130">
        <v>1097.2259999999999</v>
      </c>
      <c r="G7" s="125">
        <f>((E7+F7)*0.6)</f>
        <v>872.05619999999954</v>
      </c>
      <c r="H7" s="130">
        <v>0</v>
      </c>
      <c r="I7" s="130">
        <v>0</v>
      </c>
      <c r="J7" s="125">
        <f>E7-H7</f>
        <v>356.20099999999923</v>
      </c>
      <c r="K7" s="130">
        <f>F7-I7</f>
        <v>1097.2259999999999</v>
      </c>
      <c r="L7" s="125">
        <f>J7+K7</f>
        <v>1453.4269999999992</v>
      </c>
      <c r="M7" s="184">
        <f>(H7+I7)/(E7+F7)</f>
        <v>0</v>
      </c>
      <c r="N7" s="130"/>
    </row>
    <row r="8" spans="2:14">
      <c r="B8" s="259"/>
      <c r="C8" s="150" t="s">
        <v>131</v>
      </c>
      <c r="D8" s="130" t="s">
        <v>539</v>
      </c>
      <c r="E8" s="125">
        <v>8.9009999999999962</v>
      </c>
      <c r="F8" s="130">
        <v>72.850999999999999</v>
      </c>
      <c r="G8" s="125">
        <f t="shared" ref="G8:G71" si="0">((E8+F8)*0.6)</f>
        <v>49.051199999999994</v>
      </c>
      <c r="H8" s="130">
        <v>0</v>
      </c>
      <c r="I8" s="130">
        <v>0</v>
      </c>
      <c r="J8" s="125">
        <f t="shared" ref="J8:J73" si="1">E8-H8</f>
        <v>8.9009999999999962</v>
      </c>
      <c r="K8" s="130">
        <f t="shared" ref="K8:K73" si="2">F8-I8</f>
        <v>72.850999999999999</v>
      </c>
      <c r="L8" s="125">
        <f t="shared" ref="L8:L73" si="3">J8+K8</f>
        <v>81.751999999999995</v>
      </c>
      <c r="M8" s="184">
        <f t="shared" ref="M8:M71" si="4">(H8+I8)/(E8+F8)</f>
        <v>0</v>
      </c>
      <c r="N8" s="130"/>
    </row>
    <row r="9" spans="2:14">
      <c r="B9" s="259"/>
      <c r="C9" s="150" t="s">
        <v>265</v>
      </c>
      <c r="D9" s="130" t="s">
        <v>539</v>
      </c>
      <c r="E9" s="125">
        <v>6.4290000000000003</v>
      </c>
      <c r="F9" s="130">
        <v>31.510999999999999</v>
      </c>
      <c r="G9" s="125">
        <f t="shared" si="0"/>
        <v>22.763999999999999</v>
      </c>
      <c r="H9" s="130">
        <v>0</v>
      </c>
      <c r="I9" s="130">
        <v>13.8</v>
      </c>
      <c r="J9" s="125">
        <f t="shared" si="1"/>
        <v>6.4290000000000003</v>
      </c>
      <c r="K9" s="130">
        <f t="shared" si="2"/>
        <v>17.710999999999999</v>
      </c>
      <c r="L9" s="125">
        <f t="shared" si="3"/>
        <v>24.14</v>
      </c>
      <c r="M9" s="184">
        <f t="shared" si="4"/>
        <v>0.36373220875065898</v>
      </c>
      <c r="N9" s="130"/>
    </row>
    <row r="10" spans="2:14">
      <c r="B10" s="259"/>
      <c r="C10" s="150" t="s">
        <v>266</v>
      </c>
      <c r="D10" s="130" t="s">
        <v>539</v>
      </c>
      <c r="E10" s="125">
        <v>2.1000000000000001E-2</v>
      </c>
      <c r="F10" s="130">
        <v>1.6990000000000001</v>
      </c>
      <c r="G10" s="125">
        <f t="shared" si="0"/>
        <v>1.032</v>
      </c>
      <c r="H10" s="130">
        <v>0</v>
      </c>
      <c r="I10" s="130">
        <v>0</v>
      </c>
      <c r="J10" s="125">
        <f t="shared" si="1"/>
        <v>2.1000000000000001E-2</v>
      </c>
      <c r="K10" s="130">
        <f t="shared" si="2"/>
        <v>1.6990000000000001</v>
      </c>
      <c r="L10" s="125">
        <f t="shared" si="3"/>
        <v>1.72</v>
      </c>
      <c r="M10" s="184">
        <f t="shared" si="4"/>
        <v>0</v>
      </c>
      <c r="N10" s="130"/>
    </row>
    <row r="11" spans="2:14">
      <c r="B11" s="259"/>
      <c r="C11" s="150" t="s">
        <v>133</v>
      </c>
      <c r="D11" s="130" t="s">
        <v>539</v>
      </c>
      <c r="E11" s="130">
        <v>0</v>
      </c>
      <c r="F11" s="130">
        <v>209.87200000000001</v>
      </c>
      <c r="G11" s="125">
        <f t="shared" si="0"/>
        <v>125.92320000000001</v>
      </c>
      <c r="H11" s="130">
        <v>0</v>
      </c>
      <c r="I11" s="130">
        <v>19.5</v>
      </c>
      <c r="J11" s="125">
        <f t="shared" si="1"/>
        <v>0</v>
      </c>
      <c r="K11" s="130">
        <f t="shared" si="2"/>
        <v>190.37200000000001</v>
      </c>
      <c r="L11" s="125">
        <f t="shared" si="3"/>
        <v>190.37200000000001</v>
      </c>
      <c r="M11" s="184">
        <f t="shared" si="4"/>
        <v>9.2913776015857277E-2</v>
      </c>
      <c r="N11" s="130"/>
    </row>
    <row r="12" spans="2:14">
      <c r="B12" s="148"/>
      <c r="C12" s="61"/>
      <c r="D12" s="90"/>
      <c r="E12" s="90"/>
      <c r="F12" s="90"/>
      <c r="G12" s="116"/>
      <c r="H12" s="90"/>
      <c r="I12" s="90"/>
      <c r="J12" s="116"/>
      <c r="K12" s="90"/>
      <c r="L12" s="116"/>
      <c r="M12" s="90"/>
      <c r="N12" s="90"/>
    </row>
    <row r="13" spans="2:14">
      <c r="B13" s="156" t="s">
        <v>40</v>
      </c>
      <c r="C13" s="150" t="s">
        <v>250</v>
      </c>
      <c r="D13" s="130" t="s">
        <v>539</v>
      </c>
      <c r="E13" s="130">
        <v>55</v>
      </c>
      <c r="F13" s="130">
        <v>81.977999999999994</v>
      </c>
      <c r="G13" s="125">
        <f t="shared" si="0"/>
        <v>82.186800000000005</v>
      </c>
      <c r="H13" s="130">
        <v>0</v>
      </c>
      <c r="I13" s="130">
        <v>0</v>
      </c>
      <c r="J13" s="125">
        <f t="shared" si="1"/>
        <v>55</v>
      </c>
      <c r="K13" s="130">
        <f t="shared" ref="K13" si="5">F13-I13</f>
        <v>81.977999999999994</v>
      </c>
      <c r="L13" s="125">
        <f t="shared" ref="L13" si="6">J13+K13</f>
        <v>136.97800000000001</v>
      </c>
      <c r="M13" s="184">
        <f t="shared" si="4"/>
        <v>0</v>
      </c>
      <c r="N13" s="130"/>
    </row>
    <row r="14" spans="2:14">
      <c r="G14" s="114"/>
    </row>
    <row r="15" spans="2:14">
      <c r="B15" s="259" t="s">
        <v>41</v>
      </c>
      <c r="C15" s="150" t="s">
        <v>127</v>
      </c>
      <c r="D15" s="130" t="s">
        <v>539</v>
      </c>
      <c r="E15" s="125">
        <v>48.544000000000011</v>
      </c>
      <c r="F15" s="130">
        <v>0.73600000000007526</v>
      </c>
      <c r="G15" s="125">
        <f t="shared" si="0"/>
        <v>29.568000000000051</v>
      </c>
      <c r="H15" s="130">
        <v>0</v>
      </c>
      <c r="I15" s="130">
        <v>0</v>
      </c>
      <c r="J15" s="130">
        <f t="shared" si="1"/>
        <v>48.544000000000011</v>
      </c>
      <c r="K15" s="130">
        <f t="shared" si="2"/>
        <v>0.73600000000007526</v>
      </c>
      <c r="L15" s="130">
        <f t="shared" si="3"/>
        <v>49.280000000000086</v>
      </c>
      <c r="M15" s="184">
        <f t="shared" si="4"/>
        <v>0</v>
      </c>
      <c r="N15" s="130"/>
    </row>
    <row r="16" spans="2:14">
      <c r="B16" s="259"/>
      <c r="C16" s="150" t="s">
        <v>128</v>
      </c>
      <c r="D16" s="130" t="s">
        <v>539</v>
      </c>
      <c r="E16" s="125">
        <v>0.32099999999996953</v>
      </c>
      <c r="F16" s="130">
        <v>0.39999999999997726</v>
      </c>
      <c r="G16" s="125">
        <f t="shared" si="0"/>
        <v>0.43259999999996807</v>
      </c>
      <c r="H16" s="130">
        <v>0</v>
      </c>
      <c r="I16" s="130">
        <v>0</v>
      </c>
      <c r="J16" s="130">
        <f t="shared" si="1"/>
        <v>0.32099999999996953</v>
      </c>
      <c r="K16" s="130">
        <f t="shared" si="2"/>
        <v>0.39999999999997726</v>
      </c>
      <c r="L16" s="130">
        <f t="shared" si="3"/>
        <v>0.72099999999994679</v>
      </c>
      <c r="M16" s="184">
        <f t="shared" si="4"/>
        <v>0</v>
      </c>
      <c r="N16" s="130"/>
    </row>
    <row r="17" spans="1:14">
      <c r="B17" s="259"/>
      <c r="C17" s="150" t="s">
        <v>129</v>
      </c>
      <c r="D17" s="130" t="s">
        <v>539</v>
      </c>
      <c r="E17" s="125">
        <v>89.111000000000004</v>
      </c>
      <c r="F17" s="130">
        <v>123.44799999999999</v>
      </c>
      <c r="G17" s="125">
        <f t="shared" si="0"/>
        <v>127.5354</v>
      </c>
      <c r="H17" s="130">
        <v>0</v>
      </c>
      <c r="I17" s="130">
        <v>0</v>
      </c>
      <c r="J17" s="130">
        <f t="shared" si="1"/>
        <v>89.111000000000004</v>
      </c>
      <c r="K17" s="130">
        <f t="shared" si="2"/>
        <v>123.44799999999999</v>
      </c>
      <c r="L17" s="130">
        <f t="shared" si="3"/>
        <v>212.559</v>
      </c>
      <c r="M17" s="184">
        <f t="shared" si="4"/>
        <v>0</v>
      </c>
      <c r="N17" s="130"/>
    </row>
    <row r="19" spans="1:14">
      <c r="A19" s="151">
        <v>1</v>
      </c>
      <c r="B19" s="259" t="s">
        <v>42</v>
      </c>
      <c r="C19" s="150" t="s">
        <v>47</v>
      </c>
      <c r="D19" s="130" t="s">
        <v>673</v>
      </c>
      <c r="E19" s="125">
        <v>1.3000000000012335E-2</v>
      </c>
      <c r="F19" s="125">
        <v>0</v>
      </c>
      <c r="G19" s="125">
        <f t="shared" si="0"/>
        <v>7.8000000000074008E-3</v>
      </c>
      <c r="H19" s="130">
        <v>0</v>
      </c>
      <c r="I19" s="130">
        <v>0</v>
      </c>
      <c r="J19" s="130">
        <f t="shared" si="1"/>
        <v>1.3000000000012335E-2</v>
      </c>
      <c r="K19" s="130">
        <f t="shared" si="2"/>
        <v>0</v>
      </c>
      <c r="L19" s="130">
        <f t="shared" si="3"/>
        <v>1.3000000000012335E-2</v>
      </c>
      <c r="M19" s="184">
        <f t="shared" si="4"/>
        <v>0</v>
      </c>
      <c r="N19" s="130"/>
    </row>
    <row r="20" spans="1:14">
      <c r="A20" s="151">
        <v>2</v>
      </c>
      <c r="B20" s="259"/>
      <c r="C20" s="150" t="s">
        <v>173</v>
      </c>
      <c r="D20" s="130" t="s">
        <v>673</v>
      </c>
      <c r="E20" s="125">
        <v>12.92199999999999</v>
      </c>
      <c r="F20" s="130">
        <v>0.16900000000001114</v>
      </c>
      <c r="G20" s="125">
        <f t="shared" si="0"/>
        <v>7.8546000000000005</v>
      </c>
      <c r="H20" s="130">
        <v>9.8079999999999998</v>
      </c>
      <c r="I20" s="130">
        <v>29.29</v>
      </c>
      <c r="J20" s="130">
        <f t="shared" si="1"/>
        <v>3.1139999999999901</v>
      </c>
      <c r="K20" s="130">
        <f t="shared" si="2"/>
        <v>-29.120999999999988</v>
      </c>
      <c r="L20" s="130">
        <f t="shared" si="3"/>
        <v>-26.006999999999998</v>
      </c>
      <c r="M20" s="184">
        <f t="shared" si="4"/>
        <v>2.9866320372775186</v>
      </c>
      <c r="N20" s="130"/>
    </row>
    <row r="21" spans="1:14">
      <c r="A21" s="151">
        <v>3</v>
      </c>
      <c r="B21" s="259"/>
      <c r="C21" s="150" t="s">
        <v>48</v>
      </c>
      <c r="D21" s="130" t="s">
        <v>673</v>
      </c>
      <c r="E21" s="125">
        <v>147.08900000000008</v>
      </c>
      <c r="F21" s="130">
        <v>80.84</v>
      </c>
      <c r="G21" s="125">
        <f t="shared" si="0"/>
        <v>136.75740000000005</v>
      </c>
      <c r="H21" s="130">
        <v>2.63</v>
      </c>
      <c r="I21" s="130">
        <v>241.655</v>
      </c>
      <c r="J21" s="130">
        <f t="shared" si="1"/>
        <v>144.45900000000009</v>
      </c>
      <c r="K21" s="130">
        <f t="shared" si="2"/>
        <v>-160.815</v>
      </c>
      <c r="L21" s="130">
        <f t="shared" si="3"/>
        <v>-16.355999999999909</v>
      </c>
      <c r="M21" s="184">
        <f t="shared" si="4"/>
        <v>1.0717591881682449</v>
      </c>
      <c r="N21" s="130"/>
    </row>
    <row r="22" spans="1:14">
      <c r="A22" s="151">
        <v>4</v>
      </c>
      <c r="B22" s="259"/>
      <c r="C22" s="150" t="s">
        <v>49</v>
      </c>
      <c r="D22" s="130" t="s">
        <v>673</v>
      </c>
      <c r="E22" s="125">
        <v>94.01499999999993</v>
      </c>
      <c r="F22" s="130">
        <v>71.076999999999998</v>
      </c>
      <c r="G22" s="125">
        <f t="shared" si="0"/>
        <v>99.055199999999957</v>
      </c>
      <c r="H22" s="130">
        <v>127.18600000000001</v>
      </c>
      <c r="I22" s="130">
        <v>115.19499999999999</v>
      </c>
      <c r="J22" s="130">
        <f t="shared" si="1"/>
        <v>-33.171000000000078</v>
      </c>
      <c r="K22" s="130">
        <f t="shared" si="2"/>
        <v>-44.117999999999995</v>
      </c>
      <c r="L22" s="130">
        <f t="shared" si="3"/>
        <v>-77.289000000000073</v>
      </c>
      <c r="M22" s="184">
        <f t="shared" si="4"/>
        <v>1.4681571487413085</v>
      </c>
      <c r="N22" s="130"/>
    </row>
    <row r="23" spans="1:14">
      <c r="A23" s="151">
        <v>5</v>
      </c>
      <c r="B23" s="259"/>
      <c r="C23" s="150" t="s">
        <v>50</v>
      </c>
      <c r="D23" s="130" t="s">
        <v>673</v>
      </c>
      <c r="E23" s="125">
        <v>53.751000000000005</v>
      </c>
      <c r="F23" s="130">
        <v>0.17100000000004911</v>
      </c>
      <c r="G23" s="125">
        <f t="shared" si="0"/>
        <v>32.353200000000029</v>
      </c>
      <c r="H23" s="130">
        <v>0</v>
      </c>
      <c r="I23" s="130">
        <v>0</v>
      </c>
      <c r="J23" s="130">
        <f t="shared" si="1"/>
        <v>53.751000000000005</v>
      </c>
      <c r="K23" s="130">
        <f t="shared" si="2"/>
        <v>0.17100000000004911</v>
      </c>
      <c r="L23" s="130">
        <f t="shared" si="3"/>
        <v>53.922000000000054</v>
      </c>
      <c r="M23" s="184">
        <f t="shared" si="4"/>
        <v>0</v>
      </c>
      <c r="N23" s="130"/>
    </row>
    <row r="24" spans="1:14">
      <c r="A24" s="151">
        <v>6</v>
      </c>
      <c r="B24" s="259"/>
      <c r="C24" s="150" t="s">
        <v>51</v>
      </c>
      <c r="D24" s="130" t="s">
        <v>673</v>
      </c>
      <c r="E24" s="130">
        <v>0</v>
      </c>
      <c r="F24" s="130">
        <v>1908.3389999999999</v>
      </c>
      <c r="G24" s="125">
        <f t="shared" si="0"/>
        <v>1145.0033999999998</v>
      </c>
      <c r="H24" s="130">
        <v>1285.2449999999999</v>
      </c>
      <c r="I24" s="130">
        <v>1389.8810000000001</v>
      </c>
      <c r="J24" s="130">
        <f t="shared" si="1"/>
        <v>-1285.2449999999999</v>
      </c>
      <c r="K24" s="130">
        <f t="shared" si="2"/>
        <v>518.45799999999986</v>
      </c>
      <c r="L24" s="130">
        <f t="shared" si="3"/>
        <v>-766.78700000000003</v>
      </c>
      <c r="M24" s="184">
        <f t="shared" si="4"/>
        <v>1.4018085885159819</v>
      </c>
      <c r="N24" s="130"/>
    </row>
    <row r="25" spans="1:14">
      <c r="A25" s="151">
        <v>7</v>
      </c>
      <c r="B25" s="259"/>
      <c r="C25" s="150" t="s">
        <v>52</v>
      </c>
      <c r="D25" s="130" t="s">
        <v>673</v>
      </c>
      <c r="E25" s="125">
        <v>336.38599999999951</v>
      </c>
      <c r="F25" s="130">
        <v>3010.6329999999998</v>
      </c>
      <c r="G25" s="125">
        <f t="shared" si="0"/>
        <v>2008.2113999999995</v>
      </c>
      <c r="H25" s="130">
        <v>1575.09</v>
      </c>
      <c r="I25" s="130">
        <v>3196.2739999999999</v>
      </c>
      <c r="J25" s="130">
        <f t="shared" si="1"/>
        <v>-1238.7040000000004</v>
      </c>
      <c r="K25" s="130">
        <f t="shared" si="2"/>
        <v>-185.64100000000008</v>
      </c>
      <c r="L25" s="130">
        <f t="shared" si="3"/>
        <v>-1424.3450000000005</v>
      </c>
      <c r="M25" s="184">
        <f t="shared" si="4"/>
        <v>1.4255562935256718</v>
      </c>
      <c r="N25" s="130"/>
    </row>
    <row r="26" spans="1:14">
      <c r="A26" s="151">
        <v>8</v>
      </c>
      <c r="B26" s="259"/>
      <c r="C26" s="150" t="s">
        <v>53</v>
      </c>
      <c r="D26" s="130" t="s">
        <v>673</v>
      </c>
      <c r="E26" s="130">
        <v>0</v>
      </c>
      <c r="F26" s="130">
        <v>605.19499999999971</v>
      </c>
      <c r="G26" s="125">
        <f t="shared" si="0"/>
        <v>363.11699999999979</v>
      </c>
      <c r="H26" s="130">
        <v>291.44</v>
      </c>
      <c r="I26" s="130">
        <v>828.48400000000004</v>
      </c>
      <c r="J26" s="130">
        <f t="shared" si="1"/>
        <v>-291.44</v>
      </c>
      <c r="K26" s="130">
        <f t="shared" si="2"/>
        <v>-223.28900000000033</v>
      </c>
      <c r="L26" s="130">
        <f t="shared" si="3"/>
        <v>-514.72900000000027</v>
      </c>
      <c r="M26" s="184">
        <f t="shared" si="4"/>
        <v>1.8505176017647214</v>
      </c>
      <c r="N26" s="130"/>
    </row>
    <row r="27" spans="1:14">
      <c r="A27" s="151">
        <v>9</v>
      </c>
      <c r="B27" s="259"/>
      <c r="C27" s="150" t="s">
        <v>54</v>
      </c>
      <c r="D27" s="130" t="s">
        <v>673</v>
      </c>
      <c r="E27" s="130">
        <v>0</v>
      </c>
      <c r="F27" s="130">
        <v>612.80100000000016</v>
      </c>
      <c r="G27" s="125">
        <f t="shared" si="0"/>
        <v>367.68060000000008</v>
      </c>
      <c r="H27" s="130">
        <v>616.25199999999995</v>
      </c>
      <c r="I27" s="130">
        <v>565.36900000000003</v>
      </c>
      <c r="J27" s="130">
        <f t="shared" si="1"/>
        <v>-616.25199999999995</v>
      </c>
      <c r="K27" s="130">
        <f t="shared" si="2"/>
        <v>47.43200000000013</v>
      </c>
      <c r="L27" s="130">
        <f t="shared" si="3"/>
        <v>-568.81999999999982</v>
      </c>
      <c r="M27" s="184">
        <f t="shared" si="4"/>
        <v>1.9282295557611684</v>
      </c>
      <c r="N27" s="130"/>
    </row>
    <row r="28" spans="1:14">
      <c r="A28" s="151">
        <v>10</v>
      </c>
      <c r="B28" s="259"/>
      <c r="C28" s="150" t="s">
        <v>55</v>
      </c>
      <c r="D28" s="130" t="s">
        <v>673</v>
      </c>
      <c r="E28" s="125">
        <v>0.6839999999999975</v>
      </c>
      <c r="F28" s="125">
        <v>0</v>
      </c>
      <c r="G28" s="125">
        <f t="shared" si="0"/>
        <v>0.41039999999999849</v>
      </c>
      <c r="H28" s="130">
        <v>0</v>
      </c>
      <c r="I28" s="130">
        <v>0</v>
      </c>
      <c r="J28" s="130">
        <f t="shared" si="1"/>
        <v>0.6839999999999975</v>
      </c>
      <c r="K28" s="130">
        <f t="shared" si="2"/>
        <v>0</v>
      </c>
      <c r="L28" s="130">
        <f t="shared" si="3"/>
        <v>0.6839999999999975</v>
      </c>
      <c r="M28" s="184">
        <f t="shared" si="4"/>
        <v>0</v>
      </c>
      <c r="N28" s="130"/>
    </row>
    <row r="29" spans="1:14">
      <c r="A29" s="151">
        <v>11</v>
      </c>
      <c r="B29" s="259"/>
      <c r="C29" s="150" t="s">
        <v>56</v>
      </c>
      <c r="D29" s="130" t="s">
        <v>673</v>
      </c>
      <c r="E29" s="125">
        <v>53.759000000000015</v>
      </c>
      <c r="F29" s="130">
        <v>390.81399999999985</v>
      </c>
      <c r="G29" s="125">
        <f t="shared" si="0"/>
        <v>266.74379999999991</v>
      </c>
      <c r="H29" s="130">
        <v>1040.721</v>
      </c>
      <c r="I29" s="130">
        <v>362.48099999999999</v>
      </c>
      <c r="J29" s="130">
        <f t="shared" si="1"/>
        <v>-986.96199999999999</v>
      </c>
      <c r="K29" s="130">
        <f t="shared" si="2"/>
        <v>28.332999999999856</v>
      </c>
      <c r="L29" s="130">
        <f t="shared" si="3"/>
        <v>-958.62900000000013</v>
      </c>
      <c r="M29" s="184">
        <f t="shared" si="4"/>
        <v>3.1562915426712834</v>
      </c>
      <c r="N29" s="130"/>
    </row>
    <row r="30" spans="1:14">
      <c r="A30" s="151">
        <v>13</v>
      </c>
      <c r="B30" s="259"/>
      <c r="C30" s="150" t="s">
        <v>183</v>
      </c>
      <c r="D30" s="130" t="s">
        <v>673</v>
      </c>
      <c r="E30" s="125">
        <v>210.0630000000001</v>
      </c>
      <c r="F30" s="130">
        <v>1386.3879999999999</v>
      </c>
      <c r="G30" s="125">
        <f t="shared" si="0"/>
        <v>957.87059999999997</v>
      </c>
      <c r="H30" s="130">
        <v>697.48400000000004</v>
      </c>
      <c r="I30" s="130">
        <v>947.06799999999998</v>
      </c>
      <c r="J30" s="130">
        <f t="shared" si="1"/>
        <v>-487.42099999999994</v>
      </c>
      <c r="K30" s="130">
        <f t="shared" si="2"/>
        <v>439.31999999999994</v>
      </c>
      <c r="L30" s="130">
        <f t="shared" si="3"/>
        <v>-48.100999999999999</v>
      </c>
      <c r="M30" s="184">
        <f t="shared" si="4"/>
        <v>1.0301299570108948</v>
      </c>
      <c r="N30" s="130"/>
    </row>
    <row r="31" spans="1:14">
      <c r="A31" s="151">
        <v>16</v>
      </c>
      <c r="B31" s="259"/>
      <c r="C31" s="150" t="s">
        <v>57</v>
      </c>
      <c r="D31" s="130" t="s">
        <v>673</v>
      </c>
      <c r="E31" s="130">
        <v>0</v>
      </c>
      <c r="F31" s="130">
        <v>65.780999999999949</v>
      </c>
      <c r="G31" s="125">
        <f t="shared" si="0"/>
        <v>39.468599999999967</v>
      </c>
      <c r="H31" s="130">
        <v>0</v>
      </c>
      <c r="I31" s="130">
        <v>132.31800000000001</v>
      </c>
      <c r="J31" s="130">
        <f t="shared" si="1"/>
        <v>0</v>
      </c>
      <c r="K31" s="130">
        <f t="shared" si="2"/>
        <v>-66.537000000000063</v>
      </c>
      <c r="L31" s="130">
        <f t="shared" si="3"/>
        <v>-66.537000000000063</v>
      </c>
      <c r="M31" s="184">
        <f t="shared" si="4"/>
        <v>2.0114926802572191</v>
      </c>
      <c r="N31" s="130"/>
    </row>
    <row r="32" spans="1:14">
      <c r="A32" s="151">
        <v>17</v>
      </c>
      <c r="B32" s="259"/>
      <c r="C32" s="150" t="s">
        <v>261</v>
      </c>
      <c r="D32" s="130" t="s">
        <v>673</v>
      </c>
      <c r="E32" s="125">
        <v>195.45000000000005</v>
      </c>
      <c r="F32" s="130">
        <v>945.73800000000028</v>
      </c>
      <c r="G32" s="125">
        <f t="shared" si="0"/>
        <v>684.71280000000013</v>
      </c>
      <c r="H32" s="130">
        <v>285.97699999999998</v>
      </c>
      <c r="I32" s="130">
        <v>906.26499999999999</v>
      </c>
      <c r="J32" s="130">
        <f t="shared" si="1"/>
        <v>-90.52699999999993</v>
      </c>
      <c r="K32" s="130">
        <f t="shared" si="2"/>
        <v>39.473000000000297</v>
      </c>
      <c r="L32" s="130">
        <f t="shared" si="3"/>
        <v>-51.053999999999633</v>
      </c>
      <c r="M32" s="184">
        <f t="shared" si="4"/>
        <v>1.044737589249098</v>
      </c>
      <c r="N32" s="130"/>
    </row>
    <row r="33" spans="1:14">
      <c r="A33" s="151">
        <v>18</v>
      </c>
      <c r="B33" s="259"/>
      <c r="C33" s="150" t="s">
        <v>58</v>
      </c>
      <c r="D33" s="130" t="s">
        <v>673</v>
      </c>
      <c r="E33" s="125">
        <v>3.0730000000000075</v>
      </c>
      <c r="F33" s="125">
        <v>0</v>
      </c>
      <c r="G33" s="125">
        <f t="shared" si="0"/>
        <v>1.8438000000000043</v>
      </c>
      <c r="H33" s="130">
        <v>0</v>
      </c>
      <c r="I33" s="130">
        <v>0</v>
      </c>
      <c r="J33" s="130">
        <f t="shared" si="1"/>
        <v>3.0730000000000075</v>
      </c>
      <c r="K33" s="130">
        <f t="shared" si="2"/>
        <v>0</v>
      </c>
      <c r="L33" s="130">
        <f t="shared" si="3"/>
        <v>3.0730000000000075</v>
      </c>
      <c r="M33" s="184">
        <f t="shared" si="4"/>
        <v>0</v>
      </c>
      <c r="N33" s="130"/>
    </row>
    <row r="34" spans="1:14">
      <c r="A34" s="151">
        <v>19</v>
      </c>
      <c r="B34" s="259"/>
      <c r="C34" s="150" t="s">
        <v>59</v>
      </c>
      <c r="D34" s="130" t="s">
        <v>673</v>
      </c>
      <c r="E34" s="125">
        <v>1001.2940000000017</v>
      </c>
      <c r="F34" s="130">
        <v>4076.9699999999975</v>
      </c>
      <c r="G34" s="125">
        <f t="shared" si="0"/>
        <v>3046.9583999999995</v>
      </c>
      <c r="H34" s="130">
        <v>2429.5639999999999</v>
      </c>
      <c r="I34" s="130">
        <v>5072.8090000000002</v>
      </c>
      <c r="J34" s="130">
        <f t="shared" si="1"/>
        <v>-1428.2699999999982</v>
      </c>
      <c r="K34" s="130">
        <f t="shared" si="2"/>
        <v>-995.83900000000267</v>
      </c>
      <c r="L34" s="130">
        <f t="shared" si="3"/>
        <v>-2424.1090000000008</v>
      </c>
      <c r="M34" s="184">
        <f t="shared" si="4"/>
        <v>1.4773499369075733</v>
      </c>
      <c r="N34" s="130"/>
    </row>
    <row r="35" spans="1:14">
      <c r="A35" s="151">
        <v>20</v>
      </c>
      <c r="B35" s="259"/>
      <c r="C35" s="150" t="s">
        <v>60</v>
      </c>
      <c r="D35" s="130" t="s">
        <v>673</v>
      </c>
      <c r="E35" s="125">
        <v>16.40500000000003</v>
      </c>
      <c r="F35" s="125">
        <v>0</v>
      </c>
      <c r="G35" s="125">
        <f t="shared" si="0"/>
        <v>9.8430000000000177</v>
      </c>
      <c r="H35" s="130">
        <v>23.821999999999999</v>
      </c>
      <c r="I35" s="130">
        <v>101.51900000000001</v>
      </c>
      <c r="J35" s="130">
        <f t="shared" si="1"/>
        <v>-7.4169999999999696</v>
      </c>
      <c r="K35" s="130">
        <f t="shared" si="2"/>
        <v>-101.51900000000001</v>
      </c>
      <c r="L35" s="130">
        <f t="shared" si="3"/>
        <v>-108.93599999999998</v>
      </c>
      <c r="M35" s="184">
        <f t="shared" si="4"/>
        <v>7.6404145077720074</v>
      </c>
      <c r="N35" s="130"/>
    </row>
    <row r="36" spans="1:14">
      <c r="A36" s="151">
        <v>21</v>
      </c>
      <c r="B36" s="259"/>
      <c r="C36" s="150" t="s">
        <v>61</v>
      </c>
      <c r="D36" s="130" t="s">
        <v>673</v>
      </c>
      <c r="E36" s="130">
        <v>0</v>
      </c>
      <c r="F36" s="130">
        <v>555.40900000000011</v>
      </c>
      <c r="G36" s="125">
        <f t="shared" si="0"/>
        <v>333.24540000000007</v>
      </c>
      <c r="H36" s="130">
        <v>782.09799999999996</v>
      </c>
      <c r="I36" s="130">
        <v>779.75599999999997</v>
      </c>
      <c r="J36" s="130">
        <f t="shared" si="1"/>
        <v>-782.09799999999996</v>
      </c>
      <c r="K36" s="130">
        <f t="shared" si="2"/>
        <v>-224.34699999999987</v>
      </c>
      <c r="L36" s="130">
        <f t="shared" si="3"/>
        <v>-1006.4449999999998</v>
      </c>
      <c r="M36" s="184">
        <f t="shared" si="4"/>
        <v>2.8120790264471758</v>
      </c>
      <c r="N36" s="130"/>
    </row>
    <row r="37" spans="1:14">
      <c r="A37" s="151">
        <v>22</v>
      </c>
      <c r="B37" s="259"/>
      <c r="C37" s="150" t="s">
        <v>62</v>
      </c>
      <c r="D37" s="130" t="s">
        <v>673</v>
      </c>
      <c r="E37" s="125">
        <v>319.26199999999994</v>
      </c>
      <c r="F37" s="130">
        <v>1523.2089999999998</v>
      </c>
      <c r="G37" s="125">
        <f t="shared" si="0"/>
        <v>1105.4825999999998</v>
      </c>
      <c r="H37" s="125">
        <v>723.35368129999995</v>
      </c>
      <c r="I37" s="125">
        <v>1691.113319</v>
      </c>
      <c r="J37" s="125">
        <f t="shared" si="1"/>
        <v>-404.0916813</v>
      </c>
      <c r="K37" s="125">
        <f t="shared" si="2"/>
        <v>-167.90431900000021</v>
      </c>
      <c r="L37" s="125">
        <f t="shared" si="3"/>
        <v>-571.99600030000022</v>
      </c>
      <c r="M37" s="184">
        <f t="shared" si="4"/>
        <v>1.3104504767239216</v>
      </c>
      <c r="N37" s="130"/>
    </row>
    <row r="38" spans="1:14">
      <c r="A38" s="151">
        <v>23</v>
      </c>
      <c r="B38" s="259"/>
      <c r="C38" s="150" t="s">
        <v>63</v>
      </c>
      <c r="D38" s="130" t="s">
        <v>673</v>
      </c>
      <c r="E38" s="130">
        <v>0</v>
      </c>
      <c r="F38" s="130">
        <v>561.90800000000013</v>
      </c>
      <c r="G38" s="125">
        <f t="shared" si="0"/>
        <v>337.14480000000009</v>
      </c>
      <c r="H38" s="130">
        <v>458.48</v>
      </c>
      <c r="I38" s="130">
        <v>562.495</v>
      </c>
      <c r="J38" s="130">
        <f t="shared" si="1"/>
        <v>-458.48</v>
      </c>
      <c r="K38" s="130">
        <f t="shared" si="2"/>
        <v>-0.5869999999998754</v>
      </c>
      <c r="L38" s="130">
        <f t="shared" si="3"/>
        <v>-459.06699999999989</v>
      </c>
      <c r="M38" s="184">
        <f t="shared" si="4"/>
        <v>1.8169789360535884</v>
      </c>
      <c r="N38" s="130"/>
    </row>
    <row r="39" spans="1:14">
      <c r="A39" s="151">
        <v>24</v>
      </c>
      <c r="B39" s="259"/>
      <c r="C39" s="150" t="s">
        <v>523</v>
      </c>
      <c r="D39" s="130" t="s">
        <v>673</v>
      </c>
      <c r="E39" s="130">
        <v>0</v>
      </c>
      <c r="F39" s="130">
        <v>878.57999999999947</v>
      </c>
      <c r="G39" s="125">
        <f t="shared" si="0"/>
        <v>527.14799999999968</v>
      </c>
      <c r="H39" s="130">
        <v>605.08399999999995</v>
      </c>
      <c r="I39" s="130">
        <v>1740.0930000000001</v>
      </c>
      <c r="J39" s="130">
        <f t="shared" si="1"/>
        <v>-605.08399999999995</v>
      </c>
      <c r="K39" s="130">
        <f t="shared" si="2"/>
        <v>-861.5130000000006</v>
      </c>
      <c r="L39" s="130">
        <f t="shared" si="3"/>
        <v>-1466.5970000000007</v>
      </c>
      <c r="M39" s="184">
        <f t="shared" si="4"/>
        <v>2.6692811127045935</v>
      </c>
      <c r="N39" s="130"/>
    </row>
    <row r="40" spans="1:14">
      <c r="A40" s="151">
        <v>25</v>
      </c>
      <c r="B40" s="259"/>
      <c r="C40" s="150" t="s">
        <v>64</v>
      </c>
      <c r="D40" s="130" t="s">
        <v>673</v>
      </c>
      <c r="E40" s="125">
        <v>168.33199999999988</v>
      </c>
      <c r="F40" s="130">
        <v>104.5979999999995</v>
      </c>
      <c r="G40" s="125">
        <f t="shared" si="0"/>
        <v>163.75799999999961</v>
      </c>
      <c r="H40" s="130">
        <v>1301.1500000000001</v>
      </c>
      <c r="I40" s="130">
        <v>954.52800000000002</v>
      </c>
      <c r="J40" s="130">
        <f t="shared" si="1"/>
        <v>-1132.8180000000002</v>
      </c>
      <c r="K40" s="130">
        <f t="shared" si="2"/>
        <v>-849.93000000000052</v>
      </c>
      <c r="L40" s="130">
        <f t="shared" si="3"/>
        <v>-1982.7480000000007</v>
      </c>
      <c r="M40" s="184">
        <f t="shared" si="4"/>
        <v>8.2646759242296746</v>
      </c>
      <c r="N40" s="130"/>
    </row>
    <row r="41" spans="1:14">
      <c r="A41" s="151">
        <v>26</v>
      </c>
      <c r="B41" s="259"/>
      <c r="C41" s="150" t="s">
        <v>65</v>
      </c>
      <c r="D41" s="130" t="s">
        <v>673</v>
      </c>
      <c r="E41" s="125">
        <v>14.106999999999999</v>
      </c>
      <c r="F41" s="130">
        <v>220.12300000000002</v>
      </c>
      <c r="G41" s="125">
        <f t="shared" si="0"/>
        <v>140.53800000000001</v>
      </c>
      <c r="H41" s="130">
        <v>123.26600000000001</v>
      </c>
      <c r="I41" s="130">
        <v>424.74700000000001</v>
      </c>
      <c r="J41" s="130">
        <f t="shared" si="1"/>
        <v>-109.15900000000001</v>
      </c>
      <c r="K41" s="130">
        <f t="shared" si="2"/>
        <v>-204.624</v>
      </c>
      <c r="L41" s="130">
        <f t="shared" si="3"/>
        <v>-313.78300000000002</v>
      </c>
      <c r="M41" s="184">
        <f t="shared" si="4"/>
        <v>2.3396362549630703</v>
      </c>
      <c r="N41" s="130"/>
    </row>
    <row r="42" spans="1:14">
      <c r="A42" s="151">
        <v>27</v>
      </c>
      <c r="B42" s="259"/>
      <c r="C42" s="150" t="s">
        <v>66</v>
      </c>
      <c r="D42" s="130" t="s">
        <v>673</v>
      </c>
      <c r="E42" s="125">
        <v>11.201000000000022</v>
      </c>
      <c r="F42" s="130">
        <v>136.67099999999982</v>
      </c>
      <c r="G42" s="125">
        <f t="shared" si="0"/>
        <v>88.723199999999906</v>
      </c>
      <c r="H42" s="130">
        <v>224.04499999999999</v>
      </c>
      <c r="I42" s="130">
        <v>254.06100000000001</v>
      </c>
      <c r="J42" s="130">
        <f t="shared" si="1"/>
        <v>-212.84399999999997</v>
      </c>
      <c r="K42" s="130">
        <f t="shared" si="2"/>
        <v>-117.39000000000019</v>
      </c>
      <c r="L42" s="130">
        <f t="shared" si="3"/>
        <v>-330.23400000000015</v>
      </c>
      <c r="M42" s="184">
        <f t="shared" si="4"/>
        <v>3.2332422635793154</v>
      </c>
      <c r="N42" s="130"/>
    </row>
    <row r="43" spans="1:14">
      <c r="A43" s="151">
        <v>28</v>
      </c>
      <c r="B43" s="259"/>
      <c r="C43" s="150" t="s">
        <v>172</v>
      </c>
      <c r="D43" s="130" t="s">
        <v>673</v>
      </c>
      <c r="E43" s="125">
        <v>0.67999999999999972</v>
      </c>
      <c r="F43" s="130">
        <v>5.9999999999998721E-2</v>
      </c>
      <c r="G43" s="125">
        <f t="shared" si="0"/>
        <v>0.44399999999999906</v>
      </c>
      <c r="H43" s="130">
        <v>0</v>
      </c>
      <c r="I43" s="130">
        <v>0</v>
      </c>
      <c r="J43" s="130">
        <f t="shared" si="1"/>
        <v>0.67999999999999972</v>
      </c>
      <c r="K43" s="130">
        <f t="shared" si="2"/>
        <v>5.9999999999998721E-2</v>
      </c>
      <c r="L43" s="130">
        <f t="shared" si="3"/>
        <v>0.73999999999999844</v>
      </c>
      <c r="M43" s="184">
        <f t="shared" si="4"/>
        <v>0</v>
      </c>
      <c r="N43" s="130"/>
    </row>
    <row r="44" spans="1:14">
      <c r="A44" s="151">
        <v>29</v>
      </c>
      <c r="B44" s="259"/>
      <c r="C44" s="150" t="s">
        <v>67</v>
      </c>
      <c r="D44" s="130" t="s">
        <v>673</v>
      </c>
      <c r="E44" s="125">
        <v>479.94299999999998</v>
      </c>
      <c r="F44" s="130">
        <v>109.9219999999998</v>
      </c>
      <c r="G44" s="125">
        <f t="shared" si="0"/>
        <v>353.91899999999987</v>
      </c>
      <c r="H44" s="130">
        <v>90.968000000000004</v>
      </c>
      <c r="I44" s="130">
        <v>338.803</v>
      </c>
      <c r="J44" s="130">
        <f t="shared" si="1"/>
        <v>388.97499999999997</v>
      </c>
      <c r="K44" s="130">
        <f t="shared" si="2"/>
        <v>-228.8810000000002</v>
      </c>
      <c r="L44" s="130">
        <f t="shared" si="3"/>
        <v>160.09399999999977</v>
      </c>
      <c r="M44" s="184">
        <f t="shared" si="4"/>
        <v>0.728592135488629</v>
      </c>
      <c r="N44" s="130"/>
    </row>
    <row r="45" spans="1:14">
      <c r="A45" s="151">
        <v>30</v>
      </c>
      <c r="B45" s="259"/>
      <c r="C45" s="150" t="s">
        <v>68</v>
      </c>
      <c r="D45" s="130" t="s">
        <v>673</v>
      </c>
      <c r="E45" s="125">
        <v>15.070000000000022</v>
      </c>
      <c r="F45" s="130">
        <v>0.37000000000000455</v>
      </c>
      <c r="G45" s="125">
        <f t="shared" si="0"/>
        <v>9.2640000000000153</v>
      </c>
      <c r="H45" s="130">
        <v>0</v>
      </c>
      <c r="I45" s="130">
        <v>0</v>
      </c>
      <c r="J45" s="130">
        <f t="shared" si="1"/>
        <v>15.070000000000022</v>
      </c>
      <c r="K45" s="130">
        <f t="shared" si="2"/>
        <v>0.37000000000000455</v>
      </c>
      <c r="L45" s="130">
        <f t="shared" si="3"/>
        <v>15.440000000000026</v>
      </c>
      <c r="M45" s="184">
        <f t="shared" si="4"/>
        <v>0</v>
      </c>
      <c r="N45" s="130"/>
    </row>
    <row r="46" spans="1:14">
      <c r="A46" s="151">
        <v>31</v>
      </c>
      <c r="B46" s="259"/>
      <c r="C46" s="150" t="s">
        <v>69</v>
      </c>
      <c r="D46" s="130" t="s">
        <v>673</v>
      </c>
      <c r="E46" s="130">
        <v>0</v>
      </c>
      <c r="F46" s="130">
        <v>384.93000000000075</v>
      </c>
      <c r="G46" s="125">
        <f t="shared" si="0"/>
        <v>230.95800000000042</v>
      </c>
      <c r="H46" s="130">
        <v>486.42700000000002</v>
      </c>
      <c r="I46" s="130">
        <v>1703.0160000000001</v>
      </c>
      <c r="J46" s="130">
        <f t="shared" si="1"/>
        <v>-486.42700000000002</v>
      </c>
      <c r="K46" s="130">
        <f t="shared" si="2"/>
        <v>-1318.0859999999993</v>
      </c>
      <c r="L46" s="130">
        <f t="shared" si="3"/>
        <v>-1804.5129999999995</v>
      </c>
      <c r="M46" s="184">
        <f t="shared" si="4"/>
        <v>5.6878990985373861</v>
      </c>
      <c r="N46" s="130"/>
    </row>
    <row r="47" spans="1:14">
      <c r="A47" s="151">
        <v>32</v>
      </c>
      <c r="B47" s="259"/>
      <c r="C47" s="150" t="s">
        <v>70</v>
      </c>
      <c r="D47" s="130" t="s">
        <v>673</v>
      </c>
      <c r="E47" s="130">
        <v>0</v>
      </c>
      <c r="F47" s="130">
        <v>970.94200000000092</v>
      </c>
      <c r="G47" s="125">
        <f t="shared" si="0"/>
        <v>582.56520000000057</v>
      </c>
      <c r="H47" s="130">
        <v>897.38800000000003</v>
      </c>
      <c r="I47" s="130">
        <v>938.37300000000005</v>
      </c>
      <c r="J47" s="130">
        <f t="shared" si="1"/>
        <v>-897.38800000000003</v>
      </c>
      <c r="K47" s="130">
        <f t="shared" si="2"/>
        <v>32.569000000000869</v>
      </c>
      <c r="L47" s="130">
        <f t="shared" si="3"/>
        <v>-864.81899999999916</v>
      </c>
      <c r="M47" s="184">
        <f t="shared" si="4"/>
        <v>1.8907009893484865</v>
      </c>
      <c r="N47" s="130"/>
    </row>
    <row r="48" spans="1:14">
      <c r="A48" s="151">
        <v>33</v>
      </c>
      <c r="B48" s="259"/>
      <c r="C48" s="150" t="s">
        <v>71</v>
      </c>
      <c r="D48" s="130" t="s">
        <v>673</v>
      </c>
      <c r="E48" s="125">
        <v>8.9999999999999993E-3</v>
      </c>
      <c r="F48" s="130">
        <v>0.02</v>
      </c>
      <c r="G48" s="125">
        <f t="shared" si="0"/>
        <v>1.7399999999999999E-2</v>
      </c>
      <c r="H48" s="130">
        <v>0</v>
      </c>
      <c r="I48" s="130">
        <v>0</v>
      </c>
      <c r="J48" s="130">
        <f t="shared" si="1"/>
        <v>8.9999999999999993E-3</v>
      </c>
      <c r="K48" s="130">
        <f t="shared" si="2"/>
        <v>0.02</v>
      </c>
      <c r="L48" s="130">
        <f t="shared" si="3"/>
        <v>2.8999999999999998E-2</v>
      </c>
      <c r="M48" s="184">
        <f t="shared" si="4"/>
        <v>0</v>
      </c>
      <c r="N48" s="130"/>
    </row>
    <row r="49" spans="1:14">
      <c r="A49" s="151">
        <v>34</v>
      </c>
      <c r="B49" s="259"/>
      <c r="C49" s="150" t="s">
        <v>72</v>
      </c>
      <c r="D49" s="130" t="s">
        <v>673</v>
      </c>
      <c r="E49" s="130">
        <v>0</v>
      </c>
      <c r="F49" s="130">
        <v>188.33100000000002</v>
      </c>
      <c r="G49" s="125">
        <f t="shared" si="0"/>
        <v>112.99860000000001</v>
      </c>
      <c r="H49" s="130">
        <v>140.50800000000001</v>
      </c>
      <c r="I49" s="130">
        <v>64.313000000000002</v>
      </c>
      <c r="J49" s="130">
        <f t="shared" si="1"/>
        <v>-140.50800000000001</v>
      </c>
      <c r="K49" s="130">
        <f t="shared" si="2"/>
        <v>124.01800000000001</v>
      </c>
      <c r="L49" s="130">
        <f t="shared" si="3"/>
        <v>-16.489999999999995</v>
      </c>
      <c r="M49" s="184">
        <f t="shared" si="4"/>
        <v>1.0875586069207936</v>
      </c>
      <c r="N49" s="130"/>
    </row>
    <row r="50" spans="1:14">
      <c r="A50" s="151">
        <v>35</v>
      </c>
      <c r="B50" s="259"/>
      <c r="C50" s="150" t="s">
        <v>73</v>
      </c>
      <c r="D50" s="130" t="s">
        <v>673</v>
      </c>
      <c r="E50" s="130">
        <v>0</v>
      </c>
      <c r="F50" s="130">
        <v>308.23300000000017</v>
      </c>
      <c r="G50" s="125">
        <f t="shared" si="0"/>
        <v>184.9398000000001</v>
      </c>
      <c r="H50" s="130">
        <v>233.125</v>
      </c>
      <c r="I50" s="130">
        <v>336.35899999999998</v>
      </c>
      <c r="J50" s="130">
        <f t="shared" si="1"/>
        <v>-233.125</v>
      </c>
      <c r="K50" s="130">
        <f t="shared" si="2"/>
        <v>-28.125999999999806</v>
      </c>
      <c r="L50" s="130">
        <f t="shared" si="3"/>
        <v>-261.25099999999981</v>
      </c>
      <c r="M50" s="184">
        <f t="shared" si="4"/>
        <v>1.8475763464651729</v>
      </c>
      <c r="N50" s="130"/>
    </row>
    <row r="51" spans="1:14">
      <c r="A51" s="151">
        <v>36</v>
      </c>
      <c r="B51" s="259"/>
      <c r="C51" s="150" t="s">
        <v>74</v>
      </c>
      <c r="D51" s="130" t="s">
        <v>673</v>
      </c>
      <c r="E51" s="125">
        <v>49.623000000000047</v>
      </c>
      <c r="F51" s="125">
        <v>0</v>
      </c>
      <c r="G51" s="125">
        <f t="shared" si="0"/>
        <v>29.773800000000026</v>
      </c>
      <c r="H51" s="130">
        <v>17.824999999999999</v>
      </c>
      <c r="I51" s="130">
        <v>15.5</v>
      </c>
      <c r="J51" s="130">
        <f t="shared" si="1"/>
        <v>31.798000000000048</v>
      </c>
      <c r="K51" s="130">
        <f t="shared" si="2"/>
        <v>-15.5</v>
      </c>
      <c r="L51" s="130">
        <f t="shared" si="3"/>
        <v>16.298000000000048</v>
      </c>
      <c r="M51" s="184">
        <f t="shared" si="4"/>
        <v>0.67156358946456218</v>
      </c>
      <c r="N51" s="130"/>
    </row>
    <row r="52" spans="1:14">
      <c r="A52" s="151">
        <v>37</v>
      </c>
      <c r="B52" s="259"/>
      <c r="C52" s="150" t="s">
        <v>75</v>
      </c>
      <c r="D52" s="130" t="s">
        <v>673</v>
      </c>
      <c r="E52" s="125">
        <v>820.03899999999999</v>
      </c>
      <c r="F52" s="130">
        <v>825.33499999999958</v>
      </c>
      <c r="G52" s="125">
        <f t="shared" si="0"/>
        <v>987.22439999999972</v>
      </c>
      <c r="H52" s="130">
        <v>921.55700000000002</v>
      </c>
      <c r="I52" s="130">
        <v>1530.6679999999999</v>
      </c>
      <c r="J52" s="130">
        <f t="shared" si="1"/>
        <v>-101.51800000000003</v>
      </c>
      <c r="K52" s="130">
        <f t="shared" si="2"/>
        <v>-705.33300000000031</v>
      </c>
      <c r="L52" s="130">
        <f t="shared" si="3"/>
        <v>-806.85100000000034</v>
      </c>
      <c r="M52" s="184">
        <f t="shared" si="4"/>
        <v>1.490375440477363</v>
      </c>
      <c r="N52" s="130"/>
    </row>
    <row r="53" spans="1:14">
      <c r="A53" s="151">
        <v>38</v>
      </c>
      <c r="B53" s="259"/>
      <c r="C53" s="150" t="s">
        <v>76</v>
      </c>
      <c r="D53" s="130" t="s">
        <v>673</v>
      </c>
      <c r="E53" s="125">
        <v>0.44699999999994589</v>
      </c>
      <c r="F53" s="130">
        <v>0.75199999999995271</v>
      </c>
      <c r="G53" s="125">
        <f t="shared" si="0"/>
        <v>0.71939999999993909</v>
      </c>
      <c r="H53" s="130">
        <v>90.575999999999993</v>
      </c>
      <c r="I53" s="130">
        <v>76.349999999999994</v>
      </c>
      <c r="J53" s="130">
        <f t="shared" si="1"/>
        <v>-90.129000000000048</v>
      </c>
      <c r="K53" s="130">
        <f t="shared" si="2"/>
        <v>-75.598000000000042</v>
      </c>
      <c r="L53" s="130">
        <f t="shared" si="3"/>
        <v>-165.72700000000009</v>
      </c>
      <c r="M53" s="184">
        <f t="shared" si="4"/>
        <v>139.22101751460727</v>
      </c>
      <c r="N53" s="130"/>
    </row>
    <row r="54" spans="1:14">
      <c r="A54" s="151">
        <v>39</v>
      </c>
      <c r="B54" s="259"/>
      <c r="C54" s="150" t="s">
        <v>77</v>
      </c>
      <c r="D54" s="130" t="s">
        <v>673</v>
      </c>
      <c r="E54" s="125">
        <v>269.39600000000002</v>
      </c>
      <c r="F54" s="130">
        <v>103.22000000000003</v>
      </c>
      <c r="G54" s="125">
        <f t="shared" si="0"/>
        <v>223.56960000000001</v>
      </c>
      <c r="H54" s="130">
        <v>192.88300000000001</v>
      </c>
      <c r="I54" s="130">
        <v>260.95499999999998</v>
      </c>
      <c r="J54" s="130">
        <f t="shared" si="1"/>
        <v>76.513000000000005</v>
      </c>
      <c r="K54" s="130">
        <f t="shared" si="2"/>
        <v>-157.73499999999996</v>
      </c>
      <c r="L54" s="130">
        <f t="shared" si="3"/>
        <v>-81.221999999999952</v>
      </c>
      <c r="M54" s="184">
        <f t="shared" si="4"/>
        <v>1.2179777572621677</v>
      </c>
      <c r="N54" s="130"/>
    </row>
    <row r="55" spans="1:14">
      <c r="A55" s="151">
        <v>40</v>
      </c>
      <c r="B55" s="259"/>
      <c r="C55" s="150" t="s">
        <v>78</v>
      </c>
      <c r="D55" s="130" t="s">
        <v>673</v>
      </c>
      <c r="E55" s="130">
        <v>0</v>
      </c>
      <c r="F55" s="130">
        <v>32.585999999999785</v>
      </c>
      <c r="G55" s="125">
        <f t="shared" si="0"/>
        <v>19.551599999999869</v>
      </c>
      <c r="H55" s="130">
        <v>378.34699999999998</v>
      </c>
      <c r="I55" s="130">
        <v>588.59</v>
      </c>
      <c r="J55" s="130">
        <f t="shared" si="1"/>
        <v>-378.34699999999998</v>
      </c>
      <c r="K55" s="130">
        <f t="shared" si="2"/>
        <v>-556.00400000000025</v>
      </c>
      <c r="L55" s="130">
        <f t="shared" si="3"/>
        <v>-934.35100000000023</v>
      </c>
      <c r="M55" s="184">
        <f t="shared" si="4"/>
        <v>29.673387344258465</v>
      </c>
      <c r="N55" s="130"/>
    </row>
    <row r="56" spans="1:14">
      <c r="A56" s="151">
        <v>41</v>
      </c>
      <c r="B56" s="259"/>
      <c r="C56" s="150" t="s">
        <v>79</v>
      </c>
      <c r="D56" s="130" t="s">
        <v>673</v>
      </c>
      <c r="E56" s="125">
        <v>32.086000000000006</v>
      </c>
      <c r="F56" s="130">
        <v>3.9699999999999989</v>
      </c>
      <c r="G56" s="125">
        <f t="shared" si="0"/>
        <v>21.633600000000001</v>
      </c>
      <c r="H56" s="130">
        <v>0</v>
      </c>
      <c r="I56" s="130">
        <v>0</v>
      </c>
      <c r="J56" s="130">
        <f t="shared" si="1"/>
        <v>32.086000000000006</v>
      </c>
      <c r="K56" s="130">
        <f t="shared" si="2"/>
        <v>3.9699999999999989</v>
      </c>
      <c r="L56" s="130">
        <f t="shared" si="3"/>
        <v>36.056000000000004</v>
      </c>
      <c r="M56" s="184">
        <f t="shared" si="4"/>
        <v>0</v>
      </c>
      <c r="N56" s="130"/>
    </row>
    <row r="57" spans="1:14">
      <c r="A57" s="151">
        <v>42</v>
      </c>
      <c r="B57" s="259"/>
      <c r="C57" s="150" t="s">
        <v>80</v>
      </c>
      <c r="D57" s="130" t="s">
        <v>673</v>
      </c>
      <c r="E57" s="125">
        <v>123.33799999999997</v>
      </c>
      <c r="F57" s="130">
        <v>469.08399999999995</v>
      </c>
      <c r="G57" s="125">
        <f t="shared" si="0"/>
        <v>355.45319999999992</v>
      </c>
      <c r="H57" s="130">
        <v>212.07</v>
      </c>
      <c r="I57" s="130">
        <v>483.56400000000002</v>
      </c>
      <c r="J57" s="130">
        <f t="shared" si="1"/>
        <v>-88.732000000000028</v>
      </c>
      <c r="K57" s="130">
        <f t="shared" si="2"/>
        <v>-14.480000000000075</v>
      </c>
      <c r="L57" s="130">
        <f t="shared" si="3"/>
        <v>-103.2120000000001</v>
      </c>
      <c r="M57" s="184">
        <f t="shared" si="4"/>
        <v>1.1742204036987149</v>
      </c>
      <c r="N57" s="130"/>
    </row>
    <row r="58" spans="1:14">
      <c r="A58" s="151">
        <v>43</v>
      </c>
      <c r="B58" s="259"/>
      <c r="C58" s="150" t="s">
        <v>81</v>
      </c>
      <c r="D58" s="130" t="s">
        <v>673</v>
      </c>
      <c r="E58" s="125">
        <v>647.12199999999996</v>
      </c>
      <c r="F58" s="130">
        <v>234.65900000000011</v>
      </c>
      <c r="G58" s="125">
        <f t="shared" si="0"/>
        <v>529.06860000000006</v>
      </c>
      <c r="H58" s="130">
        <v>418.60899999999998</v>
      </c>
      <c r="I58" s="130">
        <v>558.72199999999998</v>
      </c>
      <c r="J58" s="130">
        <f t="shared" si="1"/>
        <v>228.51299999999998</v>
      </c>
      <c r="K58" s="130">
        <f t="shared" si="2"/>
        <v>-324.06299999999987</v>
      </c>
      <c r="L58" s="130">
        <f t="shared" si="3"/>
        <v>-95.549999999999898</v>
      </c>
      <c r="M58" s="184">
        <f t="shared" si="4"/>
        <v>1.1083602391069889</v>
      </c>
      <c r="N58" s="130"/>
    </row>
    <row r="59" spans="1:14">
      <c r="A59" s="151">
        <v>44</v>
      </c>
      <c r="B59" s="259"/>
      <c r="C59" s="150" t="s">
        <v>82</v>
      </c>
      <c r="D59" s="130" t="s">
        <v>673</v>
      </c>
      <c r="E59" s="130">
        <v>0</v>
      </c>
      <c r="F59" s="130">
        <v>37.684000000000083</v>
      </c>
      <c r="G59" s="125">
        <f t="shared" si="0"/>
        <v>22.610400000000048</v>
      </c>
      <c r="H59" s="130">
        <v>107.97</v>
      </c>
      <c r="I59" s="130">
        <v>326.91800000000001</v>
      </c>
      <c r="J59" s="130">
        <f t="shared" si="1"/>
        <v>-107.97</v>
      </c>
      <c r="K59" s="130">
        <f t="shared" si="2"/>
        <v>-289.23399999999992</v>
      </c>
      <c r="L59" s="130">
        <f t="shared" si="3"/>
        <v>-397.20399999999995</v>
      </c>
      <c r="M59" s="184">
        <f t="shared" si="4"/>
        <v>11.540388493790443</v>
      </c>
      <c r="N59" s="130"/>
    </row>
    <row r="60" spans="1:14">
      <c r="A60" s="151">
        <v>45</v>
      </c>
      <c r="B60" s="259"/>
      <c r="C60" s="150" t="s">
        <v>83</v>
      </c>
      <c r="D60" s="130" t="s">
        <v>673</v>
      </c>
      <c r="E60" s="125">
        <v>0.19900000000006912</v>
      </c>
      <c r="F60" s="130">
        <v>1.0000000000218279E-2</v>
      </c>
      <c r="G60" s="125">
        <f t="shared" si="0"/>
        <v>0.12540000000017243</v>
      </c>
      <c r="H60" s="130">
        <v>0</v>
      </c>
      <c r="I60" s="130">
        <v>0</v>
      </c>
      <c r="J60" s="130">
        <f t="shared" si="1"/>
        <v>0.19900000000006912</v>
      </c>
      <c r="K60" s="130">
        <f t="shared" si="2"/>
        <v>1.0000000000218279E-2</v>
      </c>
      <c r="L60" s="130">
        <f t="shared" si="3"/>
        <v>0.2090000000002874</v>
      </c>
      <c r="M60" s="184">
        <f t="shared" si="4"/>
        <v>0</v>
      </c>
      <c r="N60" s="130"/>
    </row>
    <row r="61" spans="1:14">
      <c r="A61" s="151">
        <v>46</v>
      </c>
      <c r="B61" s="259"/>
      <c r="C61" s="150" t="s">
        <v>84</v>
      </c>
      <c r="D61" s="130" t="s">
        <v>673</v>
      </c>
      <c r="E61" s="125">
        <v>12.231</v>
      </c>
      <c r="F61" s="130">
        <v>19.04</v>
      </c>
      <c r="G61" s="125">
        <f t="shared" si="0"/>
        <v>18.762599999999999</v>
      </c>
      <c r="H61" s="130">
        <v>0</v>
      </c>
      <c r="I61" s="130">
        <v>0</v>
      </c>
      <c r="J61" s="130">
        <f t="shared" si="1"/>
        <v>12.231</v>
      </c>
      <c r="K61" s="130">
        <f t="shared" si="2"/>
        <v>19.04</v>
      </c>
      <c r="L61" s="130">
        <f t="shared" si="3"/>
        <v>31.271000000000001</v>
      </c>
      <c r="M61" s="184">
        <f t="shared" si="4"/>
        <v>0</v>
      </c>
      <c r="N61" s="130"/>
    </row>
    <row r="62" spans="1:14">
      <c r="A62" s="151">
        <v>47</v>
      </c>
      <c r="B62" s="259"/>
      <c r="C62" s="150" t="s">
        <v>85</v>
      </c>
      <c r="D62" s="130" t="s">
        <v>673</v>
      </c>
      <c r="E62" s="130">
        <v>0</v>
      </c>
      <c r="F62" s="130">
        <v>12.210000000000036</v>
      </c>
      <c r="G62" s="125">
        <f t="shared" si="0"/>
        <v>7.3260000000000218</v>
      </c>
      <c r="H62" s="130">
        <v>623.32299999999998</v>
      </c>
      <c r="I62" s="130">
        <v>295.63600000000002</v>
      </c>
      <c r="J62" s="130">
        <f t="shared" si="1"/>
        <v>-623.32299999999998</v>
      </c>
      <c r="K62" s="130">
        <f t="shared" si="2"/>
        <v>-283.42599999999999</v>
      </c>
      <c r="L62" s="130">
        <f t="shared" si="3"/>
        <v>-906.74900000000002</v>
      </c>
      <c r="M62" s="184">
        <f t="shared" si="4"/>
        <v>75.262817362817145</v>
      </c>
      <c r="N62" s="130"/>
    </row>
    <row r="63" spans="1:14">
      <c r="A63" s="151">
        <v>49</v>
      </c>
      <c r="B63" s="259"/>
      <c r="C63" s="150" t="s">
        <v>86</v>
      </c>
      <c r="D63" s="130" t="s">
        <v>673</v>
      </c>
      <c r="E63" s="125">
        <v>387.09299999999996</v>
      </c>
      <c r="F63" s="130">
        <v>52.683999999999969</v>
      </c>
      <c r="G63" s="125">
        <f t="shared" si="0"/>
        <v>263.86619999999994</v>
      </c>
      <c r="H63" s="130">
        <v>269.791</v>
      </c>
      <c r="I63" s="130">
        <v>170.078</v>
      </c>
      <c r="J63" s="130">
        <f t="shared" si="1"/>
        <v>117.30199999999996</v>
      </c>
      <c r="K63" s="130">
        <f t="shared" si="2"/>
        <v>-117.39400000000003</v>
      </c>
      <c r="L63" s="130">
        <f t="shared" si="3"/>
        <v>-9.2000000000069804E-2</v>
      </c>
      <c r="M63" s="184">
        <f t="shared" si="4"/>
        <v>1.0002091969339009</v>
      </c>
      <c r="N63" s="130"/>
    </row>
    <row r="64" spans="1:14">
      <c r="A64" s="151">
        <v>50</v>
      </c>
      <c r="B64" s="259"/>
      <c r="C64" s="150" t="s">
        <v>87</v>
      </c>
      <c r="D64" s="130" t="s">
        <v>673</v>
      </c>
      <c r="E64" s="130">
        <v>0</v>
      </c>
      <c r="F64" s="130">
        <v>580</v>
      </c>
      <c r="G64" s="125">
        <f t="shared" si="0"/>
        <v>348</v>
      </c>
      <c r="H64" s="130">
        <v>864.673</v>
      </c>
      <c r="I64" s="130">
        <v>569.745</v>
      </c>
      <c r="J64" s="130">
        <f t="shared" si="1"/>
        <v>-864.673</v>
      </c>
      <c r="K64" s="130">
        <f t="shared" si="2"/>
        <v>10.254999999999995</v>
      </c>
      <c r="L64" s="130">
        <f t="shared" si="3"/>
        <v>-854.41800000000001</v>
      </c>
      <c r="M64" s="184">
        <f t="shared" si="4"/>
        <v>2.473134482758621</v>
      </c>
      <c r="N64" s="130"/>
    </row>
    <row r="65" spans="1:14">
      <c r="A65" s="151">
        <v>51</v>
      </c>
      <c r="B65" s="259"/>
      <c r="C65" s="150" t="s">
        <v>88</v>
      </c>
      <c r="D65" s="130" t="s">
        <v>673</v>
      </c>
      <c r="E65" s="125">
        <v>3.4000000000069974E-2</v>
      </c>
      <c r="F65" s="125">
        <v>0</v>
      </c>
      <c r="G65" s="125">
        <f t="shared" si="0"/>
        <v>2.0400000000041985E-2</v>
      </c>
      <c r="H65" s="130">
        <v>0</v>
      </c>
      <c r="I65" s="130">
        <v>0</v>
      </c>
      <c r="J65" s="130">
        <f t="shared" si="1"/>
        <v>3.4000000000069974E-2</v>
      </c>
      <c r="K65" s="130">
        <f t="shared" si="2"/>
        <v>0</v>
      </c>
      <c r="L65" s="130">
        <f t="shared" si="3"/>
        <v>3.4000000000069974E-2</v>
      </c>
      <c r="M65" s="184">
        <f t="shared" si="4"/>
        <v>0</v>
      </c>
      <c r="N65" s="130"/>
    </row>
    <row r="66" spans="1:14">
      <c r="A66" s="151">
        <v>52</v>
      </c>
      <c r="B66" s="259"/>
      <c r="C66" s="150" t="s">
        <v>89</v>
      </c>
      <c r="D66" s="130" t="s">
        <v>673</v>
      </c>
      <c r="E66" s="125">
        <v>130.73999999999978</v>
      </c>
      <c r="F66" s="130">
        <v>604.3420000000001</v>
      </c>
      <c r="G66" s="125">
        <f t="shared" si="0"/>
        <v>441.04919999999993</v>
      </c>
      <c r="H66" s="130">
        <v>749.197</v>
      </c>
      <c r="I66" s="130">
        <v>382.82799999999997</v>
      </c>
      <c r="J66" s="130">
        <f t="shared" si="1"/>
        <v>-618.45700000000022</v>
      </c>
      <c r="K66" s="130">
        <f t="shared" si="2"/>
        <v>221.51400000000012</v>
      </c>
      <c r="L66" s="130">
        <f t="shared" si="3"/>
        <v>-396.9430000000001</v>
      </c>
      <c r="M66" s="184">
        <f t="shared" si="4"/>
        <v>1.5399982586976695</v>
      </c>
      <c r="N66" s="130"/>
    </row>
    <row r="67" spans="1:14">
      <c r="A67" s="151">
        <v>53</v>
      </c>
      <c r="B67" s="259"/>
      <c r="C67" s="150" t="s">
        <v>174</v>
      </c>
      <c r="D67" s="130" t="s">
        <v>673</v>
      </c>
      <c r="E67" s="125">
        <v>377.31399999999985</v>
      </c>
      <c r="F67" s="125">
        <v>0</v>
      </c>
      <c r="G67" s="125">
        <f t="shared" si="0"/>
        <v>226.3883999999999</v>
      </c>
      <c r="H67" s="130">
        <v>514.86800000000005</v>
      </c>
      <c r="I67" s="130">
        <v>477.548</v>
      </c>
      <c r="J67" s="130">
        <f t="shared" si="1"/>
        <v>-137.5540000000002</v>
      </c>
      <c r="K67" s="130">
        <f t="shared" si="2"/>
        <v>-477.548</v>
      </c>
      <c r="L67" s="130">
        <f t="shared" si="3"/>
        <v>-615.1020000000002</v>
      </c>
      <c r="M67" s="184">
        <f t="shared" si="4"/>
        <v>2.6302125020539933</v>
      </c>
      <c r="N67" s="130"/>
    </row>
    <row r="68" spans="1:14">
      <c r="A68" s="151">
        <v>54</v>
      </c>
      <c r="B68" s="259"/>
      <c r="C68" s="150" t="s">
        <v>90</v>
      </c>
      <c r="D68" s="130" t="s">
        <v>673</v>
      </c>
      <c r="E68" s="125">
        <v>35.847000000000065</v>
      </c>
      <c r="F68" s="125">
        <v>0</v>
      </c>
      <c r="G68" s="125">
        <f t="shared" si="0"/>
        <v>21.508200000000038</v>
      </c>
      <c r="H68" s="130">
        <v>38.396000000000001</v>
      </c>
      <c r="I68" s="130">
        <v>0</v>
      </c>
      <c r="J68" s="130">
        <f t="shared" si="1"/>
        <v>-2.5489999999999355</v>
      </c>
      <c r="K68" s="130">
        <f t="shared" si="2"/>
        <v>0</v>
      </c>
      <c r="L68" s="130">
        <f t="shared" si="3"/>
        <v>-2.5489999999999355</v>
      </c>
      <c r="M68" s="184">
        <f t="shared" si="4"/>
        <v>1.0711077635506439</v>
      </c>
      <c r="N68" s="130"/>
    </row>
    <row r="69" spans="1:14">
      <c r="A69" s="151">
        <v>55</v>
      </c>
      <c r="B69" s="259"/>
      <c r="C69" s="150" t="s">
        <v>91</v>
      </c>
      <c r="D69" s="130" t="s">
        <v>673</v>
      </c>
      <c r="E69" s="125">
        <v>976.62900000000081</v>
      </c>
      <c r="F69" s="130">
        <v>1861.8340000000062</v>
      </c>
      <c r="G69" s="125">
        <f t="shared" si="0"/>
        <v>1703.0778000000041</v>
      </c>
      <c r="H69" s="130">
        <v>1165.396</v>
      </c>
      <c r="I69" s="130">
        <v>2297.453</v>
      </c>
      <c r="J69" s="130">
        <f t="shared" si="1"/>
        <v>-188.76699999999914</v>
      </c>
      <c r="K69" s="130">
        <f t="shared" si="2"/>
        <v>-435.61899999999378</v>
      </c>
      <c r="L69" s="130">
        <f t="shared" si="3"/>
        <v>-624.38599999999292</v>
      </c>
      <c r="M69" s="184">
        <f t="shared" si="4"/>
        <v>1.2199732742685008</v>
      </c>
      <c r="N69" s="130"/>
    </row>
    <row r="70" spans="1:14">
      <c r="A70" s="151">
        <v>56</v>
      </c>
      <c r="B70" s="259"/>
      <c r="C70" s="150" t="s">
        <v>175</v>
      </c>
      <c r="D70" s="130" t="s">
        <v>673</v>
      </c>
      <c r="E70" s="125">
        <v>1.6159999999999961</v>
      </c>
      <c r="F70" s="125">
        <v>0</v>
      </c>
      <c r="G70" s="125">
        <f t="shared" si="0"/>
        <v>0.96959999999999757</v>
      </c>
      <c r="H70" s="130">
        <v>0</v>
      </c>
      <c r="I70" s="130">
        <v>0</v>
      </c>
      <c r="J70" s="130">
        <f t="shared" si="1"/>
        <v>1.6159999999999961</v>
      </c>
      <c r="K70" s="130">
        <f t="shared" si="2"/>
        <v>0</v>
      </c>
      <c r="L70" s="130">
        <f t="shared" si="3"/>
        <v>1.6159999999999961</v>
      </c>
      <c r="M70" s="184">
        <f t="shared" si="4"/>
        <v>0</v>
      </c>
      <c r="N70" s="130"/>
    </row>
    <row r="71" spans="1:14">
      <c r="A71" s="151">
        <v>57</v>
      </c>
      <c r="B71" s="259"/>
      <c r="C71" s="150" t="s">
        <v>92</v>
      </c>
      <c r="D71" s="130" t="s">
        <v>673</v>
      </c>
      <c r="E71" s="125">
        <v>7.6000000000000068E-2</v>
      </c>
      <c r="F71" s="130">
        <v>6.0000000000000053E-2</v>
      </c>
      <c r="G71" s="125">
        <f t="shared" si="0"/>
        <v>8.1600000000000075E-2</v>
      </c>
      <c r="H71" s="130">
        <v>0</v>
      </c>
      <c r="I71" s="130">
        <v>0</v>
      </c>
      <c r="J71" s="130">
        <f t="shared" si="1"/>
        <v>7.6000000000000068E-2</v>
      </c>
      <c r="K71" s="130">
        <f t="shared" si="2"/>
        <v>6.0000000000000053E-2</v>
      </c>
      <c r="L71" s="130">
        <f t="shared" si="3"/>
        <v>0.13600000000000012</v>
      </c>
      <c r="M71" s="184">
        <f t="shared" si="4"/>
        <v>0</v>
      </c>
      <c r="N71" s="130"/>
    </row>
    <row r="72" spans="1:14">
      <c r="A72" s="151">
        <v>58</v>
      </c>
      <c r="B72" s="259"/>
      <c r="C72" s="150" t="s">
        <v>524</v>
      </c>
      <c r="D72" s="130" t="s">
        <v>673</v>
      </c>
      <c r="E72" s="130">
        <v>0</v>
      </c>
      <c r="F72" s="130">
        <v>564.11099999999897</v>
      </c>
      <c r="G72" s="125">
        <f t="shared" ref="G72:G102" si="7">((E72+F72)*0.6)</f>
        <v>338.46659999999935</v>
      </c>
      <c r="H72" s="130">
        <v>1022.782</v>
      </c>
      <c r="I72" s="130">
        <v>1398.0619999999999</v>
      </c>
      <c r="J72" s="130">
        <f t="shared" si="1"/>
        <v>-1022.782</v>
      </c>
      <c r="K72" s="130">
        <f t="shared" si="2"/>
        <v>-833.95100000000093</v>
      </c>
      <c r="L72" s="130">
        <f t="shared" si="3"/>
        <v>-1856.7330000000011</v>
      </c>
      <c r="M72" s="184">
        <f t="shared" ref="M72:M112" si="8">(H72+I72)/(E72+F72)</f>
        <v>4.2914320054032</v>
      </c>
      <c r="N72" s="130"/>
    </row>
    <row r="73" spans="1:14">
      <c r="A73" s="151" t="s">
        <v>496</v>
      </c>
      <c r="B73" s="259"/>
      <c r="C73" s="150" t="s">
        <v>525</v>
      </c>
      <c r="D73" s="130" t="s">
        <v>673</v>
      </c>
      <c r="E73" s="130">
        <v>0</v>
      </c>
      <c r="F73" s="130">
        <v>363.91100000000006</v>
      </c>
      <c r="G73" s="125">
        <f t="shared" si="7"/>
        <v>218.34660000000002</v>
      </c>
      <c r="H73" s="130">
        <v>0</v>
      </c>
      <c r="I73" s="130">
        <v>0</v>
      </c>
      <c r="J73" s="130">
        <f t="shared" si="1"/>
        <v>0</v>
      </c>
      <c r="K73" s="130">
        <f t="shared" si="2"/>
        <v>363.91100000000006</v>
      </c>
      <c r="L73" s="130">
        <f t="shared" si="3"/>
        <v>363.91100000000006</v>
      </c>
      <c r="M73" s="184">
        <f t="shared" si="8"/>
        <v>0</v>
      </c>
      <c r="N73" s="130"/>
    </row>
    <row r="74" spans="1:14">
      <c r="A74" s="151">
        <v>59</v>
      </c>
      <c r="B74" s="259"/>
      <c r="C74" s="150" t="s">
        <v>177</v>
      </c>
      <c r="D74" s="130" t="s">
        <v>673</v>
      </c>
      <c r="E74" s="125">
        <v>14.922000000000025</v>
      </c>
      <c r="F74" s="125">
        <v>0</v>
      </c>
      <c r="G74" s="125">
        <f t="shared" si="7"/>
        <v>8.9532000000000149</v>
      </c>
      <c r="H74" s="130">
        <v>44.177</v>
      </c>
      <c r="I74" s="130">
        <v>8.3810000000000002</v>
      </c>
      <c r="J74" s="130">
        <f t="shared" ref="J74:J92" si="9">E74-H74</f>
        <v>-29.254999999999974</v>
      </c>
      <c r="K74" s="130">
        <f t="shared" ref="K74:K92" si="10">F74-I74</f>
        <v>-8.3810000000000002</v>
      </c>
      <c r="L74" s="130">
        <f t="shared" ref="L74:L112" si="11">J74+K74</f>
        <v>-37.635999999999974</v>
      </c>
      <c r="M74" s="184">
        <f t="shared" si="8"/>
        <v>3.5221820131349624</v>
      </c>
      <c r="N74" s="130"/>
    </row>
    <row r="75" spans="1:14">
      <c r="A75" s="151">
        <v>60</v>
      </c>
      <c r="B75" s="259"/>
      <c r="C75" s="150" t="s">
        <v>526</v>
      </c>
      <c r="D75" s="130" t="s">
        <v>673</v>
      </c>
      <c r="E75" s="130">
        <v>0</v>
      </c>
      <c r="F75" s="130">
        <v>119.78299999999996</v>
      </c>
      <c r="G75" s="125">
        <f t="shared" si="7"/>
        <v>71.869799999999969</v>
      </c>
      <c r="H75" s="130">
        <v>42.665999999999997</v>
      </c>
      <c r="I75" s="130">
        <v>186.27699999999999</v>
      </c>
      <c r="J75" s="130">
        <f t="shared" si="9"/>
        <v>-42.665999999999997</v>
      </c>
      <c r="K75" s="130">
        <f t="shared" si="10"/>
        <v>-66.494000000000028</v>
      </c>
      <c r="L75" s="130">
        <f t="shared" si="11"/>
        <v>-109.16000000000003</v>
      </c>
      <c r="M75" s="184">
        <f t="shared" si="8"/>
        <v>1.9113146272843398</v>
      </c>
      <c r="N75" s="130"/>
    </row>
    <row r="76" spans="1:14">
      <c r="A76" s="151">
        <v>61</v>
      </c>
      <c r="B76" s="259"/>
      <c r="C76" s="150" t="s">
        <v>179</v>
      </c>
      <c r="D76" s="130" t="s">
        <v>673</v>
      </c>
      <c r="E76" s="125">
        <v>725.00700000000006</v>
      </c>
      <c r="F76" s="130">
        <v>112.16500000000042</v>
      </c>
      <c r="G76" s="125">
        <f t="shared" si="7"/>
        <v>502.30320000000029</v>
      </c>
      <c r="H76" s="130">
        <v>472.327</v>
      </c>
      <c r="I76" s="130">
        <v>512.1</v>
      </c>
      <c r="J76" s="130">
        <f t="shared" si="9"/>
        <v>252.68000000000006</v>
      </c>
      <c r="K76" s="130">
        <f t="shared" si="10"/>
        <v>-399.9349999999996</v>
      </c>
      <c r="L76" s="130">
        <f t="shared" si="11"/>
        <v>-147.25499999999954</v>
      </c>
      <c r="M76" s="184">
        <f t="shared" si="8"/>
        <v>1.1758957537996964</v>
      </c>
      <c r="N76" s="130"/>
    </row>
    <row r="77" spans="1:14">
      <c r="A77" s="151">
        <v>62</v>
      </c>
      <c r="B77" s="259"/>
      <c r="C77" s="150" t="s">
        <v>93</v>
      </c>
      <c r="D77" s="130" t="s">
        <v>673</v>
      </c>
      <c r="E77" s="130">
        <v>0</v>
      </c>
      <c r="F77" s="130">
        <v>593.50700000000006</v>
      </c>
      <c r="G77" s="125">
        <f t="shared" si="7"/>
        <v>356.10420000000005</v>
      </c>
      <c r="H77" s="130">
        <v>509.45299999999997</v>
      </c>
      <c r="I77" s="130">
        <v>470.61200000000002</v>
      </c>
      <c r="J77" s="130">
        <f t="shared" si="9"/>
        <v>-509.45299999999997</v>
      </c>
      <c r="K77" s="130">
        <f t="shared" si="10"/>
        <v>122.89500000000004</v>
      </c>
      <c r="L77" s="130">
        <f t="shared" si="11"/>
        <v>-386.55799999999994</v>
      </c>
      <c r="M77" s="184">
        <f t="shared" si="8"/>
        <v>1.6513116104780565</v>
      </c>
      <c r="N77" s="130"/>
    </row>
    <row r="78" spans="1:14">
      <c r="A78" s="151">
        <v>63</v>
      </c>
      <c r="B78" s="259"/>
      <c r="C78" s="150" t="s">
        <v>94</v>
      </c>
      <c r="D78" s="130" t="s">
        <v>673</v>
      </c>
      <c r="E78" s="125">
        <v>217.29899999999992</v>
      </c>
      <c r="F78" s="130">
        <v>543.06799999999998</v>
      </c>
      <c r="G78" s="125">
        <f t="shared" si="7"/>
        <v>456.22019999999998</v>
      </c>
      <c r="H78" s="130">
        <v>314.75</v>
      </c>
      <c r="I78" s="130">
        <v>482.75299999999999</v>
      </c>
      <c r="J78" s="130">
        <f t="shared" si="9"/>
        <v>-97.451000000000079</v>
      </c>
      <c r="K78" s="130">
        <f t="shared" si="10"/>
        <v>60.314999999999998</v>
      </c>
      <c r="L78" s="130">
        <f t="shared" si="11"/>
        <v>-37.136000000000081</v>
      </c>
      <c r="M78" s="184">
        <f t="shared" si="8"/>
        <v>1.0488395735217335</v>
      </c>
      <c r="N78" s="130"/>
    </row>
    <row r="79" spans="1:14">
      <c r="A79" s="151">
        <v>64</v>
      </c>
      <c r="B79" s="259"/>
      <c r="C79" s="150" t="s">
        <v>95</v>
      </c>
      <c r="D79" s="130" t="s">
        <v>673</v>
      </c>
      <c r="E79" s="125">
        <v>347.47100000000023</v>
      </c>
      <c r="F79" s="125">
        <v>0</v>
      </c>
      <c r="G79" s="125">
        <f t="shared" si="7"/>
        <v>208.48260000000013</v>
      </c>
      <c r="H79" s="130">
        <v>148.09100000000001</v>
      </c>
      <c r="I79" s="130">
        <v>717.25300000000004</v>
      </c>
      <c r="J79" s="130">
        <f t="shared" si="9"/>
        <v>199.38000000000022</v>
      </c>
      <c r="K79" s="130">
        <f t="shared" si="10"/>
        <v>-717.25300000000004</v>
      </c>
      <c r="L79" s="130">
        <f t="shared" si="11"/>
        <v>-517.87299999999982</v>
      </c>
      <c r="M79" s="184">
        <f t="shared" si="8"/>
        <v>2.4904063936270924</v>
      </c>
      <c r="N79" s="130"/>
    </row>
    <row r="80" spans="1:14">
      <c r="A80" s="151">
        <v>65</v>
      </c>
      <c r="B80" s="259"/>
      <c r="C80" s="150" t="s">
        <v>96</v>
      </c>
      <c r="D80" s="130" t="s">
        <v>673</v>
      </c>
      <c r="E80" s="125">
        <v>4.7819999999999254</v>
      </c>
      <c r="F80" s="125">
        <v>0</v>
      </c>
      <c r="G80" s="125">
        <f t="shared" si="7"/>
        <v>2.8691999999999553</v>
      </c>
      <c r="H80" s="130">
        <v>0</v>
      </c>
      <c r="I80" s="130">
        <v>0</v>
      </c>
      <c r="J80" s="130">
        <f t="shared" si="9"/>
        <v>4.7819999999999254</v>
      </c>
      <c r="K80" s="130">
        <f t="shared" si="10"/>
        <v>0</v>
      </c>
      <c r="L80" s="130">
        <f t="shared" si="11"/>
        <v>4.7819999999999254</v>
      </c>
      <c r="M80" s="184">
        <f t="shared" si="8"/>
        <v>0</v>
      </c>
      <c r="N80" s="130"/>
    </row>
    <row r="81" spans="1:14">
      <c r="A81" s="151">
        <v>66</v>
      </c>
      <c r="B81" s="259"/>
      <c r="C81" s="150" t="s">
        <v>97</v>
      </c>
      <c r="D81" s="130" t="s">
        <v>673</v>
      </c>
      <c r="E81" s="130">
        <v>0</v>
      </c>
      <c r="F81" s="130">
        <v>180.44499999999994</v>
      </c>
      <c r="G81" s="125">
        <f t="shared" si="7"/>
        <v>108.26699999999995</v>
      </c>
      <c r="H81" s="130">
        <v>135.42400000000001</v>
      </c>
      <c r="I81" s="130">
        <v>366.51100000000002</v>
      </c>
      <c r="J81" s="130">
        <f t="shared" si="9"/>
        <v>-135.42400000000001</v>
      </c>
      <c r="K81" s="130">
        <f t="shared" si="10"/>
        <v>-186.06600000000009</v>
      </c>
      <c r="L81" s="130">
        <f t="shared" si="11"/>
        <v>-321.49000000000012</v>
      </c>
      <c r="M81" s="184">
        <f t="shared" si="8"/>
        <v>2.7816509185624443</v>
      </c>
      <c r="N81" s="130"/>
    </row>
    <row r="82" spans="1:14">
      <c r="A82" s="151">
        <v>67</v>
      </c>
      <c r="B82" s="259"/>
      <c r="C82" s="150" t="s">
        <v>98</v>
      </c>
      <c r="D82" s="130" t="s">
        <v>673</v>
      </c>
      <c r="E82" s="125">
        <v>639.09399999999982</v>
      </c>
      <c r="F82" s="130">
        <v>119.3100000000004</v>
      </c>
      <c r="G82" s="125">
        <f t="shared" si="7"/>
        <v>455.0424000000001</v>
      </c>
      <c r="H82" s="130">
        <v>611.947</v>
      </c>
      <c r="I82" s="130">
        <v>584.71699999999998</v>
      </c>
      <c r="J82" s="130">
        <f t="shared" si="9"/>
        <v>27.146999999999821</v>
      </c>
      <c r="K82" s="130">
        <f t="shared" si="10"/>
        <v>-465.40699999999958</v>
      </c>
      <c r="L82" s="130">
        <f t="shared" si="11"/>
        <v>-438.25999999999976</v>
      </c>
      <c r="M82" s="184">
        <f t="shared" si="8"/>
        <v>1.577871424728772</v>
      </c>
      <c r="N82" s="130"/>
    </row>
    <row r="83" spans="1:14">
      <c r="A83" s="151">
        <v>68</v>
      </c>
      <c r="B83" s="259"/>
      <c r="C83" s="150" t="s">
        <v>99</v>
      </c>
      <c r="D83" s="130" t="s">
        <v>673</v>
      </c>
      <c r="E83" s="130">
        <v>0</v>
      </c>
      <c r="F83" s="130">
        <v>3.5540000000005421</v>
      </c>
      <c r="G83" s="125">
        <f t="shared" si="7"/>
        <v>2.1324000000003251</v>
      </c>
      <c r="H83" s="130">
        <v>350.31</v>
      </c>
      <c r="I83" s="130">
        <v>279.43</v>
      </c>
      <c r="J83" s="130">
        <f t="shared" si="9"/>
        <v>-350.31</v>
      </c>
      <c r="K83" s="130">
        <f t="shared" si="10"/>
        <v>-275.87599999999946</v>
      </c>
      <c r="L83" s="130">
        <f t="shared" si="11"/>
        <v>-626.18599999999947</v>
      </c>
      <c r="M83" s="184">
        <f t="shared" si="8"/>
        <v>177.19189645467191</v>
      </c>
      <c r="N83" s="130"/>
    </row>
    <row r="84" spans="1:14">
      <c r="A84" s="151">
        <v>69</v>
      </c>
      <c r="B84" s="259"/>
      <c r="C84" s="150" t="s">
        <v>100</v>
      </c>
      <c r="D84" s="130" t="s">
        <v>673</v>
      </c>
      <c r="E84" s="130">
        <v>0</v>
      </c>
      <c r="F84" s="130">
        <v>401.28999999999996</v>
      </c>
      <c r="G84" s="125">
        <f t="shared" si="7"/>
        <v>240.77399999999997</v>
      </c>
      <c r="H84" s="130">
        <v>611.98199999999997</v>
      </c>
      <c r="I84" s="130">
        <v>590.74400000000003</v>
      </c>
      <c r="J84" s="130">
        <f t="shared" si="9"/>
        <v>-611.98199999999997</v>
      </c>
      <c r="K84" s="130">
        <f t="shared" si="10"/>
        <v>-189.45400000000006</v>
      </c>
      <c r="L84" s="130">
        <f t="shared" si="11"/>
        <v>-801.43600000000004</v>
      </c>
      <c r="M84" s="184">
        <f t="shared" si="8"/>
        <v>2.9971491938498347</v>
      </c>
      <c r="N84" s="130"/>
    </row>
    <row r="85" spans="1:14">
      <c r="A85" s="151">
        <v>70</v>
      </c>
      <c r="B85" s="259"/>
      <c r="C85" s="150" t="s">
        <v>180</v>
      </c>
      <c r="D85" s="130" t="s">
        <v>673</v>
      </c>
      <c r="E85" s="125">
        <v>155.83599999999996</v>
      </c>
      <c r="F85" s="130">
        <v>135.51499999999987</v>
      </c>
      <c r="G85" s="125">
        <f t="shared" si="7"/>
        <v>174.81059999999988</v>
      </c>
      <c r="H85" s="130">
        <v>407.84899999999999</v>
      </c>
      <c r="I85" s="130">
        <v>285.33</v>
      </c>
      <c r="J85" s="130">
        <f t="shared" si="9"/>
        <v>-252.01300000000003</v>
      </c>
      <c r="K85" s="130">
        <f t="shared" si="10"/>
        <v>-149.81500000000011</v>
      </c>
      <c r="L85" s="130">
        <f t="shared" si="11"/>
        <v>-401.82800000000015</v>
      </c>
      <c r="M85" s="184">
        <f t="shared" si="8"/>
        <v>2.3791886762015588</v>
      </c>
      <c r="N85" s="130"/>
    </row>
    <row r="86" spans="1:14">
      <c r="A86" s="151">
        <v>71</v>
      </c>
      <c r="B86" s="259"/>
      <c r="C86" s="150" t="s">
        <v>181</v>
      </c>
      <c r="D86" s="130" t="s">
        <v>673</v>
      </c>
      <c r="E86" s="125">
        <v>1.1029999999999998</v>
      </c>
      <c r="F86" s="130">
        <v>0.41000000000000014</v>
      </c>
      <c r="G86" s="125">
        <f t="shared" si="7"/>
        <v>0.90779999999999994</v>
      </c>
      <c r="H86" s="130">
        <v>0</v>
      </c>
      <c r="I86" s="130">
        <v>0</v>
      </c>
      <c r="J86" s="130">
        <f t="shared" si="9"/>
        <v>1.1029999999999998</v>
      </c>
      <c r="K86" s="130">
        <f t="shared" si="10"/>
        <v>0.41000000000000014</v>
      </c>
      <c r="L86" s="130">
        <f t="shared" si="11"/>
        <v>1.5129999999999999</v>
      </c>
      <c r="M86" s="184">
        <f t="shared" si="8"/>
        <v>0</v>
      </c>
      <c r="N86" s="130"/>
    </row>
    <row r="87" spans="1:14">
      <c r="A87" s="151">
        <v>72</v>
      </c>
      <c r="B87" s="259"/>
      <c r="C87" s="150" t="s">
        <v>101</v>
      </c>
      <c r="D87" s="130" t="s">
        <v>673</v>
      </c>
      <c r="E87" s="133">
        <v>0.93199999999995953</v>
      </c>
      <c r="F87" s="133">
        <v>0</v>
      </c>
      <c r="G87" s="125">
        <f t="shared" si="7"/>
        <v>0.55919999999997572</v>
      </c>
      <c r="H87" s="130">
        <v>39.216000000000001</v>
      </c>
      <c r="I87" s="130">
        <v>23.370999999999999</v>
      </c>
      <c r="J87" s="130">
        <f t="shared" si="9"/>
        <v>-38.284000000000042</v>
      </c>
      <c r="K87" s="130">
        <f t="shared" si="10"/>
        <v>-23.370999999999999</v>
      </c>
      <c r="L87" s="130">
        <f t="shared" si="11"/>
        <v>-61.655000000000044</v>
      </c>
      <c r="M87" s="184">
        <f t="shared" si="8"/>
        <v>67.153433476397765</v>
      </c>
      <c r="N87" s="130"/>
    </row>
    <row r="88" spans="1:14">
      <c r="A88" s="151">
        <v>73</v>
      </c>
      <c r="B88" s="259"/>
      <c r="C88" s="150" t="s">
        <v>102</v>
      </c>
      <c r="D88" s="130" t="s">
        <v>673</v>
      </c>
      <c r="E88" s="125">
        <v>0.47400000000021691</v>
      </c>
      <c r="F88" s="125">
        <v>0</v>
      </c>
      <c r="G88" s="125">
        <f t="shared" si="7"/>
        <v>0.28440000000013016</v>
      </c>
      <c r="H88" s="130">
        <v>31.111999999999998</v>
      </c>
      <c r="I88" s="130">
        <v>26.065000000000001</v>
      </c>
      <c r="J88" s="130">
        <f t="shared" si="9"/>
        <v>-30.637999999999781</v>
      </c>
      <c r="K88" s="130">
        <f t="shared" si="10"/>
        <v>-26.065000000000001</v>
      </c>
      <c r="L88" s="130">
        <f t="shared" si="11"/>
        <v>-56.702999999999783</v>
      </c>
      <c r="M88" s="184">
        <f t="shared" si="8"/>
        <v>120.62658227842581</v>
      </c>
      <c r="N88" s="130"/>
    </row>
    <row r="89" spans="1:14">
      <c r="A89" s="151">
        <v>74</v>
      </c>
      <c r="B89" s="259"/>
      <c r="C89" s="150" t="s">
        <v>103</v>
      </c>
      <c r="D89" s="130" t="s">
        <v>673</v>
      </c>
      <c r="E89" s="130">
        <v>0</v>
      </c>
      <c r="F89" s="130">
        <v>1290.9150000000004</v>
      </c>
      <c r="G89" s="125">
        <f t="shared" si="7"/>
        <v>774.54900000000021</v>
      </c>
      <c r="H89" s="130">
        <v>1832.9659999999999</v>
      </c>
      <c r="I89" s="130">
        <v>3359.3290000000002</v>
      </c>
      <c r="J89" s="130">
        <f t="shared" si="9"/>
        <v>-1832.9659999999999</v>
      </c>
      <c r="K89" s="130">
        <f t="shared" si="10"/>
        <v>-2068.4139999999998</v>
      </c>
      <c r="L89" s="130">
        <f t="shared" si="11"/>
        <v>-3901.3799999999997</v>
      </c>
      <c r="M89" s="184">
        <f t="shared" si="8"/>
        <v>4.0221819407164672</v>
      </c>
      <c r="N89" s="130"/>
    </row>
    <row r="90" spans="1:14">
      <c r="A90" s="151">
        <v>75</v>
      </c>
      <c r="B90" s="259"/>
      <c r="C90" s="150" t="s">
        <v>262</v>
      </c>
      <c r="D90" s="130" t="s">
        <v>673</v>
      </c>
      <c r="E90" s="125">
        <v>3.5080000000000027</v>
      </c>
      <c r="F90" s="130">
        <v>0.18999999999999773</v>
      </c>
      <c r="G90" s="125">
        <f t="shared" si="7"/>
        <v>2.2188000000000003</v>
      </c>
      <c r="H90" s="130">
        <v>0</v>
      </c>
      <c r="I90" s="130">
        <v>0</v>
      </c>
      <c r="J90" s="130">
        <f t="shared" si="9"/>
        <v>3.5080000000000027</v>
      </c>
      <c r="K90" s="130">
        <f t="shared" si="10"/>
        <v>0.18999999999999773</v>
      </c>
      <c r="L90" s="130">
        <f t="shared" si="11"/>
        <v>3.6980000000000004</v>
      </c>
      <c r="M90" s="184">
        <f t="shared" si="8"/>
        <v>0</v>
      </c>
      <c r="N90" s="130"/>
    </row>
    <row r="91" spans="1:14">
      <c r="A91" s="151">
        <v>76</v>
      </c>
      <c r="B91" s="259"/>
      <c r="C91" s="150" t="s">
        <v>263</v>
      </c>
      <c r="D91" s="130" t="s">
        <v>673</v>
      </c>
      <c r="E91" s="125">
        <v>115.465</v>
      </c>
      <c r="F91" s="130">
        <v>176.76799999999997</v>
      </c>
      <c r="G91" s="125">
        <f t="shared" si="7"/>
        <v>175.33979999999997</v>
      </c>
      <c r="H91" s="130">
        <v>26.936</v>
      </c>
      <c r="I91" s="130">
        <v>117.568</v>
      </c>
      <c r="J91" s="130">
        <f t="shared" si="9"/>
        <v>88.528999999999996</v>
      </c>
      <c r="K91" s="130">
        <f t="shared" si="10"/>
        <v>59.199999999999974</v>
      </c>
      <c r="L91" s="130">
        <f t="shared" si="11"/>
        <v>147.72899999999998</v>
      </c>
      <c r="M91" s="184">
        <f t="shared" si="8"/>
        <v>0.4944821426738254</v>
      </c>
      <c r="N91" s="130"/>
    </row>
    <row r="92" spans="1:14">
      <c r="A92" s="151">
        <v>77</v>
      </c>
      <c r="B92" s="259"/>
      <c r="C92" s="150" t="s">
        <v>104</v>
      </c>
      <c r="D92" s="130" t="s">
        <v>673</v>
      </c>
      <c r="E92" s="125">
        <v>327.86400000000003</v>
      </c>
      <c r="F92" s="130">
        <v>313.26299999999992</v>
      </c>
      <c r="G92" s="125">
        <f t="shared" si="7"/>
        <v>384.67619999999994</v>
      </c>
      <c r="H92" s="130">
        <v>41.48</v>
      </c>
      <c r="I92" s="130">
        <v>599.64700000000005</v>
      </c>
      <c r="J92" s="130">
        <f t="shared" si="9"/>
        <v>286.38400000000001</v>
      </c>
      <c r="K92" s="130">
        <f t="shared" si="10"/>
        <v>-286.38400000000013</v>
      </c>
      <c r="L92" s="130">
        <f t="shared" si="11"/>
        <v>0</v>
      </c>
      <c r="M92" s="184">
        <f t="shared" si="8"/>
        <v>1.0000000000000002</v>
      </c>
      <c r="N92" s="130"/>
    </row>
    <row r="93" spans="1:14">
      <c r="A93" s="151"/>
    </row>
    <row r="94" spans="1:14">
      <c r="A94" s="151">
        <v>1</v>
      </c>
      <c r="B94" s="259" t="s">
        <v>44</v>
      </c>
      <c r="C94" s="150" t="s">
        <v>116</v>
      </c>
      <c r="D94" s="130" t="s">
        <v>539</v>
      </c>
      <c r="E94" s="125">
        <v>9.1790000000002578</v>
      </c>
      <c r="F94" s="125">
        <v>0</v>
      </c>
      <c r="G94" s="125">
        <f t="shared" si="7"/>
        <v>5.5074000000001542</v>
      </c>
      <c r="H94" s="130">
        <v>3.431</v>
      </c>
      <c r="I94" s="130">
        <v>5.5069999999999997</v>
      </c>
      <c r="J94" s="130">
        <f t="shared" ref="J94:J102" si="12">E94-H94</f>
        <v>5.7480000000002578</v>
      </c>
      <c r="K94" s="130">
        <f t="shared" ref="K94:K102" si="13">F94-I94</f>
        <v>-5.5069999999999997</v>
      </c>
      <c r="L94" s="130">
        <f t="shared" si="11"/>
        <v>0.24100000000025812</v>
      </c>
      <c r="M94" s="184">
        <f t="shared" si="8"/>
        <v>0.9737444166030883</v>
      </c>
      <c r="N94" s="130"/>
    </row>
    <row r="95" spans="1:14">
      <c r="A95" s="151">
        <v>2</v>
      </c>
      <c r="B95" s="259"/>
      <c r="C95" s="150" t="s">
        <v>117</v>
      </c>
      <c r="D95" s="130" t="s">
        <v>539</v>
      </c>
      <c r="E95" s="125">
        <v>806.97900000000004</v>
      </c>
      <c r="F95" s="125">
        <v>0</v>
      </c>
      <c r="G95" s="125">
        <f t="shared" si="7"/>
        <v>484.18740000000003</v>
      </c>
      <c r="H95" s="130">
        <v>235.15199999999999</v>
      </c>
      <c r="I95" s="130">
        <v>484.18700000000001</v>
      </c>
      <c r="J95" s="130">
        <f t="shared" si="12"/>
        <v>571.827</v>
      </c>
      <c r="K95" s="130">
        <f t="shared" si="13"/>
        <v>-484.18700000000001</v>
      </c>
      <c r="L95" s="130">
        <f t="shared" si="11"/>
        <v>87.639999999999986</v>
      </c>
      <c r="M95" s="184">
        <f t="shared" si="8"/>
        <v>0.89139742174207748</v>
      </c>
      <c r="N95" s="130"/>
    </row>
    <row r="96" spans="1:14">
      <c r="A96" s="151">
        <v>4</v>
      </c>
      <c r="B96" s="259"/>
      <c r="C96" s="150" t="s">
        <v>119</v>
      </c>
      <c r="D96" s="130" t="s">
        <v>539</v>
      </c>
      <c r="E96" s="125">
        <v>335.78600000000023</v>
      </c>
      <c r="F96" s="125">
        <v>0</v>
      </c>
      <c r="G96" s="125">
        <f t="shared" si="7"/>
        <v>201.47160000000014</v>
      </c>
      <c r="H96" s="130">
        <v>107.792</v>
      </c>
      <c r="I96" s="130">
        <v>201.47200000000001</v>
      </c>
      <c r="J96" s="130">
        <f t="shared" si="12"/>
        <v>227.99400000000023</v>
      </c>
      <c r="K96" s="130">
        <f t="shared" si="13"/>
        <v>-201.47200000000001</v>
      </c>
      <c r="L96" s="130">
        <f t="shared" si="11"/>
        <v>26.522000000000219</v>
      </c>
      <c r="M96" s="184">
        <f t="shared" si="8"/>
        <v>0.92101517037637004</v>
      </c>
      <c r="N96" s="130"/>
    </row>
    <row r="97" spans="1:14">
      <c r="A97" s="151">
        <v>5</v>
      </c>
      <c r="B97" s="259"/>
      <c r="C97" s="150" t="s">
        <v>120</v>
      </c>
      <c r="D97" s="130" t="s">
        <v>539</v>
      </c>
      <c r="E97" s="125">
        <v>1330.0470000000009</v>
      </c>
      <c r="F97" s="125">
        <v>0</v>
      </c>
      <c r="G97" s="125">
        <f t="shared" si="7"/>
        <v>798.02820000000054</v>
      </c>
      <c r="H97" s="130">
        <v>683.27700000000004</v>
      </c>
      <c r="I97" s="130">
        <v>646.77</v>
      </c>
      <c r="J97" s="130">
        <f t="shared" si="12"/>
        <v>646.77000000000089</v>
      </c>
      <c r="K97" s="130">
        <f t="shared" si="13"/>
        <v>-646.77</v>
      </c>
      <c r="L97" s="154">
        <f t="shared" si="11"/>
        <v>9.0949470177292824E-13</v>
      </c>
      <c r="M97" s="184">
        <f t="shared" si="8"/>
        <v>0.99999999999999933</v>
      </c>
      <c r="N97" s="130"/>
    </row>
    <row r="98" spans="1:14">
      <c r="A98" s="151">
        <v>6</v>
      </c>
      <c r="B98" s="259"/>
      <c r="C98" s="150" t="s">
        <v>121</v>
      </c>
      <c r="D98" s="130" t="s">
        <v>539</v>
      </c>
      <c r="E98" s="125">
        <v>0.55500000000012051</v>
      </c>
      <c r="F98" s="125">
        <v>0</v>
      </c>
      <c r="G98" s="125">
        <f t="shared" si="7"/>
        <v>0.33300000000007229</v>
      </c>
      <c r="H98" s="130">
        <v>0.55500000000000005</v>
      </c>
      <c r="I98" s="130">
        <v>0</v>
      </c>
      <c r="J98" s="154">
        <f t="shared" si="12"/>
        <v>1.2045919817182948E-13</v>
      </c>
      <c r="K98" s="130">
        <f t="shared" si="13"/>
        <v>0</v>
      </c>
      <c r="L98" s="154">
        <f t="shared" si="11"/>
        <v>1.2045919817182948E-13</v>
      </c>
      <c r="M98" s="184">
        <f t="shared" si="8"/>
        <v>0.99999999999978295</v>
      </c>
      <c r="N98" s="130"/>
    </row>
    <row r="99" spans="1:14">
      <c r="A99" s="151">
        <v>7</v>
      </c>
      <c r="B99" s="259"/>
      <c r="C99" s="150" t="s">
        <v>122</v>
      </c>
      <c r="D99" s="130" t="s">
        <v>539</v>
      </c>
      <c r="E99" s="125">
        <v>234.62900000000002</v>
      </c>
      <c r="F99" s="130">
        <v>389.93299999999999</v>
      </c>
      <c r="G99" s="125">
        <f t="shared" si="7"/>
        <v>374.73719999999997</v>
      </c>
      <c r="H99" s="130">
        <v>149.036</v>
      </c>
      <c r="I99" s="130">
        <v>475.52600000000001</v>
      </c>
      <c r="J99" s="130">
        <f t="shared" si="12"/>
        <v>85.593000000000018</v>
      </c>
      <c r="K99" s="130">
        <f t="shared" si="13"/>
        <v>-85.593000000000018</v>
      </c>
      <c r="L99" s="130">
        <f t="shared" si="11"/>
        <v>0</v>
      </c>
      <c r="M99" s="184">
        <f t="shared" si="8"/>
        <v>1</v>
      </c>
      <c r="N99" s="130"/>
    </row>
    <row r="100" spans="1:14">
      <c r="A100" s="151">
        <v>8</v>
      </c>
      <c r="B100" s="259"/>
      <c r="C100" s="150" t="s">
        <v>123</v>
      </c>
      <c r="D100" s="130" t="s">
        <v>539</v>
      </c>
      <c r="E100" s="125">
        <v>486.43599999999992</v>
      </c>
      <c r="F100" s="130">
        <v>35.269999999999982</v>
      </c>
      <c r="G100" s="125">
        <f t="shared" si="7"/>
        <v>313.02359999999993</v>
      </c>
      <c r="H100" s="130">
        <v>277.75400000000002</v>
      </c>
      <c r="I100" s="130">
        <v>243.952</v>
      </c>
      <c r="J100" s="130">
        <f t="shared" si="12"/>
        <v>208.6819999999999</v>
      </c>
      <c r="K100" s="130">
        <f t="shared" si="13"/>
        <v>-208.68200000000002</v>
      </c>
      <c r="L100" s="130">
        <f t="shared" si="11"/>
        <v>0</v>
      </c>
      <c r="M100" s="184">
        <f t="shared" si="8"/>
        <v>1.0000000000000002</v>
      </c>
      <c r="N100" s="130"/>
    </row>
    <row r="101" spans="1:14">
      <c r="A101" s="151">
        <v>9</v>
      </c>
      <c r="B101" s="259"/>
      <c r="C101" s="150" t="s">
        <v>124</v>
      </c>
      <c r="D101" s="130" t="s">
        <v>539</v>
      </c>
      <c r="E101" s="125">
        <v>14.205000000000013</v>
      </c>
      <c r="F101" s="130">
        <v>30.800000000000011</v>
      </c>
      <c r="G101" s="125">
        <f t="shared" si="7"/>
        <v>27.003000000000014</v>
      </c>
      <c r="H101" s="130">
        <v>11.815</v>
      </c>
      <c r="I101" s="130">
        <v>33.19</v>
      </c>
      <c r="J101" s="130">
        <f t="shared" si="12"/>
        <v>2.390000000000013</v>
      </c>
      <c r="K101" s="130">
        <f t="shared" si="13"/>
        <v>-2.3899999999999864</v>
      </c>
      <c r="L101" s="154">
        <f t="shared" si="11"/>
        <v>2.6645352591003757E-14</v>
      </c>
      <c r="M101" s="184">
        <f t="shared" si="8"/>
        <v>0.99999999999999933</v>
      </c>
      <c r="N101" s="130"/>
    </row>
    <row r="102" spans="1:14">
      <c r="A102" s="151">
        <v>10</v>
      </c>
      <c r="B102" s="259"/>
      <c r="C102" s="150" t="s">
        <v>125</v>
      </c>
      <c r="D102" s="130" t="s">
        <v>539</v>
      </c>
      <c r="E102" s="125">
        <v>27.730000000000018</v>
      </c>
      <c r="F102" s="130">
        <v>3.9780000000000655</v>
      </c>
      <c r="G102" s="125">
        <f t="shared" si="7"/>
        <v>19.024800000000049</v>
      </c>
      <c r="H102" s="130">
        <v>0</v>
      </c>
      <c r="I102" s="130">
        <v>0</v>
      </c>
      <c r="J102" s="130">
        <f t="shared" si="12"/>
        <v>27.730000000000018</v>
      </c>
      <c r="K102" s="130">
        <f t="shared" si="13"/>
        <v>3.9780000000000655</v>
      </c>
      <c r="L102" s="130">
        <f t="shared" si="11"/>
        <v>31.708000000000084</v>
      </c>
      <c r="M102" s="184">
        <f t="shared" si="8"/>
        <v>0</v>
      </c>
      <c r="N102" s="130"/>
    </row>
    <row r="103" spans="1:14">
      <c r="A103" s="151"/>
    </row>
    <row r="104" spans="1:14">
      <c r="A104" s="151">
        <v>2</v>
      </c>
      <c r="B104" s="259" t="s">
        <v>45</v>
      </c>
      <c r="C104" s="150" t="s">
        <v>107</v>
      </c>
      <c r="D104" s="130" t="s">
        <v>539</v>
      </c>
      <c r="E104" s="125">
        <v>276.31899999999985</v>
      </c>
      <c r="F104" s="130">
        <v>94.258000000000152</v>
      </c>
      <c r="G104" s="125">
        <f>((E104+F104)*0.6)</f>
        <v>222.34619999999998</v>
      </c>
      <c r="H104" s="130">
        <v>363.00799999999998</v>
      </c>
      <c r="I104" s="130">
        <v>4.2030000000000003</v>
      </c>
      <c r="J104" s="130">
        <f t="shared" ref="J104:J112" si="14">E104-H104</f>
        <v>-86.689000000000135</v>
      </c>
      <c r="K104" s="130">
        <f t="shared" ref="K104:K112" si="15">F104-I104</f>
        <v>90.055000000000149</v>
      </c>
      <c r="L104" s="130">
        <f t="shared" si="11"/>
        <v>3.3660000000000139</v>
      </c>
      <c r="M104" s="184">
        <f t="shared" si="8"/>
        <v>0.99091686747963303</v>
      </c>
      <c r="N104" s="130"/>
    </row>
    <row r="105" spans="1:14">
      <c r="A105" s="151">
        <v>3</v>
      </c>
      <c r="B105" s="259"/>
      <c r="C105" s="150" t="s">
        <v>270</v>
      </c>
      <c r="D105" s="130" t="s">
        <v>539</v>
      </c>
      <c r="E105" s="125">
        <v>304.95000000000016</v>
      </c>
      <c r="F105" s="130">
        <v>409.16399999999999</v>
      </c>
      <c r="G105" s="125">
        <f t="shared" ref="G105:G112" si="16">((E105+F105)*0.6)</f>
        <v>428.46840000000009</v>
      </c>
      <c r="H105" s="130">
        <v>0</v>
      </c>
      <c r="I105" s="130">
        <v>0</v>
      </c>
      <c r="J105" s="130">
        <f t="shared" si="14"/>
        <v>304.95000000000016</v>
      </c>
      <c r="K105" s="130">
        <f t="shared" si="15"/>
        <v>409.16399999999999</v>
      </c>
      <c r="L105" s="130">
        <f t="shared" si="11"/>
        <v>714.11400000000015</v>
      </c>
      <c r="M105" s="184">
        <f t="shared" si="8"/>
        <v>0</v>
      </c>
      <c r="N105" s="130"/>
    </row>
    <row r="106" spans="1:14">
      <c r="A106" s="151">
        <v>4</v>
      </c>
      <c r="B106" s="259"/>
      <c r="C106" s="150" t="s">
        <v>109</v>
      </c>
      <c r="D106" s="130" t="s">
        <v>539</v>
      </c>
      <c r="E106" s="125">
        <v>12.12700000000001</v>
      </c>
      <c r="F106" s="130">
        <v>26.628000000000043</v>
      </c>
      <c r="G106" s="125">
        <f t="shared" si="16"/>
        <v>23.253000000000032</v>
      </c>
      <c r="H106" s="130">
        <v>0</v>
      </c>
      <c r="I106" s="130">
        <v>0</v>
      </c>
      <c r="J106" s="130">
        <f t="shared" si="14"/>
        <v>12.12700000000001</v>
      </c>
      <c r="K106" s="130">
        <f t="shared" si="15"/>
        <v>26.628000000000043</v>
      </c>
      <c r="L106" s="130">
        <f t="shared" si="11"/>
        <v>38.755000000000052</v>
      </c>
      <c r="M106" s="184">
        <f t="shared" si="8"/>
        <v>0</v>
      </c>
      <c r="N106" s="130"/>
    </row>
    <row r="107" spans="1:14">
      <c r="A107" s="151">
        <v>5</v>
      </c>
      <c r="B107" s="259"/>
      <c r="C107" s="150" t="s">
        <v>110</v>
      </c>
      <c r="D107" s="130" t="s">
        <v>539</v>
      </c>
      <c r="E107" s="125">
        <v>63.908000000000015</v>
      </c>
      <c r="F107" s="130">
        <v>219.899</v>
      </c>
      <c r="G107" s="125">
        <f t="shared" si="16"/>
        <v>170.2842</v>
      </c>
      <c r="H107" s="130">
        <v>108.654</v>
      </c>
      <c r="I107" s="130">
        <v>17.548999999999999</v>
      </c>
      <c r="J107" s="130">
        <f t="shared" si="14"/>
        <v>-44.745999999999981</v>
      </c>
      <c r="K107" s="130">
        <f t="shared" si="15"/>
        <v>202.35</v>
      </c>
      <c r="L107" s="130">
        <f t="shared" si="11"/>
        <v>157.60400000000001</v>
      </c>
      <c r="M107" s="184">
        <f t="shared" si="8"/>
        <v>0.44467895435982902</v>
      </c>
      <c r="N107" s="130"/>
    </row>
    <row r="108" spans="1:14">
      <c r="A108" s="151">
        <v>6</v>
      </c>
      <c r="B108" s="259"/>
      <c r="C108" s="150" t="s">
        <v>111</v>
      </c>
      <c r="D108" s="130" t="s">
        <v>539</v>
      </c>
      <c r="E108" s="125">
        <v>33.215000000000146</v>
      </c>
      <c r="F108" s="125">
        <v>0</v>
      </c>
      <c r="G108" s="125">
        <f t="shared" si="16"/>
        <v>19.929000000000087</v>
      </c>
      <c r="H108" s="130">
        <v>0</v>
      </c>
      <c r="I108" s="130">
        <v>0</v>
      </c>
      <c r="J108" s="130">
        <f t="shared" si="14"/>
        <v>33.215000000000146</v>
      </c>
      <c r="K108" s="130">
        <f t="shared" si="15"/>
        <v>0</v>
      </c>
      <c r="L108" s="130">
        <f t="shared" si="11"/>
        <v>33.215000000000146</v>
      </c>
      <c r="M108" s="184">
        <f t="shared" si="8"/>
        <v>0</v>
      </c>
      <c r="N108" s="130"/>
    </row>
    <row r="109" spans="1:14">
      <c r="A109" s="151">
        <v>7</v>
      </c>
      <c r="B109" s="259"/>
      <c r="C109" s="150" t="s">
        <v>112</v>
      </c>
      <c r="D109" s="130" t="s">
        <v>539</v>
      </c>
      <c r="E109" s="125">
        <v>45.012999999999991</v>
      </c>
      <c r="F109" s="130">
        <v>4.5569999999999435</v>
      </c>
      <c r="G109" s="125">
        <f t="shared" si="16"/>
        <v>29.741999999999962</v>
      </c>
      <c r="H109" s="130">
        <v>0</v>
      </c>
      <c r="I109" s="130">
        <v>0</v>
      </c>
      <c r="J109" s="130">
        <f t="shared" si="14"/>
        <v>45.012999999999991</v>
      </c>
      <c r="K109" s="130">
        <f t="shared" si="15"/>
        <v>4.5569999999999435</v>
      </c>
      <c r="L109" s="130">
        <f t="shared" si="11"/>
        <v>49.569999999999936</v>
      </c>
      <c r="M109" s="184">
        <f t="shared" si="8"/>
        <v>0</v>
      </c>
      <c r="N109" s="130"/>
    </row>
    <row r="110" spans="1:14">
      <c r="A110" s="151">
        <v>8</v>
      </c>
      <c r="B110" s="259"/>
      <c r="C110" s="150" t="s">
        <v>113</v>
      </c>
      <c r="D110" s="130" t="s">
        <v>539</v>
      </c>
      <c r="E110" s="125">
        <v>76.293999999999983</v>
      </c>
      <c r="F110" s="130">
        <v>113.09900000000027</v>
      </c>
      <c r="G110" s="125">
        <f t="shared" si="16"/>
        <v>113.63580000000015</v>
      </c>
      <c r="H110" s="130">
        <v>33.783000000000001</v>
      </c>
      <c r="I110" s="130">
        <v>0.82799999999999996</v>
      </c>
      <c r="J110" s="130">
        <f t="shared" si="14"/>
        <v>42.510999999999981</v>
      </c>
      <c r="K110" s="130">
        <f t="shared" si="15"/>
        <v>112.27100000000027</v>
      </c>
      <c r="L110" s="130">
        <f t="shared" si="11"/>
        <v>154.78200000000027</v>
      </c>
      <c r="M110" s="184">
        <f t="shared" si="8"/>
        <v>0.18274698642505244</v>
      </c>
      <c r="N110" s="130"/>
    </row>
    <row r="111" spans="1:14">
      <c r="A111" s="151">
        <v>9</v>
      </c>
      <c r="B111" s="259"/>
      <c r="C111" s="150" t="s">
        <v>114</v>
      </c>
      <c r="D111" s="130" t="s">
        <v>539</v>
      </c>
      <c r="E111" s="125">
        <v>64.564999999999998</v>
      </c>
      <c r="F111" s="130">
        <v>59.277000000000001</v>
      </c>
      <c r="G111" s="125">
        <f t="shared" si="16"/>
        <v>74.305199999999999</v>
      </c>
      <c r="H111" s="130">
        <v>120.12</v>
      </c>
      <c r="I111" s="130">
        <v>0</v>
      </c>
      <c r="J111" s="130">
        <f t="shared" si="14"/>
        <v>-55.555000000000007</v>
      </c>
      <c r="K111" s="130">
        <f t="shared" si="15"/>
        <v>59.277000000000001</v>
      </c>
      <c r="L111" s="130">
        <f t="shared" si="11"/>
        <v>3.7219999999999942</v>
      </c>
      <c r="M111" s="184">
        <f t="shared" si="8"/>
        <v>0.96994557581434415</v>
      </c>
      <c r="N111" s="130"/>
    </row>
    <row r="112" spans="1:14">
      <c r="A112" s="151">
        <v>10</v>
      </c>
      <c r="B112" s="259"/>
      <c r="C112" s="150" t="s">
        <v>115</v>
      </c>
      <c r="D112" s="130" t="s">
        <v>539</v>
      </c>
      <c r="E112" s="125">
        <v>130.31299999999999</v>
      </c>
      <c r="F112" s="130">
        <v>99.465000000000003</v>
      </c>
      <c r="G112" s="125">
        <f t="shared" si="16"/>
        <v>137.86679999999998</v>
      </c>
      <c r="H112" s="130">
        <v>0</v>
      </c>
      <c r="I112" s="130">
        <v>0</v>
      </c>
      <c r="J112" s="130">
        <f t="shared" si="14"/>
        <v>130.31299999999999</v>
      </c>
      <c r="K112" s="130">
        <f t="shared" si="15"/>
        <v>99.465000000000003</v>
      </c>
      <c r="L112" s="130">
        <f t="shared" si="11"/>
        <v>229.77799999999999</v>
      </c>
      <c r="M112" s="184">
        <f t="shared" si="8"/>
        <v>0</v>
      </c>
      <c r="N112" s="130"/>
    </row>
  </sheetData>
  <mergeCells count="7">
    <mergeCell ref="B104:B112"/>
    <mergeCell ref="B2:N2"/>
    <mergeCell ref="B3:N3"/>
    <mergeCell ref="B7:B11"/>
    <mergeCell ref="B15:B17"/>
    <mergeCell ref="B19:B92"/>
    <mergeCell ref="B94:B102"/>
  </mergeCells>
  <phoneticPr fontId="3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R42"/>
  <sheetViews>
    <sheetView topLeftCell="C13" workbookViewId="0">
      <selection activeCell="M39" sqref="M39"/>
    </sheetView>
  </sheetViews>
  <sheetFormatPr baseColWidth="10" defaultRowHeight="1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>
      <c r="B2" s="263" t="s">
        <v>518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8">
      <c r="B3" s="264">
        <f>RESUMEN!B3</f>
        <v>44201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5" spans="2:18" ht="47.25" customHeight="1">
      <c r="B5" s="19" t="s">
        <v>46</v>
      </c>
      <c r="C5" s="19" t="s">
        <v>35</v>
      </c>
      <c r="D5" s="19" t="s">
        <v>0</v>
      </c>
      <c r="E5" s="19" t="s">
        <v>140</v>
      </c>
      <c r="F5" s="19" t="s">
        <v>695</v>
      </c>
      <c r="G5" s="19" t="s">
        <v>157</v>
      </c>
      <c r="H5" s="19" t="s">
        <v>158</v>
      </c>
      <c r="I5" s="19" t="s">
        <v>696</v>
      </c>
      <c r="J5" s="19" t="s">
        <v>697</v>
      </c>
      <c r="K5" s="19" t="s">
        <v>165</v>
      </c>
      <c r="L5" s="19" t="s">
        <v>160</v>
      </c>
      <c r="M5" s="19" t="s">
        <v>698</v>
      </c>
      <c r="N5" s="19" t="s">
        <v>699</v>
      </c>
      <c r="O5" s="19" t="s">
        <v>162</v>
      </c>
      <c r="P5" s="19" t="s">
        <v>163</v>
      </c>
      <c r="Q5" s="19" t="s">
        <v>164</v>
      </c>
      <c r="R5" s="40" t="s">
        <v>214</v>
      </c>
    </row>
    <row r="6" spans="2:18">
      <c r="B6" s="261" t="s">
        <v>166</v>
      </c>
      <c r="C6" s="15" t="s">
        <v>130</v>
      </c>
      <c r="D6" s="1" t="s">
        <v>19</v>
      </c>
      <c r="E6" s="1">
        <f>Anchoveta!H7+'Sardina comun'!H7</f>
        <v>8.6502000000004955</v>
      </c>
      <c r="F6" s="2">
        <f>E6*0.75</f>
        <v>6.4876500000003716</v>
      </c>
      <c r="G6" s="28">
        <f>Anchoveta!I7</f>
        <v>0.33</v>
      </c>
      <c r="H6" s="28">
        <f>'Sardina comun'!I7</f>
        <v>0</v>
      </c>
      <c r="I6" s="1">
        <f t="shared" ref="I6:I11" si="0">G6+H6</f>
        <v>0.33</v>
      </c>
      <c r="J6" s="1">
        <f>Anchoveta!J7+'Sardina comun'!J7</f>
        <v>0</v>
      </c>
      <c r="K6" s="1">
        <f>Anchoveta!K7</f>
        <v>6.6252000000003317</v>
      </c>
      <c r="L6" s="1">
        <f>'Sardina comun'!K7</f>
        <v>1.6950000000001637</v>
      </c>
      <c r="M6" s="1">
        <f t="shared" ref="M6:M11" si="1">K6+L6</f>
        <v>8.3202000000004954</v>
      </c>
      <c r="N6" s="38" t="str">
        <f t="shared" ref="N6:N11" si="2">IF(K6&lt;0,K6,IF(K6&lt;0,L6,IF(L6&lt;0,L6,IF(L6&gt;0,"0","0"))))</f>
        <v>0</v>
      </c>
      <c r="O6" s="33"/>
      <c r="P6" s="6">
        <f>(I6+J6)/E6</f>
        <v>3.8149406950126134E-2</v>
      </c>
      <c r="Q6" s="6">
        <f>N6/E6</f>
        <v>0</v>
      </c>
      <c r="R6" s="1"/>
    </row>
    <row r="7" spans="2:18">
      <c r="B7" s="261"/>
      <c r="C7" s="15" t="s">
        <v>131</v>
      </c>
      <c r="D7" s="1" t="s">
        <v>19</v>
      </c>
      <c r="E7" s="1">
        <f>Anchoveta!H8+'Sardina comun'!H8</f>
        <v>141.58800000000008</v>
      </c>
      <c r="F7" s="1">
        <f t="shared" ref="F7:F11" si="3">E7*0.75</f>
        <v>106.19100000000006</v>
      </c>
      <c r="G7" s="28">
        <f>Anchoveta!I8</f>
        <v>0</v>
      </c>
      <c r="H7" s="28">
        <f>'Sardina comun'!I8</f>
        <v>0</v>
      </c>
      <c r="I7" s="1">
        <f t="shared" si="0"/>
        <v>0</v>
      </c>
      <c r="J7" s="1">
        <f>Anchoveta!J8+'Sardina comun'!J8</f>
        <v>0</v>
      </c>
      <c r="K7" s="1">
        <f>Anchoveta!K8</f>
        <v>0</v>
      </c>
      <c r="L7" s="1">
        <f>'Sardina comun'!K8</f>
        <v>141.58800000000008</v>
      </c>
      <c r="M7" s="1">
        <f t="shared" si="1"/>
        <v>141.58800000000008</v>
      </c>
      <c r="N7" s="38" t="str">
        <f t="shared" si="2"/>
        <v>0</v>
      </c>
      <c r="O7" s="33">
        <f>Anchoveta!M8</f>
        <v>44547</v>
      </c>
      <c r="P7" s="6">
        <v>1</v>
      </c>
      <c r="Q7" s="6">
        <v>0</v>
      </c>
      <c r="R7" s="1"/>
    </row>
    <row r="8" spans="2:18">
      <c r="B8" s="261"/>
      <c r="C8" s="16" t="s">
        <v>132</v>
      </c>
      <c r="D8" s="25" t="s">
        <v>19</v>
      </c>
      <c r="E8" s="1">
        <f>Anchoveta!H9+'Sardina comun'!H9</f>
        <v>3.1758999999999999</v>
      </c>
      <c r="F8" s="2">
        <f t="shared" si="3"/>
        <v>2.3819249999999998</v>
      </c>
      <c r="G8" s="28">
        <f>Anchoveta!I9</f>
        <v>0</v>
      </c>
      <c r="H8" s="28">
        <f>'Sardina comun'!I9</f>
        <v>0</v>
      </c>
      <c r="I8" s="1">
        <f t="shared" si="0"/>
        <v>0</v>
      </c>
      <c r="J8" s="1">
        <f>Anchoveta!J9+'Sardina comun'!J9</f>
        <v>0</v>
      </c>
      <c r="K8" s="1">
        <f>Anchoveta!K9</f>
        <v>0.14990000000000001</v>
      </c>
      <c r="L8" s="1">
        <f>'Sardina comun'!K9</f>
        <v>3.0259999999999998</v>
      </c>
      <c r="M8" s="1">
        <f t="shared" si="1"/>
        <v>3.1758999999999999</v>
      </c>
      <c r="N8" s="38" t="str">
        <f t="shared" si="2"/>
        <v>0</v>
      </c>
      <c r="O8" s="1"/>
      <c r="P8" s="6">
        <f t="shared" ref="P8:P42" si="4">(I8+J8)/E8</f>
        <v>0</v>
      </c>
      <c r="Q8" s="6">
        <f>N8/E8</f>
        <v>0</v>
      </c>
      <c r="R8" s="1"/>
    </row>
    <row r="9" spans="2:18" s="11" customFormat="1">
      <c r="B9" s="261"/>
      <c r="C9" s="16" t="s">
        <v>265</v>
      </c>
      <c r="D9" s="25" t="s">
        <v>19</v>
      </c>
      <c r="E9" s="1">
        <f>Anchoveta!H10+'Sardina comun'!H10</f>
        <v>42.556699999999999</v>
      </c>
      <c r="F9" s="2">
        <f t="shared" si="3"/>
        <v>31.917524999999998</v>
      </c>
      <c r="G9" s="39">
        <f>Anchoveta!I10</f>
        <v>0</v>
      </c>
      <c r="H9" s="39">
        <f>'Sardina comun'!I10</f>
        <v>31</v>
      </c>
      <c r="I9" s="1">
        <f t="shared" si="0"/>
        <v>31</v>
      </c>
      <c r="J9" s="1">
        <f>Anchoveta!J10+'Sardina comun'!J10</f>
        <v>0</v>
      </c>
      <c r="K9" s="1">
        <f>Anchoveta!K10</f>
        <v>7.5496999999999996</v>
      </c>
      <c r="L9" s="1">
        <f>'Sardina comun'!K10</f>
        <v>4.0069999999999979</v>
      </c>
      <c r="M9" s="1">
        <f t="shared" si="1"/>
        <v>11.556699999999998</v>
      </c>
      <c r="N9" s="87" t="str">
        <f t="shared" si="2"/>
        <v>0</v>
      </c>
      <c r="O9" s="1"/>
      <c r="P9" s="6">
        <f>(I9+J9)/E9</f>
        <v>0.72843994012693658</v>
      </c>
      <c r="Q9" s="6">
        <f>N9/E9</f>
        <v>0</v>
      </c>
      <c r="R9" s="1"/>
    </row>
    <row r="10" spans="2:18" s="11" customFormat="1">
      <c r="B10" s="261"/>
      <c r="C10" s="16" t="s">
        <v>266</v>
      </c>
      <c r="D10" s="25" t="s">
        <v>19</v>
      </c>
      <c r="E10" s="1">
        <f>Anchoveta!H11+'Sardina comun'!H11</f>
        <v>1.9119999999999999</v>
      </c>
      <c r="F10" s="1">
        <f t="shared" si="3"/>
        <v>1.4339999999999999</v>
      </c>
      <c r="G10" s="39">
        <f>Anchoveta!I11</f>
        <v>0</v>
      </c>
      <c r="H10" s="39">
        <f>'Sardina comun'!I11</f>
        <v>0</v>
      </c>
      <c r="I10" s="1">
        <f t="shared" si="0"/>
        <v>0</v>
      </c>
      <c r="J10" s="1">
        <f>Anchoveta!J11+'Sardina comun'!J11</f>
        <v>0</v>
      </c>
      <c r="K10" s="1">
        <f>Anchoveta!K11</f>
        <v>2.5000000000000001E-2</v>
      </c>
      <c r="L10" s="1">
        <f>'Sardina comun'!K11</f>
        <v>1.887</v>
      </c>
      <c r="M10" s="1">
        <f t="shared" si="1"/>
        <v>1.9119999999999999</v>
      </c>
      <c r="N10" s="87" t="str">
        <f t="shared" si="2"/>
        <v>0</v>
      </c>
      <c r="O10" s="1"/>
      <c r="P10" s="6">
        <f>(I10+J10)/E10</f>
        <v>0</v>
      </c>
      <c r="Q10" s="6">
        <f>N10/E10</f>
        <v>0</v>
      </c>
      <c r="R10" s="1"/>
    </row>
    <row r="11" spans="2:18">
      <c r="B11" s="261"/>
      <c r="C11" s="15" t="s">
        <v>133</v>
      </c>
      <c r="D11" s="25" t="s">
        <v>19</v>
      </c>
      <c r="E11" s="1">
        <f>Anchoveta!H12+'Sardina comun'!H12</f>
        <v>227.3536</v>
      </c>
      <c r="F11" s="2">
        <f t="shared" si="3"/>
        <v>170.51519999999999</v>
      </c>
      <c r="G11" s="28">
        <f>Anchoveta!I12</f>
        <v>0</v>
      </c>
      <c r="H11" s="28">
        <f>'Sardina comun'!I12</f>
        <v>190.27</v>
      </c>
      <c r="I11" s="1">
        <f t="shared" si="0"/>
        <v>190.27</v>
      </c>
      <c r="J11" s="1">
        <f>Anchoveta!J12+'Sardina comun'!J12</f>
        <v>0</v>
      </c>
      <c r="K11" s="1">
        <f>Anchoveta!K12</f>
        <v>42.9086</v>
      </c>
      <c r="L11" s="1">
        <f>'Sardina comun'!K12</f>
        <v>-5.8250000000000171</v>
      </c>
      <c r="M11" s="1">
        <f t="shared" si="1"/>
        <v>37.083599999999983</v>
      </c>
      <c r="N11" s="38">
        <f t="shared" si="2"/>
        <v>-5.8250000000000171</v>
      </c>
      <c r="O11" s="106"/>
      <c r="P11" s="6">
        <f t="shared" si="4"/>
        <v>0.83689020099087941</v>
      </c>
      <c r="Q11" s="60">
        <f>N11/E11</f>
        <v>-2.5620883064970235E-2</v>
      </c>
      <c r="R11" s="39"/>
    </row>
    <row r="12" spans="2:18">
      <c r="G12" s="29"/>
      <c r="H12" s="29"/>
    </row>
    <row r="13" spans="2:18">
      <c r="B13" s="24" t="s">
        <v>167</v>
      </c>
      <c r="C13" s="15" t="s">
        <v>46</v>
      </c>
      <c r="D13" s="25" t="s">
        <v>19</v>
      </c>
      <c r="E13" s="1">
        <f>Anchoveta!H15+'Sardina comun'!H15</f>
        <v>155</v>
      </c>
      <c r="F13" s="1">
        <f>E13*0.75</f>
        <v>116.25</v>
      </c>
      <c r="G13" s="28">
        <f>Anchoveta!I15</f>
        <v>0</v>
      </c>
      <c r="H13" s="28">
        <f>'Sardina comun'!I15</f>
        <v>0</v>
      </c>
      <c r="I13" s="1">
        <f>G13+H13</f>
        <v>0</v>
      </c>
      <c r="J13" s="1">
        <f>Anchoveta!J15+'Sardina comun'!J15</f>
        <v>0</v>
      </c>
      <c r="K13" s="1">
        <f>Anchoveta!K15</f>
        <v>64</v>
      </c>
      <c r="L13" s="1">
        <f>'Sardina comun'!K15</f>
        <v>91</v>
      </c>
      <c r="M13" s="1">
        <f>K13+L13</f>
        <v>155</v>
      </c>
      <c r="N13" s="39" t="str">
        <f>IF(K13&lt;0,K13,IF(K13&lt;0,L13,IF(L13&lt;0,L13,IF(L13&gt;0,"0","0"))))</f>
        <v>0</v>
      </c>
      <c r="O13" s="1"/>
      <c r="P13" s="94">
        <f t="shared" si="4"/>
        <v>0</v>
      </c>
      <c r="Q13" s="94">
        <f>N13/E13</f>
        <v>0</v>
      </c>
      <c r="R13" s="1"/>
    </row>
    <row r="14" spans="2:18">
      <c r="G14" s="29"/>
      <c r="H14" s="29"/>
    </row>
    <row r="15" spans="2:18">
      <c r="B15" s="262" t="s">
        <v>168</v>
      </c>
      <c r="C15" s="15" t="s">
        <v>127</v>
      </c>
      <c r="D15" s="1" t="s">
        <v>19</v>
      </c>
      <c r="E15" s="1">
        <f>Anchoveta!H18+'Sardina comun'!H18</f>
        <v>0</v>
      </c>
      <c r="F15" s="2">
        <f>E15*0.75</f>
        <v>0</v>
      </c>
      <c r="G15" s="28">
        <f>Anchoveta!I18</f>
        <v>0</v>
      </c>
      <c r="H15" s="28">
        <f>'Sardina comun'!I18</f>
        <v>0</v>
      </c>
      <c r="I15" s="1">
        <f>G15+H15</f>
        <v>0</v>
      </c>
      <c r="J15" s="1">
        <f>Anchoveta!J18+'Sardina comun'!J18</f>
        <v>0</v>
      </c>
      <c r="K15" s="1">
        <f>Anchoveta!K18</f>
        <v>0</v>
      </c>
      <c r="L15" s="1">
        <f>'Sardina comun'!K18</f>
        <v>0</v>
      </c>
      <c r="M15" s="1">
        <f>K15+L15</f>
        <v>0</v>
      </c>
      <c r="N15" s="39" t="str">
        <f>IF(K15&lt;0,K15,IF(K15&lt;0,L15,IF(L15&lt;0,L15,IF(L15&gt;0,"0","0"))))</f>
        <v>0</v>
      </c>
      <c r="O15" s="1"/>
      <c r="P15" s="94" t="e">
        <f t="shared" si="4"/>
        <v>#DIV/0!</v>
      </c>
      <c r="Q15" s="94" t="e">
        <f>N15/E15</f>
        <v>#DIV/0!</v>
      </c>
      <c r="R15" s="1"/>
    </row>
    <row r="16" spans="2:18">
      <c r="B16" s="262"/>
      <c r="C16" s="15" t="s">
        <v>128</v>
      </c>
      <c r="D16" s="25" t="s">
        <v>19</v>
      </c>
      <c r="E16" s="1">
        <f>Anchoveta!H19+'Sardina comun'!H19</f>
        <v>9.9999999999909051E-3</v>
      </c>
      <c r="F16" s="1">
        <f t="shared" ref="F16:F17" si="5">E16*0.75</f>
        <v>7.4999999999931788E-3</v>
      </c>
      <c r="G16" s="28">
        <f>Anchoveta!I19</f>
        <v>0</v>
      </c>
      <c r="H16" s="28">
        <f>'Sardina comun'!I19</f>
        <v>0</v>
      </c>
      <c r="I16" s="1">
        <f>G16+H16</f>
        <v>0</v>
      </c>
      <c r="J16" s="1">
        <f>Anchoveta!J19+'Sardina comun'!J19</f>
        <v>0</v>
      </c>
      <c r="K16" s="1">
        <f>Anchoveta!K19</f>
        <v>0</v>
      </c>
      <c r="L16" s="1">
        <f>'Sardina comun'!K19</f>
        <v>9.9999999999909051E-3</v>
      </c>
      <c r="M16" s="1">
        <f>K16+L16</f>
        <v>9.9999999999909051E-3</v>
      </c>
      <c r="N16" s="39" t="str">
        <f t="shared" ref="N16:N31" si="6">IF(K16&lt;0,K16,IF(K16&lt;0,L16,IF(L16&lt;0,L16,IF(L16&gt;0,"0","0"))))</f>
        <v>0</v>
      </c>
      <c r="O16" s="1"/>
      <c r="P16" s="94">
        <f t="shared" si="4"/>
        <v>0</v>
      </c>
      <c r="Q16" s="94">
        <f t="shared" ref="Q16:Q42" si="7">N16/E16</f>
        <v>0</v>
      </c>
      <c r="R16" s="1"/>
    </row>
    <row r="17" spans="2:18">
      <c r="B17" s="262"/>
      <c r="C17" s="15" t="s">
        <v>129</v>
      </c>
      <c r="D17" s="25" t="s">
        <v>19</v>
      </c>
      <c r="E17" s="1">
        <f>Anchoveta!H20+'Sardina comun'!H20</f>
        <v>241.55199999999999</v>
      </c>
      <c r="F17" s="1">
        <f t="shared" si="5"/>
        <v>181.16399999999999</v>
      </c>
      <c r="G17" s="28">
        <f>Anchoveta!I20</f>
        <v>0</v>
      </c>
      <c r="H17" s="28">
        <f>'Sardina comun'!I20</f>
        <v>0</v>
      </c>
      <c r="I17" s="1">
        <f>G17+H17</f>
        <v>0</v>
      </c>
      <c r="J17" s="1">
        <f>Anchoveta!J20+'Sardina comun'!J20</f>
        <v>0</v>
      </c>
      <c r="K17" s="1">
        <f>Anchoveta!K20</f>
        <v>104.601</v>
      </c>
      <c r="L17" s="1">
        <f>'Sardina comun'!K20</f>
        <v>136.95099999999999</v>
      </c>
      <c r="M17" s="1">
        <f>K17+L17</f>
        <v>241.55199999999999</v>
      </c>
      <c r="N17" s="39" t="str">
        <f t="shared" si="6"/>
        <v>0</v>
      </c>
      <c r="O17" s="1"/>
      <c r="P17" s="94">
        <f t="shared" si="4"/>
        <v>0</v>
      </c>
      <c r="Q17" s="94">
        <f t="shared" si="7"/>
        <v>0</v>
      </c>
      <c r="R17" s="1"/>
    </row>
    <row r="18" spans="2:18">
      <c r="G18" s="29"/>
      <c r="H18" s="29"/>
    </row>
    <row r="19" spans="2:18">
      <c r="B19" s="19" t="s">
        <v>169</v>
      </c>
      <c r="C19" s="15" t="s">
        <v>46</v>
      </c>
      <c r="D19" s="1" t="s">
        <v>19</v>
      </c>
      <c r="E19" s="1">
        <f>Anchoveta!H104+'Sardina comun'!H104</f>
        <v>7173.6</v>
      </c>
      <c r="F19" s="1">
        <f>E19*0.75</f>
        <v>5380.2000000000007</v>
      </c>
      <c r="G19" s="28">
        <f>Anchoveta!I104</f>
        <v>744.47</v>
      </c>
      <c r="H19" s="28">
        <f>'Sardina comun'!I104</f>
        <v>6569.79</v>
      </c>
      <c r="I19" s="1">
        <f>G19+H19</f>
        <v>7314.26</v>
      </c>
      <c r="J19" s="1">
        <f>Anchoveta!J104+'Sardina comun'!J104</f>
        <v>0</v>
      </c>
      <c r="K19" s="1">
        <f>Anchoveta!K104</f>
        <v>2290.13</v>
      </c>
      <c r="L19" s="1">
        <f>'Sardina comun'!K104</f>
        <v>-2430.79</v>
      </c>
      <c r="M19" s="1">
        <f>K19+L19</f>
        <v>-140.65999999999985</v>
      </c>
      <c r="N19" s="39">
        <f t="shared" si="6"/>
        <v>-2430.79</v>
      </c>
      <c r="O19" s="33"/>
      <c r="P19" s="94">
        <f t="shared" si="4"/>
        <v>1.0196080071372811</v>
      </c>
      <c r="Q19" s="94">
        <f t="shared" si="7"/>
        <v>-0.33885218021634883</v>
      </c>
      <c r="R19" s="1"/>
    </row>
    <row r="20" spans="2:18">
      <c r="G20" s="29"/>
      <c r="H20" s="29"/>
    </row>
    <row r="21" spans="2:18">
      <c r="B21" s="261" t="s">
        <v>170</v>
      </c>
      <c r="C21" s="15" t="s">
        <v>116</v>
      </c>
      <c r="D21" s="1" t="s">
        <v>19</v>
      </c>
      <c r="E21" s="1">
        <f>Anchoveta!H108+'Sardina comun'!H108</f>
        <v>1017.9349999999999</v>
      </c>
      <c r="F21" s="2">
        <f>E21*0.75</f>
        <v>763.45124999999996</v>
      </c>
      <c r="G21" s="28">
        <f>Anchoveta!I108</f>
        <v>82.352000000000004</v>
      </c>
      <c r="H21" s="28">
        <f>'Sardina comun'!I108</f>
        <v>878.94500000000005</v>
      </c>
      <c r="I21" s="1">
        <f>G21+H21</f>
        <v>961.29700000000003</v>
      </c>
      <c r="J21" s="1">
        <f>Anchoveta!J108+'Sardina comun'!J108</f>
        <v>0</v>
      </c>
      <c r="K21" s="1">
        <f>Anchoveta!K108</f>
        <v>50.513999999999982</v>
      </c>
      <c r="L21" s="1">
        <f>'Sardina comun'!K108</f>
        <v>6.12399999999991</v>
      </c>
      <c r="M21" s="1">
        <f>K21+L21</f>
        <v>56.637999999999892</v>
      </c>
      <c r="N21" s="39" t="str">
        <f t="shared" si="6"/>
        <v>0</v>
      </c>
      <c r="O21" s="33"/>
      <c r="P21" s="94">
        <f t="shared" si="4"/>
        <v>0.94435990510199574</v>
      </c>
      <c r="Q21" s="94">
        <f t="shared" si="7"/>
        <v>0</v>
      </c>
      <c r="R21" s="1"/>
    </row>
    <row r="22" spans="2:18">
      <c r="B22" s="261"/>
      <c r="C22" s="15" t="s">
        <v>117</v>
      </c>
      <c r="D22" s="25" t="s">
        <v>19</v>
      </c>
      <c r="E22" s="1">
        <f>Anchoveta!H109+'Sardina comun'!H109</f>
        <v>5704.7559999999994</v>
      </c>
      <c r="F22" s="2">
        <f t="shared" ref="F22:F31" si="8">E22*0.75</f>
        <v>4278.5669999999991</v>
      </c>
      <c r="G22" s="28">
        <f>Anchoveta!I109</f>
        <v>162.643</v>
      </c>
      <c r="H22" s="28">
        <f>'Sardina comun'!I109</f>
        <v>5669.83</v>
      </c>
      <c r="I22" s="1">
        <f t="shared" ref="I22:I31" si="9">G22+H22</f>
        <v>5832.473</v>
      </c>
      <c r="J22" s="1">
        <f>Anchoveta!J109+'Sardina comun'!J109</f>
        <v>0</v>
      </c>
      <c r="K22" s="1">
        <f>Anchoveta!K109</f>
        <v>1538.3319999999999</v>
      </c>
      <c r="L22" s="1">
        <f>'Sardina comun'!K109</f>
        <v>-1666.049</v>
      </c>
      <c r="M22" s="1">
        <f t="shared" ref="M22:M31" si="10">K22+L22</f>
        <v>-127.7170000000001</v>
      </c>
      <c r="N22" s="39">
        <f t="shared" si="6"/>
        <v>-1666.049</v>
      </c>
      <c r="O22" s="33">
        <f>Anchoveta!M109</f>
        <v>44524</v>
      </c>
      <c r="P22" s="94">
        <f t="shared" si="4"/>
        <v>1.0223878111526594</v>
      </c>
      <c r="Q22" s="94">
        <f t="shared" si="7"/>
        <v>-0.29204561947960617</v>
      </c>
      <c r="R22" s="1"/>
    </row>
    <row r="23" spans="2:18">
      <c r="B23" s="261"/>
      <c r="C23" s="15" t="s">
        <v>118</v>
      </c>
      <c r="D23" s="25" t="s">
        <v>19</v>
      </c>
      <c r="E23" s="1">
        <f>Anchoveta!H110+'Sardina comun'!H110</f>
        <v>4757.21</v>
      </c>
      <c r="F23" s="2">
        <f t="shared" si="8"/>
        <v>3567.9075000000003</v>
      </c>
      <c r="G23" s="28">
        <f>Anchoveta!I110</f>
        <v>377.55099999999999</v>
      </c>
      <c r="H23" s="28">
        <f>'Sardina comun'!I110</f>
        <v>4374.6610000000001</v>
      </c>
      <c r="I23" s="1">
        <f t="shared" si="9"/>
        <v>4752.2120000000004</v>
      </c>
      <c r="J23" s="1">
        <f>Anchoveta!J110+'Sardina comun'!J110</f>
        <v>0</v>
      </c>
      <c r="K23" s="1">
        <f>Anchoveta!K110</f>
        <v>993.79700000000025</v>
      </c>
      <c r="L23" s="1">
        <f>'Sardina comun'!K110</f>
        <v>-988.79899999999998</v>
      </c>
      <c r="M23" s="1">
        <f t="shared" si="10"/>
        <v>4.9980000000002747</v>
      </c>
      <c r="N23" s="39">
        <f t="shared" si="6"/>
        <v>-988.79899999999998</v>
      </c>
      <c r="O23" s="33">
        <f>Anchoveta!M110</f>
        <v>44524</v>
      </c>
      <c r="P23" s="94">
        <f t="shared" si="4"/>
        <v>0.99894938419788082</v>
      </c>
      <c r="Q23" s="94">
        <f t="shared" si="7"/>
        <v>-0.20785271198874969</v>
      </c>
      <c r="R23" s="1"/>
    </row>
    <row r="24" spans="2:18">
      <c r="B24" s="261"/>
      <c r="C24" s="15" t="s">
        <v>119</v>
      </c>
      <c r="D24" s="25" t="s">
        <v>19</v>
      </c>
      <c r="E24" s="1">
        <f>Anchoveta!H111+'Sardina comun'!H111</f>
        <v>3868.9540000000002</v>
      </c>
      <c r="F24" s="2">
        <f t="shared" si="8"/>
        <v>2901.7155000000002</v>
      </c>
      <c r="G24" s="28">
        <f>Anchoveta!I111</f>
        <v>138.56399999999999</v>
      </c>
      <c r="H24" s="28">
        <f>'Sardina comun'!I111</f>
        <v>3725.826</v>
      </c>
      <c r="I24" s="1">
        <f t="shared" si="9"/>
        <v>3864.39</v>
      </c>
      <c r="J24" s="1">
        <f>Anchoveta!J111+'Sardina comun'!J111</f>
        <v>0</v>
      </c>
      <c r="K24" s="1">
        <f>Anchoveta!K111</f>
        <v>1190.249</v>
      </c>
      <c r="L24" s="1">
        <f>'Sardina comun'!K111</f>
        <v>-1185.6849999999999</v>
      </c>
      <c r="M24" s="1">
        <f t="shared" si="10"/>
        <v>4.5640000000000782</v>
      </c>
      <c r="N24" s="39">
        <f t="shared" si="6"/>
        <v>-1185.6849999999999</v>
      </c>
      <c r="O24" s="33">
        <f>Anchoveta!M111</f>
        <v>44543</v>
      </c>
      <c r="P24" s="94">
        <f t="shared" si="4"/>
        <v>0.99882035299463356</v>
      </c>
      <c r="Q24" s="94">
        <f t="shared" si="7"/>
        <v>-0.30646138465331968</v>
      </c>
      <c r="R24" s="1"/>
    </row>
    <row r="25" spans="2:18">
      <c r="B25" s="261"/>
      <c r="C25" s="15" t="s">
        <v>120</v>
      </c>
      <c r="D25" s="25" t="s">
        <v>19</v>
      </c>
      <c r="E25" s="1">
        <f>Anchoveta!H112+'Sardina comun'!H112</f>
        <v>14909.881000000001</v>
      </c>
      <c r="F25" s="2">
        <f t="shared" si="8"/>
        <v>11182.410750000001</v>
      </c>
      <c r="G25" s="28">
        <f>Anchoveta!I112</f>
        <v>555.13300000000004</v>
      </c>
      <c r="H25" s="28">
        <f>'Sardina comun'!I112</f>
        <v>14349.191999999999</v>
      </c>
      <c r="I25" s="1">
        <f t="shared" si="9"/>
        <v>14904.324999999999</v>
      </c>
      <c r="J25" s="1">
        <f>Anchoveta!J112+'Sardina comun'!J112</f>
        <v>0</v>
      </c>
      <c r="K25" s="1">
        <f>Anchoveta!K112</f>
        <v>3742.8990000000003</v>
      </c>
      <c r="L25" s="1">
        <f>'Sardina comun'!K112</f>
        <v>-3737.3429999999989</v>
      </c>
      <c r="M25" s="1">
        <f t="shared" si="10"/>
        <v>5.5560000000014043</v>
      </c>
      <c r="N25" s="39">
        <f t="shared" si="6"/>
        <v>-3737.3429999999989</v>
      </c>
      <c r="O25" s="1"/>
      <c r="P25" s="94">
        <f t="shared" si="4"/>
        <v>0.99962736121099816</v>
      </c>
      <c r="Q25" s="94">
        <f t="shared" si="7"/>
        <v>-0.2506621615558165</v>
      </c>
      <c r="R25" s="1"/>
    </row>
    <row r="26" spans="2:18" ht="14.25" customHeight="1">
      <c r="B26" s="261"/>
      <c r="C26" s="15" t="s">
        <v>121</v>
      </c>
      <c r="D26" s="25" t="s">
        <v>19</v>
      </c>
      <c r="E26" s="1">
        <f>Anchoveta!H113+'Sardina comun'!H113</f>
        <v>2609.0460000000003</v>
      </c>
      <c r="F26" s="2">
        <f t="shared" si="8"/>
        <v>1956.7845000000002</v>
      </c>
      <c r="G26" s="28">
        <f>Anchoveta!I113</f>
        <v>77.262</v>
      </c>
      <c r="H26" s="28">
        <f>'Sardina comun'!I113</f>
        <v>2531.623</v>
      </c>
      <c r="I26" s="1">
        <f t="shared" si="9"/>
        <v>2608.8850000000002</v>
      </c>
      <c r="J26" s="1">
        <f>Anchoveta!J113+'Sardina comun'!J113</f>
        <v>0</v>
      </c>
      <c r="K26" s="1">
        <f>Anchoveta!K113</f>
        <v>674.84100000000012</v>
      </c>
      <c r="L26" s="1">
        <f>'Sardina comun'!K113</f>
        <v>-674.68000000000006</v>
      </c>
      <c r="M26" s="1">
        <f t="shared" si="10"/>
        <v>0.16100000000005821</v>
      </c>
      <c r="N26" s="39">
        <f t="shared" si="6"/>
        <v>-674.68000000000006</v>
      </c>
      <c r="O26" s="33">
        <f>Anchoveta!M113</f>
        <v>44510</v>
      </c>
      <c r="P26" s="94">
        <f t="shared" si="4"/>
        <v>0.99993829162076864</v>
      </c>
      <c r="Q26" s="94">
        <f t="shared" si="7"/>
        <v>-0.25859260434656961</v>
      </c>
      <c r="R26" s="1"/>
    </row>
    <row r="27" spans="2:18">
      <c r="B27" s="261"/>
      <c r="C27" s="15" t="s">
        <v>122</v>
      </c>
      <c r="D27" s="25" t="s">
        <v>19</v>
      </c>
      <c r="E27" s="1">
        <f>Anchoveta!H114+'Sardina comun'!H114</f>
        <v>2677.4340000000002</v>
      </c>
      <c r="F27" s="2">
        <f t="shared" si="8"/>
        <v>2008.0755000000001</v>
      </c>
      <c r="G27" s="28">
        <f>Anchoveta!I114</f>
        <v>393.38600000000002</v>
      </c>
      <c r="H27" s="28">
        <f>'Sardina comun'!I114</f>
        <v>2282.614</v>
      </c>
      <c r="I27" s="1">
        <f t="shared" si="9"/>
        <v>2676</v>
      </c>
      <c r="J27" s="1">
        <f>Anchoveta!J114+'Sardina comun'!J114</f>
        <v>0</v>
      </c>
      <c r="K27" s="1">
        <f>Anchoveta!K114</f>
        <v>378.43099999999998</v>
      </c>
      <c r="L27" s="1">
        <f>'Sardina comun'!K114</f>
        <v>-376.99700000000007</v>
      </c>
      <c r="M27" s="1">
        <f t="shared" si="10"/>
        <v>1.4339999999999122</v>
      </c>
      <c r="N27" s="39">
        <f t="shared" si="6"/>
        <v>-376.99700000000007</v>
      </c>
      <c r="O27" s="33">
        <f>Anchoveta!M114</f>
        <v>44531</v>
      </c>
      <c r="P27" s="94">
        <f t="shared" si="4"/>
        <v>0.99946441256815288</v>
      </c>
      <c r="Q27" s="94">
        <f t="shared" si="7"/>
        <v>-0.14080533824549926</v>
      </c>
      <c r="R27" s="1"/>
    </row>
    <row r="28" spans="2:18">
      <c r="B28" s="261"/>
      <c r="C28" s="15" t="s">
        <v>123</v>
      </c>
      <c r="D28" s="25" t="s">
        <v>19</v>
      </c>
      <c r="E28" s="1">
        <f>Anchoveta!H115+'Sardina comun'!H115</f>
        <v>3116.0569999999998</v>
      </c>
      <c r="F28" s="2">
        <f t="shared" si="8"/>
        <v>2337.0427499999996</v>
      </c>
      <c r="G28" s="28">
        <f>Anchoveta!I115</f>
        <v>265.62799999999999</v>
      </c>
      <c r="H28" s="28">
        <f>'Sardina comun'!I115</f>
        <v>2842.2190000000001</v>
      </c>
      <c r="I28" s="1">
        <f t="shared" si="9"/>
        <v>3107.8470000000002</v>
      </c>
      <c r="J28" s="1">
        <f>Anchoveta!J115+'Sardina comun'!J115</f>
        <v>0</v>
      </c>
      <c r="K28" s="1">
        <f>Anchoveta!K115</f>
        <v>632.63000000000011</v>
      </c>
      <c r="L28" s="1">
        <f>'Sardina comun'!K115</f>
        <v>-624.42000000000007</v>
      </c>
      <c r="M28" s="1">
        <f t="shared" si="10"/>
        <v>8.2100000000000364</v>
      </c>
      <c r="N28" s="39">
        <f t="shared" si="6"/>
        <v>-624.42000000000007</v>
      </c>
      <c r="O28" s="33">
        <f>Anchoveta!M115</f>
        <v>44532</v>
      </c>
      <c r="P28" s="94">
        <f t="shared" si="4"/>
        <v>0.9973652600064763</v>
      </c>
      <c r="Q28" s="94">
        <f t="shared" si="7"/>
        <v>-0.20038786196786521</v>
      </c>
      <c r="R28" s="1"/>
    </row>
    <row r="29" spans="2:18">
      <c r="B29" s="261"/>
      <c r="C29" s="15" t="s">
        <v>124</v>
      </c>
      <c r="D29" s="25" t="s">
        <v>19</v>
      </c>
      <c r="E29" s="1">
        <f>Anchoveta!H116+'Sardina comun'!H116</f>
        <v>989.47800000000007</v>
      </c>
      <c r="F29" s="2">
        <f t="shared" si="8"/>
        <v>742.10850000000005</v>
      </c>
      <c r="G29" s="28">
        <f>Anchoveta!I116</f>
        <v>95.122</v>
      </c>
      <c r="H29" s="28">
        <f>'Sardina comun'!I116</f>
        <v>894.18799999999999</v>
      </c>
      <c r="I29" s="1">
        <f t="shared" si="9"/>
        <v>989.31</v>
      </c>
      <c r="J29" s="1">
        <f>Anchoveta!J116+'Sardina comun'!J116</f>
        <v>0</v>
      </c>
      <c r="K29" s="1">
        <f>Anchoveta!K116</f>
        <v>30.827000000000012</v>
      </c>
      <c r="L29" s="1">
        <f>'Sardina comun'!K116</f>
        <v>-30.658999999999992</v>
      </c>
      <c r="M29" s="1">
        <f t="shared" si="10"/>
        <v>0.16800000000002058</v>
      </c>
      <c r="N29" s="39">
        <f t="shared" si="6"/>
        <v>-30.658999999999992</v>
      </c>
      <c r="O29" s="33">
        <f>Anchoveta!M116</f>
        <v>44519</v>
      </c>
      <c r="P29" s="94">
        <f t="shared" si="4"/>
        <v>0.99983021350651546</v>
      </c>
      <c r="Q29" s="94">
        <f t="shared" si="7"/>
        <v>-3.0985024427021106E-2</v>
      </c>
      <c r="R29" s="1"/>
    </row>
    <row r="30" spans="2:18">
      <c r="B30" s="261"/>
      <c r="C30" s="15" t="s">
        <v>125</v>
      </c>
      <c r="D30" s="25" t="s">
        <v>19</v>
      </c>
      <c r="E30" s="1">
        <f>Anchoveta!H117+'Sardina comun'!H117</f>
        <v>19.10899999999998</v>
      </c>
      <c r="F30" s="2">
        <f t="shared" si="8"/>
        <v>14.331749999999985</v>
      </c>
      <c r="G30" s="28">
        <f>Anchoveta!I117</f>
        <v>0</v>
      </c>
      <c r="H30" s="28">
        <f>'Sardina comun'!I117</f>
        <v>0</v>
      </c>
      <c r="I30" s="1">
        <f t="shared" si="9"/>
        <v>0</v>
      </c>
      <c r="J30" s="1">
        <f>Anchoveta!J117+'Sardina comun'!J117</f>
        <v>0</v>
      </c>
      <c r="K30" s="1">
        <f>Anchoveta!K117</f>
        <v>16.603999999999985</v>
      </c>
      <c r="L30" s="1">
        <f>'Sardina comun'!K117</f>
        <v>2.5049999999999955</v>
      </c>
      <c r="M30" s="1">
        <f t="shared" si="10"/>
        <v>19.10899999999998</v>
      </c>
      <c r="N30" s="39" t="str">
        <f t="shared" si="6"/>
        <v>0</v>
      </c>
      <c r="O30" s="1"/>
      <c r="P30" s="94">
        <f t="shared" si="4"/>
        <v>0</v>
      </c>
      <c r="Q30" s="94">
        <f t="shared" si="7"/>
        <v>0</v>
      </c>
      <c r="R30" s="1"/>
    </row>
    <row r="31" spans="2:18">
      <c r="B31" s="261"/>
      <c r="C31" s="15" t="s">
        <v>126</v>
      </c>
      <c r="D31" s="25" t="s">
        <v>19</v>
      </c>
      <c r="E31" s="1">
        <f>Anchoveta!H118+'Sardina comun'!H118</f>
        <v>454.67099999999999</v>
      </c>
      <c r="F31" s="2">
        <f t="shared" si="8"/>
        <v>341.00324999999998</v>
      </c>
      <c r="G31" s="28">
        <f>Anchoveta!I118</f>
        <v>41.996000000000002</v>
      </c>
      <c r="H31" s="28">
        <f>'Sardina comun'!I118</f>
        <v>412.72500000000002</v>
      </c>
      <c r="I31" s="1">
        <f t="shared" si="9"/>
        <v>454.721</v>
      </c>
      <c r="J31" s="1">
        <f>Anchoveta!J118+'Sardina comun'!J118</f>
        <v>0</v>
      </c>
      <c r="K31" s="1">
        <f>Anchoveta!K118</f>
        <v>89.070999999999998</v>
      </c>
      <c r="L31" s="1">
        <f>'Sardina comun'!K118</f>
        <v>-89.121000000000038</v>
      </c>
      <c r="M31" s="1">
        <f t="shared" si="10"/>
        <v>-5.000000000003979E-2</v>
      </c>
      <c r="N31" s="39">
        <f t="shared" si="6"/>
        <v>-89.121000000000038</v>
      </c>
      <c r="O31" s="33">
        <f>Anchoveta!M118</f>
        <v>44524</v>
      </c>
      <c r="P31" s="94">
        <f t="shared" si="4"/>
        <v>1.0001099696263893</v>
      </c>
      <c r="Q31" s="94">
        <f t="shared" si="7"/>
        <v>-0.19601206146862246</v>
      </c>
      <c r="R31" s="1"/>
    </row>
    <row r="32" spans="2:18">
      <c r="G32" s="29"/>
      <c r="H32" s="29"/>
    </row>
    <row r="33" spans="2:18">
      <c r="B33" s="261" t="s">
        <v>171</v>
      </c>
      <c r="C33" s="18" t="s">
        <v>106</v>
      </c>
      <c r="D33" s="1" t="s">
        <v>19</v>
      </c>
      <c r="E33" s="1">
        <f>Anchoveta!H122+'Sardina comun'!H122</f>
        <v>55.19199999999995</v>
      </c>
      <c r="F33" s="2">
        <f>E33*0.75</f>
        <v>41.393999999999963</v>
      </c>
      <c r="G33" s="28">
        <f>Anchoveta!I122</f>
        <v>26.969000000000001</v>
      </c>
      <c r="H33" s="28">
        <f>'Sardina comun'!I122</f>
        <v>28.222999999999999</v>
      </c>
      <c r="I33" s="1">
        <f>G33+H33</f>
        <v>55.192</v>
      </c>
      <c r="J33" s="1">
        <f>Anchoveta!J122+'Sardina comun'!J122</f>
        <v>0</v>
      </c>
      <c r="K33" s="1">
        <f>Anchoveta!K122</f>
        <v>0</v>
      </c>
      <c r="L33" s="27">
        <f>'Sardina comun'!K122</f>
        <v>-4.2632564145606011E-14</v>
      </c>
      <c r="M33" s="27">
        <f>K33+L33</f>
        <v>-4.2632564145606011E-14</v>
      </c>
      <c r="N33" s="26">
        <f t="shared" ref="N33:N42" si="11">IF(K33&lt;0,K33,IF(K33&lt;0,L33,IF(L33&lt;0,L33,IF(L33&gt;0,"0","0"))))</f>
        <v>-4.2632564145606011E-14</v>
      </c>
      <c r="O33" s="33"/>
      <c r="P33" s="94">
        <f t="shared" si="4"/>
        <v>1.0000000000000009</v>
      </c>
      <c r="Q33" s="94">
        <f t="shared" si="7"/>
        <v>-7.7244100858106337E-16</v>
      </c>
      <c r="R33" s="1"/>
    </row>
    <row r="34" spans="2:18">
      <c r="B34" s="261"/>
      <c r="C34" s="18" t="s">
        <v>107</v>
      </c>
      <c r="D34" s="25" t="s">
        <v>19</v>
      </c>
      <c r="E34" s="1">
        <f>Anchoveta!H123+'Sardina comun'!H123</f>
        <v>1842.9130000000002</v>
      </c>
      <c r="F34" s="2">
        <f t="shared" ref="F34:F42" si="12">E34*0.75</f>
        <v>1382.1847500000001</v>
      </c>
      <c r="G34" s="28">
        <f>Anchoveta!I123</f>
        <v>1292.8510000000001</v>
      </c>
      <c r="H34" s="28">
        <f>'Sardina comun'!I123</f>
        <v>318.89800000000002</v>
      </c>
      <c r="I34" s="1">
        <f t="shared" ref="I34:I42" si="13">G34+H34</f>
        <v>1611.7490000000003</v>
      </c>
      <c r="J34" s="1">
        <f>Anchoveta!J123+'Sardina comun'!J123</f>
        <v>0</v>
      </c>
      <c r="K34" s="1">
        <f>Anchoveta!K123</f>
        <v>60.473999999999933</v>
      </c>
      <c r="L34" s="1">
        <f>'Sardina comun'!K123</f>
        <v>170.69000000000017</v>
      </c>
      <c r="M34" s="1">
        <f t="shared" ref="M34:M42" si="14">K34+L34</f>
        <v>231.1640000000001</v>
      </c>
      <c r="N34" s="39" t="str">
        <f t="shared" si="11"/>
        <v>0</v>
      </c>
      <c r="O34" s="168"/>
      <c r="P34" s="94">
        <f t="shared" si="4"/>
        <v>0.87456597245773404</v>
      </c>
      <c r="Q34" s="94">
        <f t="shared" si="7"/>
        <v>0</v>
      </c>
      <c r="R34" s="1"/>
    </row>
    <row r="35" spans="2:18">
      <c r="B35" s="261"/>
      <c r="C35" s="18" t="s">
        <v>108</v>
      </c>
      <c r="D35" s="25" t="s">
        <v>19</v>
      </c>
      <c r="E35" s="1">
        <f>Anchoveta!H124+'Sardina comun'!H124</f>
        <v>1795.6370000000002</v>
      </c>
      <c r="F35" s="2">
        <f t="shared" si="12"/>
        <v>1346.72775</v>
      </c>
      <c r="G35" s="28">
        <f>Anchoveta!I124</f>
        <v>1259.433</v>
      </c>
      <c r="H35" s="28">
        <f>'Sardina comun'!I124</f>
        <v>194.96600000000001</v>
      </c>
      <c r="I35" s="1">
        <f t="shared" si="13"/>
        <v>1454.3989999999999</v>
      </c>
      <c r="J35" s="1">
        <f>Anchoveta!J124+'Sardina comun'!J124</f>
        <v>0</v>
      </c>
      <c r="K35" s="1">
        <f>Anchoveta!K124</f>
        <v>84.384000000000015</v>
      </c>
      <c r="L35" s="1">
        <f>'Sardina comun'!K124</f>
        <v>256.85400000000016</v>
      </c>
      <c r="M35" s="1">
        <f t="shared" si="14"/>
        <v>341.23800000000017</v>
      </c>
      <c r="N35" s="39" t="str">
        <f t="shared" si="11"/>
        <v>0</v>
      </c>
      <c r="O35" s="1"/>
      <c r="P35" s="94">
        <f t="shared" si="4"/>
        <v>0.80996270404318904</v>
      </c>
      <c r="Q35" s="94">
        <f t="shared" si="7"/>
        <v>0</v>
      </c>
      <c r="R35" s="1"/>
    </row>
    <row r="36" spans="2:18">
      <c r="B36" s="261"/>
      <c r="C36" s="18" t="s">
        <v>109</v>
      </c>
      <c r="D36" s="25" t="s">
        <v>19</v>
      </c>
      <c r="E36" s="1">
        <f>Anchoveta!H125+'Sardina comun'!H125</f>
        <v>110.20900000000006</v>
      </c>
      <c r="F36" s="2">
        <f t="shared" si="12"/>
        <v>82.656750000000045</v>
      </c>
      <c r="G36" s="28">
        <f>Anchoveta!I125</f>
        <v>37.878</v>
      </c>
      <c r="H36" s="28">
        <f>'Sardina comun'!I125</f>
        <v>10.29</v>
      </c>
      <c r="I36" s="1">
        <f t="shared" si="13"/>
        <v>48.167999999999999</v>
      </c>
      <c r="J36" s="1">
        <f>Anchoveta!J125+'Sardina comun'!J125</f>
        <v>0</v>
      </c>
      <c r="K36" s="1">
        <f>Anchoveta!K125</f>
        <v>26.024000000000044</v>
      </c>
      <c r="L36" s="1">
        <f>'Sardina comun'!K125</f>
        <v>36.017000000000017</v>
      </c>
      <c r="M36" s="1">
        <f t="shared" si="14"/>
        <v>62.041000000000061</v>
      </c>
      <c r="N36" s="39" t="str">
        <f t="shared" si="11"/>
        <v>0</v>
      </c>
      <c r="O36" s="1"/>
      <c r="P36" s="94">
        <f t="shared" si="4"/>
        <v>0.43706049415202003</v>
      </c>
      <c r="Q36" s="94">
        <f t="shared" si="7"/>
        <v>0</v>
      </c>
      <c r="R36" s="1"/>
    </row>
    <row r="37" spans="2:18">
      <c r="B37" s="261"/>
      <c r="C37" s="18" t="s">
        <v>110</v>
      </c>
      <c r="D37" s="25" t="s">
        <v>19</v>
      </c>
      <c r="E37" s="1">
        <f>Anchoveta!H126+'Sardina comun'!H126</f>
        <v>593.50300000000004</v>
      </c>
      <c r="F37" s="2">
        <f t="shared" si="12"/>
        <v>445.12725</v>
      </c>
      <c r="G37" s="28">
        <f>Anchoveta!I126</f>
        <v>226.18600000000001</v>
      </c>
      <c r="H37" s="28">
        <f>'Sardina comun'!I126</f>
        <v>112.53400000000001</v>
      </c>
      <c r="I37" s="1">
        <f t="shared" si="13"/>
        <v>338.72</v>
      </c>
      <c r="J37" s="1">
        <f>Anchoveta!J126+'Sardina comun'!J126</f>
        <v>0</v>
      </c>
      <c r="K37" s="1">
        <f>Anchoveta!K126</f>
        <v>104.83899999999997</v>
      </c>
      <c r="L37" s="1">
        <f>'Sardina comun'!K126</f>
        <v>149.94400000000007</v>
      </c>
      <c r="M37" s="1">
        <f t="shared" si="14"/>
        <v>254.78300000000004</v>
      </c>
      <c r="N37" s="39" t="str">
        <f t="shared" si="11"/>
        <v>0</v>
      </c>
      <c r="O37" s="1"/>
      <c r="P37" s="94">
        <f t="shared" si="4"/>
        <v>0.57071320616744992</v>
      </c>
      <c r="Q37" s="94">
        <f t="shared" si="7"/>
        <v>0</v>
      </c>
      <c r="R37" s="1"/>
    </row>
    <row r="38" spans="2:18">
      <c r="B38" s="261"/>
      <c r="C38" s="18" t="s">
        <v>111</v>
      </c>
      <c r="D38" s="25" t="s">
        <v>19</v>
      </c>
      <c r="E38" s="1">
        <f>Anchoveta!H127+'Sardina comun'!H127</f>
        <v>6.9440000000000168</v>
      </c>
      <c r="F38" s="2">
        <f t="shared" si="12"/>
        <v>5.2080000000000126</v>
      </c>
      <c r="G38" s="28">
        <f>Anchoveta!I127</f>
        <v>0</v>
      </c>
      <c r="H38" s="28">
        <f>'Sardina comun'!I127</f>
        <v>0</v>
      </c>
      <c r="I38" s="1">
        <f t="shared" si="13"/>
        <v>0</v>
      </c>
      <c r="J38" s="1">
        <f>Anchoveta!J127+'Sardina comun'!J127</f>
        <v>0</v>
      </c>
      <c r="K38" s="1">
        <f>Anchoveta!K127</f>
        <v>0.57900000000000773</v>
      </c>
      <c r="L38" s="1">
        <f>'Sardina comun'!K127</f>
        <v>6.3650000000000091</v>
      </c>
      <c r="M38" s="1">
        <f t="shared" si="14"/>
        <v>6.9440000000000168</v>
      </c>
      <c r="N38" s="39" t="str">
        <f t="shared" si="11"/>
        <v>0</v>
      </c>
      <c r="O38" s="33"/>
      <c r="P38" s="94">
        <f t="shared" si="4"/>
        <v>0</v>
      </c>
      <c r="Q38" s="94">
        <f t="shared" si="7"/>
        <v>0</v>
      </c>
      <c r="R38" s="1"/>
    </row>
    <row r="39" spans="2:18">
      <c r="B39" s="261"/>
      <c r="C39" s="18" t="s">
        <v>112</v>
      </c>
      <c r="D39" s="25" t="s">
        <v>19</v>
      </c>
      <c r="E39" s="1">
        <f>Anchoveta!H128+'Sardina comun'!H128</f>
        <v>-8.6299999999999955</v>
      </c>
      <c r="F39" s="2">
        <f t="shared" si="12"/>
        <v>-6.4724999999999966</v>
      </c>
      <c r="G39" s="28">
        <f>Anchoveta!I128</f>
        <v>0</v>
      </c>
      <c r="H39" s="28">
        <f>'Sardina comun'!I128</f>
        <v>0</v>
      </c>
      <c r="I39" s="1">
        <f t="shared" si="13"/>
        <v>0</v>
      </c>
      <c r="J39" s="1">
        <f>Anchoveta!J128+'Sardina comun'!J128</f>
        <v>0</v>
      </c>
      <c r="K39" s="1">
        <f>Anchoveta!K128</f>
        <v>-10.279999999999973</v>
      </c>
      <c r="L39" s="1">
        <f>'Sardina comun'!K128</f>
        <v>1.6499999999999773</v>
      </c>
      <c r="M39" s="1">
        <f t="shared" si="14"/>
        <v>-8.6299999999999955</v>
      </c>
      <c r="N39" s="39">
        <f t="shared" si="11"/>
        <v>-10.279999999999973</v>
      </c>
      <c r="O39" s="33">
        <f>Anchoveta!M128</f>
        <v>44498</v>
      </c>
      <c r="P39" s="94">
        <f t="shared" si="4"/>
        <v>0</v>
      </c>
      <c r="Q39" s="94">
        <f t="shared" si="7"/>
        <v>1.1911935110081087</v>
      </c>
      <c r="R39" s="1"/>
    </row>
    <row r="40" spans="2:18">
      <c r="B40" s="261"/>
      <c r="C40" s="18" t="s">
        <v>113</v>
      </c>
      <c r="D40" s="25" t="s">
        <v>19</v>
      </c>
      <c r="E40" s="1">
        <f>Anchoveta!H129+'Sardina comun'!H129</f>
        <v>1085.8429999999996</v>
      </c>
      <c r="F40" s="2">
        <f t="shared" si="12"/>
        <v>814.38224999999966</v>
      </c>
      <c r="G40" s="28">
        <f>Anchoveta!I129</f>
        <v>694.76</v>
      </c>
      <c r="H40" s="28">
        <f>'Sardina comun'!I129</f>
        <v>370.74</v>
      </c>
      <c r="I40" s="1">
        <f t="shared" si="13"/>
        <v>1065.5</v>
      </c>
      <c r="J40" s="1">
        <f>Anchoveta!J129+'Sardina comun'!J129</f>
        <v>0</v>
      </c>
      <c r="K40" s="1">
        <f>Anchoveta!K129</f>
        <v>19.340000000000146</v>
      </c>
      <c r="L40" s="1">
        <f>'Sardina comun'!K129</f>
        <v>1.0029999999994743</v>
      </c>
      <c r="M40" s="1">
        <f t="shared" si="14"/>
        <v>20.34299999999962</v>
      </c>
      <c r="N40" s="39" t="str">
        <f t="shared" si="11"/>
        <v>0</v>
      </c>
      <c r="O40" s="1"/>
      <c r="P40" s="94">
        <f t="shared" si="4"/>
        <v>0.98126524737001608</v>
      </c>
      <c r="Q40" s="94">
        <f t="shared" si="7"/>
        <v>0</v>
      </c>
      <c r="R40" s="1"/>
    </row>
    <row r="41" spans="2:18">
      <c r="B41" s="261"/>
      <c r="C41" s="18" t="s">
        <v>114</v>
      </c>
      <c r="D41" s="25" t="s">
        <v>19</v>
      </c>
      <c r="E41" s="1">
        <f>Anchoveta!H130+'Sardina comun'!H130</f>
        <v>135.29099999999994</v>
      </c>
      <c r="F41" s="2">
        <f t="shared" si="12"/>
        <v>101.46824999999995</v>
      </c>
      <c r="G41" s="28">
        <f>Anchoveta!I130</f>
        <v>93.52</v>
      </c>
      <c r="H41" s="28">
        <f>'Sardina comun'!I130</f>
        <v>1.4690000000000001</v>
      </c>
      <c r="I41" s="1">
        <f t="shared" si="13"/>
        <v>94.98899999999999</v>
      </c>
      <c r="J41" s="1">
        <f>Anchoveta!J130+'Sardina comun'!J130</f>
        <v>0</v>
      </c>
      <c r="K41" s="1">
        <f>Anchoveta!K130</f>
        <v>31.475999999999985</v>
      </c>
      <c r="L41" s="1">
        <f>'Sardina comun'!K130</f>
        <v>8.8259999999999597</v>
      </c>
      <c r="M41" s="1">
        <f t="shared" si="14"/>
        <v>40.301999999999943</v>
      </c>
      <c r="N41" s="39" t="str">
        <f t="shared" si="11"/>
        <v>0</v>
      </c>
      <c r="O41" s="1"/>
      <c r="P41" s="94">
        <f t="shared" si="4"/>
        <v>0.70210878772423913</v>
      </c>
      <c r="Q41" s="94">
        <f t="shared" si="7"/>
        <v>0</v>
      </c>
      <c r="R41" s="1"/>
    </row>
    <row r="42" spans="2:18">
      <c r="B42" s="261"/>
      <c r="C42" s="18" t="s">
        <v>115</v>
      </c>
      <c r="D42" s="25" t="s">
        <v>19</v>
      </c>
      <c r="E42" s="1">
        <f>Anchoveta!H131+'Sardina comun'!H131</f>
        <v>563.79300000000001</v>
      </c>
      <c r="F42" s="2">
        <f t="shared" si="12"/>
        <v>422.84474999999998</v>
      </c>
      <c r="G42" s="28">
        <f>Anchoveta!I131</f>
        <v>14.75</v>
      </c>
      <c r="H42" s="28">
        <f>'Sardina comun'!I131</f>
        <v>5.99</v>
      </c>
      <c r="I42" s="1">
        <f t="shared" si="13"/>
        <v>20.740000000000002</v>
      </c>
      <c r="J42" s="1">
        <f>Anchoveta!J131+'Sardina comun'!J131</f>
        <v>0</v>
      </c>
      <c r="K42" s="1">
        <f>Anchoveta!K131</f>
        <v>173.35</v>
      </c>
      <c r="L42" s="1">
        <f>'Sardina comun'!K131</f>
        <v>369.70299999999997</v>
      </c>
      <c r="M42" s="1">
        <f t="shared" si="14"/>
        <v>543.053</v>
      </c>
      <c r="N42" s="39" t="str">
        <f t="shared" si="11"/>
        <v>0</v>
      </c>
      <c r="O42" s="1"/>
      <c r="P42" s="94">
        <f t="shared" si="4"/>
        <v>3.6786551092333537E-2</v>
      </c>
      <c r="Q42" s="94">
        <f t="shared" si="7"/>
        <v>0</v>
      </c>
      <c r="R42" s="1"/>
    </row>
  </sheetData>
  <mergeCells count="6">
    <mergeCell ref="B6:B11"/>
    <mergeCell ref="B15:B17"/>
    <mergeCell ref="B21:B31"/>
    <mergeCell ref="B33:B42"/>
    <mergeCell ref="B2:Q2"/>
    <mergeCell ref="B3:Q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Q83"/>
  <sheetViews>
    <sheetView topLeftCell="A55" workbookViewId="0">
      <selection activeCell="C95" sqref="C95"/>
    </sheetView>
  </sheetViews>
  <sheetFormatPr baseColWidth="10" defaultRowHeight="15"/>
  <cols>
    <col min="3" max="3" width="59.28515625" customWidth="1"/>
    <col min="6" max="6" width="12" bestFit="1" customWidth="1"/>
  </cols>
  <sheetData>
    <row r="2" spans="1:17" ht="21" customHeight="1">
      <c r="B2" s="267" t="s">
        <v>519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s="11" customFormat="1">
      <c r="B3" s="264">
        <f>RESUMEN!B3</f>
        <v>44201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5" spans="1:17" ht="45">
      <c r="B5" s="19" t="s">
        <v>46</v>
      </c>
      <c r="C5" s="19" t="s">
        <v>35</v>
      </c>
      <c r="D5" s="19" t="s">
        <v>0</v>
      </c>
      <c r="E5" s="19" t="s">
        <v>140</v>
      </c>
      <c r="F5" s="19" t="s">
        <v>695</v>
      </c>
      <c r="G5" s="19" t="s">
        <v>157</v>
      </c>
      <c r="H5" s="19" t="s">
        <v>158</v>
      </c>
      <c r="I5" s="19" t="s">
        <v>696</v>
      </c>
      <c r="J5" s="19" t="s">
        <v>700</v>
      </c>
      <c r="K5" s="19" t="s">
        <v>165</v>
      </c>
      <c r="L5" s="19" t="s">
        <v>160</v>
      </c>
      <c r="M5" s="19" t="s">
        <v>698</v>
      </c>
      <c r="N5" s="19" t="s">
        <v>699</v>
      </c>
      <c r="O5" s="19" t="s">
        <v>162</v>
      </c>
      <c r="P5" s="19" t="s">
        <v>163</v>
      </c>
      <c r="Q5" s="19" t="s">
        <v>164</v>
      </c>
    </row>
    <row r="6" spans="1:17">
      <c r="A6" s="57">
        <v>1</v>
      </c>
      <c r="B6" s="266" t="s">
        <v>184</v>
      </c>
      <c r="C6" s="15" t="s">
        <v>47</v>
      </c>
      <c r="D6" s="1" t="s">
        <v>19</v>
      </c>
      <c r="E6" s="1">
        <f>Anchoveta!H23+'Sardina comun'!H23</f>
        <v>225.28800000000004</v>
      </c>
      <c r="F6" s="2">
        <f>E6*0.75</f>
        <v>168.96600000000004</v>
      </c>
      <c r="G6" s="1">
        <f>Anchoveta!I23</f>
        <v>4.7249999999999996</v>
      </c>
      <c r="H6" s="1">
        <f>'Sardina comun'!I23</f>
        <v>163.964</v>
      </c>
      <c r="I6" s="1">
        <f>G6+H6</f>
        <v>168.68899999999999</v>
      </c>
      <c r="J6" s="1">
        <f>Anchoveta!J23+'Sardina comun'!J23</f>
        <v>0</v>
      </c>
      <c r="K6" s="1">
        <f>Anchoveta!K23</f>
        <v>32.018000000000022</v>
      </c>
      <c r="L6" s="1">
        <f>'Sardina comun'!K23</f>
        <v>24.581000000000017</v>
      </c>
      <c r="M6" s="1">
        <f>K6+L6</f>
        <v>56.599000000000039</v>
      </c>
      <c r="N6" s="39" t="str">
        <f>IF(K6&lt;0,K6,IF(K6&lt;0,L6,IF(L6&lt;0,L6,IF(L6&gt;0,"0","0"))))</f>
        <v>0</v>
      </c>
      <c r="O6" s="33" t="s">
        <v>496</v>
      </c>
      <c r="P6" s="6">
        <f>(I6+J6)/E6</f>
        <v>0.74877046269663705</v>
      </c>
      <c r="Q6" s="3">
        <f>N6/E6</f>
        <v>0</v>
      </c>
    </row>
    <row r="7" spans="1:17">
      <c r="A7" s="57">
        <v>2</v>
      </c>
      <c r="B7" s="266"/>
      <c r="C7" s="15" t="s">
        <v>173</v>
      </c>
      <c r="D7" s="1" t="s">
        <v>19</v>
      </c>
      <c r="E7" s="1">
        <f>Anchoveta!H24+'Sardina comun'!H24</f>
        <v>447.83699999999999</v>
      </c>
      <c r="F7" s="2">
        <f t="shared" ref="F7:F70" si="0">E7*0.75</f>
        <v>335.87774999999999</v>
      </c>
      <c r="G7" s="1">
        <f>Anchoveta!I24</f>
        <v>13.412000000000001</v>
      </c>
      <c r="H7" s="1">
        <f>'Sardina comun'!I24</f>
        <v>336.11500000000001</v>
      </c>
      <c r="I7" s="1">
        <f t="shared" ref="I7:I70" si="1">G7+H7</f>
        <v>349.52699999999999</v>
      </c>
      <c r="J7" s="1">
        <f>Anchoveta!J24+'Sardina comun'!J24</f>
        <v>0</v>
      </c>
      <c r="K7" s="1">
        <f>Anchoveta!K24</f>
        <v>152.197</v>
      </c>
      <c r="L7" s="1">
        <f>'Sardina comun'!K24</f>
        <v>-53.887</v>
      </c>
      <c r="M7" s="1">
        <f t="shared" ref="M7:M70" si="2">K7+L7</f>
        <v>98.31</v>
      </c>
      <c r="N7" s="39">
        <f t="shared" ref="N7:N70" si="3">IF(K7&lt;0,K7,IF(K7&lt;0,L7,IF(L7&lt;0,L7,IF(L7&gt;0,"0","0"))))</f>
        <v>-53.887</v>
      </c>
      <c r="O7" s="33" t="s">
        <v>496</v>
      </c>
      <c r="P7" s="6">
        <f t="shared" ref="P7:P70" si="4">(I7+J7)/E7</f>
        <v>0.78047816504665757</v>
      </c>
      <c r="Q7" s="3">
        <f t="shared" ref="Q7:Q70" si="5">N7/E7</f>
        <v>-0.12032726192788895</v>
      </c>
    </row>
    <row r="8" spans="1:17">
      <c r="A8" s="57">
        <v>3</v>
      </c>
      <c r="B8" s="266"/>
      <c r="C8" s="15" t="s">
        <v>48</v>
      </c>
      <c r="D8" s="25" t="s">
        <v>19</v>
      </c>
      <c r="E8" s="1">
        <f>Anchoveta!H25+'Sardina comun'!H25</f>
        <v>70.299000000000092</v>
      </c>
      <c r="F8" s="2">
        <f t="shared" si="0"/>
        <v>52.724250000000069</v>
      </c>
      <c r="G8" s="1">
        <f>Anchoveta!I25</f>
        <v>1.7000000000000001E-2</v>
      </c>
      <c r="H8" s="1">
        <f>'Sardina comun'!I25</f>
        <v>70.224999999999994</v>
      </c>
      <c r="I8" s="1">
        <f t="shared" si="1"/>
        <v>70.24199999999999</v>
      </c>
      <c r="J8" s="1">
        <f>Anchoveta!J25+'Sardina comun'!J25</f>
        <v>0</v>
      </c>
      <c r="K8" s="1">
        <f>Anchoveta!K25</f>
        <v>4.4000000000035469E-2</v>
      </c>
      <c r="L8" s="1">
        <f>'Sardina comun'!K25</f>
        <v>1.3000000000062073E-2</v>
      </c>
      <c r="M8" s="1">
        <f t="shared" si="2"/>
        <v>5.7000000000097542E-2</v>
      </c>
      <c r="N8" s="39" t="str">
        <f t="shared" si="3"/>
        <v>0</v>
      </c>
      <c r="O8" s="105" t="s">
        <v>496</v>
      </c>
      <c r="P8" s="6">
        <f t="shared" si="4"/>
        <v>0.99918917765544168</v>
      </c>
      <c r="Q8" s="3">
        <f t="shared" si="5"/>
        <v>0</v>
      </c>
    </row>
    <row r="9" spans="1:17">
      <c r="A9" s="57">
        <v>4</v>
      </c>
      <c r="B9" s="266"/>
      <c r="C9" s="15" t="s">
        <v>49</v>
      </c>
      <c r="D9" s="25" t="s">
        <v>19</v>
      </c>
      <c r="E9" s="1">
        <f>Anchoveta!H26+'Sardina comun'!H26</f>
        <v>3261.1030000000001</v>
      </c>
      <c r="F9" s="2">
        <f t="shared" si="0"/>
        <v>2445.8272500000003</v>
      </c>
      <c r="G9" s="1">
        <f>Anchoveta!I26</f>
        <v>599.51900000000001</v>
      </c>
      <c r="H9" s="1">
        <f>'Sardina comun'!I26</f>
        <v>1863.0989999999999</v>
      </c>
      <c r="I9" s="1">
        <f t="shared" si="1"/>
        <v>2462.6179999999999</v>
      </c>
      <c r="J9" s="1">
        <f>Anchoveta!J26+'Sardina comun'!J26</f>
        <v>0</v>
      </c>
      <c r="K9" s="1">
        <f>Anchoveta!K26</f>
        <v>263.58600000000001</v>
      </c>
      <c r="L9" s="1">
        <f>'Sardina comun'!K26</f>
        <v>534.89900000000011</v>
      </c>
      <c r="M9" s="1">
        <f t="shared" si="2"/>
        <v>798.48500000000013</v>
      </c>
      <c r="N9" s="39" t="str">
        <f t="shared" si="3"/>
        <v>0</v>
      </c>
      <c r="O9" s="105" t="s">
        <v>496</v>
      </c>
      <c r="P9" s="6">
        <f t="shared" si="4"/>
        <v>0.75514879474827989</v>
      </c>
      <c r="Q9" s="3">
        <f t="shared" si="5"/>
        <v>0</v>
      </c>
    </row>
    <row r="10" spans="1:17">
      <c r="A10" s="57">
        <v>5</v>
      </c>
      <c r="B10" s="266"/>
      <c r="C10" s="15" t="s">
        <v>50</v>
      </c>
      <c r="D10" s="25" t="s">
        <v>19</v>
      </c>
      <c r="E10" s="1">
        <f>Anchoveta!H27+'Sardina comun'!H27</f>
        <v>0.86200000000008004</v>
      </c>
      <c r="F10" s="2">
        <f t="shared" si="0"/>
        <v>0.64650000000006003</v>
      </c>
      <c r="G10" s="1">
        <f>Anchoveta!I27</f>
        <v>0</v>
      </c>
      <c r="H10" s="1">
        <f>'Sardina comun'!I27</f>
        <v>0</v>
      </c>
      <c r="I10" s="1">
        <f t="shared" si="1"/>
        <v>0</v>
      </c>
      <c r="J10" s="1">
        <f>Anchoveta!J27+'Sardina comun'!J27</f>
        <v>0</v>
      </c>
      <c r="K10" s="1">
        <f>Anchoveta!K27</f>
        <v>0.20800000000008367</v>
      </c>
      <c r="L10" s="1">
        <f>'Sardina comun'!K27</f>
        <v>0.65399999999999636</v>
      </c>
      <c r="M10" s="1">
        <f t="shared" si="2"/>
        <v>0.86200000000008004</v>
      </c>
      <c r="N10" s="39" t="str">
        <f t="shared" si="3"/>
        <v>0</v>
      </c>
      <c r="O10" s="33">
        <f>Anchoveta!M27</f>
        <v>44491</v>
      </c>
      <c r="P10" s="6">
        <f t="shared" si="4"/>
        <v>0</v>
      </c>
      <c r="Q10" s="3">
        <f t="shared" si="5"/>
        <v>0</v>
      </c>
    </row>
    <row r="11" spans="1:17">
      <c r="A11" s="57">
        <v>6</v>
      </c>
      <c r="B11" s="266"/>
      <c r="C11" s="15" t="s">
        <v>51</v>
      </c>
      <c r="D11" s="25" t="s">
        <v>19</v>
      </c>
      <c r="E11" s="1">
        <f>Anchoveta!H28+'Sardina comun'!H28</f>
        <v>9268.1549999999988</v>
      </c>
      <c r="F11" s="2">
        <f t="shared" si="0"/>
        <v>6951.1162499999991</v>
      </c>
      <c r="G11" s="1">
        <f>Anchoveta!I28</f>
        <v>2396.8870000000002</v>
      </c>
      <c r="H11" s="1">
        <f>'Sardina comun'!I28</f>
        <v>4849.5870000000004</v>
      </c>
      <c r="I11" s="1">
        <f t="shared" si="1"/>
        <v>7246.4740000000002</v>
      </c>
      <c r="J11" s="1">
        <f>Anchoveta!J28+'Sardina comun'!J28</f>
        <v>0</v>
      </c>
      <c r="K11" s="1">
        <f>Anchoveta!K28</f>
        <v>1030.4609999999998</v>
      </c>
      <c r="L11" s="1">
        <f>'Sardina comun'!K28</f>
        <v>991.21999999999935</v>
      </c>
      <c r="M11" s="1">
        <f t="shared" si="2"/>
        <v>2021.6809999999991</v>
      </c>
      <c r="N11" s="39" t="str">
        <f t="shared" si="3"/>
        <v>0</v>
      </c>
      <c r="O11" s="105" t="s">
        <v>496</v>
      </c>
      <c r="P11" s="6">
        <f t="shared" si="4"/>
        <v>0.78186802011835166</v>
      </c>
      <c r="Q11" s="3">
        <f t="shared" si="5"/>
        <v>0</v>
      </c>
    </row>
    <row r="12" spans="1:17">
      <c r="A12" s="57">
        <v>7</v>
      </c>
      <c r="B12" s="266"/>
      <c r="C12" s="15" t="s">
        <v>52</v>
      </c>
      <c r="D12" s="25" t="s">
        <v>19</v>
      </c>
      <c r="E12" s="1">
        <f>Anchoveta!H29+'Sardina comun'!H29</f>
        <v>14024.085999999999</v>
      </c>
      <c r="F12" s="2">
        <f t="shared" si="0"/>
        <v>10518.0645</v>
      </c>
      <c r="G12" s="1">
        <f>Anchoveta!I29</f>
        <v>4427.701</v>
      </c>
      <c r="H12" s="1">
        <f>'Sardina comun'!I29</f>
        <v>6789.3670000000002</v>
      </c>
      <c r="I12" s="1">
        <f t="shared" si="1"/>
        <v>11217.067999999999</v>
      </c>
      <c r="J12" s="1">
        <f>Anchoveta!J29+'Sardina comun'!J29</f>
        <v>0</v>
      </c>
      <c r="K12" s="1">
        <f>Anchoveta!K29</f>
        <v>758.38299999999981</v>
      </c>
      <c r="L12" s="1">
        <f>'Sardina comun'!K29</f>
        <v>2048.6350000000002</v>
      </c>
      <c r="M12" s="1">
        <f t="shared" si="2"/>
        <v>2807.018</v>
      </c>
      <c r="N12" s="39" t="str">
        <f t="shared" si="3"/>
        <v>0</v>
      </c>
      <c r="O12" s="105" t="s">
        <v>496</v>
      </c>
      <c r="P12" s="6">
        <f t="shared" si="4"/>
        <v>0.79984306998687826</v>
      </c>
      <c r="Q12" s="3">
        <f t="shared" si="5"/>
        <v>0</v>
      </c>
    </row>
    <row r="13" spans="1:17">
      <c r="A13" s="57">
        <v>8</v>
      </c>
      <c r="B13" s="266"/>
      <c r="C13" s="15" t="s">
        <v>53</v>
      </c>
      <c r="D13" s="25" t="s">
        <v>19</v>
      </c>
      <c r="E13" s="1">
        <f>Anchoveta!H30+'Sardina comun'!H30</f>
        <v>5337.1559999999999</v>
      </c>
      <c r="F13" s="2">
        <f t="shared" si="0"/>
        <v>4002.8670000000002</v>
      </c>
      <c r="G13" s="1">
        <f>Anchoveta!I30</f>
        <v>1199.0229999999999</v>
      </c>
      <c r="H13" s="1">
        <f>'Sardina comun'!I30</f>
        <v>3238.5250000000001</v>
      </c>
      <c r="I13" s="1">
        <f t="shared" si="1"/>
        <v>4437.5479999999998</v>
      </c>
      <c r="J13" s="1">
        <f>Anchoveta!J30+'Sardina comun'!J30</f>
        <v>0</v>
      </c>
      <c r="K13" s="1">
        <f>Anchoveta!K30</f>
        <v>774.64800000000014</v>
      </c>
      <c r="L13" s="1">
        <f>'Sardina comun'!K30</f>
        <v>124.96000000000004</v>
      </c>
      <c r="M13" s="1">
        <f t="shared" si="2"/>
        <v>899.60800000000017</v>
      </c>
      <c r="N13" s="39" t="str">
        <f t="shared" si="3"/>
        <v>0</v>
      </c>
      <c r="O13" s="33" t="s">
        <v>496</v>
      </c>
      <c r="P13" s="6">
        <f t="shared" si="4"/>
        <v>0.83144431228916671</v>
      </c>
      <c r="Q13" s="3">
        <f t="shared" si="5"/>
        <v>0</v>
      </c>
    </row>
    <row r="14" spans="1:17">
      <c r="A14" s="57">
        <v>9</v>
      </c>
      <c r="B14" s="266"/>
      <c r="C14" s="15" t="s">
        <v>54</v>
      </c>
      <c r="D14" s="25" t="s">
        <v>19</v>
      </c>
      <c r="E14" s="1">
        <f>Anchoveta!H31+'Sardina comun'!H31</f>
        <v>6418.0380000000005</v>
      </c>
      <c r="F14" s="2">
        <f t="shared" si="0"/>
        <v>4813.5285000000003</v>
      </c>
      <c r="G14" s="1">
        <f>Anchoveta!I31</f>
        <v>2485.9969999999998</v>
      </c>
      <c r="H14" s="1">
        <f>'Sardina comun'!I31</f>
        <v>2877.7849999999999</v>
      </c>
      <c r="I14" s="1">
        <f t="shared" si="1"/>
        <v>5363.7819999999992</v>
      </c>
      <c r="J14" s="1">
        <f>Anchoveta!J31+'Sardina comun'!J31</f>
        <v>0</v>
      </c>
      <c r="K14" s="1">
        <f>Anchoveta!K31</f>
        <v>-112.61799999999994</v>
      </c>
      <c r="L14" s="1">
        <f>'Sardina comun'!K31</f>
        <v>1166.8740000000003</v>
      </c>
      <c r="M14" s="1">
        <f t="shared" si="2"/>
        <v>1054.2560000000003</v>
      </c>
      <c r="N14" s="39">
        <f t="shared" si="3"/>
        <v>-112.61799999999994</v>
      </c>
      <c r="O14" s="105" t="s">
        <v>496</v>
      </c>
      <c r="P14" s="6">
        <f t="shared" si="4"/>
        <v>0.83573546931320741</v>
      </c>
      <c r="Q14" s="3">
        <f t="shared" si="5"/>
        <v>-1.7547107075402159E-2</v>
      </c>
    </row>
    <row r="15" spans="1:17">
      <c r="A15" s="57">
        <v>10</v>
      </c>
      <c r="B15" s="266"/>
      <c r="C15" s="15" t="s">
        <v>55</v>
      </c>
      <c r="D15" s="25" t="s">
        <v>19</v>
      </c>
      <c r="E15" s="1">
        <f>Anchoveta!H32+'Sardina comun'!H32</f>
        <v>377.77599999999995</v>
      </c>
      <c r="F15" s="2">
        <f t="shared" si="0"/>
        <v>283.33199999999999</v>
      </c>
      <c r="G15" s="1">
        <f>Anchoveta!I32</f>
        <v>56.286999999999999</v>
      </c>
      <c r="H15" s="1">
        <f>'Sardina comun'!I32</f>
        <v>319.41800000000001</v>
      </c>
      <c r="I15" s="1">
        <f t="shared" si="1"/>
        <v>375.70499999999998</v>
      </c>
      <c r="J15" s="1">
        <f>Anchoveta!J32+'Sardina comun'!J32</f>
        <v>0</v>
      </c>
      <c r="K15" s="1">
        <f>Anchoveta!K32</f>
        <v>1.8100000000000094</v>
      </c>
      <c r="L15" s="1">
        <f>'Sardina comun'!K32</f>
        <v>0.26099999999996726</v>
      </c>
      <c r="M15" s="1">
        <f t="shared" si="2"/>
        <v>2.0709999999999766</v>
      </c>
      <c r="N15" s="39" t="str">
        <f t="shared" si="3"/>
        <v>0</v>
      </c>
      <c r="O15" s="33">
        <f>Anchoveta!M32</f>
        <v>44328</v>
      </c>
      <c r="P15" s="6">
        <f t="shared" si="4"/>
        <v>0.99451791537842538</v>
      </c>
      <c r="Q15" s="3">
        <f t="shared" si="5"/>
        <v>0</v>
      </c>
    </row>
    <row r="16" spans="1:17">
      <c r="A16" s="57">
        <v>11</v>
      </c>
      <c r="B16" s="266"/>
      <c r="C16" s="15" t="s">
        <v>56</v>
      </c>
      <c r="D16" s="25" t="s">
        <v>19</v>
      </c>
      <c r="E16" s="1">
        <f>Anchoveta!H33+'Sardina comun'!H33</f>
        <v>5901.4789999999994</v>
      </c>
      <c r="F16" s="2">
        <f t="shared" si="0"/>
        <v>4426.1092499999995</v>
      </c>
      <c r="G16" s="1">
        <f>Anchoveta!I33</f>
        <v>3081.904</v>
      </c>
      <c r="H16" s="1">
        <f>'Sardina comun'!I33</f>
        <v>1678.316</v>
      </c>
      <c r="I16" s="1">
        <f t="shared" si="1"/>
        <v>4760.22</v>
      </c>
      <c r="J16" s="1">
        <f>Anchoveta!J33+'Sardina comun'!J33</f>
        <v>0</v>
      </c>
      <c r="K16" s="1">
        <f>Anchoveta!K33</f>
        <v>-899.54700000000003</v>
      </c>
      <c r="L16" s="1">
        <f>'Sardina comun'!K33</f>
        <v>2040.8059999999998</v>
      </c>
      <c r="M16" s="1">
        <f t="shared" si="2"/>
        <v>1141.2589999999998</v>
      </c>
      <c r="N16" s="39">
        <f t="shared" si="3"/>
        <v>-899.54700000000003</v>
      </c>
      <c r="O16" s="105" t="s">
        <v>496</v>
      </c>
      <c r="P16" s="6">
        <f t="shared" si="4"/>
        <v>0.80661474860793381</v>
      </c>
      <c r="Q16" s="3">
        <f t="shared" si="5"/>
        <v>-0.15242738303398184</v>
      </c>
    </row>
    <row r="17" spans="1:17">
      <c r="A17" s="57">
        <v>12</v>
      </c>
      <c r="B17" s="266"/>
      <c r="C17" s="15" t="s">
        <v>282</v>
      </c>
      <c r="D17" s="25" t="s">
        <v>19</v>
      </c>
      <c r="E17" s="1">
        <f>Anchoveta!H34+'Sardina comun'!H34</f>
        <v>9782.137999999999</v>
      </c>
      <c r="F17" s="2">
        <f t="shared" si="0"/>
        <v>7336.6034999999993</v>
      </c>
      <c r="G17" s="1">
        <f>Anchoveta!I34</f>
        <v>2430.7339999999999</v>
      </c>
      <c r="H17" s="1">
        <f>'Sardina comun'!I34</f>
        <v>5127.433</v>
      </c>
      <c r="I17" s="1">
        <f t="shared" si="1"/>
        <v>7558.1669999999995</v>
      </c>
      <c r="J17" s="1">
        <f>Anchoveta!J34+'Sardina comun'!J34</f>
        <v>0</v>
      </c>
      <c r="K17" s="1">
        <f>Anchoveta!K34</f>
        <v>1224.9659999999999</v>
      </c>
      <c r="L17" s="1">
        <f>'Sardina comun'!K34</f>
        <v>999.00500000000011</v>
      </c>
      <c r="M17" s="1">
        <f t="shared" si="2"/>
        <v>2223.971</v>
      </c>
      <c r="N17" s="39" t="str">
        <f t="shared" si="3"/>
        <v>0</v>
      </c>
      <c r="O17" s="33" t="s">
        <v>496</v>
      </c>
      <c r="P17" s="6">
        <f t="shared" si="4"/>
        <v>0.77264980314119469</v>
      </c>
      <c r="Q17" s="3">
        <f t="shared" si="5"/>
        <v>0</v>
      </c>
    </row>
    <row r="18" spans="1:17">
      <c r="A18" s="57">
        <v>13</v>
      </c>
      <c r="B18" s="266"/>
      <c r="C18" s="15" t="s">
        <v>183</v>
      </c>
      <c r="D18" s="25" t="s">
        <v>19</v>
      </c>
      <c r="E18" s="1">
        <f>Anchoveta!H35+'Sardina comun'!H35</f>
        <v>8368.630000000001</v>
      </c>
      <c r="F18" s="2">
        <f t="shared" si="0"/>
        <v>6276.4725000000008</v>
      </c>
      <c r="G18" s="1">
        <f>Anchoveta!I35</f>
        <v>3059.8389999999999</v>
      </c>
      <c r="H18" s="1">
        <f>'Sardina comun'!I35</f>
        <v>2873.134</v>
      </c>
      <c r="I18" s="1">
        <f t="shared" si="1"/>
        <v>5932.973</v>
      </c>
      <c r="J18" s="1">
        <f>Anchoveta!J35+'Sardina comun'!J35</f>
        <v>0</v>
      </c>
      <c r="K18" s="1">
        <f>Anchoveta!K35</f>
        <v>570.12100000000009</v>
      </c>
      <c r="L18" s="1">
        <f>'Sardina comun'!K35</f>
        <v>1865.5360000000001</v>
      </c>
      <c r="M18" s="1">
        <f t="shared" si="2"/>
        <v>2435.6570000000002</v>
      </c>
      <c r="N18" s="39" t="str">
        <f t="shared" si="3"/>
        <v>0</v>
      </c>
      <c r="O18" s="105" t="s">
        <v>496</v>
      </c>
      <c r="P18" s="6">
        <f t="shared" si="4"/>
        <v>0.70895391479847947</v>
      </c>
      <c r="Q18" s="3">
        <f t="shared" si="5"/>
        <v>0</v>
      </c>
    </row>
    <row r="19" spans="1:17">
      <c r="A19" s="57">
        <v>14</v>
      </c>
      <c r="B19" s="266"/>
      <c r="C19" s="15" t="s">
        <v>283</v>
      </c>
      <c r="D19" s="25" t="s">
        <v>19</v>
      </c>
      <c r="E19" s="1">
        <f>Anchoveta!H36+'Sardina comun'!H36</f>
        <v>3884.9160000000002</v>
      </c>
      <c r="F19" s="2">
        <f t="shared" si="0"/>
        <v>2913.6869999999999</v>
      </c>
      <c r="G19" s="1">
        <f>Anchoveta!I36</f>
        <v>581.68899999999996</v>
      </c>
      <c r="H19" s="1">
        <f>'Sardina comun'!I36</f>
        <v>2379.998</v>
      </c>
      <c r="I19" s="1">
        <f t="shared" si="1"/>
        <v>2961.6869999999999</v>
      </c>
      <c r="J19" s="1">
        <f>Anchoveta!J36+'Sardina comun'!J36</f>
        <v>0</v>
      </c>
      <c r="K19" s="1">
        <f>Anchoveta!K36</f>
        <v>938.02300000000002</v>
      </c>
      <c r="L19" s="1">
        <f>'Sardina comun'!K36</f>
        <v>-14.793999999999869</v>
      </c>
      <c r="M19" s="1">
        <f t="shared" si="2"/>
        <v>923.22900000000016</v>
      </c>
      <c r="N19" s="39">
        <f t="shared" si="3"/>
        <v>-14.793999999999869</v>
      </c>
      <c r="O19" s="105" t="s">
        <v>496</v>
      </c>
      <c r="P19" s="6">
        <f t="shared" si="4"/>
        <v>0.76235547950071503</v>
      </c>
      <c r="Q19" s="3">
        <f t="shared" si="5"/>
        <v>-3.8080617444495243E-3</v>
      </c>
    </row>
    <row r="20" spans="1:17" s="11" customFormat="1">
      <c r="A20" s="57">
        <v>15</v>
      </c>
      <c r="B20" s="266"/>
      <c r="C20" s="15" t="s">
        <v>284</v>
      </c>
      <c r="D20" s="25" t="s">
        <v>19</v>
      </c>
      <c r="E20" s="1">
        <f>Anchoveta!H37+'Sardina comun'!H37</f>
        <v>6942.4580000000005</v>
      </c>
      <c r="F20" s="2">
        <f t="shared" si="0"/>
        <v>5206.8435000000009</v>
      </c>
      <c r="G20" s="1">
        <f>Anchoveta!I37</f>
        <v>2589.5309999999999</v>
      </c>
      <c r="H20" s="1">
        <f>'Sardina comun'!I37</f>
        <v>2382.94</v>
      </c>
      <c r="I20" s="1">
        <f>G20+H20</f>
        <v>4972.4709999999995</v>
      </c>
      <c r="J20" s="1">
        <f>Anchoveta!J37+'Sardina comun'!J37</f>
        <v>0</v>
      </c>
      <c r="K20" s="1">
        <f>Anchoveta!K37</f>
        <v>-212.31099999999969</v>
      </c>
      <c r="L20" s="1">
        <f>'Sardina comun'!K37</f>
        <v>2182.2980000000002</v>
      </c>
      <c r="M20" s="1">
        <f>K20+L20</f>
        <v>1969.9870000000005</v>
      </c>
      <c r="N20" s="39">
        <f>IF(K20&lt;0,K20,IF(K20&lt;0,L20,IF(L20&lt;0,L20,IF(L20&gt;0,"0","0"))))</f>
        <v>-212.31099999999969</v>
      </c>
      <c r="O20" s="33" t="s">
        <v>496</v>
      </c>
      <c r="P20" s="6">
        <f>(I20+J20)/E20</f>
        <v>0.71624070322067479</v>
      </c>
      <c r="Q20" s="3">
        <f>N20/E20</f>
        <v>-3.0581531786004278E-2</v>
      </c>
    </row>
    <row r="21" spans="1:17">
      <c r="A21" s="57">
        <v>16</v>
      </c>
      <c r="B21" s="266"/>
      <c r="C21" s="15" t="s">
        <v>57</v>
      </c>
      <c r="D21" s="25" t="s">
        <v>19</v>
      </c>
      <c r="E21" s="1">
        <f>Anchoveta!H38+'Sardina comun'!H38</f>
        <v>1538.6690000000001</v>
      </c>
      <c r="F21" s="2">
        <f t="shared" si="0"/>
        <v>1154.0017500000001</v>
      </c>
      <c r="G21" s="1">
        <f>Anchoveta!I38</f>
        <v>370.642</v>
      </c>
      <c r="H21" s="1">
        <f>'Sardina comun'!I38</f>
        <v>870.178</v>
      </c>
      <c r="I21" s="1">
        <f t="shared" si="1"/>
        <v>1240.82</v>
      </c>
      <c r="J21" s="1">
        <f>Anchoveta!J38+'Sardina comun'!J38</f>
        <v>0</v>
      </c>
      <c r="K21" s="1">
        <f>Anchoveta!K38</f>
        <v>198.35600000000005</v>
      </c>
      <c r="L21" s="1">
        <f>'Sardina comun'!K38</f>
        <v>99.493000000000052</v>
      </c>
      <c r="M21" s="1">
        <f t="shared" si="2"/>
        <v>297.8490000000001</v>
      </c>
      <c r="N21" s="39" t="str">
        <f t="shared" si="3"/>
        <v>0</v>
      </c>
      <c r="O21" s="33" t="s">
        <v>496</v>
      </c>
      <c r="P21" s="6">
        <f t="shared" si="4"/>
        <v>0.80642425368938986</v>
      </c>
      <c r="Q21" s="3">
        <f t="shared" si="5"/>
        <v>0</v>
      </c>
    </row>
    <row r="22" spans="1:17">
      <c r="A22" s="57">
        <v>17</v>
      </c>
      <c r="B22" s="266"/>
      <c r="C22" s="15" t="s">
        <v>261</v>
      </c>
      <c r="D22" s="25" t="s">
        <v>19</v>
      </c>
      <c r="E22" s="1">
        <f>Anchoveta!H39+'Sardina comun'!H39</f>
        <v>5381.1080000000002</v>
      </c>
      <c r="F22" s="2">
        <f t="shared" si="0"/>
        <v>4035.8310000000001</v>
      </c>
      <c r="G22" s="1">
        <f>Anchoveta!I39</f>
        <v>1283.2370000000001</v>
      </c>
      <c r="H22" s="1">
        <f>'Sardina comun'!I39</f>
        <v>3114.96</v>
      </c>
      <c r="I22" s="1">
        <f t="shared" si="1"/>
        <v>4398.1970000000001</v>
      </c>
      <c r="J22" s="1">
        <f>Anchoveta!J39+'Sardina comun'!J39</f>
        <v>0</v>
      </c>
      <c r="K22" s="1">
        <f>Anchoveta!K39</f>
        <v>413.10399999999981</v>
      </c>
      <c r="L22" s="1">
        <f>'Sardina comun'!K39</f>
        <v>569.80699999999979</v>
      </c>
      <c r="M22" s="1">
        <f t="shared" si="2"/>
        <v>982.9109999999996</v>
      </c>
      <c r="N22" s="39" t="str">
        <f t="shared" si="3"/>
        <v>0</v>
      </c>
      <c r="O22" s="105" t="s">
        <v>496</v>
      </c>
      <c r="P22" s="6">
        <f t="shared" si="4"/>
        <v>0.81734040647390838</v>
      </c>
      <c r="Q22" s="3">
        <f t="shared" si="5"/>
        <v>0</v>
      </c>
    </row>
    <row r="23" spans="1:17">
      <c r="A23" s="57">
        <v>18</v>
      </c>
      <c r="B23" s="266"/>
      <c r="C23" s="15" t="s">
        <v>58</v>
      </c>
      <c r="D23" s="25" t="s">
        <v>19</v>
      </c>
      <c r="E23" s="1">
        <f>Anchoveta!H40+'Sardina comun'!H40</f>
        <v>71.867999999999995</v>
      </c>
      <c r="F23" s="2">
        <f t="shared" si="0"/>
        <v>53.900999999999996</v>
      </c>
      <c r="G23" s="1">
        <f>Anchoveta!I40</f>
        <v>4.6440000000000001</v>
      </c>
      <c r="H23" s="1">
        <f>'Sardina comun'!I40</f>
        <v>66.703999999999994</v>
      </c>
      <c r="I23" s="1">
        <f t="shared" si="1"/>
        <v>71.347999999999999</v>
      </c>
      <c r="J23" s="1">
        <f>Anchoveta!J40+'Sardina comun'!J40</f>
        <v>0</v>
      </c>
      <c r="K23" s="1">
        <f>Anchoveta!K40</f>
        <v>3.6570000000000018</v>
      </c>
      <c r="L23" s="1">
        <f>'Sardina comun'!K40</f>
        <v>-3.1369999999999933</v>
      </c>
      <c r="M23" s="1">
        <f t="shared" si="2"/>
        <v>0.52000000000000846</v>
      </c>
      <c r="N23" s="39">
        <f t="shared" si="3"/>
        <v>-3.1369999999999933</v>
      </c>
      <c r="O23" s="33">
        <f>Anchoveta!M40</f>
        <v>44264</v>
      </c>
      <c r="P23" s="6">
        <f t="shared" si="4"/>
        <v>0.99276451271776034</v>
      </c>
      <c r="Q23" s="3">
        <f t="shared" si="5"/>
        <v>-4.3649468469972641E-2</v>
      </c>
    </row>
    <row r="24" spans="1:17">
      <c r="A24" s="57">
        <v>19</v>
      </c>
      <c r="B24" s="266"/>
      <c r="C24" s="15" t="s">
        <v>59</v>
      </c>
      <c r="D24" s="25" t="s">
        <v>19</v>
      </c>
      <c r="E24" s="1">
        <f>Anchoveta!H41+'Sardina comun'!H41</f>
        <v>49182.409</v>
      </c>
      <c r="F24" s="2">
        <f t="shared" si="0"/>
        <v>36886.806750000003</v>
      </c>
      <c r="G24" s="1">
        <f>Anchoveta!I41</f>
        <v>10725.04</v>
      </c>
      <c r="H24" s="1">
        <f>'Sardina comun'!I41</f>
        <v>28707.419000000002</v>
      </c>
      <c r="I24" s="1">
        <f t="shared" si="1"/>
        <v>39432.459000000003</v>
      </c>
      <c r="J24" s="1">
        <f>Anchoveta!J41+'Sardina comun'!J41</f>
        <v>0</v>
      </c>
      <c r="K24" s="1">
        <f>Anchoveta!K41</f>
        <v>9479.8430000000008</v>
      </c>
      <c r="L24" s="1">
        <f>'Sardina comun'!K41</f>
        <v>270.10699999999997</v>
      </c>
      <c r="M24" s="1">
        <f t="shared" si="2"/>
        <v>9749.9500000000007</v>
      </c>
      <c r="N24" s="39" t="str">
        <f t="shared" si="3"/>
        <v>0</v>
      </c>
      <c r="O24" s="105" t="s">
        <v>496</v>
      </c>
      <c r="P24" s="6">
        <f t="shared" si="4"/>
        <v>0.80175940548174451</v>
      </c>
      <c r="Q24" s="3">
        <f t="shared" si="5"/>
        <v>0</v>
      </c>
    </row>
    <row r="25" spans="1:17">
      <c r="A25" s="57">
        <v>20</v>
      </c>
      <c r="B25" s="266"/>
      <c r="C25" s="15" t="s">
        <v>60</v>
      </c>
      <c r="D25" s="25" t="s">
        <v>19</v>
      </c>
      <c r="E25" s="1">
        <f>Anchoveta!H42+'Sardina comun'!H42</f>
        <v>544.72299999999996</v>
      </c>
      <c r="F25" s="2">
        <f t="shared" si="0"/>
        <v>408.54224999999997</v>
      </c>
      <c r="G25" s="1">
        <f>Anchoveta!I42</f>
        <v>137.03899999999999</v>
      </c>
      <c r="H25" s="1">
        <f>'Sardina comun'!I42</f>
        <v>300.18900000000002</v>
      </c>
      <c r="I25" s="1">
        <f t="shared" si="1"/>
        <v>437.22800000000001</v>
      </c>
      <c r="J25" s="1">
        <f>Anchoveta!J42+'Sardina comun'!J42</f>
        <v>0</v>
      </c>
      <c r="K25" s="1">
        <f>Anchoveta!K42</f>
        <v>64.399000000000001</v>
      </c>
      <c r="L25" s="1">
        <f>'Sardina comun'!K42</f>
        <v>43.096000000000004</v>
      </c>
      <c r="M25" s="1">
        <f t="shared" si="2"/>
        <v>107.495</v>
      </c>
      <c r="N25" s="39" t="str">
        <f t="shared" si="3"/>
        <v>0</v>
      </c>
      <c r="O25" s="105" t="s">
        <v>496</v>
      </c>
      <c r="P25" s="6">
        <f t="shared" si="4"/>
        <v>0.80266116907125284</v>
      </c>
      <c r="Q25" s="3">
        <f t="shared" si="5"/>
        <v>0</v>
      </c>
    </row>
    <row r="26" spans="1:17">
      <c r="A26" s="57">
        <v>21</v>
      </c>
      <c r="B26" s="266"/>
      <c r="C26" s="15" t="s">
        <v>61</v>
      </c>
      <c r="D26" s="25" t="s">
        <v>19</v>
      </c>
      <c r="E26" s="1">
        <f>Anchoveta!H43+'Sardina comun'!H43</f>
        <v>6678.16</v>
      </c>
      <c r="F26" s="2">
        <f t="shared" si="0"/>
        <v>5008.62</v>
      </c>
      <c r="G26" s="1">
        <f>Anchoveta!I43</f>
        <v>2246.694</v>
      </c>
      <c r="H26" s="1">
        <f>'Sardina comun'!I43</f>
        <v>2925.0059999999999</v>
      </c>
      <c r="I26" s="1">
        <f t="shared" si="1"/>
        <v>5171.7</v>
      </c>
      <c r="J26" s="1">
        <f>Anchoveta!J43+'Sardina comun'!J43</f>
        <v>0</v>
      </c>
      <c r="K26" s="1">
        <f>Anchoveta!K43</f>
        <v>172.95600000000013</v>
      </c>
      <c r="L26" s="1">
        <f>'Sardina comun'!K43</f>
        <v>1333.5040000000004</v>
      </c>
      <c r="M26" s="1">
        <f t="shared" si="2"/>
        <v>1506.4600000000005</v>
      </c>
      <c r="N26" s="39" t="str">
        <f t="shared" si="3"/>
        <v>0</v>
      </c>
      <c r="O26" s="105" t="s">
        <v>496</v>
      </c>
      <c r="P26" s="6">
        <f t="shared" si="4"/>
        <v>0.77441990009224093</v>
      </c>
      <c r="Q26" s="3">
        <f t="shared" si="5"/>
        <v>0</v>
      </c>
    </row>
    <row r="27" spans="1:17">
      <c r="A27" s="57">
        <v>22</v>
      </c>
      <c r="B27" s="266"/>
      <c r="C27" s="15" t="s">
        <v>62</v>
      </c>
      <c r="D27" s="25" t="s">
        <v>19</v>
      </c>
      <c r="E27" s="1">
        <f>Anchoveta!H44+'Sardina comun'!H44</f>
        <v>4059.0550000000003</v>
      </c>
      <c r="F27" s="2">
        <f t="shared" si="0"/>
        <v>3044.2912500000002</v>
      </c>
      <c r="G27" s="2">
        <f>Anchoveta!I44</f>
        <v>1270.1389999999999</v>
      </c>
      <c r="H27" s="2">
        <f>'Sardina comun'!I44</f>
        <v>1783.807</v>
      </c>
      <c r="I27" s="1">
        <f t="shared" si="1"/>
        <v>3053.9459999999999</v>
      </c>
      <c r="J27" s="1">
        <f>Anchoveta!J44+'Sardina comun'!J44</f>
        <v>0</v>
      </c>
      <c r="K27" s="2">
        <f>Anchoveta!K44</f>
        <v>230.89300000000003</v>
      </c>
      <c r="L27" s="2">
        <f>'Sardina comun'!K44</f>
        <v>774.21600000000012</v>
      </c>
      <c r="M27" s="1">
        <f t="shared" si="2"/>
        <v>1005.1090000000002</v>
      </c>
      <c r="N27" s="161" t="str">
        <f t="shared" si="3"/>
        <v>0</v>
      </c>
      <c r="O27" s="105" t="s">
        <v>496</v>
      </c>
      <c r="P27" s="6">
        <f t="shared" si="4"/>
        <v>0.75237857087425519</v>
      </c>
      <c r="Q27" s="3">
        <f t="shared" si="5"/>
        <v>0</v>
      </c>
    </row>
    <row r="28" spans="1:17">
      <c r="A28" s="57">
        <v>23</v>
      </c>
      <c r="B28" s="266"/>
      <c r="C28" s="15" t="s">
        <v>63</v>
      </c>
      <c r="D28" s="25" t="s">
        <v>19</v>
      </c>
      <c r="E28" s="1">
        <f>Anchoveta!H45+'Sardina comun'!H45</f>
        <v>4026.4690000000001</v>
      </c>
      <c r="F28" s="2">
        <f t="shared" si="0"/>
        <v>3019.8517499999998</v>
      </c>
      <c r="G28" s="1">
        <f>Anchoveta!I45</f>
        <v>1688.0050000000001</v>
      </c>
      <c r="H28" s="1">
        <f>'Sardina comun'!I45</f>
        <v>1195.3340000000001</v>
      </c>
      <c r="I28" s="1">
        <f t="shared" si="1"/>
        <v>2883.3389999999999</v>
      </c>
      <c r="J28" s="1">
        <f>Anchoveta!J45+'Sardina comun'!J45</f>
        <v>0</v>
      </c>
      <c r="K28" s="1">
        <f>Anchoveta!K45</f>
        <v>-263.73800000000006</v>
      </c>
      <c r="L28" s="1">
        <f>'Sardina comun'!K45</f>
        <v>1406.8680000000002</v>
      </c>
      <c r="M28" s="1">
        <f t="shared" si="2"/>
        <v>1143.1300000000001</v>
      </c>
      <c r="N28" s="39">
        <f t="shared" si="3"/>
        <v>-263.73800000000006</v>
      </c>
      <c r="O28" s="105" t="s">
        <v>496</v>
      </c>
      <c r="P28" s="6">
        <f t="shared" si="4"/>
        <v>0.71609616266758791</v>
      </c>
      <c r="Q28" s="3">
        <f t="shared" si="5"/>
        <v>-6.5501063090265946E-2</v>
      </c>
    </row>
    <row r="29" spans="1:17">
      <c r="A29" s="57">
        <v>24</v>
      </c>
      <c r="B29" s="266"/>
      <c r="C29" s="15" t="s">
        <v>182</v>
      </c>
      <c r="D29" s="25" t="s">
        <v>19</v>
      </c>
      <c r="E29" s="1">
        <f>Anchoveta!H46+'Sardina comun'!H46</f>
        <v>8709.57</v>
      </c>
      <c r="F29" s="2">
        <f t="shared" si="0"/>
        <v>6532.1774999999998</v>
      </c>
      <c r="G29" s="1">
        <f>Anchoveta!I46</f>
        <v>1916.5340000000001</v>
      </c>
      <c r="H29" s="1">
        <f>'Sardina comun'!I46</f>
        <v>4878.7820000000002</v>
      </c>
      <c r="I29" s="1">
        <f t="shared" si="1"/>
        <v>6795.3160000000007</v>
      </c>
      <c r="J29" s="1">
        <f>Anchoveta!J46+'Sardina comun'!J46</f>
        <v>0</v>
      </c>
      <c r="K29" s="1">
        <f>Anchoveta!K46</f>
        <v>1248.8220000000001</v>
      </c>
      <c r="L29" s="1">
        <f>'Sardina comun'!K46</f>
        <v>665.43199999999979</v>
      </c>
      <c r="M29" s="1">
        <f t="shared" si="2"/>
        <v>1914.2539999999999</v>
      </c>
      <c r="N29" s="39" t="str">
        <f t="shared" si="3"/>
        <v>0</v>
      </c>
      <c r="O29" s="105" t="s">
        <v>496</v>
      </c>
      <c r="P29" s="6">
        <f t="shared" si="4"/>
        <v>0.7802125707698544</v>
      </c>
      <c r="Q29" s="3">
        <f t="shared" si="5"/>
        <v>0</v>
      </c>
    </row>
    <row r="30" spans="1:17">
      <c r="A30" s="57">
        <v>25</v>
      </c>
      <c r="B30" s="266"/>
      <c r="C30" s="15" t="s">
        <v>64</v>
      </c>
      <c r="D30" s="25" t="s">
        <v>19</v>
      </c>
      <c r="E30" s="1">
        <f>Anchoveta!H47+'Sardina comun'!H47</f>
        <v>7783.6630000000005</v>
      </c>
      <c r="F30" s="2">
        <f t="shared" si="0"/>
        <v>5837.7472500000003</v>
      </c>
      <c r="G30" s="1">
        <f>Anchoveta!I47</f>
        <v>2766.663</v>
      </c>
      <c r="H30" s="1">
        <f>'Sardina comun'!I47</f>
        <v>3142.4780000000001</v>
      </c>
      <c r="I30" s="1">
        <f t="shared" si="1"/>
        <v>5909.1409999999996</v>
      </c>
      <c r="J30" s="1">
        <f>Anchoveta!J47+'Sardina comun'!J47</f>
        <v>0</v>
      </c>
      <c r="K30" s="1">
        <f>Anchoveta!K47</f>
        <v>352.75700000000006</v>
      </c>
      <c r="L30" s="1">
        <f>'Sardina comun'!K47</f>
        <v>1521.7650000000003</v>
      </c>
      <c r="M30" s="1">
        <f t="shared" si="2"/>
        <v>1874.5220000000004</v>
      </c>
      <c r="N30" s="39" t="str">
        <f t="shared" si="3"/>
        <v>0</v>
      </c>
      <c r="O30" s="105" t="s">
        <v>496</v>
      </c>
      <c r="P30" s="6">
        <f t="shared" si="4"/>
        <v>0.7591722560444869</v>
      </c>
      <c r="Q30" s="3">
        <f t="shared" si="5"/>
        <v>0</v>
      </c>
    </row>
    <row r="31" spans="1:17">
      <c r="A31" s="57">
        <v>26</v>
      </c>
      <c r="B31" s="266"/>
      <c r="C31" s="15" t="s">
        <v>65</v>
      </c>
      <c r="D31" s="25" t="s">
        <v>19</v>
      </c>
      <c r="E31" s="1">
        <f>Anchoveta!H48+'Sardina comun'!H48</f>
        <v>996.16800000000001</v>
      </c>
      <c r="F31" s="2">
        <f t="shared" si="0"/>
        <v>747.12599999999998</v>
      </c>
      <c r="G31" s="1">
        <f>Anchoveta!I48</f>
        <v>127.922</v>
      </c>
      <c r="H31" s="1">
        <f>'Sardina comun'!I48</f>
        <v>868.22</v>
      </c>
      <c r="I31" s="1">
        <f t="shared" si="1"/>
        <v>996.14200000000005</v>
      </c>
      <c r="J31" s="1">
        <f>Anchoveta!J48+'Sardina comun'!J48</f>
        <v>0</v>
      </c>
      <c r="K31" s="1">
        <f>Anchoveta!K48</f>
        <v>506.10199999999998</v>
      </c>
      <c r="L31" s="1">
        <f>'Sardina comun'!K48</f>
        <v>-506.07600000000002</v>
      </c>
      <c r="M31" s="1">
        <f t="shared" si="2"/>
        <v>2.5999999999953616E-2</v>
      </c>
      <c r="N31" s="39">
        <f t="shared" si="3"/>
        <v>-506.07600000000002</v>
      </c>
      <c r="O31" s="33">
        <f>Anchoveta!M48</f>
        <v>44264</v>
      </c>
      <c r="P31" s="6">
        <f t="shared" si="4"/>
        <v>0.99997389998474162</v>
      </c>
      <c r="Q31" s="3">
        <f t="shared" si="5"/>
        <v>-0.50802274315175755</v>
      </c>
    </row>
    <row r="32" spans="1:17">
      <c r="A32" s="57">
        <v>27</v>
      </c>
      <c r="B32" s="266"/>
      <c r="C32" s="15" t="s">
        <v>66</v>
      </c>
      <c r="D32" s="25" t="s">
        <v>19</v>
      </c>
      <c r="E32" s="1">
        <f>Anchoveta!H49+'Sardina comun'!H49</f>
        <v>5272.027</v>
      </c>
      <c r="F32" s="2">
        <f t="shared" si="0"/>
        <v>3954.02025</v>
      </c>
      <c r="G32" s="1">
        <f>Anchoveta!I49</f>
        <v>1267.92</v>
      </c>
      <c r="H32" s="1">
        <f>'Sardina comun'!I49</f>
        <v>3002.2939999999999</v>
      </c>
      <c r="I32" s="1">
        <f t="shared" si="1"/>
        <v>4270.2139999999999</v>
      </c>
      <c r="J32" s="1">
        <f>Anchoveta!J49+'Sardina comun'!J49</f>
        <v>0</v>
      </c>
      <c r="K32" s="1">
        <f>Anchoveta!K49</f>
        <v>681.66699999999992</v>
      </c>
      <c r="L32" s="1">
        <f>'Sardina comun'!K49</f>
        <v>320.14600000000019</v>
      </c>
      <c r="M32" s="1">
        <f t="shared" si="2"/>
        <v>1001.8130000000001</v>
      </c>
      <c r="N32" s="39" t="str">
        <f t="shared" si="3"/>
        <v>0</v>
      </c>
      <c r="O32" s="105" t="s">
        <v>496</v>
      </c>
      <c r="P32" s="6">
        <f t="shared" si="4"/>
        <v>0.80997574557186447</v>
      </c>
      <c r="Q32" s="3">
        <f t="shared" si="5"/>
        <v>0</v>
      </c>
    </row>
    <row r="33" spans="1:17">
      <c r="A33" s="57">
        <v>28</v>
      </c>
      <c r="B33" s="266"/>
      <c r="C33" s="15" t="s">
        <v>172</v>
      </c>
      <c r="D33" s="25" t="s">
        <v>19</v>
      </c>
      <c r="E33" s="1">
        <f>Anchoveta!H50+'Sardina comun'!H50</f>
        <v>3.9810000000000016</v>
      </c>
      <c r="F33" s="2">
        <f t="shared" si="0"/>
        <v>2.9857500000000012</v>
      </c>
      <c r="G33" s="1">
        <f>Anchoveta!I50</f>
        <v>0</v>
      </c>
      <c r="H33" s="1">
        <f>'Sardina comun'!I50</f>
        <v>0</v>
      </c>
      <c r="I33" s="1">
        <f t="shared" si="1"/>
        <v>0</v>
      </c>
      <c r="J33" s="1">
        <f>Anchoveta!J50+'Sardina comun'!J50</f>
        <v>0</v>
      </c>
      <c r="K33" s="1">
        <f>Anchoveta!K50</f>
        <v>2.2000000000000242E-2</v>
      </c>
      <c r="L33" s="1">
        <f>'Sardina comun'!K50</f>
        <v>3.9590000000000014</v>
      </c>
      <c r="M33" s="1">
        <f t="shared" si="2"/>
        <v>3.9810000000000016</v>
      </c>
      <c r="N33" s="39" t="str">
        <f t="shared" si="3"/>
        <v>0</v>
      </c>
      <c r="O33" s="33">
        <f>Anchoveta!M50</f>
        <v>44491</v>
      </c>
      <c r="P33" s="6">
        <f t="shared" si="4"/>
        <v>0</v>
      </c>
      <c r="Q33" s="3">
        <f t="shared" si="5"/>
        <v>0</v>
      </c>
    </row>
    <row r="34" spans="1:17">
      <c r="A34" s="57">
        <v>29</v>
      </c>
      <c r="B34" s="266"/>
      <c r="C34" s="15" t="s">
        <v>67</v>
      </c>
      <c r="D34" s="25" t="s">
        <v>19</v>
      </c>
      <c r="E34" s="1">
        <f>Anchoveta!H51+'Sardina comun'!H51</f>
        <v>3660.502</v>
      </c>
      <c r="F34" s="2">
        <f t="shared" si="0"/>
        <v>2745.3764999999999</v>
      </c>
      <c r="G34" s="1">
        <f>Anchoveta!I51</f>
        <v>1792.127</v>
      </c>
      <c r="H34" s="1">
        <f>'Sardina comun'!I51</f>
        <v>1602.338</v>
      </c>
      <c r="I34" s="1">
        <f t="shared" si="1"/>
        <v>3394.4650000000001</v>
      </c>
      <c r="J34" s="1">
        <f>Anchoveta!J51+'Sardina comun'!J51</f>
        <v>0</v>
      </c>
      <c r="K34" s="1">
        <f>Anchoveta!K51</f>
        <v>-251.22499999999991</v>
      </c>
      <c r="L34" s="1">
        <f>'Sardina comun'!K51</f>
        <v>517.26199999999994</v>
      </c>
      <c r="M34" s="1">
        <f t="shared" si="2"/>
        <v>266.03700000000003</v>
      </c>
      <c r="N34" s="39">
        <f t="shared" si="3"/>
        <v>-251.22499999999991</v>
      </c>
      <c r="O34" s="105" t="s">
        <v>496</v>
      </c>
      <c r="P34" s="6">
        <f t="shared" si="4"/>
        <v>0.92732226344911173</v>
      </c>
      <c r="Q34" s="3">
        <f t="shared" si="5"/>
        <v>-6.8631297018824172E-2</v>
      </c>
    </row>
    <row r="35" spans="1:17">
      <c r="A35" s="57">
        <v>30</v>
      </c>
      <c r="B35" s="266"/>
      <c r="C35" s="15" t="s">
        <v>68</v>
      </c>
      <c r="D35" s="25" t="s">
        <v>19</v>
      </c>
      <c r="E35" s="1">
        <f>Anchoveta!H52+'Sardina comun'!H52</f>
        <v>0.19200000000000728</v>
      </c>
      <c r="F35" s="2">
        <f t="shared" si="0"/>
        <v>0.14400000000000546</v>
      </c>
      <c r="G35" s="1">
        <f>Anchoveta!I52</f>
        <v>0</v>
      </c>
      <c r="H35" s="1">
        <f>'Sardina comun'!I52</f>
        <v>0</v>
      </c>
      <c r="I35" s="1">
        <f t="shared" si="1"/>
        <v>0</v>
      </c>
      <c r="J35" s="1">
        <f>Anchoveta!J52+'Sardina comun'!J52</f>
        <v>0</v>
      </c>
      <c r="K35" s="1">
        <f>Anchoveta!K52</f>
        <v>9.3000000000003524E-2</v>
      </c>
      <c r="L35" s="1">
        <f>'Sardina comun'!K52</f>
        <v>9.9000000000003752E-2</v>
      </c>
      <c r="M35" s="1">
        <f t="shared" si="2"/>
        <v>0.19200000000000728</v>
      </c>
      <c r="N35" s="39" t="str">
        <f t="shared" si="3"/>
        <v>0</v>
      </c>
      <c r="O35" s="33">
        <f>Anchoveta!M52</f>
        <v>44491</v>
      </c>
      <c r="P35" s="6">
        <f t="shared" si="4"/>
        <v>0</v>
      </c>
      <c r="Q35" s="3">
        <f t="shared" si="5"/>
        <v>0</v>
      </c>
    </row>
    <row r="36" spans="1:17">
      <c r="A36" s="57">
        <v>31</v>
      </c>
      <c r="B36" s="266"/>
      <c r="C36" s="15" t="s">
        <v>69</v>
      </c>
      <c r="D36" s="25" t="s">
        <v>19</v>
      </c>
      <c r="E36" s="1">
        <f>Anchoveta!H53+'Sardina comun'!H53</f>
        <v>7670.4709999999995</v>
      </c>
      <c r="F36" s="2">
        <f t="shared" si="0"/>
        <v>5752.8532500000001</v>
      </c>
      <c r="G36" s="1">
        <f>Anchoveta!I53</f>
        <v>2429.8139999999999</v>
      </c>
      <c r="H36" s="1">
        <f>'Sardina comun'!I53</f>
        <v>3596.962</v>
      </c>
      <c r="I36" s="1">
        <f t="shared" si="1"/>
        <v>6026.7759999999998</v>
      </c>
      <c r="J36" s="1">
        <f>Anchoveta!J53+'Sardina comun'!J53</f>
        <v>0</v>
      </c>
      <c r="K36" s="1">
        <f>Anchoveta!K53</f>
        <v>430.01099999999997</v>
      </c>
      <c r="L36" s="1">
        <f>'Sardina comun'!K53</f>
        <v>1213.6839999999997</v>
      </c>
      <c r="M36" s="1">
        <f t="shared" si="2"/>
        <v>1643.6949999999997</v>
      </c>
      <c r="N36" s="39" t="str">
        <f t="shared" si="3"/>
        <v>0</v>
      </c>
      <c r="O36" s="105" t="s">
        <v>496</v>
      </c>
      <c r="P36" s="6">
        <f t="shared" si="4"/>
        <v>0.78571133376294622</v>
      </c>
      <c r="Q36" s="3">
        <f t="shared" si="5"/>
        <v>0</v>
      </c>
    </row>
    <row r="37" spans="1:17">
      <c r="A37" s="57">
        <v>32</v>
      </c>
      <c r="B37" s="266"/>
      <c r="C37" s="15" t="s">
        <v>70</v>
      </c>
      <c r="D37" s="25" t="s">
        <v>19</v>
      </c>
      <c r="E37" s="1">
        <f>Anchoveta!H54+'Sardina comun'!H54</f>
        <v>6184.7469999999994</v>
      </c>
      <c r="F37" s="2">
        <f t="shared" si="0"/>
        <v>4638.5602499999995</v>
      </c>
      <c r="G37" s="1">
        <f>Anchoveta!I54</f>
        <v>2042.4110000000001</v>
      </c>
      <c r="H37" s="1">
        <f>'Sardina comun'!I54</f>
        <v>2974.6559999999999</v>
      </c>
      <c r="I37" s="1">
        <f t="shared" si="1"/>
        <v>5017.067</v>
      </c>
      <c r="J37" s="1">
        <f>Anchoveta!J54+'Sardina comun'!J54</f>
        <v>0</v>
      </c>
      <c r="K37" s="1">
        <f>Anchoveta!K54</f>
        <v>392.61699999999973</v>
      </c>
      <c r="L37" s="1">
        <f>'Sardina comun'!K54</f>
        <v>775.0630000000001</v>
      </c>
      <c r="M37" s="1">
        <f t="shared" si="2"/>
        <v>1167.6799999999998</v>
      </c>
      <c r="N37" s="39" t="str">
        <f t="shared" si="3"/>
        <v>0</v>
      </c>
      <c r="O37" s="105" t="s">
        <v>496</v>
      </c>
      <c r="P37" s="6">
        <f t="shared" si="4"/>
        <v>0.81120003777034055</v>
      </c>
      <c r="Q37" s="3">
        <f t="shared" si="5"/>
        <v>0</v>
      </c>
    </row>
    <row r="38" spans="1:17">
      <c r="A38" s="57">
        <v>33</v>
      </c>
      <c r="B38" s="266"/>
      <c r="C38" s="15" t="s">
        <v>71</v>
      </c>
      <c r="D38" s="25" t="s">
        <v>19</v>
      </c>
      <c r="E38" s="1">
        <f>Anchoveta!H55+'Sardina comun'!H55</f>
        <v>0.03</v>
      </c>
      <c r="F38" s="2">
        <f t="shared" si="0"/>
        <v>2.2499999999999999E-2</v>
      </c>
      <c r="G38" s="1">
        <f>Anchoveta!I55</f>
        <v>0</v>
      </c>
      <c r="H38" s="1">
        <f>'Sardina comun'!I55</f>
        <v>0</v>
      </c>
      <c r="I38" s="1">
        <f t="shared" si="1"/>
        <v>0</v>
      </c>
      <c r="J38" s="1">
        <f>Anchoveta!J55+'Sardina comun'!J55</f>
        <v>0</v>
      </c>
      <c r="K38" s="1">
        <f>Anchoveta!K55</f>
        <v>1.2E-2</v>
      </c>
      <c r="L38" s="1">
        <f>'Sardina comun'!K55</f>
        <v>1.7999999999999999E-2</v>
      </c>
      <c r="M38" s="1">
        <f t="shared" si="2"/>
        <v>0.03</v>
      </c>
      <c r="N38" s="39" t="str">
        <f t="shared" si="3"/>
        <v>0</v>
      </c>
      <c r="O38" s="33">
        <f>Anchoveta!M55</f>
        <v>44491</v>
      </c>
      <c r="P38" s="6">
        <f t="shared" si="4"/>
        <v>0</v>
      </c>
      <c r="Q38" s="3">
        <f t="shared" si="5"/>
        <v>0</v>
      </c>
    </row>
    <row r="39" spans="1:17">
      <c r="A39" s="57">
        <v>34</v>
      </c>
      <c r="B39" s="266"/>
      <c r="C39" s="15" t="s">
        <v>72</v>
      </c>
      <c r="D39" s="25" t="s">
        <v>19</v>
      </c>
      <c r="E39" s="1">
        <f>Anchoveta!H56+'Sardina comun'!H56</f>
        <v>1214.3710000000001</v>
      </c>
      <c r="F39" s="2">
        <f t="shared" si="0"/>
        <v>910.77825000000007</v>
      </c>
      <c r="G39" s="1">
        <f>Anchoveta!I56</f>
        <v>105.92100000000001</v>
      </c>
      <c r="H39" s="1">
        <f>'Sardina comun'!I56</f>
        <v>610.24</v>
      </c>
      <c r="I39" s="1">
        <f t="shared" si="1"/>
        <v>716.16100000000006</v>
      </c>
      <c r="J39" s="1">
        <f>Anchoveta!J56+'Sardina comun'!J56</f>
        <v>0</v>
      </c>
      <c r="K39" s="1">
        <f>Anchoveta!K56</f>
        <v>103.24999999999999</v>
      </c>
      <c r="L39" s="1">
        <f>'Sardina comun'!K56</f>
        <v>394.96000000000004</v>
      </c>
      <c r="M39" s="1">
        <f t="shared" si="2"/>
        <v>498.21000000000004</v>
      </c>
      <c r="N39" s="39" t="str">
        <f t="shared" si="3"/>
        <v>0</v>
      </c>
      <c r="O39" s="105" t="s">
        <v>496</v>
      </c>
      <c r="P39" s="6">
        <f t="shared" si="4"/>
        <v>0.58973822662102438</v>
      </c>
      <c r="Q39" s="3">
        <f t="shared" si="5"/>
        <v>0</v>
      </c>
    </row>
    <row r="40" spans="1:17">
      <c r="A40" s="57">
        <v>35</v>
      </c>
      <c r="B40" s="266"/>
      <c r="C40" s="15" t="s">
        <v>73</v>
      </c>
      <c r="D40" s="25" t="s">
        <v>19</v>
      </c>
      <c r="E40" s="1">
        <f>Anchoveta!H57+'Sardina comun'!H57</f>
        <v>2687.1099999999997</v>
      </c>
      <c r="F40" s="2">
        <f t="shared" si="0"/>
        <v>2015.3324999999998</v>
      </c>
      <c r="G40" s="1">
        <f>Anchoveta!I57</f>
        <v>655.12300000000005</v>
      </c>
      <c r="H40" s="1">
        <f>'Sardina comun'!I57</f>
        <v>1854.4169999999999</v>
      </c>
      <c r="I40" s="1">
        <f t="shared" si="1"/>
        <v>2509.54</v>
      </c>
      <c r="J40" s="1">
        <f>Anchoveta!J57+'Sardina comun'!J57</f>
        <v>0</v>
      </c>
      <c r="K40" s="1">
        <f>Anchoveta!K57</f>
        <v>96.4849999999999</v>
      </c>
      <c r="L40" s="1">
        <f>'Sardina comun'!K57</f>
        <v>81.085000000000036</v>
      </c>
      <c r="M40" s="1">
        <f t="shared" si="2"/>
        <v>177.56999999999994</v>
      </c>
      <c r="N40" s="39" t="str">
        <f t="shared" si="3"/>
        <v>0</v>
      </c>
      <c r="O40" s="105" t="s">
        <v>496</v>
      </c>
      <c r="P40" s="6">
        <f t="shared" si="4"/>
        <v>0.93391785226507296</v>
      </c>
      <c r="Q40" s="3">
        <f t="shared" si="5"/>
        <v>0</v>
      </c>
    </row>
    <row r="41" spans="1:17">
      <c r="A41" s="57">
        <v>36</v>
      </c>
      <c r="B41" s="266"/>
      <c r="C41" s="15" t="s">
        <v>74</v>
      </c>
      <c r="D41" s="25" t="s">
        <v>19</v>
      </c>
      <c r="E41" s="1">
        <f>Anchoveta!H58+'Sardina comun'!H58</f>
        <v>449.75900000000001</v>
      </c>
      <c r="F41" s="2">
        <f t="shared" si="0"/>
        <v>337.31925000000001</v>
      </c>
      <c r="G41" s="1">
        <f>Anchoveta!I58</f>
        <v>374.67099999999999</v>
      </c>
      <c r="H41" s="1">
        <f>'Sardina comun'!I58</f>
        <v>75.021000000000001</v>
      </c>
      <c r="I41" s="1">
        <f t="shared" si="1"/>
        <v>449.69200000000001</v>
      </c>
      <c r="J41" s="1">
        <f>Anchoveta!J58+'Sardina comun'!J58</f>
        <v>0</v>
      </c>
      <c r="K41" s="1">
        <f>Anchoveta!K58</f>
        <v>-143.05399999999997</v>
      </c>
      <c r="L41" s="1">
        <f>'Sardina comun'!K58</f>
        <v>143.12099999999998</v>
      </c>
      <c r="M41" s="1">
        <f t="shared" si="2"/>
        <v>6.7000000000007276E-2</v>
      </c>
      <c r="N41" s="39">
        <f t="shared" si="3"/>
        <v>-143.05399999999997</v>
      </c>
      <c r="O41" s="33">
        <f>Anchoveta!M58</f>
        <v>44491</v>
      </c>
      <c r="P41" s="6">
        <f t="shared" si="4"/>
        <v>0.99985103133011233</v>
      </c>
      <c r="Q41" s="3">
        <f t="shared" si="5"/>
        <v>-0.31806812092698528</v>
      </c>
    </row>
    <row r="42" spans="1:17">
      <c r="A42" s="57">
        <v>37</v>
      </c>
      <c r="B42" s="266"/>
      <c r="C42" s="15" t="s">
        <v>75</v>
      </c>
      <c r="D42" s="25" t="s">
        <v>19</v>
      </c>
      <c r="E42" s="1">
        <f>Anchoveta!H59+'Sardina comun'!H59</f>
        <v>10095.703</v>
      </c>
      <c r="F42" s="2">
        <f t="shared" si="0"/>
        <v>7571.7772499999992</v>
      </c>
      <c r="G42" s="1">
        <f>Anchoveta!I59</f>
        <v>2616.8339999999998</v>
      </c>
      <c r="H42" s="1">
        <f>'Sardina comun'!I59</f>
        <v>5155.08</v>
      </c>
      <c r="I42" s="1">
        <f t="shared" si="1"/>
        <v>7771.9139999999998</v>
      </c>
      <c r="J42" s="1">
        <f>Anchoveta!J59+'Sardina comun'!J59</f>
        <v>0</v>
      </c>
      <c r="K42" s="1">
        <f>Anchoveta!K59</f>
        <v>465.52100000000019</v>
      </c>
      <c r="L42" s="1">
        <f>'Sardina comun'!K59</f>
        <v>1858.268</v>
      </c>
      <c r="M42" s="1">
        <f t="shared" si="2"/>
        <v>2323.7890000000002</v>
      </c>
      <c r="N42" s="39" t="str">
        <f t="shared" si="3"/>
        <v>0</v>
      </c>
      <c r="O42" s="105" t="s">
        <v>496</v>
      </c>
      <c r="P42" s="6">
        <f t="shared" si="4"/>
        <v>0.76982395381480617</v>
      </c>
      <c r="Q42" s="3">
        <f t="shared" si="5"/>
        <v>0</v>
      </c>
    </row>
    <row r="43" spans="1:17">
      <c r="A43" s="57">
        <v>38</v>
      </c>
      <c r="B43" s="266"/>
      <c r="C43" s="15" t="s">
        <v>76</v>
      </c>
      <c r="D43" s="25" t="s">
        <v>19</v>
      </c>
      <c r="E43" s="1">
        <f>Anchoveta!H60+'Sardina comun'!H60</f>
        <v>1856.203</v>
      </c>
      <c r="F43" s="2">
        <f t="shared" si="0"/>
        <v>1392.1522500000001</v>
      </c>
      <c r="G43" s="1">
        <f>Anchoveta!I60</f>
        <v>268.47000000000003</v>
      </c>
      <c r="H43" s="1">
        <f>'Sardina comun'!I60</f>
        <v>1587.328</v>
      </c>
      <c r="I43" s="1">
        <f t="shared" si="1"/>
        <v>1855.798</v>
      </c>
      <c r="J43" s="1">
        <f>Anchoveta!J60+'Sardina comun'!J60</f>
        <v>0</v>
      </c>
      <c r="K43" s="1">
        <f>Anchoveta!K60</f>
        <v>-0.65300000000002001</v>
      </c>
      <c r="L43" s="1">
        <f>'Sardina comun'!K60</f>
        <v>1.0579999999999927</v>
      </c>
      <c r="M43" s="1">
        <f t="shared" si="2"/>
        <v>0.40499999999997272</v>
      </c>
      <c r="N43" s="39">
        <f t="shared" si="3"/>
        <v>-0.65300000000002001</v>
      </c>
      <c r="O43" s="33" t="s">
        <v>496</v>
      </c>
      <c r="P43" s="6">
        <f t="shared" si="4"/>
        <v>0.99978181265734412</v>
      </c>
      <c r="Q43" s="3">
        <f t="shared" si="5"/>
        <v>-3.5179341914651577E-4</v>
      </c>
    </row>
    <row r="44" spans="1:17">
      <c r="A44" s="57">
        <v>39</v>
      </c>
      <c r="B44" s="266"/>
      <c r="C44" s="15" t="s">
        <v>77</v>
      </c>
      <c r="D44" s="25" t="s">
        <v>19</v>
      </c>
      <c r="E44" s="1">
        <f>Anchoveta!H61+'Sardina comun'!H61</f>
        <v>1662.6759999999999</v>
      </c>
      <c r="F44" s="2">
        <f t="shared" si="0"/>
        <v>1247.0070000000001</v>
      </c>
      <c r="G44" s="1">
        <f>Anchoveta!I61</f>
        <v>206.93199999999999</v>
      </c>
      <c r="H44" s="1">
        <f>'Sardina comun'!I61</f>
        <v>1046.595</v>
      </c>
      <c r="I44" s="1">
        <f t="shared" si="1"/>
        <v>1253.527</v>
      </c>
      <c r="J44" s="1">
        <f>Anchoveta!J61+'Sardina comun'!J61</f>
        <v>0</v>
      </c>
      <c r="K44" s="1">
        <f>Anchoveta!K61</f>
        <v>407.923</v>
      </c>
      <c r="L44" s="1">
        <f>'Sardina comun'!K61</f>
        <v>1.2259999999998854</v>
      </c>
      <c r="M44" s="1">
        <f t="shared" si="2"/>
        <v>409.14899999999989</v>
      </c>
      <c r="N44" s="39" t="str">
        <f t="shared" si="3"/>
        <v>0</v>
      </c>
      <c r="O44" s="105" t="s">
        <v>496</v>
      </c>
      <c r="P44" s="6">
        <f t="shared" si="4"/>
        <v>0.75392138937471886</v>
      </c>
      <c r="Q44" s="3">
        <f t="shared" si="5"/>
        <v>0</v>
      </c>
    </row>
    <row r="45" spans="1:17">
      <c r="A45" s="57">
        <v>40</v>
      </c>
      <c r="B45" s="266"/>
      <c r="C45" s="15" t="s">
        <v>78</v>
      </c>
      <c r="D45" s="25" t="s">
        <v>19</v>
      </c>
      <c r="E45" s="1">
        <f>Anchoveta!H62+'Sardina comun'!H62</f>
        <v>4002.4409999999998</v>
      </c>
      <c r="F45" s="2">
        <f t="shared" si="0"/>
        <v>3001.8307500000001</v>
      </c>
      <c r="G45" s="1">
        <f>Anchoveta!I62</f>
        <v>1016.586</v>
      </c>
      <c r="H45" s="1">
        <f>'Sardina comun'!I62</f>
        <v>1773.441</v>
      </c>
      <c r="I45" s="1">
        <f t="shared" si="1"/>
        <v>2790.027</v>
      </c>
      <c r="J45" s="1">
        <f>Anchoveta!J62+'Sardina comun'!J62</f>
        <v>0</v>
      </c>
      <c r="K45" s="1">
        <f>Anchoveta!K62</f>
        <v>307.26800000000003</v>
      </c>
      <c r="L45" s="1">
        <f>'Sardina comun'!K62</f>
        <v>905.14599999999996</v>
      </c>
      <c r="M45" s="1">
        <f t="shared" si="2"/>
        <v>1212.414</v>
      </c>
      <c r="N45" s="39" t="str">
        <f t="shared" si="3"/>
        <v>0</v>
      </c>
      <c r="O45" s="105" t="s">
        <v>496</v>
      </c>
      <c r="P45" s="6">
        <f t="shared" si="4"/>
        <v>0.69708135610243849</v>
      </c>
      <c r="Q45" s="3">
        <f t="shared" si="5"/>
        <v>0</v>
      </c>
    </row>
    <row r="46" spans="1:17">
      <c r="A46" s="57">
        <v>41</v>
      </c>
      <c r="B46" s="266"/>
      <c r="C46" s="15" t="s">
        <v>79</v>
      </c>
      <c r="D46" s="25" t="s">
        <v>19</v>
      </c>
      <c r="E46" s="1">
        <f>Anchoveta!H63+'Sardina comun'!H63</f>
        <v>117.004</v>
      </c>
      <c r="F46" s="2">
        <f t="shared" si="0"/>
        <v>87.753</v>
      </c>
      <c r="G46" s="1">
        <f>Anchoveta!I63</f>
        <v>4.0519999999999996</v>
      </c>
      <c r="H46" s="1">
        <f>'Sardina comun'!I63</f>
        <v>55.960999999999999</v>
      </c>
      <c r="I46" s="1">
        <f t="shared" si="1"/>
        <v>60.012999999999998</v>
      </c>
      <c r="J46" s="1">
        <f>Anchoveta!J63+'Sardina comun'!J63</f>
        <v>0</v>
      </c>
      <c r="K46" s="1">
        <f>Anchoveta!K63</f>
        <v>3.8000000000003809E-2</v>
      </c>
      <c r="L46" s="1">
        <f>'Sardina comun'!K63</f>
        <v>56.953000000000003</v>
      </c>
      <c r="M46" s="1">
        <f t="shared" si="2"/>
        <v>56.991000000000007</v>
      </c>
      <c r="N46" s="39" t="str">
        <f t="shared" si="3"/>
        <v>0</v>
      </c>
      <c r="O46" s="105" t="s">
        <v>496</v>
      </c>
      <c r="P46" s="6">
        <f t="shared" si="4"/>
        <v>0.51291408840723385</v>
      </c>
      <c r="Q46" s="3">
        <f t="shared" si="5"/>
        <v>0</v>
      </c>
    </row>
    <row r="47" spans="1:17">
      <c r="A47" s="57">
        <v>42</v>
      </c>
      <c r="B47" s="266"/>
      <c r="C47" s="15" t="s">
        <v>80</v>
      </c>
      <c r="D47" s="25" t="s">
        <v>19</v>
      </c>
      <c r="E47" s="1">
        <f>Anchoveta!H64+'Sardina comun'!H64</f>
        <v>2397.9960000000001</v>
      </c>
      <c r="F47" s="2">
        <f t="shared" si="0"/>
        <v>1798.4970000000001</v>
      </c>
      <c r="G47" s="1">
        <f>Anchoveta!I64</f>
        <v>1003.51</v>
      </c>
      <c r="H47" s="1">
        <f>'Sardina comun'!I64</f>
        <v>939.28200000000004</v>
      </c>
      <c r="I47" s="1">
        <f t="shared" si="1"/>
        <v>1942.7919999999999</v>
      </c>
      <c r="J47" s="1">
        <f>Anchoveta!J64+'Sardina comun'!J64</f>
        <v>0</v>
      </c>
      <c r="K47" s="1">
        <f>Anchoveta!K64</f>
        <v>-116.73500000000001</v>
      </c>
      <c r="L47" s="1">
        <f>'Sardina comun'!K64</f>
        <v>571.93899999999996</v>
      </c>
      <c r="M47" s="1">
        <f t="shared" si="2"/>
        <v>455.20399999999995</v>
      </c>
      <c r="N47" s="39">
        <f t="shared" si="3"/>
        <v>-116.73500000000001</v>
      </c>
      <c r="O47" s="105" t="s">
        <v>496</v>
      </c>
      <c r="P47" s="6">
        <f t="shared" si="4"/>
        <v>0.81017316125631567</v>
      </c>
      <c r="Q47" s="3">
        <f t="shared" si="5"/>
        <v>-4.8680231326490957E-2</v>
      </c>
    </row>
    <row r="48" spans="1:17">
      <c r="A48" s="57">
        <v>43</v>
      </c>
      <c r="B48" s="266"/>
      <c r="C48" s="15" t="s">
        <v>81</v>
      </c>
      <c r="D48" s="25" t="s">
        <v>19</v>
      </c>
      <c r="E48" s="1">
        <f>Anchoveta!H65+'Sardina comun'!H65</f>
        <v>5075.4870000000001</v>
      </c>
      <c r="F48" s="2">
        <f t="shared" si="0"/>
        <v>3806.6152499999998</v>
      </c>
      <c r="G48" s="1">
        <f>Anchoveta!I65</f>
        <v>2176.2109999999998</v>
      </c>
      <c r="H48" s="1">
        <f>'Sardina comun'!I65</f>
        <v>1652.912</v>
      </c>
      <c r="I48" s="1">
        <f t="shared" si="1"/>
        <v>3829.1229999999996</v>
      </c>
      <c r="J48" s="1">
        <f>Anchoveta!J65+'Sardina comun'!J65</f>
        <v>0</v>
      </c>
      <c r="K48" s="1">
        <f>Anchoveta!K65</f>
        <v>-299.30499999999984</v>
      </c>
      <c r="L48" s="1">
        <f>'Sardina comun'!K65</f>
        <v>1545.6690000000001</v>
      </c>
      <c r="M48" s="1">
        <f t="shared" si="2"/>
        <v>1246.3640000000003</v>
      </c>
      <c r="N48" s="39">
        <f t="shared" si="3"/>
        <v>-299.30499999999984</v>
      </c>
      <c r="O48" s="105" t="s">
        <v>496</v>
      </c>
      <c r="P48" s="6">
        <f t="shared" si="4"/>
        <v>0.75443459908379229</v>
      </c>
      <c r="Q48" s="3">
        <f t="shared" si="5"/>
        <v>-5.8970695816972798E-2</v>
      </c>
    </row>
    <row r="49" spans="1:17">
      <c r="A49" s="57">
        <v>44</v>
      </c>
      <c r="B49" s="266"/>
      <c r="C49" s="15" t="s">
        <v>82</v>
      </c>
      <c r="D49" s="25" t="s">
        <v>19</v>
      </c>
      <c r="E49" s="1">
        <f>Anchoveta!H66+'Sardina comun'!H66</f>
        <v>3112.5749999999998</v>
      </c>
      <c r="F49" s="2">
        <f t="shared" si="0"/>
        <v>2334.4312499999996</v>
      </c>
      <c r="G49" s="1">
        <f>Anchoveta!I66</f>
        <v>456.32400000000001</v>
      </c>
      <c r="H49" s="1">
        <f>'Sardina comun'!I66</f>
        <v>1720.49</v>
      </c>
      <c r="I49" s="1">
        <f t="shared" si="1"/>
        <v>2176.8139999999999</v>
      </c>
      <c r="J49" s="1">
        <f>Anchoveta!J66+'Sardina comun'!J66</f>
        <v>0</v>
      </c>
      <c r="K49" s="1">
        <f>Anchoveta!K66</f>
        <v>512.24700000000007</v>
      </c>
      <c r="L49" s="1">
        <f>'Sardina comun'!K66</f>
        <v>423.5139999999999</v>
      </c>
      <c r="M49" s="1">
        <f t="shared" si="2"/>
        <v>935.76099999999997</v>
      </c>
      <c r="N49" s="39" t="str">
        <f t="shared" si="3"/>
        <v>0</v>
      </c>
      <c r="O49" s="33" t="s">
        <v>496</v>
      </c>
      <c r="P49" s="6">
        <f t="shared" si="4"/>
        <v>0.69936113989221138</v>
      </c>
      <c r="Q49" s="3">
        <f t="shared" si="5"/>
        <v>0</v>
      </c>
    </row>
    <row r="50" spans="1:17">
      <c r="A50" s="57">
        <v>45</v>
      </c>
      <c r="B50" s="266"/>
      <c r="C50" s="15" t="s">
        <v>83</v>
      </c>
      <c r="D50" s="25" t="s">
        <v>19</v>
      </c>
      <c r="E50" s="1">
        <f>Anchoveta!H67+'Sardina comun'!H67</f>
        <v>1.0119999999997162</v>
      </c>
      <c r="F50" s="2">
        <f t="shared" si="0"/>
        <v>0.75899999999978718</v>
      </c>
      <c r="G50" s="1">
        <f>Anchoveta!I67</f>
        <v>0</v>
      </c>
      <c r="H50" s="1">
        <f>'Sardina comun'!I67</f>
        <v>0</v>
      </c>
      <c r="I50" s="1">
        <f t="shared" si="1"/>
        <v>0</v>
      </c>
      <c r="J50" s="1">
        <f>Anchoveta!J67+'Sardina comun'!J67</f>
        <v>0</v>
      </c>
      <c r="K50" s="1">
        <f>Anchoveta!K67</f>
        <v>0.42599999999993088</v>
      </c>
      <c r="L50" s="1">
        <f>'Sardina comun'!K67</f>
        <v>0.58599999999978536</v>
      </c>
      <c r="M50" s="1">
        <f t="shared" si="2"/>
        <v>1.0119999999997162</v>
      </c>
      <c r="N50" s="39" t="str">
        <f t="shared" si="3"/>
        <v>0</v>
      </c>
      <c r="O50" s="33">
        <f>Anchoveta!M67</f>
        <v>44282</v>
      </c>
      <c r="P50" s="6">
        <f t="shared" si="4"/>
        <v>0</v>
      </c>
      <c r="Q50" s="3">
        <f t="shared" si="5"/>
        <v>0</v>
      </c>
    </row>
    <row r="51" spans="1:17">
      <c r="A51" s="57">
        <v>46</v>
      </c>
      <c r="B51" s="266"/>
      <c r="C51" s="15" t="s">
        <v>84</v>
      </c>
      <c r="D51" s="25" t="s">
        <v>19</v>
      </c>
      <c r="E51" s="1">
        <f>Anchoveta!H68+'Sardina comun'!H68</f>
        <v>38.817999999999998</v>
      </c>
      <c r="F51" s="2">
        <f t="shared" si="0"/>
        <v>29.113499999999998</v>
      </c>
      <c r="G51" s="1">
        <f>Anchoveta!I68</f>
        <v>0</v>
      </c>
      <c r="H51" s="1">
        <f>'Sardina comun'!I68</f>
        <v>0</v>
      </c>
      <c r="I51" s="1">
        <f t="shared" si="1"/>
        <v>0</v>
      </c>
      <c r="J51" s="1">
        <f>Anchoveta!J68+'Sardina comun'!J68</f>
        <v>0</v>
      </c>
      <c r="K51" s="1">
        <f>Anchoveta!K68</f>
        <v>14.355</v>
      </c>
      <c r="L51" s="1">
        <f>'Sardina comun'!K68</f>
        <v>24.463000000000001</v>
      </c>
      <c r="M51" s="1">
        <f t="shared" si="2"/>
        <v>38.817999999999998</v>
      </c>
      <c r="N51" s="39" t="str">
        <f t="shared" si="3"/>
        <v>0</v>
      </c>
      <c r="O51" s="105" t="s">
        <v>496</v>
      </c>
      <c r="P51" s="6">
        <f t="shared" si="4"/>
        <v>0</v>
      </c>
      <c r="Q51" s="3">
        <f t="shared" si="5"/>
        <v>0</v>
      </c>
    </row>
    <row r="52" spans="1:17">
      <c r="A52" s="57">
        <v>47</v>
      </c>
      <c r="B52" s="266"/>
      <c r="C52" s="15" t="s">
        <v>85</v>
      </c>
      <c r="D52" s="25" t="s">
        <v>19</v>
      </c>
      <c r="E52" s="1">
        <f>Anchoveta!H69+'Sardina comun'!H69</f>
        <v>8120.3779999999997</v>
      </c>
      <c r="F52" s="2">
        <f t="shared" si="0"/>
        <v>6090.2834999999995</v>
      </c>
      <c r="G52" s="1">
        <f>Anchoveta!I69</f>
        <v>3489.768</v>
      </c>
      <c r="H52" s="1">
        <f>'Sardina comun'!I69</f>
        <v>3421.701</v>
      </c>
      <c r="I52" s="1">
        <f t="shared" si="1"/>
        <v>6911.4690000000001</v>
      </c>
      <c r="J52" s="1">
        <f>Anchoveta!J69+'Sardina comun'!J69</f>
        <v>0</v>
      </c>
      <c r="K52" s="1">
        <f>Anchoveta!K69</f>
        <v>-350.51900000000023</v>
      </c>
      <c r="L52" s="1">
        <f>'Sardina comun'!K69</f>
        <v>1559.4279999999999</v>
      </c>
      <c r="M52" s="1">
        <f t="shared" si="2"/>
        <v>1208.9089999999997</v>
      </c>
      <c r="N52" s="39">
        <f t="shared" si="3"/>
        <v>-350.51900000000023</v>
      </c>
      <c r="O52" s="105" t="s">
        <v>496</v>
      </c>
      <c r="P52" s="6">
        <f t="shared" si="4"/>
        <v>0.85112651159835173</v>
      </c>
      <c r="Q52" s="3">
        <f t="shared" si="5"/>
        <v>-4.3165355110316321E-2</v>
      </c>
    </row>
    <row r="53" spans="1:17">
      <c r="A53" s="57">
        <v>48</v>
      </c>
      <c r="B53" s="266"/>
      <c r="C53" s="15" t="s">
        <v>285</v>
      </c>
      <c r="D53" s="25" t="s">
        <v>19</v>
      </c>
      <c r="E53" s="1">
        <f>Anchoveta!H70+'Sardina comun'!H70</f>
        <v>843.52499999999998</v>
      </c>
      <c r="F53" s="2">
        <f t="shared" si="0"/>
        <v>632.64374999999995</v>
      </c>
      <c r="G53" s="1">
        <f>Anchoveta!I70</f>
        <v>335.98399999999998</v>
      </c>
      <c r="H53" s="1">
        <f>'Sardina comun'!I70</f>
        <v>339.43099999999998</v>
      </c>
      <c r="I53" s="1">
        <f t="shared" si="1"/>
        <v>675.41499999999996</v>
      </c>
      <c r="J53" s="1">
        <f>Anchoveta!J70+'Sardina comun'!J70</f>
        <v>0</v>
      </c>
      <c r="K53" s="1">
        <f>Anchoveta!K70</f>
        <v>85.605000000000018</v>
      </c>
      <c r="L53" s="1">
        <f>'Sardina comun'!K70</f>
        <v>82.504999999999995</v>
      </c>
      <c r="M53" s="1">
        <f t="shared" si="2"/>
        <v>168.11</v>
      </c>
      <c r="N53" s="39" t="str">
        <f t="shared" si="3"/>
        <v>0</v>
      </c>
      <c r="O53" s="33" t="s">
        <v>496</v>
      </c>
      <c r="P53" s="6">
        <f t="shared" si="4"/>
        <v>0.80070537328472779</v>
      </c>
      <c r="Q53" s="3">
        <f t="shared" si="5"/>
        <v>0</v>
      </c>
    </row>
    <row r="54" spans="1:17">
      <c r="A54" s="57">
        <v>49</v>
      </c>
      <c r="B54" s="266"/>
      <c r="C54" s="15" t="s">
        <v>86</v>
      </c>
      <c r="D54" s="25" t="s">
        <v>19</v>
      </c>
      <c r="E54" s="1">
        <f>Anchoveta!H71+'Sardina comun'!H71</f>
        <v>2001.4050000000002</v>
      </c>
      <c r="F54" s="2">
        <f t="shared" si="0"/>
        <v>1501.05375</v>
      </c>
      <c r="G54" s="1">
        <f>Anchoveta!I71</f>
        <v>396.21100000000001</v>
      </c>
      <c r="H54" s="1">
        <f>'Sardina comun'!I71</f>
        <v>1112.991</v>
      </c>
      <c r="I54" s="1">
        <f t="shared" si="1"/>
        <v>1509.202</v>
      </c>
      <c r="J54" s="1">
        <f>Anchoveta!J71+'Sardina comun'!J71</f>
        <v>0</v>
      </c>
      <c r="K54" s="1">
        <f>Anchoveta!K71</f>
        <v>275.64099999999996</v>
      </c>
      <c r="L54" s="1">
        <f>'Sardina comun'!K71</f>
        <v>216.56200000000013</v>
      </c>
      <c r="M54" s="1">
        <f t="shared" si="2"/>
        <v>492.20300000000009</v>
      </c>
      <c r="N54" s="39" t="str">
        <f t="shared" si="3"/>
        <v>0</v>
      </c>
      <c r="O54" s="105" t="s">
        <v>496</v>
      </c>
      <c r="P54" s="6">
        <f t="shared" si="4"/>
        <v>0.7540712649363821</v>
      </c>
      <c r="Q54" s="3">
        <f t="shared" si="5"/>
        <v>0</v>
      </c>
    </row>
    <row r="55" spans="1:17">
      <c r="A55" s="57">
        <v>50</v>
      </c>
      <c r="B55" s="266"/>
      <c r="C55" s="15" t="s">
        <v>87</v>
      </c>
      <c r="D55" s="25" t="s">
        <v>19</v>
      </c>
      <c r="E55" s="1">
        <f>Anchoveta!H72+'Sardina comun'!H72</f>
        <v>9837.8739999999998</v>
      </c>
      <c r="F55" s="2">
        <f t="shared" si="0"/>
        <v>7378.4054999999998</v>
      </c>
      <c r="G55" s="1">
        <f>Anchoveta!I72</f>
        <v>3881.1030000000001</v>
      </c>
      <c r="H55" s="1">
        <f>'Sardina comun'!I72</f>
        <v>4118.6180000000004</v>
      </c>
      <c r="I55" s="1">
        <f t="shared" si="1"/>
        <v>7999.7210000000005</v>
      </c>
      <c r="J55" s="1">
        <f>Anchoveta!J72+'Sardina comun'!J72</f>
        <v>0</v>
      </c>
      <c r="K55" s="1">
        <f>Anchoveta!K72</f>
        <v>-311.29399999999987</v>
      </c>
      <c r="L55" s="1">
        <f>'Sardina comun'!K72</f>
        <v>2149.4469999999992</v>
      </c>
      <c r="M55" s="1">
        <f t="shared" si="2"/>
        <v>1838.1529999999993</v>
      </c>
      <c r="N55" s="39">
        <f t="shared" si="3"/>
        <v>-311.29399999999987</v>
      </c>
      <c r="O55" s="105" t="s">
        <v>496</v>
      </c>
      <c r="P55" s="6">
        <f t="shared" si="4"/>
        <v>0.81315546428018903</v>
      </c>
      <c r="Q55" s="3">
        <f t="shared" si="5"/>
        <v>-3.1642405666102234E-2</v>
      </c>
    </row>
    <row r="56" spans="1:17">
      <c r="A56" s="57">
        <v>51</v>
      </c>
      <c r="B56" s="266"/>
      <c r="C56" s="15" t="s">
        <v>88</v>
      </c>
      <c r="D56" s="25" t="s">
        <v>19</v>
      </c>
      <c r="E56" s="1">
        <f>Anchoveta!H73+'Sardina comun'!H73</f>
        <v>2009.6870000000001</v>
      </c>
      <c r="F56" s="2">
        <f t="shared" si="0"/>
        <v>1507.2652500000002</v>
      </c>
      <c r="G56" s="1">
        <f>Anchoveta!I73</f>
        <v>581.55600000000004</v>
      </c>
      <c r="H56" s="1">
        <f>'Sardina comun'!I73</f>
        <v>710.428</v>
      </c>
      <c r="I56" s="1">
        <f t="shared" si="1"/>
        <v>1291.9839999999999</v>
      </c>
      <c r="J56" s="1">
        <f>Anchoveta!J73+'Sardina comun'!J73</f>
        <v>0</v>
      </c>
      <c r="K56" s="1">
        <f>Anchoveta!K73</f>
        <v>148.57799999999997</v>
      </c>
      <c r="L56" s="1">
        <f>'Sardina comun'!K73</f>
        <v>569.12500000000011</v>
      </c>
      <c r="M56" s="1">
        <f t="shared" si="2"/>
        <v>717.70300000000009</v>
      </c>
      <c r="N56" s="39" t="str">
        <f t="shared" si="3"/>
        <v>0</v>
      </c>
      <c r="O56" s="33" t="s">
        <v>496</v>
      </c>
      <c r="P56" s="6">
        <f t="shared" si="4"/>
        <v>0.64287821934460432</v>
      </c>
      <c r="Q56" s="3">
        <f t="shared" si="5"/>
        <v>0</v>
      </c>
    </row>
    <row r="57" spans="1:17">
      <c r="A57" s="57">
        <v>52</v>
      </c>
      <c r="B57" s="266"/>
      <c r="C57" s="15" t="s">
        <v>89</v>
      </c>
      <c r="D57" s="25" t="s">
        <v>19</v>
      </c>
      <c r="E57" s="1">
        <f>Anchoveta!H74+'Sardina comun'!H74</f>
        <v>4520.0419999999995</v>
      </c>
      <c r="F57" s="2">
        <f t="shared" si="0"/>
        <v>3390.0314999999996</v>
      </c>
      <c r="G57" s="1">
        <f>Anchoveta!I74</f>
        <v>1965.3979999999999</v>
      </c>
      <c r="H57" s="1">
        <f>'Sardina comun'!I74</f>
        <v>1605.271</v>
      </c>
      <c r="I57" s="1">
        <f t="shared" si="1"/>
        <v>3570.6689999999999</v>
      </c>
      <c r="J57" s="1">
        <f>Anchoveta!J74+'Sardina comun'!J74</f>
        <v>0</v>
      </c>
      <c r="K57" s="1">
        <f>Anchoveta!K74</f>
        <v>-293.70100000000002</v>
      </c>
      <c r="L57" s="1">
        <f>'Sardina comun'!K74</f>
        <v>1243.0739999999998</v>
      </c>
      <c r="M57" s="1">
        <f t="shared" si="2"/>
        <v>949.37299999999982</v>
      </c>
      <c r="N57" s="39">
        <f t="shared" si="3"/>
        <v>-293.70100000000002</v>
      </c>
      <c r="O57" s="105" t="s">
        <v>496</v>
      </c>
      <c r="P57" s="6">
        <f t="shared" si="4"/>
        <v>0.78996367732866202</v>
      </c>
      <c r="Q57" s="3">
        <f t="shared" si="5"/>
        <v>-6.4977493571962391E-2</v>
      </c>
    </row>
    <row r="58" spans="1:17">
      <c r="A58" s="57">
        <v>53</v>
      </c>
      <c r="B58" s="266"/>
      <c r="C58" s="15" t="s">
        <v>174</v>
      </c>
      <c r="D58" s="25" t="s">
        <v>19</v>
      </c>
      <c r="E58" s="1">
        <f>Anchoveta!H75+'Sardina comun'!H75</f>
        <v>10326.968000000001</v>
      </c>
      <c r="F58" s="2">
        <f t="shared" si="0"/>
        <v>7745.2260000000006</v>
      </c>
      <c r="G58" s="1">
        <f>Anchoveta!I75</f>
        <v>2090.9079999999999</v>
      </c>
      <c r="H58" s="1">
        <f>'Sardina comun'!I75</f>
        <v>6544.018</v>
      </c>
      <c r="I58" s="1">
        <f t="shared" si="1"/>
        <v>8634.9259999999995</v>
      </c>
      <c r="J58" s="1">
        <f>Anchoveta!J75+'Sardina comun'!J75</f>
        <v>0</v>
      </c>
      <c r="K58" s="1">
        <f>Anchoveta!K75</f>
        <v>1663.6840000000002</v>
      </c>
      <c r="L58" s="1">
        <f>'Sardina comun'!K75</f>
        <v>28.358000000000175</v>
      </c>
      <c r="M58" s="1">
        <f t="shared" si="2"/>
        <v>1692.0420000000004</v>
      </c>
      <c r="N58" s="39" t="str">
        <f t="shared" si="3"/>
        <v>0</v>
      </c>
      <c r="O58" s="33" t="s">
        <v>496</v>
      </c>
      <c r="P58" s="6">
        <f t="shared" si="4"/>
        <v>0.83615307029129937</v>
      </c>
      <c r="Q58" s="3">
        <f t="shared" si="5"/>
        <v>0</v>
      </c>
    </row>
    <row r="59" spans="1:17">
      <c r="A59" s="57">
        <v>54</v>
      </c>
      <c r="B59" s="266"/>
      <c r="C59" s="15" t="s">
        <v>90</v>
      </c>
      <c r="D59" s="25" t="s">
        <v>19</v>
      </c>
      <c r="E59" s="1">
        <f>Anchoveta!H76+'Sardina comun'!H76</f>
        <v>269.40999999999997</v>
      </c>
      <c r="F59" s="2">
        <f t="shared" si="0"/>
        <v>202.05749999999998</v>
      </c>
      <c r="G59" s="1">
        <f>Anchoveta!I76</f>
        <v>37.509</v>
      </c>
      <c r="H59" s="1">
        <f>'Sardina comun'!I76</f>
        <v>231.86</v>
      </c>
      <c r="I59" s="1">
        <f t="shared" si="1"/>
        <v>269.36900000000003</v>
      </c>
      <c r="J59" s="1">
        <f>Anchoveta!J76+'Sardina comun'!J76</f>
        <v>0</v>
      </c>
      <c r="K59" s="1">
        <f>Anchoveta!K76</f>
        <v>4.6999999999982833E-2</v>
      </c>
      <c r="L59" s="1">
        <f>'Sardina comun'!K76</f>
        <v>-6.0000000000286491E-3</v>
      </c>
      <c r="M59" s="1">
        <f t="shared" si="2"/>
        <v>4.0999999999954184E-2</v>
      </c>
      <c r="N59" s="39">
        <f t="shared" si="3"/>
        <v>-6.0000000000286491E-3</v>
      </c>
      <c r="O59" s="33">
        <f>Anchoveta!M76</f>
        <v>44267</v>
      </c>
      <c r="P59" s="6">
        <f t="shared" si="4"/>
        <v>0.99984781559704561</v>
      </c>
      <c r="Q59" s="3">
        <f t="shared" si="5"/>
        <v>-2.2270888237365538E-5</v>
      </c>
    </row>
    <row r="60" spans="1:17">
      <c r="A60" s="57">
        <v>55</v>
      </c>
      <c r="B60" s="266"/>
      <c r="C60" s="15" t="s">
        <v>91</v>
      </c>
      <c r="D60" s="25" t="s">
        <v>19</v>
      </c>
      <c r="E60" s="1">
        <f>Anchoveta!H77+'Sardina comun'!H77</f>
        <v>16050.325000000001</v>
      </c>
      <c r="F60" s="2">
        <f t="shared" si="0"/>
        <v>12037.743750000001</v>
      </c>
      <c r="G60" s="1">
        <f>Anchoveta!I77</f>
        <v>2711.3409999999999</v>
      </c>
      <c r="H60" s="1">
        <f>'Sardina comun'!I77</f>
        <v>9059.1299999999992</v>
      </c>
      <c r="I60" s="1">
        <f t="shared" si="1"/>
        <v>11770.471</v>
      </c>
      <c r="J60" s="1">
        <f>Anchoveta!J77+'Sardina comun'!J77</f>
        <v>0</v>
      </c>
      <c r="K60" s="1">
        <f>Anchoveta!K77</f>
        <v>2948.5580000000004</v>
      </c>
      <c r="L60" s="1">
        <f>'Sardina comun'!K77</f>
        <v>1331.2960000000003</v>
      </c>
      <c r="M60" s="1">
        <f t="shared" si="2"/>
        <v>4279.8540000000012</v>
      </c>
      <c r="N60" s="39" t="str">
        <f t="shared" si="3"/>
        <v>0</v>
      </c>
      <c r="O60" s="105" t="s">
        <v>496</v>
      </c>
      <c r="P60" s="6">
        <f t="shared" si="4"/>
        <v>0.7333478294053235</v>
      </c>
      <c r="Q60" s="3">
        <f t="shared" si="5"/>
        <v>0</v>
      </c>
    </row>
    <row r="61" spans="1:17">
      <c r="A61" s="57">
        <v>56</v>
      </c>
      <c r="B61" s="266"/>
      <c r="C61" s="15" t="s">
        <v>175</v>
      </c>
      <c r="D61" s="25" t="s">
        <v>19</v>
      </c>
      <c r="E61" s="1">
        <f>Anchoveta!H78+'Sardina comun'!H78</f>
        <v>72.602000000000004</v>
      </c>
      <c r="F61" s="2">
        <f t="shared" si="0"/>
        <v>54.451500000000003</v>
      </c>
      <c r="G61" s="1">
        <f>Anchoveta!I78</f>
        <v>0</v>
      </c>
      <c r="H61" s="1">
        <f>'Sardina comun'!I78</f>
        <v>72.594999999999999</v>
      </c>
      <c r="I61" s="1">
        <f t="shared" si="1"/>
        <v>72.594999999999999</v>
      </c>
      <c r="J61" s="1">
        <f>Anchoveta!J78+'Sardina comun'!J78</f>
        <v>0</v>
      </c>
      <c r="K61" s="1">
        <f>Anchoveta!K78</f>
        <v>11.408000000000001</v>
      </c>
      <c r="L61" s="1">
        <f>'Sardina comun'!K78</f>
        <v>-11.400999999999996</v>
      </c>
      <c r="M61" s="1">
        <f t="shared" si="2"/>
        <v>7.0000000000050022E-3</v>
      </c>
      <c r="N61" s="39">
        <f t="shared" si="3"/>
        <v>-11.400999999999996</v>
      </c>
      <c r="O61" s="33">
        <f>Anchoveta!M78</f>
        <v>44261</v>
      </c>
      <c r="P61" s="6">
        <f t="shared" si="4"/>
        <v>0.9999035839233078</v>
      </c>
      <c r="Q61" s="3">
        <f t="shared" si="5"/>
        <v>-0.15703424148095088</v>
      </c>
    </row>
    <row r="62" spans="1:17">
      <c r="A62" s="57">
        <v>57</v>
      </c>
      <c r="B62" s="266"/>
      <c r="C62" s="15" t="s">
        <v>92</v>
      </c>
      <c r="D62" s="25" t="s">
        <v>19</v>
      </c>
      <c r="E62" s="1">
        <f>Anchoveta!H79+'Sardina comun'!H79</f>
        <v>1.3859999999999999</v>
      </c>
      <c r="F62" s="2">
        <f t="shared" si="0"/>
        <v>1.0394999999999999</v>
      </c>
      <c r="G62" s="1">
        <f>Anchoveta!I79</f>
        <v>0</v>
      </c>
      <c r="H62" s="1">
        <f>'Sardina comun'!I79</f>
        <v>0</v>
      </c>
      <c r="I62" s="1">
        <f t="shared" si="1"/>
        <v>0</v>
      </c>
      <c r="J62" s="1">
        <f>Anchoveta!J79+'Sardina comun'!J79</f>
        <v>0</v>
      </c>
      <c r="K62" s="1">
        <f>Anchoveta!K79</f>
        <v>3.300000000000014E-2</v>
      </c>
      <c r="L62" s="1">
        <f>'Sardina comun'!K79</f>
        <v>1.3529999999999998</v>
      </c>
      <c r="M62" s="1">
        <f t="shared" si="2"/>
        <v>1.3859999999999999</v>
      </c>
      <c r="N62" s="39" t="str">
        <f t="shared" si="3"/>
        <v>0</v>
      </c>
      <c r="O62" s="33">
        <f>Anchoveta!M79</f>
        <v>44491</v>
      </c>
      <c r="P62" s="6">
        <f t="shared" si="4"/>
        <v>0</v>
      </c>
      <c r="Q62" s="3">
        <f t="shared" si="5"/>
        <v>0</v>
      </c>
    </row>
    <row r="63" spans="1:17">
      <c r="A63" s="57">
        <v>58</v>
      </c>
      <c r="B63" s="266"/>
      <c r="C63" s="15" t="s">
        <v>176</v>
      </c>
      <c r="D63" s="25" t="s">
        <v>19</v>
      </c>
      <c r="E63" s="1">
        <f>Anchoveta!H80+'Sardina comun'!H80</f>
        <v>16256.486999999999</v>
      </c>
      <c r="F63" s="2">
        <f t="shared" si="0"/>
        <v>12192.365249999999</v>
      </c>
      <c r="G63" s="1">
        <f>Anchoveta!I80</f>
        <v>5446.8530000000001</v>
      </c>
      <c r="H63" s="1">
        <f>'Sardina comun'!I80</f>
        <v>8103.549</v>
      </c>
      <c r="I63" s="1">
        <f t="shared" si="1"/>
        <v>13550.402</v>
      </c>
      <c r="J63" s="1">
        <f>Anchoveta!J80+'Sardina comun'!J80</f>
        <v>0</v>
      </c>
      <c r="K63" s="1">
        <f>Anchoveta!K80</f>
        <v>564.76999999999953</v>
      </c>
      <c r="L63" s="1">
        <f>'Sardina comun'!K80</f>
        <v>2141.3149999999996</v>
      </c>
      <c r="M63" s="1">
        <f t="shared" si="2"/>
        <v>2706.0849999999991</v>
      </c>
      <c r="N63" s="39" t="str">
        <f t="shared" si="3"/>
        <v>0</v>
      </c>
      <c r="O63" s="105" t="s">
        <v>496</v>
      </c>
      <c r="P63" s="6">
        <f t="shared" si="4"/>
        <v>0.83353814388065517</v>
      </c>
      <c r="Q63" s="3">
        <f t="shared" si="5"/>
        <v>0</v>
      </c>
    </row>
    <row r="64" spans="1:17">
      <c r="A64" s="57">
        <v>59</v>
      </c>
      <c r="B64" s="266"/>
      <c r="C64" s="15" t="s">
        <v>177</v>
      </c>
      <c r="D64" s="25" t="s">
        <v>19</v>
      </c>
      <c r="E64" s="1">
        <f>Anchoveta!H81+'Sardina comun'!H81</f>
        <v>1372.8319999999999</v>
      </c>
      <c r="F64" s="2">
        <f t="shared" si="0"/>
        <v>1029.6239999999998</v>
      </c>
      <c r="G64" s="1">
        <f>Anchoveta!I81</f>
        <v>255.66499999999999</v>
      </c>
      <c r="H64" s="1">
        <f>'Sardina comun'!I81</f>
        <v>849.88800000000003</v>
      </c>
      <c r="I64" s="1">
        <f t="shared" si="1"/>
        <v>1105.5530000000001</v>
      </c>
      <c r="J64" s="1">
        <f>Anchoveta!J81+'Sardina comun'!J81</f>
        <v>0</v>
      </c>
      <c r="K64" s="1">
        <f>Anchoveta!K81</f>
        <v>179.77799999999999</v>
      </c>
      <c r="L64" s="1">
        <f>'Sardina comun'!K81</f>
        <v>87.500999999999976</v>
      </c>
      <c r="M64" s="1">
        <f t="shared" si="2"/>
        <v>267.279</v>
      </c>
      <c r="N64" s="39" t="str">
        <f t="shared" si="3"/>
        <v>0</v>
      </c>
      <c r="O64" s="33" t="s">
        <v>496</v>
      </c>
      <c r="P64" s="6">
        <f t="shared" si="4"/>
        <v>0.80530829700939388</v>
      </c>
      <c r="Q64" s="3">
        <f t="shared" si="5"/>
        <v>0</v>
      </c>
    </row>
    <row r="65" spans="1:17">
      <c r="A65" s="57">
        <v>60</v>
      </c>
      <c r="B65" s="266"/>
      <c r="C65" s="15" t="s">
        <v>178</v>
      </c>
      <c r="D65" s="25" t="s">
        <v>19</v>
      </c>
      <c r="E65" s="1">
        <f>Anchoveta!H82+'Sardina comun'!H82</f>
        <v>1194.152</v>
      </c>
      <c r="F65" s="2">
        <f t="shared" si="0"/>
        <v>895.61400000000003</v>
      </c>
      <c r="G65" s="1">
        <f>Anchoveta!I82</f>
        <v>145.55199999999999</v>
      </c>
      <c r="H65" s="1">
        <f>'Sardina comun'!I82</f>
        <v>818.36599999999999</v>
      </c>
      <c r="I65" s="1">
        <f t="shared" si="1"/>
        <v>963.91800000000001</v>
      </c>
      <c r="J65" s="1">
        <f>Anchoveta!J82+'Sardina comun'!J82</f>
        <v>0</v>
      </c>
      <c r="K65" s="1">
        <f>Anchoveta!K82</f>
        <v>296.04300000000001</v>
      </c>
      <c r="L65" s="1">
        <f>'Sardina comun'!K82</f>
        <v>-65.808999999999969</v>
      </c>
      <c r="M65" s="1">
        <f t="shared" si="2"/>
        <v>230.23400000000004</v>
      </c>
      <c r="N65" s="39">
        <f t="shared" si="3"/>
        <v>-65.808999999999969</v>
      </c>
      <c r="O65" s="105" t="s">
        <v>496</v>
      </c>
      <c r="P65" s="6">
        <f t="shared" si="4"/>
        <v>0.80719874856802143</v>
      </c>
      <c r="Q65" s="3">
        <f t="shared" si="5"/>
        <v>-5.5109399808399573E-2</v>
      </c>
    </row>
    <row r="66" spans="1:17">
      <c r="A66" s="57">
        <v>61</v>
      </c>
      <c r="B66" s="266"/>
      <c r="C66" s="15" t="s">
        <v>179</v>
      </c>
      <c r="D66" s="25" t="s">
        <v>19</v>
      </c>
      <c r="E66" s="1">
        <f>Anchoveta!H83+'Sardina comun'!H83</f>
        <v>6156.4850000000006</v>
      </c>
      <c r="F66" s="2">
        <f t="shared" si="0"/>
        <v>4617.3637500000004</v>
      </c>
      <c r="G66" s="1">
        <f>Anchoveta!I83</f>
        <v>1676.6959999999999</v>
      </c>
      <c r="H66" s="1">
        <f>'Sardina comun'!I83</f>
        <v>3379.0189999999998</v>
      </c>
      <c r="I66" s="1">
        <f t="shared" si="1"/>
        <v>5055.7150000000001</v>
      </c>
      <c r="J66" s="1">
        <f>Anchoveta!J83+'Sardina comun'!J83</f>
        <v>0</v>
      </c>
      <c r="K66" s="1">
        <f>Anchoveta!K83</f>
        <v>709.56500000000005</v>
      </c>
      <c r="L66" s="1">
        <f>'Sardina comun'!K83</f>
        <v>391.20500000000038</v>
      </c>
      <c r="M66" s="1">
        <f t="shared" si="2"/>
        <v>1100.7700000000004</v>
      </c>
      <c r="N66" s="39" t="str">
        <f t="shared" si="3"/>
        <v>0</v>
      </c>
      <c r="O66" s="105" t="s">
        <v>496</v>
      </c>
      <c r="P66" s="6">
        <f t="shared" si="4"/>
        <v>0.82120154601205064</v>
      </c>
      <c r="Q66" s="3">
        <f t="shared" si="5"/>
        <v>0</v>
      </c>
    </row>
    <row r="67" spans="1:17">
      <c r="A67" s="57">
        <v>62</v>
      </c>
      <c r="B67" s="266"/>
      <c r="C67" s="15" t="s">
        <v>93</v>
      </c>
      <c r="D67" s="25" t="s">
        <v>19</v>
      </c>
      <c r="E67" s="1">
        <f>Anchoveta!H84+'Sardina comun'!H84</f>
        <v>6319.9489999999996</v>
      </c>
      <c r="F67" s="2">
        <f t="shared" si="0"/>
        <v>4739.9617499999995</v>
      </c>
      <c r="G67" s="1">
        <f>Anchoveta!I84</f>
        <v>1901.184</v>
      </c>
      <c r="H67" s="1">
        <f>'Sardina comun'!I84</f>
        <v>3206.6039999999998</v>
      </c>
      <c r="I67" s="1">
        <f t="shared" si="1"/>
        <v>5107.7879999999996</v>
      </c>
      <c r="J67" s="1">
        <f>Anchoveta!J84+'Sardina comun'!J84</f>
        <v>0</v>
      </c>
      <c r="K67" s="1">
        <f>Anchoveta!K84</f>
        <v>472.90199999999982</v>
      </c>
      <c r="L67" s="1">
        <f>'Sardina comun'!K84</f>
        <v>739.25900000000001</v>
      </c>
      <c r="M67" s="1">
        <f t="shared" si="2"/>
        <v>1212.1609999999998</v>
      </c>
      <c r="N67" s="39" t="str">
        <f t="shared" si="3"/>
        <v>0</v>
      </c>
      <c r="O67" s="33" t="s">
        <v>496</v>
      </c>
      <c r="P67" s="6">
        <f t="shared" si="4"/>
        <v>0.80820082567121976</v>
      </c>
      <c r="Q67" s="3">
        <f t="shared" si="5"/>
        <v>0</v>
      </c>
    </row>
    <row r="68" spans="1:17">
      <c r="A68" s="57">
        <v>63</v>
      </c>
      <c r="B68" s="266"/>
      <c r="C68" s="15" t="s">
        <v>94</v>
      </c>
      <c r="D68" s="25" t="s">
        <v>19</v>
      </c>
      <c r="E68" s="1">
        <f>Anchoveta!H85+'Sardina comun'!H85</f>
        <v>1496.902</v>
      </c>
      <c r="F68" s="2">
        <f t="shared" si="0"/>
        <v>1122.6765</v>
      </c>
      <c r="G68" s="1">
        <f>Anchoveta!I85</f>
        <v>503.363</v>
      </c>
      <c r="H68" s="1">
        <f>'Sardina comun'!I85</f>
        <v>796.95299999999997</v>
      </c>
      <c r="I68" s="1">
        <f t="shared" si="1"/>
        <v>1300.316</v>
      </c>
      <c r="J68" s="1">
        <f>Anchoveta!J85+'Sardina comun'!J85</f>
        <v>0</v>
      </c>
      <c r="K68" s="1">
        <f>Anchoveta!K85</f>
        <v>66.69</v>
      </c>
      <c r="L68" s="1">
        <f>'Sardina comun'!K85</f>
        <v>129.89599999999996</v>
      </c>
      <c r="M68" s="1">
        <f t="shared" si="2"/>
        <v>196.58599999999996</v>
      </c>
      <c r="N68" s="39" t="str">
        <f t="shared" si="3"/>
        <v>0</v>
      </c>
      <c r="O68" s="105" t="s">
        <v>496</v>
      </c>
      <c r="P68" s="6">
        <f t="shared" si="4"/>
        <v>0.86867142939217135</v>
      </c>
      <c r="Q68" s="3">
        <f t="shared" si="5"/>
        <v>0</v>
      </c>
    </row>
    <row r="69" spans="1:17">
      <c r="A69" s="57">
        <v>64</v>
      </c>
      <c r="B69" s="266"/>
      <c r="C69" s="15" t="s">
        <v>95</v>
      </c>
      <c r="D69" s="25" t="s">
        <v>19</v>
      </c>
      <c r="E69" s="1">
        <f>Anchoveta!H86+'Sardina comun'!H86</f>
        <v>2771.509</v>
      </c>
      <c r="F69" s="2">
        <f t="shared" si="0"/>
        <v>2078.63175</v>
      </c>
      <c r="G69" s="1">
        <f>Anchoveta!I86</f>
        <v>252.17099999999999</v>
      </c>
      <c r="H69" s="1">
        <f>'Sardina comun'!I86</f>
        <v>2517.91</v>
      </c>
      <c r="I69" s="1">
        <f t="shared" si="1"/>
        <v>2770.0809999999997</v>
      </c>
      <c r="J69" s="1">
        <f>Anchoveta!J86+'Sardina comun'!J86</f>
        <v>0</v>
      </c>
      <c r="K69" s="1">
        <f>Anchoveta!K86</f>
        <v>445.96300000000002</v>
      </c>
      <c r="L69" s="1">
        <f>'Sardina comun'!K86</f>
        <v>-444.53499999999985</v>
      </c>
      <c r="M69" s="1">
        <f t="shared" si="2"/>
        <v>1.4280000000001678</v>
      </c>
      <c r="N69" s="39">
        <f t="shared" si="3"/>
        <v>-444.53499999999985</v>
      </c>
      <c r="O69" s="33">
        <f>Anchoveta!M86</f>
        <v>44478</v>
      </c>
      <c r="P69" s="6">
        <f t="shared" si="4"/>
        <v>0.99948475722070529</v>
      </c>
      <c r="Q69" s="3">
        <f t="shared" si="5"/>
        <v>-0.1603945720544295</v>
      </c>
    </row>
    <row r="70" spans="1:17">
      <c r="A70" s="57">
        <v>65</v>
      </c>
      <c r="B70" s="266"/>
      <c r="C70" s="15" t="s">
        <v>96</v>
      </c>
      <c r="D70" s="25" t="s">
        <v>19</v>
      </c>
      <c r="E70" s="1">
        <f>Anchoveta!H87+'Sardina comun'!H87</f>
        <v>832.07500000000005</v>
      </c>
      <c r="F70" s="2">
        <f t="shared" si="0"/>
        <v>624.05625000000009</v>
      </c>
      <c r="G70" s="1">
        <f>Anchoveta!I87</f>
        <v>17.992000000000001</v>
      </c>
      <c r="H70" s="1">
        <f>'Sardina comun'!I87</f>
        <v>648.31200000000001</v>
      </c>
      <c r="I70" s="1">
        <f t="shared" si="1"/>
        <v>666.30399999999997</v>
      </c>
      <c r="J70" s="1">
        <f>Anchoveta!J87+'Sardina comun'!J87</f>
        <v>0</v>
      </c>
      <c r="K70" s="1">
        <f>Anchoveta!K87</f>
        <v>248.48400000000001</v>
      </c>
      <c r="L70" s="1">
        <f>'Sardina comun'!K87</f>
        <v>-82.712999999999965</v>
      </c>
      <c r="M70" s="1">
        <f t="shared" si="2"/>
        <v>165.77100000000004</v>
      </c>
      <c r="N70" s="39">
        <f t="shared" si="3"/>
        <v>-82.712999999999965</v>
      </c>
      <c r="O70" s="33" t="s">
        <v>496</v>
      </c>
      <c r="P70" s="6">
        <f t="shared" si="4"/>
        <v>0.80077396869272599</v>
      </c>
      <c r="Q70" s="3">
        <f t="shared" si="5"/>
        <v>-9.9405702610942476E-2</v>
      </c>
    </row>
    <row r="71" spans="1:17">
      <c r="A71" s="57">
        <v>66</v>
      </c>
      <c r="B71" s="266"/>
      <c r="C71" s="15" t="s">
        <v>97</v>
      </c>
      <c r="D71" s="25" t="s">
        <v>19</v>
      </c>
      <c r="E71" s="1">
        <f>Anchoveta!H88+'Sardina comun'!H88</f>
        <v>3332.009</v>
      </c>
      <c r="F71" s="2">
        <f t="shared" ref="F71:F83" si="6">E71*0.75</f>
        <v>2499.00675</v>
      </c>
      <c r="G71" s="1">
        <f>Anchoveta!I88</f>
        <v>795.8</v>
      </c>
      <c r="H71" s="1">
        <f>'Sardina comun'!I88</f>
        <v>1986.7349999999999</v>
      </c>
      <c r="I71" s="1">
        <f t="shared" ref="I71:I83" si="7">G71+H71</f>
        <v>2782.5349999999999</v>
      </c>
      <c r="J71" s="1">
        <f>Anchoveta!J88+'Sardina comun'!J88</f>
        <v>0</v>
      </c>
      <c r="K71" s="1">
        <f>Anchoveta!K88</f>
        <v>436.37100000000009</v>
      </c>
      <c r="L71" s="1">
        <f>'Sardina comun'!K88</f>
        <v>113.10300000000029</v>
      </c>
      <c r="M71" s="1">
        <f t="shared" ref="M71:M83" si="8">K71+L71</f>
        <v>549.47400000000039</v>
      </c>
      <c r="N71" s="39" t="str">
        <f t="shared" ref="N71:N83" si="9">IF(K71&lt;0,K71,IF(K71&lt;0,L71,IF(L71&lt;0,L71,IF(L71&gt;0,"0","0"))))</f>
        <v>0</v>
      </c>
      <c r="O71" s="33" t="s">
        <v>496</v>
      </c>
      <c r="P71" s="6">
        <f t="shared" ref="P71:P83" si="10">(I71+J71)/E71</f>
        <v>0.83509228216370357</v>
      </c>
      <c r="Q71" s="3">
        <f t="shared" ref="Q71:Q83" si="11">N71/E71</f>
        <v>0</v>
      </c>
    </row>
    <row r="72" spans="1:17">
      <c r="A72" s="57">
        <v>67</v>
      </c>
      <c r="B72" s="266"/>
      <c r="C72" s="15" t="s">
        <v>98</v>
      </c>
      <c r="D72" s="25" t="s">
        <v>19</v>
      </c>
      <c r="E72" s="1">
        <f>Anchoveta!H89+'Sardina comun'!H89</f>
        <v>4409.902</v>
      </c>
      <c r="F72" s="2">
        <f t="shared" si="6"/>
        <v>3307.4265</v>
      </c>
      <c r="G72" s="1">
        <f>Anchoveta!I89</f>
        <v>1470.192</v>
      </c>
      <c r="H72" s="1">
        <f>'Sardina comun'!I89</f>
        <v>2264.3980000000001</v>
      </c>
      <c r="I72" s="1">
        <f t="shared" si="7"/>
        <v>3734.59</v>
      </c>
      <c r="J72" s="1">
        <f>Anchoveta!J89+'Sardina comun'!J89</f>
        <v>0</v>
      </c>
      <c r="K72" s="1">
        <f>Anchoveta!K89</f>
        <v>170.68200000000002</v>
      </c>
      <c r="L72" s="1">
        <f>'Sardina comun'!K89</f>
        <v>504.62999999999965</v>
      </c>
      <c r="M72" s="1">
        <f t="shared" si="8"/>
        <v>675.31199999999967</v>
      </c>
      <c r="N72" s="39" t="str">
        <f t="shared" si="9"/>
        <v>0</v>
      </c>
      <c r="O72" s="105" t="s">
        <v>496</v>
      </c>
      <c r="P72" s="6">
        <f t="shared" si="10"/>
        <v>0.84686462420253328</v>
      </c>
      <c r="Q72" s="3">
        <f t="shared" si="11"/>
        <v>0</v>
      </c>
    </row>
    <row r="73" spans="1:17">
      <c r="A73" s="57">
        <v>68</v>
      </c>
      <c r="B73" s="266"/>
      <c r="C73" s="15" t="s">
        <v>99</v>
      </c>
      <c r="D73" s="25" t="s">
        <v>19</v>
      </c>
      <c r="E73" s="1">
        <f>Anchoveta!H90+'Sardina comun'!H90</f>
        <v>6873.0590000000002</v>
      </c>
      <c r="F73" s="2">
        <f t="shared" si="6"/>
        <v>5154.7942499999999</v>
      </c>
      <c r="G73" s="1">
        <f>Anchoveta!I90</f>
        <v>2918.7959999999998</v>
      </c>
      <c r="H73" s="1">
        <f>'Sardina comun'!I90</f>
        <v>2953.924</v>
      </c>
      <c r="I73" s="1">
        <f t="shared" si="7"/>
        <v>5872.7199999999993</v>
      </c>
      <c r="J73" s="1">
        <f>Anchoveta!J90+'Sardina comun'!J90</f>
        <v>0</v>
      </c>
      <c r="K73" s="1">
        <f>Anchoveta!K90</f>
        <v>-476.4109999999996</v>
      </c>
      <c r="L73" s="1">
        <f>'Sardina comun'!K90</f>
        <v>1476.75</v>
      </c>
      <c r="M73" s="1">
        <f t="shared" si="8"/>
        <v>1000.3390000000004</v>
      </c>
      <c r="N73" s="39">
        <f t="shared" si="9"/>
        <v>-476.4109999999996</v>
      </c>
      <c r="O73" s="105" t="s">
        <v>496</v>
      </c>
      <c r="P73" s="6">
        <f t="shared" si="10"/>
        <v>0.85445505414692335</v>
      </c>
      <c r="Q73" s="3">
        <f t="shared" si="11"/>
        <v>-6.9315715171366865E-2</v>
      </c>
    </row>
    <row r="74" spans="1:17">
      <c r="A74" s="57">
        <v>69</v>
      </c>
      <c r="B74" s="266"/>
      <c r="C74" s="15" t="s">
        <v>100</v>
      </c>
      <c r="D74" s="25" t="s">
        <v>19</v>
      </c>
      <c r="E74" s="1">
        <f>Anchoveta!H91+'Sardina comun'!H91</f>
        <v>5785.0039999999999</v>
      </c>
      <c r="F74" s="2">
        <f t="shared" si="6"/>
        <v>4338.7529999999997</v>
      </c>
      <c r="G74" s="1">
        <f>Anchoveta!I91</f>
        <v>1674.2670000000001</v>
      </c>
      <c r="H74" s="1">
        <f>'Sardina comun'!I91</f>
        <v>3101.4</v>
      </c>
      <c r="I74" s="1">
        <f t="shared" si="7"/>
        <v>4775.6670000000004</v>
      </c>
      <c r="J74" s="1">
        <f>Anchoveta!J91+'Sardina comun'!J91</f>
        <v>0</v>
      </c>
      <c r="K74" s="1">
        <f>Anchoveta!K91</f>
        <v>455.38699999999994</v>
      </c>
      <c r="L74" s="1">
        <f>'Sardina comun'!K91</f>
        <v>553.94999999999982</v>
      </c>
      <c r="M74" s="1">
        <f t="shared" si="8"/>
        <v>1009.3369999999998</v>
      </c>
      <c r="N74" s="39" t="str">
        <f t="shared" si="9"/>
        <v>0</v>
      </c>
      <c r="O74" s="105" t="s">
        <v>496</v>
      </c>
      <c r="P74" s="6">
        <f t="shared" si="10"/>
        <v>0.82552527189263836</v>
      </c>
      <c r="Q74" s="3">
        <f t="shared" si="11"/>
        <v>0</v>
      </c>
    </row>
    <row r="75" spans="1:17">
      <c r="A75" s="57">
        <v>70</v>
      </c>
      <c r="B75" s="266"/>
      <c r="C75" s="15" t="s">
        <v>180</v>
      </c>
      <c r="D75" s="25" t="s">
        <v>19</v>
      </c>
      <c r="E75" s="1">
        <f>Anchoveta!H92+'Sardina comun'!H92</f>
        <v>1942.4659999999999</v>
      </c>
      <c r="F75" s="2">
        <f t="shared" si="6"/>
        <v>1456.8494999999998</v>
      </c>
      <c r="G75" s="1">
        <f>Anchoveta!I92</f>
        <v>791.32899999999995</v>
      </c>
      <c r="H75" s="1">
        <f>'Sardina comun'!I92</f>
        <v>762.67899999999997</v>
      </c>
      <c r="I75" s="1">
        <f t="shared" si="7"/>
        <v>1554.0079999999998</v>
      </c>
      <c r="J75" s="1">
        <f>Anchoveta!J92+'Sardina comun'!J92</f>
        <v>0</v>
      </c>
      <c r="K75" s="1">
        <f>Anchoveta!K92</f>
        <v>-73.007999999999925</v>
      </c>
      <c r="L75" s="1">
        <f>'Sardina comun'!K92</f>
        <v>461.46600000000001</v>
      </c>
      <c r="M75" s="1">
        <f t="shared" si="8"/>
        <v>388.45800000000008</v>
      </c>
      <c r="N75" s="39">
        <f t="shared" si="9"/>
        <v>-73.007999999999925</v>
      </c>
      <c r="O75" s="33" t="s">
        <v>496</v>
      </c>
      <c r="P75" s="6">
        <f t="shared" si="10"/>
        <v>0.80001812129530192</v>
      </c>
      <c r="Q75" s="3">
        <f t="shared" si="11"/>
        <v>-3.7585213846728811E-2</v>
      </c>
    </row>
    <row r="76" spans="1:17">
      <c r="A76" s="57">
        <v>71</v>
      </c>
      <c r="B76" s="266"/>
      <c r="C76" s="15" t="s">
        <v>181</v>
      </c>
      <c r="D76" s="25" t="s">
        <v>19</v>
      </c>
      <c r="E76" s="1">
        <f>Anchoveta!H93+'Sardina comun'!H93</f>
        <v>8.0910000000000011</v>
      </c>
      <c r="F76" s="2">
        <f t="shared" si="6"/>
        <v>6.0682500000000008</v>
      </c>
      <c r="G76" s="1">
        <f>Anchoveta!I93</f>
        <v>0</v>
      </c>
      <c r="H76" s="1">
        <f>'Sardina comun'!I93</f>
        <v>0</v>
      </c>
      <c r="I76" s="1">
        <f t="shared" si="7"/>
        <v>0</v>
      </c>
      <c r="J76" s="1">
        <f>Anchoveta!J93+'Sardina comun'!J93</f>
        <v>0</v>
      </c>
      <c r="K76" s="1">
        <f>Anchoveta!K93</f>
        <v>8.3999999999999631E-2</v>
      </c>
      <c r="L76" s="1">
        <f>'Sardina comun'!K93</f>
        <v>8.0070000000000014</v>
      </c>
      <c r="M76" s="1">
        <f t="shared" si="8"/>
        <v>8.0910000000000011</v>
      </c>
      <c r="N76" s="39" t="str">
        <f t="shared" si="9"/>
        <v>0</v>
      </c>
      <c r="O76" s="33">
        <f>Anchoveta!M93</f>
        <v>44491</v>
      </c>
      <c r="P76" s="6">
        <f t="shared" si="10"/>
        <v>0</v>
      </c>
      <c r="Q76" s="3">
        <f t="shared" si="11"/>
        <v>0</v>
      </c>
    </row>
    <row r="77" spans="1:17">
      <c r="A77" s="57">
        <v>72</v>
      </c>
      <c r="B77" s="266"/>
      <c r="C77" s="15" t="s">
        <v>101</v>
      </c>
      <c r="D77" s="25" t="s">
        <v>19</v>
      </c>
      <c r="E77" s="1">
        <f>Anchoveta!H94+'Sardina comun'!H94</f>
        <v>1282.855</v>
      </c>
      <c r="F77" s="2">
        <f t="shared" si="6"/>
        <v>962.14125000000001</v>
      </c>
      <c r="G77" s="1">
        <f>Anchoveta!I94</f>
        <v>215.84299999999999</v>
      </c>
      <c r="H77" s="1">
        <f>'Sardina comun'!I94</f>
        <v>984.90599999999995</v>
      </c>
      <c r="I77" s="1">
        <f t="shared" si="7"/>
        <v>1200.749</v>
      </c>
      <c r="J77" s="1">
        <f>Anchoveta!J94+'Sardina comun'!J94</f>
        <v>0</v>
      </c>
      <c r="K77" s="1">
        <f>Anchoveta!K94</f>
        <v>234.87800000000001</v>
      </c>
      <c r="L77" s="1">
        <f>'Sardina comun'!K94</f>
        <v>-152.77199999999993</v>
      </c>
      <c r="M77" s="1">
        <f t="shared" si="8"/>
        <v>82.10600000000008</v>
      </c>
      <c r="N77" s="39">
        <f t="shared" si="9"/>
        <v>-152.77199999999993</v>
      </c>
      <c r="O77" s="33" t="s">
        <v>496</v>
      </c>
      <c r="P77" s="6">
        <f t="shared" si="10"/>
        <v>0.93599744320285616</v>
      </c>
      <c r="Q77" s="3">
        <f t="shared" si="11"/>
        <v>-0.11908750404371495</v>
      </c>
    </row>
    <row r="78" spans="1:17">
      <c r="A78" s="57">
        <v>73</v>
      </c>
      <c r="B78" s="266"/>
      <c r="C78" s="15" t="s">
        <v>102</v>
      </c>
      <c r="D78" s="25" t="s">
        <v>19</v>
      </c>
      <c r="E78" s="1">
        <f>Anchoveta!H95+'Sardina comun'!H95</f>
        <v>2593.42</v>
      </c>
      <c r="F78" s="2">
        <f t="shared" si="6"/>
        <v>1945.0650000000001</v>
      </c>
      <c r="G78" s="1">
        <f>Anchoveta!I95</f>
        <v>449.20800000000003</v>
      </c>
      <c r="H78" s="1">
        <f>'Sardina comun'!I95</f>
        <v>1647.88</v>
      </c>
      <c r="I78" s="1">
        <f t="shared" si="7"/>
        <v>2097.0880000000002</v>
      </c>
      <c r="J78" s="1">
        <f>Anchoveta!J95+'Sardina comun'!J95</f>
        <v>0</v>
      </c>
      <c r="K78" s="1">
        <f>Anchoveta!K95</f>
        <v>522.3309999999999</v>
      </c>
      <c r="L78" s="1">
        <f>'Sardina comun'!K95</f>
        <v>-25.999000000000024</v>
      </c>
      <c r="M78" s="1">
        <f t="shared" si="8"/>
        <v>496.33199999999988</v>
      </c>
      <c r="N78" s="39">
        <f t="shared" si="9"/>
        <v>-25.999000000000024</v>
      </c>
      <c r="O78" s="33">
        <f>Anchoveta!M95</f>
        <v>44292</v>
      </c>
      <c r="P78" s="6">
        <f t="shared" si="10"/>
        <v>0.80861873510653892</v>
      </c>
      <c r="Q78" s="3">
        <f t="shared" si="11"/>
        <v>-1.002498631151145E-2</v>
      </c>
    </row>
    <row r="79" spans="1:17">
      <c r="A79" s="57">
        <v>74</v>
      </c>
      <c r="B79" s="266"/>
      <c r="C79" s="15" t="s">
        <v>103</v>
      </c>
      <c r="D79" s="25" t="s">
        <v>19</v>
      </c>
      <c r="E79" s="1">
        <f>Anchoveta!H96+'Sardina comun'!H96</f>
        <v>16617.66</v>
      </c>
      <c r="F79" s="2">
        <f t="shared" si="6"/>
        <v>12463.244999999999</v>
      </c>
      <c r="G79" s="1">
        <f>Anchoveta!I96</f>
        <v>6103.2129999999997</v>
      </c>
      <c r="H79" s="1">
        <f>'Sardina comun'!I96</f>
        <v>7693.9579999999996</v>
      </c>
      <c r="I79" s="1">
        <f t="shared" si="7"/>
        <v>13797.170999999998</v>
      </c>
      <c r="J79" s="1">
        <f>Anchoveta!J96+'Sardina comun'!J96</f>
        <v>0</v>
      </c>
      <c r="K79" s="1">
        <f>Anchoveta!K96</f>
        <v>41.971000000000458</v>
      </c>
      <c r="L79" s="1">
        <f>'Sardina comun'!K96</f>
        <v>2778.5180000000009</v>
      </c>
      <c r="M79" s="1">
        <f t="shared" si="8"/>
        <v>2820.4890000000014</v>
      </c>
      <c r="N79" s="39" t="str">
        <f t="shared" si="9"/>
        <v>0</v>
      </c>
      <c r="O79" s="33" t="s">
        <v>496</v>
      </c>
      <c r="P79" s="6">
        <f t="shared" si="10"/>
        <v>0.83027159058495592</v>
      </c>
      <c r="Q79" s="3">
        <f t="shared" si="11"/>
        <v>0</v>
      </c>
    </row>
    <row r="80" spans="1:17" s="11" customFormat="1">
      <c r="A80" s="57">
        <v>75</v>
      </c>
      <c r="B80" s="266"/>
      <c r="C80" s="15" t="s">
        <v>262</v>
      </c>
      <c r="D80" s="25" t="s">
        <v>19</v>
      </c>
      <c r="E80" s="1">
        <f>Anchoveta!H97+'Sardina comun'!H97</f>
        <v>20.517000000000003</v>
      </c>
      <c r="F80" s="2">
        <f t="shared" si="6"/>
        <v>15.387750000000002</v>
      </c>
      <c r="G80" s="1">
        <f>Anchoveta!I97</f>
        <v>0</v>
      </c>
      <c r="H80" s="1">
        <f>'Sardina comun'!I97</f>
        <v>0</v>
      </c>
      <c r="I80" s="1">
        <f>G80+H80</f>
        <v>0</v>
      </c>
      <c r="J80" s="1">
        <f>Anchoveta!J97+'Sardina comun'!J97</f>
        <v>0</v>
      </c>
      <c r="K80" s="1">
        <f>Anchoveta!K97</f>
        <v>-9.9999999999766942E-4</v>
      </c>
      <c r="L80" s="1">
        <f>'Sardina comun'!K97</f>
        <v>20.518000000000001</v>
      </c>
      <c r="M80" s="1">
        <f>K80+L80</f>
        <v>20.517000000000003</v>
      </c>
      <c r="N80" s="39">
        <f>IF(K80&lt;0,K80,IF(K80&lt;0,L80,IF(L80&lt;0,L80,IF(L80&gt;0,"0","0"))))</f>
        <v>-9.9999999999766942E-4</v>
      </c>
      <c r="O80" s="33" t="s">
        <v>496</v>
      </c>
      <c r="P80" s="6">
        <f>(I80+J80)/E80</f>
        <v>0</v>
      </c>
      <c r="Q80" s="3">
        <f>N80/E80</f>
        <v>-4.8740069210784677E-5</v>
      </c>
    </row>
    <row r="81" spans="1:17" s="11" customFormat="1">
      <c r="A81" s="57">
        <v>76</v>
      </c>
      <c r="B81" s="266"/>
      <c r="C81" s="15" t="s">
        <v>263</v>
      </c>
      <c r="D81" s="25" t="s">
        <v>19</v>
      </c>
      <c r="E81" s="1">
        <f>Anchoveta!H98+'Sardina comun'!H98</f>
        <v>477.92899999999997</v>
      </c>
      <c r="F81" s="2">
        <f t="shared" si="6"/>
        <v>358.44674999999995</v>
      </c>
      <c r="G81" s="1">
        <f>Anchoveta!I98</f>
        <v>33.704000000000001</v>
      </c>
      <c r="H81" s="1">
        <f>'Sardina comun'!I98</f>
        <v>284.59899999999999</v>
      </c>
      <c r="I81" s="1">
        <f>G81+H81</f>
        <v>318.303</v>
      </c>
      <c r="J81" s="1">
        <f>Anchoveta!J98+'Sardina comun'!J98</f>
        <v>0</v>
      </c>
      <c r="K81" s="1">
        <f>Anchoveta!K98</f>
        <v>156.054</v>
      </c>
      <c r="L81" s="1">
        <f>'Sardina comun'!K98</f>
        <v>3.5720000000000027</v>
      </c>
      <c r="M81" s="1">
        <f>K81+L81</f>
        <v>159.626</v>
      </c>
      <c r="N81" s="39" t="str">
        <f>IF(K81&lt;0,K81,IF(K81&lt;0,L81,IF(L81&lt;0,L81,IF(L81&gt;0,"0","0"))))</f>
        <v>0</v>
      </c>
      <c r="O81" s="33" t="s">
        <v>496</v>
      </c>
      <c r="P81" s="6">
        <f>(I81+J81)/E81</f>
        <v>0.66600478313724432</v>
      </c>
      <c r="Q81" s="3">
        <f>N81/E81</f>
        <v>0</v>
      </c>
    </row>
    <row r="82" spans="1:17">
      <c r="A82" s="57">
        <v>77</v>
      </c>
      <c r="B82" s="266"/>
      <c r="C82" s="15" t="s">
        <v>104</v>
      </c>
      <c r="D82" s="25" t="s">
        <v>19</v>
      </c>
      <c r="E82" s="1">
        <f>Anchoveta!H99+'Sardina comun'!H99</f>
        <v>3533.5649999999996</v>
      </c>
      <c r="F82" s="2">
        <f t="shared" si="6"/>
        <v>2650.1737499999999</v>
      </c>
      <c r="G82" s="1">
        <f>Anchoveta!I99</f>
        <v>757.94500000000005</v>
      </c>
      <c r="H82" s="1">
        <f>'Sardina comun'!I99</f>
        <v>2058.8020000000001</v>
      </c>
      <c r="I82" s="1">
        <f t="shared" si="7"/>
        <v>2816.7470000000003</v>
      </c>
      <c r="J82" s="1">
        <f>Anchoveta!J99+'Sardina comun'!J99</f>
        <v>0</v>
      </c>
      <c r="K82" s="1">
        <f>Anchoveta!K99</f>
        <v>425.95400000000006</v>
      </c>
      <c r="L82" s="1">
        <f>'Sardina comun'!K99</f>
        <v>290.86399999999958</v>
      </c>
      <c r="M82" s="1">
        <f t="shared" si="8"/>
        <v>716.81799999999964</v>
      </c>
      <c r="N82" s="39" t="str">
        <f t="shared" si="9"/>
        <v>0</v>
      </c>
      <c r="O82" s="33" t="s">
        <v>496</v>
      </c>
      <c r="P82" s="6">
        <f t="shared" si="10"/>
        <v>0.79714028184001162</v>
      </c>
      <c r="Q82" s="3">
        <f t="shared" si="11"/>
        <v>0</v>
      </c>
    </row>
    <row r="83" spans="1:17">
      <c r="A83" s="57">
        <v>78</v>
      </c>
      <c r="B83" s="266"/>
      <c r="C83" s="15" t="s">
        <v>105</v>
      </c>
      <c r="D83" s="25" t="s">
        <v>19</v>
      </c>
      <c r="E83" s="1">
        <f>Anchoveta!H100+'Sardina comun'!H100</f>
        <v>286.05399999999997</v>
      </c>
      <c r="F83" s="2">
        <f t="shared" si="6"/>
        <v>214.54049999999998</v>
      </c>
      <c r="G83" s="1">
        <f>Anchoveta!I100</f>
        <v>19.727</v>
      </c>
      <c r="H83" s="1">
        <f>'Sardina comun'!I100</f>
        <v>373.61500000000001</v>
      </c>
      <c r="I83" s="1">
        <f t="shared" si="7"/>
        <v>393.34199999999998</v>
      </c>
      <c r="J83" s="1">
        <f>Anchoveta!J100+'Sardina comun'!J100</f>
        <v>0</v>
      </c>
      <c r="K83" s="1">
        <f>Anchoveta!K100</f>
        <v>86.063999999999993</v>
      </c>
      <c r="L83" s="1">
        <f>'Sardina comun'!K100</f>
        <v>-193.352</v>
      </c>
      <c r="M83" s="1">
        <f t="shared" si="8"/>
        <v>-107.28800000000001</v>
      </c>
      <c r="N83" s="39">
        <f t="shared" si="9"/>
        <v>-193.352</v>
      </c>
      <c r="O83" s="33">
        <f>Anchoveta!M100</f>
        <v>44256</v>
      </c>
      <c r="P83" s="6">
        <f t="shared" si="10"/>
        <v>1.3750620512210983</v>
      </c>
      <c r="Q83" s="3">
        <f t="shared" si="11"/>
        <v>-0.67592832122606228</v>
      </c>
    </row>
  </sheetData>
  <mergeCells count="3">
    <mergeCell ref="B6:B83"/>
    <mergeCell ref="B2:Q2"/>
    <mergeCell ref="B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1:I12"/>
  <sheetViews>
    <sheetView workbookViewId="0">
      <selection activeCell="H18" sqref="H18"/>
    </sheetView>
  </sheetViews>
  <sheetFormatPr baseColWidth="10" defaultRowHeight="15"/>
  <cols>
    <col min="2" max="2" width="25.85546875" customWidth="1"/>
    <col min="3" max="3" width="14.7109375" customWidth="1"/>
    <col min="4" max="4" width="14.7109375" style="11" customWidth="1"/>
    <col min="5" max="5" width="14.140625" customWidth="1"/>
    <col min="6" max="6" width="12.42578125" customWidth="1"/>
    <col min="7" max="7" width="12.7109375" customWidth="1"/>
  </cols>
  <sheetData>
    <row r="1" spans="2:9" ht="24.75" customHeight="1"/>
    <row r="2" spans="2:9" s="11" customFormat="1">
      <c r="C2" s="273" t="s">
        <v>520</v>
      </c>
      <c r="D2" s="273"/>
      <c r="E2" s="273"/>
      <c r="F2" s="273"/>
      <c r="G2" s="273"/>
      <c r="H2" s="273"/>
    </row>
    <row r="3" spans="2:9">
      <c r="C3" s="274">
        <f>RESUMEN!B3</f>
        <v>44201</v>
      </c>
      <c r="D3" s="275"/>
      <c r="E3" s="275"/>
      <c r="F3" s="275"/>
      <c r="G3" s="275"/>
      <c r="H3" s="275"/>
    </row>
    <row r="5" spans="2:9" ht="31.5" customHeight="1">
      <c r="C5" s="79" t="s">
        <v>186</v>
      </c>
      <c r="D5" s="79" t="s">
        <v>191</v>
      </c>
      <c r="E5" s="80" t="s">
        <v>189</v>
      </c>
      <c r="F5" s="80" t="s">
        <v>190</v>
      </c>
      <c r="G5" s="81" t="s">
        <v>194</v>
      </c>
      <c r="H5" s="82" t="s">
        <v>195</v>
      </c>
      <c r="I5" s="79" t="s">
        <v>37</v>
      </c>
    </row>
    <row r="6" spans="2:9">
      <c r="C6" s="272" t="s">
        <v>187</v>
      </c>
      <c r="D6" s="78" t="s">
        <v>192</v>
      </c>
      <c r="E6" s="1">
        <v>420.4</v>
      </c>
      <c r="F6" s="43">
        <v>276.786</v>
      </c>
      <c r="G6" s="1">
        <f t="shared" ref="G6:G12" si="0">E6-F6</f>
        <v>143.61399999999998</v>
      </c>
      <c r="H6" s="276">
        <f>G6+G7</f>
        <v>384.45400000000001</v>
      </c>
      <c r="I6" s="268">
        <v>44277</v>
      </c>
    </row>
    <row r="7" spans="2:9">
      <c r="B7" s="11"/>
      <c r="C7" s="272"/>
      <c r="D7" s="78" t="s">
        <v>193</v>
      </c>
      <c r="E7" s="1">
        <v>1071</v>
      </c>
      <c r="F7" s="104">
        <v>830.16</v>
      </c>
      <c r="G7" s="1">
        <f t="shared" si="0"/>
        <v>240.84000000000003</v>
      </c>
      <c r="H7" s="277"/>
      <c r="I7" s="269"/>
    </row>
    <row r="8" spans="2:9">
      <c r="C8" s="272" t="s">
        <v>188</v>
      </c>
      <c r="D8" s="78" t="s">
        <v>192</v>
      </c>
      <c r="E8" s="1">
        <v>840.8</v>
      </c>
      <c r="F8" s="104">
        <v>304.07799999999997</v>
      </c>
      <c r="G8" s="1">
        <f t="shared" si="0"/>
        <v>536.72199999999998</v>
      </c>
      <c r="H8" s="276">
        <f>G8+G9</f>
        <v>585.25900000000001</v>
      </c>
      <c r="I8" s="270"/>
    </row>
    <row r="9" spans="2:9">
      <c r="C9" s="272"/>
      <c r="D9" s="78" t="s">
        <v>193</v>
      </c>
      <c r="E9" s="1">
        <v>1428</v>
      </c>
      <c r="F9" s="104">
        <v>1379.463</v>
      </c>
      <c r="G9" s="1">
        <f t="shared" si="0"/>
        <v>48.537000000000035</v>
      </c>
      <c r="H9" s="277"/>
      <c r="I9" s="271"/>
    </row>
    <row r="10" spans="2:9">
      <c r="C10" s="272" t="s">
        <v>271</v>
      </c>
      <c r="D10" s="78" t="s">
        <v>192</v>
      </c>
      <c r="E10" s="1">
        <v>840.8</v>
      </c>
      <c r="F10" s="104">
        <v>357.22800000000001</v>
      </c>
      <c r="G10" s="1">
        <f t="shared" si="0"/>
        <v>483.57199999999995</v>
      </c>
      <c r="H10" s="276">
        <f>G10+G11</f>
        <v>141.59899999999999</v>
      </c>
      <c r="I10" s="268">
        <v>44277</v>
      </c>
    </row>
    <row r="11" spans="2:9">
      <c r="C11" s="272"/>
      <c r="D11" s="78" t="s">
        <v>193</v>
      </c>
      <c r="E11" s="1">
        <v>714</v>
      </c>
      <c r="F11" s="104">
        <v>1055.973</v>
      </c>
      <c r="G11" s="1">
        <f t="shared" si="0"/>
        <v>-341.97299999999996</v>
      </c>
      <c r="H11" s="277"/>
      <c r="I11" s="269"/>
    </row>
    <row r="12" spans="2:9">
      <c r="C12" s="147" t="s">
        <v>422</v>
      </c>
      <c r="D12" s="78" t="s">
        <v>193</v>
      </c>
      <c r="E12" s="25">
        <v>357</v>
      </c>
      <c r="F12" s="104">
        <v>199.827</v>
      </c>
      <c r="G12" s="1">
        <f t="shared" si="0"/>
        <v>157.173</v>
      </c>
      <c r="H12" s="1"/>
      <c r="I12" s="180">
        <v>44277</v>
      </c>
    </row>
  </sheetData>
  <mergeCells count="11">
    <mergeCell ref="C2:H2"/>
    <mergeCell ref="C3:H3"/>
    <mergeCell ref="C10:C11"/>
    <mergeCell ref="H6:H7"/>
    <mergeCell ref="H8:H9"/>
    <mergeCell ref="H10:H11"/>
    <mergeCell ref="I6:I7"/>
    <mergeCell ref="I8:I9"/>
    <mergeCell ref="I10:I11"/>
    <mergeCell ref="C6:C7"/>
    <mergeCell ref="C8:C9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8"/>
  <sheetViews>
    <sheetView workbookViewId="0">
      <selection activeCell="B11" sqref="B11"/>
    </sheetView>
  </sheetViews>
  <sheetFormatPr baseColWidth="10" defaultRowHeight="15"/>
  <cols>
    <col min="2" max="2" width="13" customWidth="1"/>
    <col min="3" max="3" width="14.42578125" customWidth="1"/>
    <col min="6" max="6" width="14.85546875" customWidth="1"/>
  </cols>
  <sheetData>
    <row r="2" spans="2:9">
      <c r="B2" s="278" t="s">
        <v>521</v>
      </c>
      <c r="C2" s="278"/>
      <c r="D2" s="278"/>
      <c r="E2" s="278"/>
      <c r="F2" s="278"/>
      <c r="G2" s="278"/>
      <c r="H2" s="119"/>
    </row>
    <row r="3" spans="2:9">
      <c r="B3" s="279">
        <f>RESUMEN!B3</f>
        <v>44201</v>
      </c>
      <c r="C3" s="280"/>
      <c r="D3" s="280"/>
      <c r="E3" s="280"/>
      <c r="F3" s="280"/>
      <c r="G3" s="280"/>
      <c r="H3" s="119"/>
    </row>
    <row r="4" spans="2:9">
      <c r="B4" s="119"/>
      <c r="C4" s="119"/>
      <c r="D4" s="119"/>
      <c r="E4" s="119"/>
      <c r="F4" s="119"/>
      <c r="G4" s="119"/>
      <c r="H4" s="119"/>
    </row>
    <row r="5" spans="2:9">
      <c r="B5" s="117" t="s">
        <v>258</v>
      </c>
      <c r="C5" s="117" t="s">
        <v>259</v>
      </c>
      <c r="D5" s="117" t="s">
        <v>202</v>
      </c>
      <c r="E5" s="117" t="s">
        <v>46</v>
      </c>
      <c r="F5" s="117" t="s">
        <v>191</v>
      </c>
      <c r="G5" s="117" t="s">
        <v>260</v>
      </c>
      <c r="H5" s="117" t="s">
        <v>141</v>
      </c>
      <c r="I5" s="117" t="s">
        <v>142</v>
      </c>
    </row>
    <row r="6" spans="2:9">
      <c r="B6" s="118">
        <v>880</v>
      </c>
      <c r="C6" s="118" t="s">
        <v>290</v>
      </c>
      <c r="D6" s="118">
        <v>969106</v>
      </c>
      <c r="E6" s="118" t="s">
        <v>251</v>
      </c>
      <c r="F6" s="118" t="s">
        <v>193</v>
      </c>
      <c r="G6" s="118">
        <v>437.48700000000002</v>
      </c>
      <c r="H6" s="103">
        <v>437.48700000000002</v>
      </c>
      <c r="I6" s="118">
        <f>G6-H6</f>
        <v>0</v>
      </c>
    </row>
    <row r="7" spans="2:9">
      <c r="B7" s="188">
        <v>2962</v>
      </c>
      <c r="C7" s="188" t="s">
        <v>723</v>
      </c>
      <c r="D7" s="188">
        <v>968700</v>
      </c>
      <c r="E7" s="188" t="s">
        <v>251</v>
      </c>
      <c r="F7" s="188" t="s">
        <v>192</v>
      </c>
      <c r="G7" s="281">
        <v>420.4</v>
      </c>
      <c r="H7" s="188"/>
      <c r="I7" s="281">
        <f>G7-(H7+H8)</f>
        <v>420.4</v>
      </c>
    </row>
    <row r="8" spans="2:9">
      <c r="B8" s="188">
        <v>2962</v>
      </c>
      <c r="C8" s="188" t="s">
        <v>724</v>
      </c>
      <c r="D8" s="188">
        <v>968401</v>
      </c>
      <c r="E8" s="188" t="s">
        <v>251</v>
      </c>
      <c r="F8" s="188" t="s">
        <v>192</v>
      </c>
      <c r="G8" s="281"/>
      <c r="H8" s="188"/>
      <c r="I8" s="281"/>
    </row>
  </sheetData>
  <mergeCells count="4">
    <mergeCell ref="B2:G2"/>
    <mergeCell ref="B3:G3"/>
    <mergeCell ref="G7:G8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Anchov y SardC LTP</vt:lpstr>
      <vt:lpstr>Anchoveta</vt:lpstr>
      <vt:lpstr>Sardina comun</vt:lpstr>
      <vt:lpstr>Remanente Anchoveta y Sardina</vt:lpstr>
      <vt:lpstr>IC Anch-SardC V-VII y IX-X</vt:lpstr>
      <vt:lpstr>IC Anch y SardC VIII</vt:lpstr>
      <vt:lpstr>Consumo humano</vt:lpstr>
      <vt:lpstr>Cuota Imprevistos</vt:lpstr>
      <vt:lpstr>Cesiones Indiv y Colecti VIII</vt:lpstr>
      <vt:lpstr>Cesiones Ind IX-XIV</vt:lpstr>
      <vt:lpstr>Remanente Cesiones</vt:lpstr>
      <vt:lpstr>Pescas de Investigacion</vt:lpstr>
      <vt:lpstr>Compilado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nperez</cp:lastModifiedBy>
  <dcterms:created xsi:type="dcterms:W3CDTF">2019-10-14T15:00:49Z</dcterms:created>
  <dcterms:modified xsi:type="dcterms:W3CDTF">2022-02-25T16:21:04Z</dcterms:modified>
</cp:coreProperties>
</file>