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2\3.- Demersales\Rayas\"/>
    </mc:Choice>
  </mc:AlternateContent>
  <bookViews>
    <workbookView xWindow="2805" yWindow="105" windowWidth="10215" windowHeight="10815"/>
  </bookViews>
  <sheets>
    <sheet name="RESUMEN" sheetId="4" r:id="rId1"/>
    <sheet name="ARTESANAL" sheetId="1" r:id="rId2"/>
    <sheet name="INDUSTRIAL" sheetId="5" r:id="rId3"/>
    <sheet name="Hoja1" sheetId="3" state="hidden" r:id="rId4"/>
    <sheet name="Compliado web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N3" i="2"/>
  <c r="N4" i="2"/>
  <c r="N5" i="2"/>
  <c r="N6" i="2"/>
  <c r="N8" i="2"/>
  <c r="N9" i="2"/>
  <c r="N10" i="2"/>
  <c r="N11" i="2"/>
  <c r="N12" i="2"/>
  <c r="N15" i="2"/>
  <c r="N16" i="2"/>
  <c r="N18" i="2"/>
  <c r="N19" i="2"/>
  <c r="I19" i="2"/>
  <c r="J19" i="2"/>
  <c r="K19" i="2"/>
  <c r="L19" i="2"/>
  <c r="M19" i="2"/>
  <c r="H19" i="2"/>
  <c r="I18" i="2"/>
  <c r="J18" i="2"/>
  <c r="K18" i="2"/>
  <c r="L18" i="2"/>
  <c r="M18" i="2"/>
  <c r="H18" i="2"/>
  <c r="I17" i="2"/>
  <c r="J17" i="2"/>
  <c r="K17" i="2"/>
  <c r="L17" i="2"/>
  <c r="M17" i="2"/>
  <c r="N17" i="2"/>
  <c r="H17" i="2"/>
  <c r="H14" i="2"/>
  <c r="I13" i="2"/>
  <c r="J13" i="2"/>
  <c r="K13" i="2"/>
  <c r="L13" i="2"/>
  <c r="M13" i="2"/>
  <c r="N13" i="2"/>
  <c r="H13" i="2"/>
  <c r="I9" i="2"/>
  <c r="K9" i="2"/>
  <c r="J7" i="2"/>
  <c r="K7" i="2"/>
  <c r="L7" i="2"/>
  <c r="M7" i="2"/>
  <c r="N7" i="2"/>
  <c r="I7" i="2"/>
  <c r="H12" i="1"/>
  <c r="J12" i="1" s="1"/>
  <c r="K12" i="1" l="1"/>
  <c r="G22" i="4"/>
  <c r="I20" i="4"/>
  <c r="I21" i="4"/>
  <c r="G21" i="4"/>
  <c r="H25" i="1"/>
  <c r="H24" i="1"/>
  <c r="K24" i="1"/>
  <c r="K25" i="1"/>
  <c r="J24" i="1"/>
  <c r="J25" i="1"/>
  <c r="J23" i="1"/>
  <c r="H23" i="1"/>
  <c r="I24" i="4"/>
  <c r="G23" i="4"/>
  <c r="F21" i="4"/>
  <c r="F18" i="1"/>
  <c r="F28" i="1"/>
  <c r="H21" i="4" l="1"/>
  <c r="K21" i="4" s="1"/>
  <c r="J21" i="4"/>
  <c r="F14" i="4"/>
  <c r="F13" i="4"/>
  <c r="F12" i="4"/>
  <c r="F11" i="4"/>
  <c r="F10" i="4"/>
  <c r="F9" i="4"/>
  <c r="F8" i="4"/>
  <c r="F20" i="4" l="1"/>
  <c r="I12" i="4"/>
  <c r="I13" i="4"/>
  <c r="G12" i="4"/>
  <c r="G13" i="4"/>
  <c r="K8" i="2"/>
  <c r="K10" i="2"/>
  <c r="I8" i="2"/>
  <c r="I10" i="2"/>
  <c r="H10" i="2"/>
  <c r="H8" i="2"/>
  <c r="H13" i="1"/>
  <c r="K13" i="1" s="1"/>
  <c r="M8" i="2" s="1"/>
  <c r="H15" i="1"/>
  <c r="J15" i="1" l="1"/>
  <c r="L10" i="2" s="1"/>
  <c r="K15" i="1"/>
  <c r="M10" i="2" s="1"/>
  <c r="J8" i="2"/>
  <c r="J13" i="1"/>
  <c r="J10" i="2"/>
  <c r="H12" i="4"/>
  <c r="J12" i="4" s="1"/>
  <c r="H13" i="4"/>
  <c r="J13" i="4" s="1"/>
  <c r="I16" i="2"/>
  <c r="I23" i="4"/>
  <c r="L8" i="2" l="1"/>
  <c r="H14" i="1"/>
  <c r="K13" i="4"/>
  <c r="K12" i="4"/>
  <c r="H17" i="4"/>
  <c r="K16" i="2"/>
  <c r="K15" i="2"/>
  <c r="I15" i="2"/>
  <c r="H16" i="2"/>
  <c r="H15" i="2"/>
  <c r="I12" i="2"/>
  <c r="K12" i="2"/>
  <c r="H12" i="2"/>
  <c r="I2" i="2"/>
  <c r="K2" i="2"/>
  <c r="I3" i="2"/>
  <c r="K3" i="2"/>
  <c r="I4" i="2"/>
  <c r="K4" i="2"/>
  <c r="I5" i="2"/>
  <c r="K5" i="2"/>
  <c r="I6" i="2"/>
  <c r="K6" i="2"/>
  <c r="I11" i="2"/>
  <c r="K11" i="2"/>
  <c r="H3" i="2"/>
  <c r="H4" i="2"/>
  <c r="H5" i="2"/>
  <c r="H6" i="2"/>
  <c r="H11" i="2"/>
  <c r="E5" i="2"/>
  <c r="E11" i="2"/>
  <c r="E3" i="2"/>
  <c r="E4" i="2"/>
  <c r="E2" i="2"/>
  <c r="C3" i="2"/>
  <c r="C4" i="2"/>
  <c r="C5" i="2"/>
  <c r="C11" i="2"/>
  <c r="C2" i="2"/>
  <c r="C4" i="1"/>
  <c r="C4" i="5"/>
  <c r="F14" i="5"/>
  <c r="I19" i="4"/>
  <c r="I22" i="4" s="1"/>
  <c r="H11" i="1"/>
  <c r="I26" i="4"/>
  <c r="G26" i="4"/>
  <c r="D26" i="4"/>
  <c r="O4" i="2" l="1"/>
  <c r="P4" i="2" s="1"/>
  <c r="O9" i="2"/>
  <c r="P9" i="2" s="1"/>
  <c r="O12" i="2"/>
  <c r="P12" i="2" s="1"/>
  <c r="O17" i="2"/>
  <c r="P17" i="2" s="1"/>
  <c r="O8" i="2"/>
  <c r="P8" i="2" s="1"/>
  <c r="O16" i="2"/>
  <c r="P16" i="2" s="1"/>
  <c r="O3" i="2"/>
  <c r="P3" i="2" s="1"/>
  <c r="O7" i="2"/>
  <c r="P7" i="2" s="1"/>
  <c r="O10" i="2"/>
  <c r="P10" i="2" s="1"/>
  <c r="O15" i="2"/>
  <c r="P15" i="2" s="1"/>
  <c r="O18" i="2"/>
  <c r="P18" i="2" s="1"/>
  <c r="O5" i="2"/>
  <c r="P5" i="2" s="1"/>
  <c r="O13" i="2"/>
  <c r="P13" i="2" s="1"/>
  <c r="O6" i="2"/>
  <c r="P6" i="2" s="1"/>
  <c r="O11" i="2"/>
  <c r="P11" i="2" s="1"/>
  <c r="O14" i="2"/>
  <c r="P14" i="2" s="1"/>
  <c r="O19" i="2"/>
  <c r="P19" i="2" s="1"/>
  <c r="K14" i="1"/>
  <c r="M9" i="2" s="1"/>
  <c r="J9" i="2"/>
  <c r="J14" i="1"/>
  <c r="L9" i="2" s="1"/>
  <c r="K14" i="2"/>
  <c r="K17" i="4"/>
  <c r="J17" i="4"/>
  <c r="J11" i="1"/>
  <c r="L6" i="2" s="1"/>
  <c r="K11" i="1"/>
  <c r="J16" i="2"/>
  <c r="M16" i="2"/>
  <c r="M6" i="2"/>
  <c r="L16" i="2"/>
  <c r="J6" i="2"/>
  <c r="G27" i="4"/>
  <c r="I27" i="4"/>
  <c r="G25" i="4"/>
  <c r="G20" i="4"/>
  <c r="H20" i="4" s="1"/>
  <c r="G19" i="4"/>
  <c r="F23" i="4"/>
  <c r="F19" i="4"/>
  <c r="F22" i="4" s="1"/>
  <c r="H22" i="4" s="1"/>
  <c r="D20" i="4"/>
  <c r="D21" i="4"/>
  <c r="D19" i="4"/>
  <c r="G16" i="4"/>
  <c r="I16" i="4"/>
  <c r="F16" i="4"/>
  <c r="I8" i="4"/>
  <c r="I9" i="4"/>
  <c r="I10" i="4"/>
  <c r="I11" i="4"/>
  <c r="I14" i="4"/>
  <c r="G10" i="4"/>
  <c r="G7" i="4"/>
  <c r="G8" i="4"/>
  <c r="H8" i="4" s="1"/>
  <c r="G9" i="4"/>
  <c r="G11" i="4"/>
  <c r="G14" i="4"/>
  <c r="F7" i="4"/>
  <c r="F15" i="4" s="1"/>
  <c r="F18" i="4" s="1"/>
  <c r="D14" i="4"/>
  <c r="D8" i="4"/>
  <c r="D9" i="4"/>
  <c r="D10" i="4"/>
  <c r="D7" i="4"/>
  <c r="H13" i="5"/>
  <c r="I14" i="5"/>
  <c r="G14" i="5"/>
  <c r="I9" i="5"/>
  <c r="G9" i="5"/>
  <c r="F9" i="5"/>
  <c r="H8" i="5"/>
  <c r="K8" i="5" s="1"/>
  <c r="H7" i="5"/>
  <c r="H8" i="1"/>
  <c r="K8" i="1" s="1"/>
  <c r="H9" i="1"/>
  <c r="K9" i="1" s="1"/>
  <c r="H10" i="1"/>
  <c r="K10" i="1" s="1"/>
  <c r="H17" i="1"/>
  <c r="K17" i="1" s="1"/>
  <c r="H9" i="4" l="1"/>
  <c r="K9" i="4" s="1"/>
  <c r="H16" i="4"/>
  <c r="K16" i="4" s="1"/>
  <c r="I15" i="4"/>
  <c r="I18" i="4" s="1"/>
  <c r="K20" i="4"/>
  <c r="J20" i="4"/>
  <c r="M4" i="2"/>
  <c r="J4" i="2"/>
  <c r="M3" i="2"/>
  <c r="J3" i="2"/>
  <c r="H9" i="5"/>
  <c r="J9" i="5" s="1"/>
  <c r="F26" i="4"/>
  <c r="F27" i="4" s="1"/>
  <c r="H14" i="5"/>
  <c r="F25" i="4"/>
  <c r="M5" i="2"/>
  <c r="J5" i="2"/>
  <c r="K7" i="5"/>
  <c r="M12" i="2" s="1"/>
  <c r="J12" i="2"/>
  <c r="I25" i="4"/>
  <c r="K13" i="5"/>
  <c r="J13" i="5"/>
  <c r="H19" i="4"/>
  <c r="J19" i="4" s="1"/>
  <c r="H23" i="4"/>
  <c r="J23" i="4" s="1"/>
  <c r="H11" i="4"/>
  <c r="J11" i="4" s="1"/>
  <c r="H14" i="4"/>
  <c r="J14" i="4" s="1"/>
  <c r="H10" i="4"/>
  <c r="J10" i="4" s="1"/>
  <c r="G18" i="4"/>
  <c r="G28" i="4" s="1"/>
  <c r="H7" i="4"/>
  <c r="G15" i="4"/>
  <c r="J8" i="4"/>
  <c r="K8" i="4"/>
  <c r="J8" i="5"/>
  <c r="J7" i="5"/>
  <c r="L12" i="2" s="1"/>
  <c r="J9" i="1"/>
  <c r="L4" i="2" s="1"/>
  <c r="J10" i="1"/>
  <c r="L5" i="2" s="1"/>
  <c r="J8" i="1"/>
  <c r="L3" i="2" s="1"/>
  <c r="J17" i="1"/>
  <c r="J16" i="4" s="1"/>
  <c r="W8" i="3"/>
  <c r="U10" i="3"/>
  <c r="T10" i="3"/>
  <c r="V9" i="3"/>
  <c r="X9" i="3" s="1"/>
  <c r="V8" i="3"/>
  <c r="V7" i="3"/>
  <c r="Y7" i="3" s="1"/>
  <c r="V6" i="3"/>
  <c r="Y6" i="3" s="1"/>
  <c r="V5" i="3"/>
  <c r="X5" i="3" s="1"/>
  <c r="G19" i="3"/>
  <c r="F19" i="3"/>
  <c r="H18" i="3"/>
  <c r="K18" i="3" s="1"/>
  <c r="I17" i="3"/>
  <c r="H17" i="3"/>
  <c r="H16" i="3"/>
  <c r="K16" i="3" s="1"/>
  <c r="H15" i="3"/>
  <c r="J15" i="3" s="1"/>
  <c r="H14" i="3"/>
  <c r="K14" i="3" s="1"/>
  <c r="F8" i="3"/>
  <c r="E8" i="3"/>
  <c r="G7" i="3"/>
  <c r="G6" i="3"/>
  <c r="I6" i="3" s="1"/>
  <c r="I28" i="4" l="1"/>
  <c r="J9" i="4"/>
  <c r="J17" i="3"/>
  <c r="V10" i="3"/>
  <c r="F28" i="4"/>
  <c r="H15" i="4"/>
  <c r="J15" i="4" s="1"/>
  <c r="J14" i="5"/>
  <c r="K14" i="5"/>
  <c r="K23" i="4"/>
  <c r="H26" i="4"/>
  <c r="J26" i="4" s="1"/>
  <c r="H27" i="4"/>
  <c r="J22" i="4"/>
  <c r="H25" i="4"/>
  <c r="J25" i="4" s="1"/>
  <c r="Y8" i="3"/>
  <c r="K19" i="4"/>
  <c r="K14" i="4"/>
  <c r="K11" i="4"/>
  <c r="K10" i="4"/>
  <c r="J7" i="4"/>
  <c r="K7" i="4"/>
  <c r="K9" i="5"/>
  <c r="Y5" i="3"/>
  <c r="J14" i="3"/>
  <c r="G8" i="3"/>
  <c r="Y9" i="3"/>
  <c r="H19" i="3"/>
  <c r="X7" i="3"/>
  <c r="X8" i="3"/>
  <c r="W10" i="3"/>
  <c r="Y10" i="3" s="1"/>
  <c r="K17" i="3"/>
  <c r="X6" i="3"/>
  <c r="K15" i="3"/>
  <c r="J18" i="3"/>
  <c r="J16" i="3"/>
  <c r="I19" i="3"/>
  <c r="J6" i="3"/>
  <c r="J7" i="3"/>
  <c r="I7" i="3"/>
  <c r="H8" i="3"/>
  <c r="H18" i="4" l="1"/>
  <c r="J18" i="4" s="1"/>
  <c r="J27" i="4"/>
  <c r="K27" i="4"/>
  <c r="K25" i="4"/>
  <c r="K22" i="4"/>
  <c r="K26" i="4"/>
  <c r="H28" i="4"/>
  <c r="J28" i="4" s="1"/>
  <c r="K15" i="4"/>
  <c r="J8" i="3"/>
  <c r="K19" i="3"/>
  <c r="X10" i="3"/>
  <c r="J19" i="3"/>
  <c r="I8" i="3"/>
  <c r="O2" i="2"/>
  <c r="P2" i="2" s="1"/>
  <c r="K18" i="4" l="1"/>
  <c r="K28" i="4"/>
  <c r="H2" i="2"/>
  <c r="I14" i="2" l="1"/>
  <c r="J14" i="2" s="1"/>
  <c r="H7" i="1"/>
  <c r="K7" i="1" s="1"/>
  <c r="L14" i="2" l="1"/>
  <c r="M14" i="2"/>
  <c r="J7" i="1"/>
  <c r="L2" i="2" s="1"/>
  <c r="J2" i="2"/>
  <c r="I28" i="1"/>
  <c r="G28" i="1"/>
  <c r="G24" i="4" s="1"/>
  <c r="H24" i="4" s="1"/>
  <c r="J24" i="4" s="1"/>
  <c r="H26" i="1"/>
  <c r="I18" i="1"/>
  <c r="G18" i="1"/>
  <c r="H18" i="1" s="1"/>
  <c r="H16" i="1"/>
  <c r="J11" i="2" l="1"/>
  <c r="K16" i="1"/>
  <c r="M11" i="2" s="1"/>
  <c r="K26" i="1"/>
  <c r="J26" i="1"/>
  <c r="K24" i="4"/>
  <c r="J16" i="1"/>
  <c r="L11" i="2" s="1"/>
  <c r="J18" i="1"/>
  <c r="M2" i="2"/>
  <c r="K18" i="1" l="1"/>
  <c r="K23" i="1" l="1"/>
  <c r="J15" i="2" l="1"/>
  <c r="L15" i="2"/>
  <c r="H28" i="1"/>
  <c r="M15" i="2"/>
  <c r="K28" i="1" l="1"/>
  <c r="J28" i="1"/>
  <c r="E6" i="2"/>
  <c r="D11" i="4"/>
  <c r="C6" i="2"/>
  <c r="D11" i="1"/>
</calcChain>
</file>

<file path=xl/comments1.xml><?xml version="1.0" encoding="utf-8"?>
<comments xmlns="http://schemas.openxmlformats.org/spreadsheetml/2006/main">
  <authors>
    <author>CEA TELLO, MARIO ANDRES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Rios periodo de captura desde 01 de septiembre al 31 de octubre (Res. Ex. N°1059-22)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Los Lagos periodo de captura desde 22 de septiembre al 31 de octubre (Res. Ex. N°1059-22)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Aysen periodo de captura desde 01 de agosto al 30 de septiembre (Res. Ex. N°784-22)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Rios periodo de captura desde 01 de septiembre al 31 de octubre (Res. Ex. N°1059-22)
Region de Los Lagos periodo de captura desde 22 de septiembre al 31 de octubre (Res. Ex. N°1059-22)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Aysen periodo de captura desde 01 de agosto al 30 de septiembre (Res. Ex. N°784-22)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los Rios se incorpora nuevo periodo de captura desde 01 de septiembre al 31 de octubre (Res. Ex. N°1059-22)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N°1059-22 (Subpesca)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Los Lagos  se incorpora nuevo periodo de captura desde 22 de septiembre al 31 de octubre (Res. Ex. N°1059-22)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Aysen periodo de captura desde 01 de agosto al 30 de septiembre (Res. Ex. N°784-22)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los Rios se incorpora nuevo periodo de captura desde 01 de septiembre al 31 de octubre (Res. Ex. N°1059-22)
Region de Los Lagos se incorpora nuevo periodo de captura desde 22 de septiembre al 31 de octubre (Res. Ex. N°1059-22)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Region de Aysen periodo de captura desde 01 de agosto al 30 de septiembre (Res. Ex. N°784-22)</t>
        </r>
      </text>
    </comment>
  </commentList>
</comments>
</file>

<file path=xl/sharedStrings.xml><?xml version="1.0" encoding="utf-8"?>
<sst xmlns="http://schemas.openxmlformats.org/spreadsheetml/2006/main" count="322" uniqueCount="113">
  <si>
    <t>Pesquería</t>
  </si>
  <si>
    <t>Fracciones</t>
  </si>
  <si>
    <t xml:space="preserve">Periodo </t>
  </si>
  <si>
    <t>Cuota Asignada</t>
  </si>
  <si>
    <t>Movimientos</t>
  </si>
  <si>
    <t>Cuota Efectiva</t>
  </si>
  <si>
    <t>Captura</t>
  </si>
  <si>
    <t>Saldo</t>
  </si>
  <si>
    <t xml:space="preserve">% Consumo </t>
  </si>
  <si>
    <t>Cierre</t>
  </si>
  <si>
    <t>Fauna Acompañante</t>
  </si>
  <si>
    <t xml:space="preserve">IV Región de Coquimbo a XII Región de Magallanes y Antártica Chilena </t>
  </si>
  <si>
    <t>Investigación</t>
  </si>
  <si>
    <t>TOTAL CUOTA GLOBAL</t>
  </si>
  <si>
    <t>Periodo</t>
  </si>
  <si>
    <t>Raya Espinosa IV-XII</t>
  </si>
  <si>
    <t>-</t>
  </si>
  <si>
    <t xml:space="preserve">Objetivo Artesanal-Industrial 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</si>
  <si>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</si>
  <si>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</si>
  <si>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</si>
  <si>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</si>
  <si>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</si>
  <si>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</si>
  <si>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</si>
  <si>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</si>
  <si>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</si>
  <si>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</si>
  <si>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</si>
  <si>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</si>
  <si>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</si>
  <si>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</si>
  <si>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</si>
  <si>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IV-XII</t>
  </si>
  <si>
    <t>RAYA VOLANTIN</t>
  </si>
  <si>
    <t xml:space="preserve">ARTESANAL  </t>
  </si>
  <si>
    <t>RAYA VOLANTIN IV-XII</t>
  </si>
  <si>
    <t>RAYA ESPINOSA IV-VII</t>
  </si>
  <si>
    <t>RAYA ESPINOSA</t>
  </si>
  <si>
    <t>RAYA ESPINOSA IV-XII</t>
  </si>
  <si>
    <t>año</t>
  </si>
  <si>
    <t>mensaje</t>
  </si>
  <si>
    <t xml:space="preserve">IV Región de Coquimbo a VII Región del Maule </t>
  </si>
  <si>
    <t>Región del Ñuble-41°28.6 L.S.</t>
  </si>
  <si>
    <t xml:space="preserve">41°28.6 LS a XII Región de Magallanes y Antártica Chilena </t>
  </si>
  <si>
    <t xml:space="preserve">Unidades de pesquerías </t>
  </si>
  <si>
    <t>13-10-2020 al 24-10-2020</t>
  </si>
  <si>
    <t xml:space="preserve">Objetivo Industrial </t>
  </si>
  <si>
    <t xml:space="preserve">Región de Coquimbo a  Región de Magallanes y Antártica Chilena </t>
  </si>
  <si>
    <t xml:space="preserve">Raya Volantín </t>
  </si>
  <si>
    <t>Recurso</t>
  </si>
  <si>
    <t>Raya Volantín IV</t>
  </si>
  <si>
    <t>Objetivo Artesanal</t>
  </si>
  <si>
    <t>Objetivo Industrial</t>
  </si>
  <si>
    <t>XVI</t>
  </si>
  <si>
    <t>VIII</t>
  </si>
  <si>
    <t>IX</t>
  </si>
  <si>
    <t>XIV</t>
  </si>
  <si>
    <t xml:space="preserve">ARTESANAL-INDUSTRIAL </t>
  </si>
  <si>
    <t>INDUSTRIALES IV A XII</t>
  </si>
  <si>
    <t>INDUSTRIAL</t>
  </si>
  <si>
    <t>ARTESANAL-INDUSTRIAL IV A XII</t>
  </si>
  <si>
    <t xml:space="preserve">IV  a VII </t>
  </si>
  <si>
    <t xml:space="preserve">IV a VII </t>
  </si>
  <si>
    <t xml:space="preserve">IV  a XII </t>
  </si>
  <si>
    <t>Información preliminar</t>
  </si>
  <si>
    <t>SECTOR</t>
  </si>
  <si>
    <t>CUOTA OBJETIVO ARTESANAL</t>
  </si>
  <si>
    <t>TOTAL FRACCION INDUSTRIAL</t>
  </si>
  <si>
    <t>CUOTA GLOBAL RAYA VOLANTÍN Y ESPINOSA IV-XII</t>
  </si>
  <si>
    <t xml:space="preserve">TOTAL FRACCION ARTESANAL IV-XII </t>
  </si>
  <si>
    <t>TOTAL FRACCION ARTESANAL IV-XII</t>
  </si>
  <si>
    <t xml:space="preserve">ARTESANAL </t>
  </si>
  <si>
    <t>X</t>
  </si>
  <si>
    <t>XI</t>
  </si>
  <si>
    <t>XII</t>
  </si>
  <si>
    <t>RESUMEN ANUAL CONSUMO GLOBAL DE CUOTA RAYA VOLANTÍN Y ESPINOSA 2022</t>
  </si>
  <si>
    <t>REGIÓN/AREA</t>
  </si>
  <si>
    <t>CUOTA ASIGNADA (TON)</t>
  </si>
  <si>
    <t>MOVIMIENTOS (TON)</t>
  </si>
  <si>
    <t>CUOTA EFECTIVA (TON)</t>
  </si>
  <si>
    <t>CAPTURA (TON)</t>
  </si>
  <si>
    <t>SALDO (TON)</t>
  </si>
  <si>
    <t>CONSUMO %</t>
  </si>
  <si>
    <t>RECURSO</t>
  </si>
  <si>
    <t>ARTESANAL</t>
  </si>
  <si>
    <t>PESQUERÍA</t>
  </si>
  <si>
    <t>FRACIONAMIENTO</t>
  </si>
  <si>
    <t>PERIODO</t>
  </si>
  <si>
    <t>FECHA CIERRE</t>
  </si>
  <si>
    <t>FAUNA ACOMPAÑANTE</t>
  </si>
  <si>
    <t>IV A XII</t>
  </si>
  <si>
    <t>ARTESANAL-INDUSTRIAL</t>
  </si>
  <si>
    <t>FAUNA ACOMPAÑANTE (ART-IND)</t>
  </si>
  <si>
    <t xml:space="preserve">CONTROL CUOTA INDUSTRIAL RAYA VOLANTIN Y RAYA ESPINOSA IV-XII. AÑO 2022. 
</t>
  </si>
  <si>
    <t xml:space="preserve">CONTROL CUOTA ARTESANAL RAYA VOLANTIN Y RAYA ESPINOSA IV-XII. AÑO 2022. 
</t>
  </si>
  <si>
    <t>FRACCIONAMIENTO</t>
  </si>
  <si>
    <t>OBJETIVO</t>
  </si>
  <si>
    <t>CIERRE</t>
  </si>
  <si>
    <t>TOTAL</t>
  </si>
  <si>
    <t>RAYA VOLANTÍN</t>
  </si>
  <si>
    <t>01-08-2022 al 30-09-2022</t>
  </si>
  <si>
    <t>20-04-2022 al 20-06-2022</t>
  </si>
  <si>
    <t>XVI a 41°28,6 L.S.</t>
  </si>
  <si>
    <t>41°28,6 L.S. AL XII</t>
  </si>
  <si>
    <t>01-09-2022 al 31-10-2022</t>
  </si>
  <si>
    <t>22-09-2022 al 31-10-2022</t>
  </si>
  <si>
    <t xml:space="preserve"> FAUNA ACOMPAÑANTE</t>
  </si>
  <si>
    <t>FAUNA ACOMPAÑANTE ART-IND</t>
  </si>
  <si>
    <t xml:space="preserve"> INVESTIGACIÓN (ART-IND)</t>
  </si>
  <si>
    <t>INVESTIGACIÓN ART-IND</t>
  </si>
  <si>
    <t>FAUNA ACOMPAÑANTE INDUSTRIALES IV A XII</t>
  </si>
  <si>
    <t xml:space="preserve">FAUNA ACOMPAÑANTE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</si>
</sst>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.000"/>
    <numFmt numFmtId="166" formatCode="[$-F800]dddd\,\ mmmm\ dd\,\ yyyy"/>
    <numFmt numFmtId="167" formatCode="0.000%"/>
    <numFmt numFmtId="168" formatCode="0.0"/>
    <numFmt numFmtId="169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7">
    <xf numFmtId="0" fontId="0" fillId="0" borderId="0" xfId="0"/>
    <xf numFmtId="14" fontId="0" fillId="0" borderId="7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7" fillId="0" borderId="0" xfId="0" applyFont="1"/>
    <xf numFmtId="9" fontId="7" fillId="0" borderId="0" xfId="1" applyFont="1"/>
    <xf numFmtId="14" fontId="7" fillId="0" borderId="0" xfId="0" applyNumberFormat="1" applyFont="1"/>
    <xf numFmtId="0" fontId="7" fillId="0" borderId="0" xfId="0" applyFont="1" applyAlignment="1">
      <alignment horizontal="center"/>
    </xf>
    <xf numFmtId="14" fontId="0" fillId="0" borderId="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 vertical="center"/>
    </xf>
    <xf numFmtId="167" fontId="4" fillId="0" borderId="1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7" fontId="9" fillId="0" borderId="6" xfId="1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167" fontId="8" fillId="0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10" fillId="0" borderId="0" xfId="0" applyFont="1"/>
    <xf numFmtId="0" fontId="10" fillId="5" borderId="0" xfId="0" applyFont="1" applyFill="1"/>
    <xf numFmtId="0" fontId="10" fillId="5" borderId="0" xfId="0" quotePrefix="1" applyFont="1" applyFill="1"/>
    <xf numFmtId="164" fontId="10" fillId="5" borderId="0" xfId="0" applyNumberFormat="1" applyFont="1" applyFill="1"/>
    <xf numFmtId="1" fontId="10" fillId="5" borderId="0" xfId="0" applyNumberFormat="1" applyFont="1" applyFill="1"/>
    <xf numFmtId="0" fontId="13" fillId="0" borderId="0" xfId="0" applyFont="1"/>
    <xf numFmtId="165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/>
    <xf numFmtId="167" fontId="7" fillId="0" borderId="6" xfId="1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7" fontId="11" fillId="0" borderId="14" xfId="1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165" fontId="11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14" fontId="11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9" fontId="7" fillId="0" borderId="0" xfId="0" applyNumberFormat="1" applyFont="1" applyFill="1" applyAlignment="1"/>
    <xf numFmtId="0" fontId="11" fillId="0" borderId="0" xfId="0" applyFont="1" applyFill="1" applyAlignment="1"/>
    <xf numFmtId="0" fontId="7" fillId="6" borderId="16" xfId="0" applyFont="1" applyFill="1" applyBorder="1"/>
    <xf numFmtId="0" fontId="7" fillId="6" borderId="17" xfId="0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0" fontId="7" fillId="6" borderId="0" xfId="0" applyFont="1" applyFill="1" applyBorder="1"/>
    <xf numFmtId="0" fontId="7" fillId="6" borderId="20" xfId="0" applyFont="1" applyFill="1" applyBorder="1"/>
    <xf numFmtId="0" fontId="7" fillId="6" borderId="21" xfId="0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14" fontId="11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167" fontId="11" fillId="0" borderId="6" xfId="1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6" borderId="16" xfId="0" applyFont="1" applyFill="1" applyBorder="1"/>
    <xf numFmtId="0" fontId="11" fillId="6" borderId="17" xfId="0" applyFont="1" applyFill="1" applyBorder="1"/>
    <xf numFmtId="0" fontId="11" fillId="6" borderId="18" xfId="0" applyFont="1" applyFill="1" applyBorder="1"/>
    <xf numFmtId="0" fontId="11" fillId="6" borderId="19" xfId="0" applyFont="1" applyFill="1" applyBorder="1"/>
    <xf numFmtId="0" fontId="11" fillId="6" borderId="0" xfId="0" applyFont="1" applyFill="1" applyBorder="1"/>
    <xf numFmtId="0" fontId="11" fillId="6" borderId="20" xfId="0" applyFont="1" applyFill="1" applyBorder="1"/>
    <xf numFmtId="0" fontId="11" fillId="6" borderId="21" xfId="0" applyFont="1" applyFill="1" applyBorder="1"/>
    <xf numFmtId="0" fontId="11" fillId="6" borderId="22" xfId="0" applyFont="1" applyFill="1" applyBorder="1"/>
    <xf numFmtId="0" fontId="11" fillId="6" borderId="23" xfId="0" applyFont="1" applyFill="1" applyBorder="1"/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9" fontId="11" fillId="0" borderId="0" xfId="0" applyNumberFormat="1" applyFont="1" applyAlignment="1"/>
    <xf numFmtId="165" fontId="11" fillId="0" borderId="25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7" fontId="11" fillId="0" borderId="5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/>
    </xf>
    <xf numFmtId="9" fontId="7" fillId="0" borderId="6" xfId="1" applyFont="1" applyFill="1" applyBorder="1" applyAlignment="1">
      <alignment horizontal="center"/>
    </xf>
    <xf numFmtId="167" fontId="7" fillId="0" borderId="6" xfId="1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 wrapText="1"/>
    </xf>
    <xf numFmtId="167" fontId="7" fillId="0" borderId="6" xfId="1" applyNumberFormat="1" applyFont="1" applyFill="1" applyBorder="1" applyAlignment="1">
      <alignment horizontal="center" wrapText="1"/>
    </xf>
    <xf numFmtId="9" fontId="7" fillId="0" borderId="6" xfId="1" applyFont="1" applyFill="1" applyBorder="1" applyAlignment="1">
      <alignment horizontal="center" wrapText="1"/>
    </xf>
    <xf numFmtId="165" fontId="2" fillId="0" borderId="6" xfId="0" applyNumberFormat="1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0" fontId="11" fillId="8" borderId="6" xfId="0" applyFont="1" applyFill="1" applyBorder="1" applyAlignment="1">
      <alignment horizontal="center" vertical="center" wrapText="1"/>
    </xf>
    <xf numFmtId="14" fontId="11" fillId="8" borderId="6" xfId="0" applyNumberFormat="1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>
      <alignment horizontal="center" vertical="center" wrapText="1"/>
    </xf>
    <xf numFmtId="165" fontId="11" fillId="8" borderId="6" xfId="0" applyNumberFormat="1" applyFont="1" applyFill="1" applyBorder="1" applyAlignment="1">
      <alignment horizontal="center" wrapText="1"/>
    </xf>
    <xf numFmtId="167" fontId="11" fillId="8" borderId="6" xfId="1" applyNumberFormat="1" applyFont="1" applyFill="1" applyBorder="1" applyAlignment="1">
      <alignment horizontal="center" wrapText="1"/>
    </xf>
    <xf numFmtId="165" fontId="11" fillId="8" borderId="6" xfId="0" applyNumberFormat="1" applyFont="1" applyFill="1" applyBorder="1" applyAlignment="1">
      <alignment horizontal="center"/>
    </xf>
    <xf numFmtId="0" fontId="11" fillId="8" borderId="6" xfId="0" applyFont="1" applyFill="1" applyBorder="1" applyAlignment="1">
      <alignment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/>
    </xf>
    <xf numFmtId="9" fontId="11" fillId="0" borderId="6" xfId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 wrapText="1"/>
    </xf>
    <xf numFmtId="167" fontId="11" fillId="0" borderId="6" xfId="1" applyNumberFormat="1" applyFont="1" applyFill="1" applyBorder="1" applyAlignment="1">
      <alignment horizontal="center" wrapText="1"/>
    </xf>
    <xf numFmtId="165" fontId="7" fillId="0" borderId="6" xfId="0" applyNumberFormat="1" applyFont="1" applyFill="1" applyBorder="1" applyAlignment="1">
      <alignment horizontal="center" vertical="center"/>
    </xf>
    <xf numFmtId="169" fontId="7" fillId="0" borderId="6" xfId="1" applyNumberFormat="1" applyFont="1" applyFill="1" applyBorder="1" applyAlignment="1">
      <alignment horizontal="center" vertical="center"/>
    </xf>
    <xf numFmtId="169" fontId="11" fillId="0" borderId="6" xfId="1" applyNumberFormat="1" applyFont="1" applyFill="1" applyBorder="1" applyAlignment="1">
      <alignment horizontal="center" vertical="center"/>
    </xf>
    <xf numFmtId="169" fontId="7" fillId="0" borderId="6" xfId="1" applyNumberFormat="1" applyFon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168" fontId="11" fillId="0" borderId="5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166" fontId="2" fillId="6" borderId="21" xfId="0" applyNumberFormat="1" applyFont="1" applyFill="1" applyBorder="1" applyAlignment="1">
      <alignment horizontal="center" vertical="center"/>
    </xf>
    <xf numFmtId="166" fontId="2" fillId="6" borderId="22" xfId="0" applyNumberFormat="1" applyFont="1" applyFill="1" applyBorder="1" applyAlignment="1">
      <alignment horizontal="center" vertical="center"/>
    </xf>
    <xf numFmtId="166" fontId="2" fillId="6" borderId="2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8" fontId="11" fillId="0" borderId="6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6" fontId="11" fillId="6" borderId="22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69" fontId="7" fillId="0" borderId="6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5" fontId="7" fillId="9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je" xfId="1" builtinId="5"/>
    <cellStyle name="Porcentual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9CFDC"/>
      <color rgb="FFBA3851"/>
      <color rgb="FFF45E7E"/>
      <color rgb="FFF2B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12700</xdr:rowOff>
    </xdr:from>
    <xdr:to>
      <xdr:col>2</xdr:col>
      <xdr:colOff>673818</xdr:colOff>
      <xdr:row>4</xdr:row>
      <xdr:rowOff>9525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650" y="298450"/>
          <a:ext cx="1746968" cy="60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93662</xdr:colOff>
      <xdr:row>0</xdr:row>
      <xdr:rowOff>215106</xdr:rowOff>
    </xdr:from>
    <xdr:to>
      <xdr:col>2</xdr:col>
      <xdr:colOff>587140</xdr:colOff>
      <xdr:row>4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2035FC17-91F5-4E0C-B061-6C03C596E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962" y="215106"/>
          <a:ext cx="1731728" cy="785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K38"/>
  <sheetViews>
    <sheetView showGridLines="0" tabSelected="1" topLeftCell="B1" workbookViewId="0">
      <selection activeCell="B5" sqref="B5:K5"/>
    </sheetView>
  </sheetViews>
  <sheetFormatPr baseColWidth="10" defaultRowHeight="15" x14ac:dyDescent="0.25"/>
  <cols>
    <col min="3" max="3" width="14" customWidth="1"/>
    <col min="4" max="4" width="34" bestFit="1" customWidth="1"/>
    <col min="5" max="5" width="22.5703125" bestFit="1" customWidth="1"/>
    <col min="6" max="6" width="24.7109375" style="109" customWidth="1"/>
    <col min="7" max="7" width="20.42578125" customWidth="1"/>
    <col min="8" max="8" width="23" customWidth="1"/>
    <col min="9" max="9" width="15.5703125" customWidth="1"/>
    <col min="10" max="10" width="13.7109375" customWidth="1"/>
    <col min="11" max="11" width="16.7109375" customWidth="1"/>
  </cols>
  <sheetData>
    <row r="1" spans="1:11" x14ac:dyDescent="0.25">
      <c r="A1" s="46"/>
    </row>
    <row r="2" spans="1:11" ht="15.75" thickBot="1" x14ac:dyDescent="0.3">
      <c r="A2" s="46"/>
    </row>
    <row r="3" spans="1:11" x14ac:dyDescent="0.25">
      <c r="A3" s="47"/>
      <c r="B3" s="143" t="s">
        <v>76</v>
      </c>
      <c r="C3" s="144"/>
      <c r="D3" s="144"/>
      <c r="E3" s="144"/>
      <c r="F3" s="144"/>
      <c r="G3" s="144"/>
      <c r="H3" s="144"/>
      <c r="I3" s="144"/>
      <c r="J3" s="144"/>
      <c r="K3" s="145"/>
    </row>
    <row r="4" spans="1:11" ht="15.75" thickBot="1" x14ac:dyDescent="0.3">
      <c r="A4" s="47"/>
      <c r="B4" s="146">
        <v>44727</v>
      </c>
      <c r="C4" s="147"/>
      <c r="D4" s="147"/>
      <c r="E4" s="147"/>
      <c r="F4" s="147"/>
      <c r="G4" s="147"/>
      <c r="H4" s="147"/>
      <c r="I4" s="147"/>
      <c r="J4" s="147"/>
      <c r="K4" s="148"/>
    </row>
    <row r="5" spans="1:11" x14ac:dyDescent="0.25">
      <c r="B5" s="149" t="s">
        <v>65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x14ac:dyDescent="0.25">
      <c r="A6" s="47"/>
      <c r="B6" s="101" t="s">
        <v>66</v>
      </c>
      <c r="C6" s="101" t="s">
        <v>84</v>
      </c>
      <c r="D6" s="101" t="s">
        <v>77</v>
      </c>
      <c r="E6" s="101" t="s">
        <v>88</v>
      </c>
      <c r="F6" s="101" t="s">
        <v>78</v>
      </c>
      <c r="G6" s="101" t="s">
        <v>79</v>
      </c>
      <c r="H6" s="101" t="s">
        <v>80</v>
      </c>
      <c r="I6" s="101" t="s">
        <v>81</v>
      </c>
      <c r="J6" s="101" t="s">
        <v>82</v>
      </c>
      <c r="K6" s="101" t="s">
        <v>83</v>
      </c>
    </row>
    <row r="7" spans="1:11" x14ac:dyDescent="0.25">
      <c r="A7" s="47"/>
      <c r="B7" s="150" t="s">
        <v>85</v>
      </c>
      <c r="C7" s="150" t="s">
        <v>100</v>
      </c>
      <c r="D7" s="102" t="str">
        <f>+ARTESANAL!D7</f>
        <v xml:space="preserve">IV a VII </v>
      </c>
      <c r="E7" s="81" t="s">
        <v>102</v>
      </c>
      <c r="F7" s="105">
        <f>+ARTESANAL!F7</f>
        <v>61.11</v>
      </c>
      <c r="G7" s="112">
        <f>+ARTESANAL!G7</f>
        <v>0</v>
      </c>
      <c r="H7" s="112">
        <f>+F7+G7</f>
        <v>61.11</v>
      </c>
      <c r="I7" s="112">
        <v>0</v>
      </c>
      <c r="J7" s="112">
        <f t="shared" ref="J7:J15" si="0">+H7-I7</f>
        <v>61.11</v>
      </c>
      <c r="K7" s="113">
        <f>+I7/H7</f>
        <v>0</v>
      </c>
    </row>
    <row r="8" spans="1:11" x14ac:dyDescent="0.25">
      <c r="A8" s="48"/>
      <c r="B8" s="150"/>
      <c r="C8" s="150"/>
      <c r="D8" s="102" t="str">
        <f>+ARTESANAL!D8</f>
        <v>XVI</v>
      </c>
      <c r="E8" s="81" t="s">
        <v>102</v>
      </c>
      <c r="F8" s="105">
        <f>ARTESANAL!F8</f>
        <v>15.98</v>
      </c>
      <c r="G8" s="112">
        <f>+ARTESANAL!G8</f>
        <v>0</v>
      </c>
      <c r="H8" s="112">
        <f t="shared" ref="H8:H14" si="1">+F8+G8</f>
        <v>15.98</v>
      </c>
      <c r="I8" s="112">
        <f>+ARTESANAL!I8</f>
        <v>0</v>
      </c>
      <c r="J8" s="112">
        <f t="shared" si="0"/>
        <v>15.98</v>
      </c>
      <c r="K8" s="113">
        <f t="shared" ref="K8:K9" si="2">+I8/H8</f>
        <v>0</v>
      </c>
    </row>
    <row r="9" spans="1:11" x14ac:dyDescent="0.25">
      <c r="A9" s="49"/>
      <c r="B9" s="150"/>
      <c r="C9" s="150"/>
      <c r="D9" s="102" t="str">
        <f>+ARTESANAL!D9</f>
        <v>VIII</v>
      </c>
      <c r="E9" s="81" t="s">
        <v>102</v>
      </c>
      <c r="F9" s="105">
        <f>ARTESANAL!F9</f>
        <v>217.28</v>
      </c>
      <c r="G9" s="112">
        <f>+ARTESANAL!G9</f>
        <v>0</v>
      </c>
      <c r="H9" s="112">
        <f t="shared" si="1"/>
        <v>217.28</v>
      </c>
      <c r="I9" s="112">
        <f>+ARTESANAL!I9</f>
        <v>10.1</v>
      </c>
      <c r="J9" s="112">
        <f t="shared" si="0"/>
        <v>207.18</v>
      </c>
      <c r="K9" s="114">
        <f t="shared" si="2"/>
        <v>4.6483799705449191E-2</v>
      </c>
    </row>
    <row r="10" spans="1:11" x14ac:dyDescent="0.25">
      <c r="A10" s="49"/>
      <c r="B10" s="150"/>
      <c r="C10" s="150"/>
      <c r="D10" s="102" t="str">
        <f>+ARTESANAL!D10</f>
        <v>IX</v>
      </c>
      <c r="E10" s="81" t="s">
        <v>102</v>
      </c>
      <c r="F10" s="105">
        <f>ARTESANAL!F10</f>
        <v>30.29</v>
      </c>
      <c r="G10" s="112">
        <f>+ARTESANAL!G10</f>
        <v>0</v>
      </c>
      <c r="H10" s="112">
        <f t="shared" si="1"/>
        <v>30.29</v>
      </c>
      <c r="I10" s="112">
        <f>+ARTESANAL!I10</f>
        <v>0</v>
      </c>
      <c r="J10" s="112">
        <f t="shared" si="0"/>
        <v>30.29</v>
      </c>
      <c r="K10" s="113">
        <f>+I10/H10</f>
        <v>0</v>
      </c>
    </row>
    <row r="11" spans="1:11" x14ac:dyDescent="0.25">
      <c r="A11" s="49"/>
      <c r="B11" s="150"/>
      <c r="C11" s="150"/>
      <c r="D11" s="102" t="str">
        <f ca="1">+ARTESANAL!D11</f>
        <v>XIV</v>
      </c>
      <c r="E11" s="81" t="s">
        <v>105</v>
      </c>
      <c r="F11" s="105">
        <f>ARTESANAL!F11</f>
        <v>216.42</v>
      </c>
      <c r="G11" s="112">
        <f>+ARTESANAL!G11</f>
        <v>0</v>
      </c>
      <c r="H11" s="112">
        <f t="shared" si="1"/>
        <v>216.42</v>
      </c>
      <c r="I11" s="112">
        <f>+ARTESANAL!I11</f>
        <v>0</v>
      </c>
      <c r="J11" s="112">
        <f t="shared" si="0"/>
        <v>216.42</v>
      </c>
      <c r="K11" s="113">
        <f t="shared" ref="K11:K14" si="3">+I11/H11</f>
        <v>0</v>
      </c>
    </row>
    <row r="12" spans="1:11" x14ac:dyDescent="0.25">
      <c r="A12" s="49"/>
      <c r="B12" s="150"/>
      <c r="C12" s="150"/>
      <c r="D12" s="102" t="s">
        <v>73</v>
      </c>
      <c r="E12" s="81" t="s">
        <v>106</v>
      </c>
      <c r="F12" s="105">
        <f>ARTESANAL!F13</f>
        <v>416.29</v>
      </c>
      <c r="G12" s="112">
        <f>+ARTESANAL!G13</f>
        <v>0</v>
      </c>
      <c r="H12" s="112">
        <f t="shared" ref="H12:H13" si="4">+F12+G12</f>
        <v>416.29</v>
      </c>
      <c r="I12" s="112">
        <f>+ARTESANAL!I13</f>
        <v>293.03100000000001</v>
      </c>
      <c r="J12" s="112">
        <f t="shared" ref="J12:J13" si="5">+H12-I12</f>
        <v>123.25900000000001</v>
      </c>
      <c r="K12" s="113">
        <f t="shared" ref="K12:K13" si="6">+I12/H12</f>
        <v>0.70391073530471548</v>
      </c>
    </row>
    <row r="13" spans="1:11" x14ac:dyDescent="0.25">
      <c r="A13" s="49"/>
      <c r="B13" s="150"/>
      <c r="C13" s="150"/>
      <c r="D13" s="102" t="s">
        <v>74</v>
      </c>
      <c r="E13" s="102" t="s">
        <v>101</v>
      </c>
      <c r="F13" s="105">
        <f>ARTESANAL!F15</f>
        <v>107.78</v>
      </c>
      <c r="G13" s="112">
        <f>+ARTESANAL!G15</f>
        <v>0</v>
      </c>
      <c r="H13" s="112">
        <f t="shared" si="4"/>
        <v>107.78</v>
      </c>
      <c r="I13" s="112">
        <f>+ARTESANAL!I15</f>
        <v>0</v>
      </c>
      <c r="J13" s="112">
        <f t="shared" si="5"/>
        <v>107.78</v>
      </c>
      <c r="K13" s="113">
        <f t="shared" si="6"/>
        <v>0</v>
      </c>
    </row>
    <row r="14" spans="1:11" x14ac:dyDescent="0.25">
      <c r="A14" s="49"/>
      <c r="B14" s="150"/>
      <c r="C14" s="150"/>
      <c r="D14" s="102" t="str">
        <f>+ARTESANAL!D16</f>
        <v>XII</v>
      </c>
      <c r="E14" s="81" t="s">
        <v>102</v>
      </c>
      <c r="F14" s="128">
        <f>ARTESANAL!F16</f>
        <v>81.44</v>
      </c>
      <c r="G14" s="130">
        <f>+ARTESANAL!G16</f>
        <v>0</v>
      </c>
      <c r="H14" s="130">
        <f t="shared" si="1"/>
        <v>81.44</v>
      </c>
      <c r="I14" s="130">
        <f>+ARTESANAL!I16</f>
        <v>0.76</v>
      </c>
      <c r="J14" s="130">
        <f t="shared" si="0"/>
        <v>80.679999999999993</v>
      </c>
      <c r="K14" s="131">
        <f t="shared" si="3"/>
        <v>9.3320235756385074E-3</v>
      </c>
    </row>
    <row r="15" spans="1:11" x14ac:dyDescent="0.25">
      <c r="A15" s="47"/>
      <c r="B15" s="150"/>
      <c r="C15" s="150"/>
      <c r="D15" s="69" t="s">
        <v>67</v>
      </c>
      <c r="E15" s="81" t="s">
        <v>102</v>
      </c>
      <c r="F15" s="129">
        <f>SUM(F7:F14)</f>
        <v>1146.5900000000001</v>
      </c>
      <c r="G15" s="115">
        <f>+G7+G8+G9+G10+G11+G14</f>
        <v>0</v>
      </c>
      <c r="H15" s="112">
        <f>+F15-G15</f>
        <v>1146.5900000000001</v>
      </c>
      <c r="I15" s="112">
        <f>SUM(I7:I14)</f>
        <v>303.89100000000002</v>
      </c>
      <c r="J15" s="112">
        <f t="shared" si="0"/>
        <v>842.69900000000007</v>
      </c>
      <c r="K15" s="113">
        <f t="shared" ref="K15:K20" si="7">+I15/H15</f>
        <v>0.26503894155713897</v>
      </c>
    </row>
    <row r="16" spans="1:11" x14ac:dyDescent="0.25">
      <c r="A16" s="47"/>
      <c r="B16" s="150"/>
      <c r="C16" s="150"/>
      <c r="D16" s="69" t="s">
        <v>107</v>
      </c>
      <c r="E16" s="81" t="s">
        <v>102</v>
      </c>
      <c r="F16" s="105">
        <f>+ARTESANAL!F17</f>
        <v>11.58</v>
      </c>
      <c r="G16" s="112">
        <f>+ARTESANAL!G17</f>
        <v>0</v>
      </c>
      <c r="H16" s="112">
        <f>+F16+G16</f>
        <v>11.58</v>
      </c>
      <c r="I16" s="112">
        <f>+ARTESANAL!I17</f>
        <v>0</v>
      </c>
      <c r="J16" s="112">
        <f>+ARTESANAL!J17</f>
        <v>11.58</v>
      </c>
      <c r="K16" s="113">
        <f t="shared" si="7"/>
        <v>0</v>
      </c>
    </row>
    <row r="17" spans="1:11" x14ac:dyDescent="0.25">
      <c r="A17" s="47"/>
      <c r="B17" s="150"/>
      <c r="C17" s="150"/>
      <c r="D17" s="69" t="s">
        <v>109</v>
      </c>
      <c r="E17" s="81" t="s">
        <v>102</v>
      </c>
      <c r="F17" s="105">
        <v>6</v>
      </c>
      <c r="G17" s="112">
        <v>0</v>
      </c>
      <c r="H17" s="112">
        <f>+F17+G17</f>
        <v>6</v>
      </c>
      <c r="I17" s="112">
        <v>0</v>
      </c>
      <c r="J17" s="112">
        <f>H17-I17</f>
        <v>6</v>
      </c>
      <c r="K17" s="113">
        <f>+I17/H17</f>
        <v>0</v>
      </c>
    </row>
    <row r="18" spans="1:11" x14ac:dyDescent="0.25">
      <c r="A18" s="47"/>
      <c r="B18" s="150"/>
      <c r="C18" s="150"/>
      <c r="D18" s="121" t="s">
        <v>70</v>
      </c>
      <c r="E18" s="122" t="s">
        <v>102</v>
      </c>
      <c r="F18" s="123">
        <f>F15+F16+F17</f>
        <v>1164.17</v>
      </c>
      <c r="G18" s="124">
        <f t="shared" ref="G18" si="8">+G7+G8+G9+G16+G10+G11+G14</f>
        <v>0</v>
      </c>
      <c r="H18" s="124">
        <f>+F18+G18</f>
        <v>1164.17</v>
      </c>
      <c r="I18" s="124">
        <f>+I15+I16</f>
        <v>303.89100000000002</v>
      </c>
      <c r="J18" s="124">
        <f>+H18-I18</f>
        <v>860.279</v>
      </c>
      <c r="K18" s="125">
        <f t="shared" si="7"/>
        <v>0.26103661836329745</v>
      </c>
    </row>
    <row r="19" spans="1:11" x14ac:dyDescent="0.25">
      <c r="A19" s="47"/>
      <c r="B19" s="150"/>
      <c r="C19" s="150" t="s">
        <v>38</v>
      </c>
      <c r="D19" s="69" t="str">
        <f>+ARTESANAL!D23</f>
        <v xml:space="preserve">IV  a VII </v>
      </c>
      <c r="E19" s="81" t="s">
        <v>102</v>
      </c>
      <c r="F19" s="104">
        <f>+ARTESANAL!F23</f>
        <v>12.6</v>
      </c>
      <c r="G19" s="115">
        <f>+ARTESANAL!G23</f>
        <v>0</v>
      </c>
      <c r="H19" s="115">
        <f>+F19+G19</f>
        <v>12.6</v>
      </c>
      <c r="I19" s="115">
        <f>+ARTESANAL!I23</f>
        <v>0</v>
      </c>
      <c r="J19" s="115">
        <f>+H19-I19</f>
        <v>12.6</v>
      </c>
      <c r="K19" s="117">
        <f t="shared" si="7"/>
        <v>0</v>
      </c>
    </row>
    <row r="20" spans="1:11" x14ac:dyDescent="0.25">
      <c r="A20" s="47"/>
      <c r="B20" s="150"/>
      <c r="C20" s="150"/>
      <c r="D20" s="69" t="str">
        <f>+ARTESANAL!D24</f>
        <v>XVI a 41°28,6 L.S.</v>
      </c>
      <c r="E20" s="81" t="s">
        <v>102</v>
      </c>
      <c r="F20" s="104">
        <f>+ARTESANAL!F24</f>
        <v>98.96</v>
      </c>
      <c r="G20" s="115">
        <f>+ARTESANAL!G24</f>
        <v>0</v>
      </c>
      <c r="H20" s="115">
        <f>+F20+G20</f>
        <v>98.96</v>
      </c>
      <c r="I20" s="115">
        <f>ARTESANAL!I24</f>
        <v>3.0110000000000001</v>
      </c>
      <c r="J20" s="115">
        <f>+H20-I20</f>
        <v>95.948999999999998</v>
      </c>
      <c r="K20" s="116">
        <f t="shared" si="7"/>
        <v>3.0426434923201295E-2</v>
      </c>
    </row>
    <row r="21" spans="1:11" x14ac:dyDescent="0.25">
      <c r="A21" s="47"/>
      <c r="B21" s="150"/>
      <c r="C21" s="150"/>
      <c r="D21" s="69" t="str">
        <f>+ARTESANAL!D25</f>
        <v>41°28,6 L.S. AL XII</v>
      </c>
      <c r="E21" s="81" t="s">
        <v>102</v>
      </c>
      <c r="F21" s="104">
        <f>ARTESANAL!F25</f>
        <v>124.84</v>
      </c>
      <c r="G21" s="115">
        <f>ARTESANAL!G25</f>
        <v>0</v>
      </c>
      <c r="H21" s="115">
        <f>F21+G21</f>
        <v>124.84</v>
      </c>
      <c r="I21" s="115">
        <f>ARTESANAL!I25</f>
        <v>3.0950000000000002</v>
      </c>
      <c r="J21" s="115">
        <f>H21-I21</f>
        <v>121.745</v>
      </c>
      <c r="K21" s="116">
        <f>I21/H21</f>
        <v>2.4791733418776035E-2</v>
      </c>
    </row>
    <row r="22" spans="1:11" x14ac:dyDescent="0.25">
      <c r="A22" s="47"/>
      <c r="B22" s="150"/>
      <c r="C22" s="150"/>
      <c r="D22" s="69" t="s">
        <v>67</v>
      </c>
      <c r="E22" s="81" t="s">
        <v>102</v>
      </c>
      <c r="F22" s="104">
        <f>SUM(F19:F21)</f>
        <v>236.39999999999998</v>
      </c>
      <c r="G22" s="132">
        <f>+ARTESANAL!G26</f>
        <v>0</v>
      </c>
      <c r="H22" s="132">
        <f>+F22+G22</f>
        <v>236.39999999999998</v>
      </c>
      <c r="I22" s="132">
        <f>SUM(I19:I21)</f>
        <v>6.1059999999999999</v>
      </c>
      <c r="J22" s="132">
        <f t="shared" ref="J22:J28" si="9">+H22-I22</f>
        <v>230.29399999999998</v>
      </c>
      <c r="K22" s="133">
        <f t="shared" ref="K22:K26" si="10">+I22/H22</f>
        <v>2.5829103214890018E-2</v>
      </c>
    </row>
    <row r="23" spans="1:11" x14ac:dyDescent="0.25">
      <c r="A23" s="47"/>
      <c r="B23" s="150"/>
      <c r="C23" s="150"/>
      <c r="D23" s="69" t="s">
        <v>108</v>
      </c>
      <c r="E23" s="81" t="s">
        <v>102</v>
      </c>
      <c r="F23" s="104">
        <f>+ARTESANAL!F26</f>
        <v>2.4</v>
      </c>
      <c r="G23" s="115">
        <f>ARTESANAL!G26</f>
        <v>0</v>
      </c>
      <c r="H23" s="115">
        <f t="shared" ref="H23:H25" si="11">+F23+G23</f>
        <v>2.4</v>
      </c>
      <c r="I23" s="115">
        <f>+ARTESANAL!I26+ARTESANAL!I27</f>
        <v>0</v>
      </c>
      <c r="J23" s="115">
        <f t="shared" si="9"/>
        <v>2.4</v>
      </c>
      <c r="K23" s="116">
        <f t="shared" si="10"/>
        <v>0</v>
      </c>
    </row>
    <row r="24" spans="1:11" x14ac:dyDescent="0.25">
      <c r="A24" s="47"/>
      <c r="B24" s="150"/>
      <c r="C24" s="150"/>
      <c r="D24" s="69" t="s">
        <v>110</v>
      </c>
      <c r="E24" s="81" t="s">
        <v>102</v>
      </c>
      <c r="F24" s="104">
        <v>1.2</v>
      </c>
      <c r="G24" s="115">
        <f>+ARTESANAL!G28</f>
        <v>0</v>
      </c>
      <c r="H24" s="115">
        <f t="shared" si="11"/>
        <v>1.2</v>
      </c>
      <c r="I24" s="115">
        <f>ARTESANAL!I26+ARTESANAL!I27</f>
        <v>0</v>
      </c>
      <c r="J24" s="115">
        <f t="shared" si="9"/>
        <v>1.2</v>
      </c>
      <c r="K24" s="117">
        <f t="shared" si="10"/>
        <v>0</v>
      </c>
    </row>
    <row r="25" spans="1:11" x14ac:dyDescent="0.25">
      <c r="A25" s="47"/>
      <c r="B25" s="150"/>
      <c r="C25" s="150"/>
      <c r="D25" s="121" t="s">
        <v>71</v>
      </c>
      <c r="E25" s="122" t="s">
        <v>102</v>
      </c>
      <c r="F25" s="123">
        <f>+F22+F23+F24</f>
        <v>239.99999999999997</v>
      </c>
      <c r="G25" s="124">
        <f>+ARTESANAL!G29</f>
        <v>0</v>
      </c>
      <c r="H25" s="124">
        <f t="shared" si="11"/>
        <v>239.99999999999997</v>
      </c>
      <c r="I25" s="124">
        <f>+I22+I23+I24</f>
        <v>6.1059999999999999</v>
      </c>
      <c r="J25" s="124">
        <f t="shared" si="9"/>
        <v>233.89399999999998</v>
      </c>
      <c r="K25" s="125">
        <f>+I25/H25</f>
        <v>2.5441666666666668E-2</v>
      </c>
    </row>
    <row r="26" spans="1:11" x14ac:dyDescent="0.25">
      <c r="A26" s="50"/>
      <c r="B26" s="150" t="s">
        <v>60</v>
      </c>
      <c r="C26" s="141" t="s">
        <v>100</v>
      </c>
      <c r="D26" s="103" t="str">
        <f>+INDUSTRIAL!D7</f>
        <v xml:space="preserve">IV  a XII </v>
      </c>
      <c r="E26" s="81" t="s">
        <v>102</v>
      </c>
      <c r="F26" s="105">
        <f>+INDUSTRIAL!F9</f>
        <v>35.82</v>
      </c>
      <c r="G26" s="112">
        <f>+INDUSTRIAL!G7+INDUSTRIAL!G8</f>
        <v>0</v>
      </c>
      <c r="H26" s="112">
        <f>+F26+G26</f>
        <v>35.82</v>
      </c>
      <c r="I26" s="112">
        <f>+INDUSTRIAL!I7+INDUSTRIAL!I8</f>
        <v>0</v>
      </c>
      <c r="J26" s="115">
        <f t="shared" si="9"/>
        <v>35.82</v>
      </c>
      <c r="K26" s="116">
        <f t="shared" si="10"/>
        <v>0</v>
      </c>
    </row>
    <row r="27" spans="1:11" ht="15" customHeight="1" x14ac:dyDescent="0.25">
      <c r="A27" s="47"/>
      <c r="B27" s="150"/>
      <c r="C27" s="142"/>
      <c r="D27" s="127" t="s">
        <v>68</v>
      </c>
      <c r="E27" s="122" t="s">
        <v>102</v>
      </c>
      <c r="F27" s="123">
        <f>SUM(F26:F26)</f>
        <v>35.82</v>
      </c>
      <c r="G27" s="124">
        <f>SUM(G26:G26)</f>
        <v>0</v>
      </c>
      <c r="H27" s="124">
        <f>+F27-G27</f>
        <v>35.82</v>
      </c>
      <c r="I27" s="126">
        <f>SUM(I26:I26)</f>
        <v>0</v>
      </c>
      <c r="J27" s="124">
        <f t="shared" si="9"/>
        <v>35.82</v>
      </c>
      <c r="K27" s="125">
        <f>+I27/H27</f>
        <v>0</v>
      </c>
    </row>
    <row r="28" spans="1:11" x14ac:dyDescent="0.25">
      <c r="A28" s="47"/>
      <c r="B28" s="138" t="s">
        <v>69</v>
      </c>
      <c r="C28" s="139"/>
      <c r="D28" s="139"/>
      <c r="E28" s="140"/>
      <c r="F28" s="111">
        <f>+F18+F25+F26</f>
        <v>1439.99</v>
      </c>
      <c r="G28" s="118">
        <f>G18+G25+G27</f>
        <v>0</v>
      </c>
      <c r="H28" s="120">
        <f>+F28-G28</f>
        <v>1439.99</v>
      </c>
      <c r="I28" s="118">
        <f>+I18+I25+I27</f>
        <v>309.99700000000001</v>
      </c>
      <c r="J28" s="118">
        <f t="shared" si="9"/>
        <v>1129.9929999999999</v>
      </c>
      <c r="K28" s="119">
        <f>+I28/H28</f>
        <v>0.21527718942492657</v>
      </c>
    </row>
    <row r="31" spans="1:11" x14ac:dyDescent="0.25">
      <c r="B31" s="51"/>
      <c r="C31" s="51"/>
    </row>
    <row r="32" spans="1:11" x14ac:dyDescent="0.25">
      <c r="B32" s="51"/>
      <c r="C32" s="51"/>
    </row>
    <row r="33" spans="2:3" x14ac:dyDescent="0.25">
      <c r="B33" s="51"/>
      <c r="C33" s="51"/>
    </row>
    <row r="34" spans="2:3" x14ac:dyDescent="0.25">
      <c r="B34" s="51"/>
    </row>
    <row r="35" spans="2:3" x14ac:dyDescent="0.25">
      <c r="B35" s="51"/>
    </row>
    <row r="36" spans="2:3" x14ac:dyDescent="0.25">
      <c r="B36" s="51"/>
    </row>
    <row r="37" spans="2:3" x14ac:dyDescent="0.25">
      <c r="B37" s="51"/>
    </row>
    <row r="38" spans="2:3" x14ac:dyDescent="0.25">
      <c r="B38" s="51"/>
    </row>
  </sheetData>
  <mergeCells count="9">
    <mergeCell ref="B28:E28"/>
    <mergeCell ref="C26:C27"/>
    <mergeCell ref="B3:K3"/>
    <mergeCell ref="B4:K4"/>
    <mergeCell ref="B5:K5"/>
    <mergeCell ref="B26:B27"/>
    <mergeCell ref="C7:C18"/>
    <mergeCell ref="B7:B25"/>
    <mergeCell ref="C19:C25"/>
  </mergeCells>
  <conditionalFormatting sqref="J7:J28">
    <cfRule type="cellIs" priority="2" operator="lessThan">
      <formula>5</formula>
    </cfRule>
  </conditionalFormatting>
  <conditionalFormatting sqref="K7:K28">
    <cfRule type="cellIs" dxfId="4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A3851"/>
  </sheetPr>
  <dimension ref="B1:L29"/>
  <sheetViews>
    <sheetView showGridLines="0" topLeftCell="C1" zoomScaleNormal="100" workbookViewId="0">
      <selection activeCell="I25" sqref="I25"/>
    </sheetView>
  </sheetViews>
  <sheetFormatPr baseColWidth="10" defaultColWidth="11.42578125" defaultRowHeight="12.75" x14ac:dyDescent="0.2"/>
  <cols>
    <col min="1" max="1" width="3.140625" style="67" customWidth="1"/>
    <col min="2" max="2" width="18.5703125" style="67" bestFit="1" customWidth="1"/>
    <col min="3" max="3" width="28" style="67" bestFit="1" customWidth="1"/>
    <col min="4" max="4" width="14.28515625" style="67" bestFit="1" customWidth="1"/>
    <col min="5" max="5" width="21.7109375" style="67" bestFit="1" customWidth="1"/>
    <col min="6" max="6" width="20.28515625" style="110" bestFit="1" customWidth="1"/>
    <col min="7" max="7" width="17.7109375" style="67" bestFit="1" customWidth="1"/>
    <col min="8" max="8" width="19.140625" style="67" bestFit="1" customWidth="1"/>
    <col min="9" max="9" width="13.28515625" style="67" bestFit="1" customWidth="1"/>
    <col min="10" max="10" width="11.28515625" style="67" bestFit="1" customWidth="1"/>
    <col min="11" max="11" width="11.140625" style="67" bestFit="1" customWidth="1"/>
    <col min="12" max="12" width="11.5703125" style="67" bestFit="1" customWidth="1"/>
    <col min="13" max="16384" width="11.42578125" style="67"/>
  </cols>
  <sheetData>
    <row r="1" spans="2:12" ht="22.5" customHeight="1" thickBot="1" x14ac:dyDescent="0.25"/>
    <row r="2" spans="2:12" x14ac:dyDescent="0.2">
      <c r="B2" s="72"/>
      <c r="C2" s="151" t="s">
        <v>95</v>
      </c>
      <c r="D2" s="152"/>
      <c r="E2" s="152"/>
      <c r="F2" s="152"/>
      <c r="G2" s="152"/>
      <c r="H2" s="152"/>
      <c r="I2" s="152"/>
      <c r="J2" s="152"/>
      <c r="K2" s="73"/>
      <c r="L2" s="74"/>
    </row>
    <row r="3" spans="2:12" ht="21.75" customHeight="1" x14ac:dyDescent="0.2">
      <c r="B3" s="75"/>
      <c r="C3" s="153"/>
      <c r="D3" s="153"/>
      <c r="E3" s="153"/>
      <c r="F3" s="153"/>
      <c r="G3" s="153"/>
      <c r="H3" s="153"/>
      <c r="I3" s="153"/>
      <c r="J3" s="153"/>
      <c r="K3" s="76"/>
      <c r="L3" s="77"/>
    </row>
    <row r="4" spans="2:12" ht="13.5" thickBot="1" x14ac:dyDescent="0.25">
      <c r="B4" s="78"/>
      <c r="C4" s="154">
        <f>+RESUMEN!B4</f>
        <v>44727</v>
      </c>
      <c r="D4" s="154"/>
      <c r="E4" s="154"/>
      <c r="F4" s="154"/>
      <c r="G4" s="154"/>
      <c r="H4" s="154"/>
      <c r="I4" s="154"/>
      <c r="J4" s="154"/>
      <c r="K4" s="79"/>
      <c r="L4" s="80"/>
    </row>
    <row r="6" spans="2:12" x14ac:dyDescent="0.2">
      <c r="B6" s="84" t="s">
        <v>86</v>
      </c>
      <c r="C6" s="157" t="s">
        <v>87</v>
      </c>
      <c r="D6" s="158"/>
      <c r="E6" s="84" t="s">
        <v>88</v>
      </c>
      <c r="F6" s="84" t="s">
        <v>78</v>
      </c>
      <c r="G6" s="84" t="s">
        <v>79</v>
      </c>
      <c r="H6" s="84" t="s">
        <v>80</v>
      </c>
      <c r="I6" s="84" t="s">
        <v>81</v>
      </c>
      <c r="J6" s="84" t="s">
        <v>82</v>
      </c>
      <c r="K6" s="84" t="s">
        <v>83</v>
      </c>
      <c r="L6" s="84" t="s">
        <v>89</v>
      </c>
    </row>
    <row r="7" spans="2:12" x14ac:dyDescent="0.2">
      <c r="B7" s="155" t="s">
        <v>36</v>
      </c>
      <c r="C7" s="155" t="s">
        <v>85</v>
      </c>
      <c r="D7" s="108" t="s">
        <v>63</v>
      </c>
      <c r="E7" s="81" t="s">
        <v>102</v>
      </c>
      <c r="F7" s="82">
        <v>61.11</v>
      </c>
      <c r="G7" s="52">
        <v>0</v>
      </c>
      <c r="H7" s="52">
        <f>F7+G7</f>
        <v>61.11</v>
      </c>
      <c r="I7" s="52"/>
      <c r="J7" s="52">
        <f>H7-I7</f>
        <v>61.11</v>
      </c>
      <c r="K7" s="135">
        <f t="shared" ref="K7:K18" si="0">I7/H7</f>
        <v>0</v>
      </c>
      <c r="L7" s="55" t="s">
        <v>16</v>
      </c>
    </row>
    <row r="8" spans="2:12" x14ac:dyDescent="0.2">
      <c r="B8" s="155"/>
      <c r="C8" s="155"/>
      <c r="D8" s="108" t="s">
        <v>54</v>
      </c>
      <c r="E8" s="81" t="s">
        <v>102</v>
      </c>
      <c r="F8" s="82">
        <v>15.98</v>
      </c>
      <c r="G8" s="52">
        <v>0</v>
      </c>
      <c r="H8" s="52">
        <f t="shared" ref="H8:H11" si="1">F8+G8</f>
        <v>15.98</v>
      </c>
      <c r="I8" s="52"/>
      <c r="J8" s="52">
        <f t="shared" ref="J8:J10" si="2">H8-I8</f>
        <v>15.98</v>
      </c>
      <c r="K8" s="135">
        <f t="shared" si="0"/>
        <v>0</v>
      </c>
      <c r="L8" s="55" t="s">
        <v>16</v>
      </c>
    </row>
    <row r="9" spans="2:12" x14ac:dyDescent="0.2">
      <c r="B9" s="155"/>
      <c r="C9" s="155"/>
      <c r="D9" s="108" t="s">
        <v>55</v>
      </c>
      <c r="E9" s="81" t="s">
        <v>102</v>
      </c>
      <c r="F9" s="82">
        <v>217.28</v>
      </c>
      <c r="G9" s="52">
        <v>0</v>
      </c>
      <c r="H9" s="52">
        <f t="shared" si="1"/>
        <v>217.28</v>
      </c>
      <c r="I9" s="186">
        <v>10.1</v>
      </c>
      <c r="J9" s="52">
        <f t="shared" si="2"/>
        <v>207.18</v>
      </c>
      <c r="K9" s="135">
        <f t="shared" si="0"/>
        <v>4.6483799705449191E-2</v>
      </c>
      <c r="L9" s="55" t="s">
        <v>16</v>
      </c>
    </row>
    <row r="10" spans="2:12" x14ac:dyDescent="0.2">
      <c r="B10" s="155"/>
      <c r="C10" s="155"/>
      <c r="D10" s="108" t="s">
        <v>56</v>
      </c>
      <c r="E10" s="81" t="s">
        <v>102</v>
      </c>
      <c r="F10" s="82">
        <v>30.29</v>
      </c>
      <c r="G10" s="52">
        <v>0</v>
      </c>
      <c r="H10" s="52">
        <f t="shared" si="1"/>
        <v>30.29</v>
      </c>
      <c r="I10" s="52"/>
      <c r="J10" s="52">
        <f t="shared" si="2"/>
        <v>30.29</v>
      </c>
      <c r="K10" s="135">
        <f t="shared" si="0"/>
        <v>0</v>
      </c>
      <c r="L10" s="55" t="s">
        <v>16</v>
      </c>
    </row>
    <row r="11" spans="2:12" x14ac:dyDescent="0.2">
      <c r="B11" s="155"/>
      <c r="C11" s="155"/>
      <c r="D11" s="159" t="str">
        <f ca="1">+ARTESANAL!D11</f>
        <v>XIV</v>
      </c>
      <c r="E11" s="81" t="s">
        <v>102</v>
      </c>
      <c r="F11" s="161">
        <v>216.42</v>
      </c>
      <c r="G11" s="52">
        <v>0</v>
      </c>
      <c r="H11" s="52">
        <f t="shared" si="1"/>
        <v>216.42</v>
      </c>
      <c r="I11" s="52"/>
      <c r="J11" s="52">
        <f>H11-I11</f>
        <v>216.42</v>
      </c>
      <c r="K11" s="135">
        <f t="shared" si="0"/>
        <v>0</v>
      </c>
      <c r="L11" s="55" t="s">
        <v>16</v>
      </c>
    </row>
    <row r="12" spans="2:12" x14ac:dyDescent="0.2">
      <c r="B12" s="155"/>
      <c r="C12" s="155"/>
      <c r="D12" s="160"/>
      <c r="E12" s="81" t="s">
        <v>105</v>
      </c>
      <c r="F12" s="162"/>
      <c r="G12" s="134">
        <v>0</v>
      </c>
      <c r="H12" s="134">
        <f>G12+J11</f>
        <v>216.42</v>
      </c>
      <c r="I12" s="134"/>
      <c r="J12" s="134">
        <f>H12-I12</f>
        <v>216.42</v>
      </c>
      <c r="K12" s="137">
        <f t="shared" si="0"/>
        <v>0</v>
      </c>
      <c r="L12" s="55" t="s">
        <v>16</v>
      </c>
    </row>
    <row r="13" spans="2:12" x14ac:dyDescent="0.2">
      <c r="B13" s="155"/>
      <c r="C13" s="155"/>
      <c r="D13" s="159" t="s">
        <v>73</v>
      </c>
      <c r="E13" s="81" t="s">
        <v>102</v>
      </c>
      <c r="F13" s="161">
        <v>416.29</v>
      </c>
      <c r="G13" s="52">
        <v>0</v>
      </c>
      <c r="H13" s="52">
        <f t="shared" ref="H13:H15" si="3">F13+G13</f>
        <v>416.29</v>
      </c>
      <c r="I13" s="186">
        <v>293.03100000000001</v>
      </c>
      <c r="J13" s="52">
        <f t="shared" ref="J13:J15" si="4">H13-I13</f>
        <v>123.25900000000001</v>
      </c>
      <c r="K13" s="135">
        <f t="shared" si="0"/>
        <v>0.70391073530471548</v>
      </c>
      <c r="L13" s="55">
        <v>44708</v>
      </c>
    </row>
    <row r="14" spans="2:12" x14ac:dyDescent="0.2">
      <c r="B14" s="155"/>
      <c r="C14" s="155"/>
      <c r="D14" s="160"/>
      <c r="E14" s="81" t="s">
        <v>106</v>
      </c>
      <c r="F14" s="162"/>
      <c r="G14" s="134">
        <v>0</v>
      </c>
      <c r="H14" s="134">
        <f>G14+J13</f>
        <v>123.25900000000001</v>
      </c>
      <c r="I14" s="134"/>
      <c r="J14" s="134">
        <f>H14-I14</f>
        <v>123.25900000000001</v>
      </c>
      <c r="K14" s="137">
        <f t="shared" si="0"/>
        <v>0</v>
      </c>
      <c r="L14" s="55" t="s">
        <v>16</v>
      </c>
    </row>
    <row r="15" spans="2:12" x14ac:dyDescent="0.2">
      <c r="B15" s="155"/>
      <c r="C15" s="155"/>
      <c r="D15" s="108" t="s">
        <v>74</v>
      </c>
      <c r="E15" s="81" t="s">
        <v>101</v>
      </c>
      <c r="F15" s="82">
        <v>107.78</v>
      </c>
      <c r="G15" s="52">
        <v>0</v>
      </c>
      <c r="H15" s="52">
        <f t="shared" si="3"/>
        <v>107.78</v>
      </c>
      <c r="I15" s="52"/>
      <c r="J15" s="52">
        <f t="shared" si="4"/>
        <v>107.78</v>
      </c>
      <c r="K15" s="135">
        <f t="shared" si="0"/>
        <v>0</v>
      </c>
      <c r="L15" s="55" t="s">
        <v>16</v>
      </c>
    </row>
    <row r="16" spans="2:12" x14ac:dyDescent="0.2">
      <c r="B16" s="155"/>
      <c r="C16" s="155"/>
      <c r="D16" s="108" t="s">
        <v>75</v>
      </c>
      <c r="E16" s="81" t="s">
        <v>102</v>
      </c>
      <c r="F16" s="82">
        <v>81.44</v>
      </c>
      <c r="G16" s="52">
        <v>0</v>
      </c>
      <c r="H16" s="52">
        <f t="shared" ref="H16" si="5">F16+G16</f>
        <v>81.44</v>
      </c>
      <c r="I16" s="186">
        <v>0.76</v>
      </c>
      <c r="J16" s="52">
        <f t="shared" ref="J16" si="6">H16-I16</f>
        <v>80.679999999999993</v>
      </c>
      <c r="K16" s="135">
        <f t="shared" si="0"/>
        <v>9.3320235756385074E-3</v>
      </c>
      <c r="L16" s="55" t="s">
        <v>16</v>
      </c>
    </row>
    <row r="17" spans="2:12" x14ac:dyDescent="0.2">
      <c r="B17" s="155"/>
      <c r="C17" s="100" t="s">
        <v>90</v>
      </c>
      <c r="D17" s="107" t="s">
        <v>91</v>
      </c>
      <c r="E17" s="81" t="s">
        <v>102</v>
      </c>
      <c r="F17" s="82">
        <v>11.58</v>
      </c>
      <c r="G17" s="52">
        <v>0</v>
      </c>
      <c r="H17" s="52">
        <f t="shared" ref="H17" si="7">F17+G17</f>
        <v>11.58</v>
      </c>
      <c r="I17" s="52"/>
      <c r="J17" s="52">
        <f t="shared" ref="J17" si="8">H17-I17</f>
        <v>11.58</v>
      </c>
      <c r="K17" s="135">
        <f t="shared" si="0"/>
        <v>0</v>
      </c>
      <c r="L17" s="55" t="s">
        <v>16</v>
      </c>
    </row>
    <row r="18" spans="2:12" ht="12" customHeight="1" x14ac:dyDescent="0.2">
      <c r="B18" s="155"/>
      <c r="C18" s="156" t="s">
        <v>99</v>
      </c>
      <c r="D18" s="156"/>
      <c r="E18" s="156"/>
      <c r="F18" s="82">
        <f>SUM(F7:F17)</f>
        <v>1158.17</v>
      </c>
      <c r="G18" s="61">
        <f>SUM(G7:G17)</f>
        <v>0</v>
      </c>
      <c r="H18" s="61">
        <f>F18+G18</f>
        <v>1158.17</v>
      </c>
      <c r="I18" s="61">
        <f>SUM(I7:I17)</f>
        <v>303.89100000000002</v>
      </c>
      <c r="J18" s="61">
        <f>H18-I18</f>
        <v>854.279</v>
      </c>
      <c r="K18" s="136">
        <f t="shared" si="0"/>
        <v>0.26238894117443901</v>
      </c>
      <c r="L18" s="81" t="s">
        <v>16</v>
      </c>
    </row>
    <row r="19" spans="2:12" x14ac:dyDescent="0.2">
      <c r="K19" s="70"/>
    </row>
    <row r="20" spans="2:12" x14ac:dyDescent="0.2">
      <c r="K20" s="70"/>
    </row>
    <row r="22" spans="2:12" s="71" customFormat="1" x14ac:dyDescent="0.2">
      <c r="B22" s="84" t="s">
        <v>86</v>
      </c>
      <c r="C22" s="157" t="s">
        <v>87</v>
      </c>
      <c r="D22" s="158"/>
      <c r="E22" s="84" t="s">
        <v>88</v>
      </c>
      <c r="F22" s="84" t="s">
        <v>78</v>
      </c>
      <c r="G22" s="84" t="s">
        <v>79</v>
      </c>
      <c r="H22" s="84" t="s">
        <v>80</v>
      </c>
      <c r="I22" s="84" t="s">
        <v>81</v>
      </c>
      <c r="J22" s="84" t="s">
        <v>82</v>
      </c>
      <c r="K22" s="84" t="s">
        <v>83</v>
      </c>
      <c r="L22" s="84" t="s">
        <v>89</v>
      </c>
    </row>
    <row r="23" spans="2:12" x14ac:dyDescent="0.2">
      <c r="B23" s="155" t="s">
        <v>39</v>
      </c>
      <c r="C23" s="155" t="s">
        <v>92</v>
      </c>
      <c r="D23" s="108" t="s">
        <v>62</v>
      </c>
      <c r="E23" s="81" t="s">
        <v>102</v>
      </c>
      <c r="F23" s="105">
        <v>12.6</v>
      </c>
      <c r="G23" s="52">
        <v>0</v>
      </c>
      <c r="H23" s="52">
        <f>F23+G23</f>
        <v>12.6</v>
      </c>
      <c r="I23" s="52"/>
      <c r="J23" s="52">
        <f>H23-I23-INDUSTRIAL!I13</f>
        <v>12.6</v>
      </c>
      <c r="K23" s="135">
        <f>I23/H23</f>
        <v>0</v>
      </c>
      <c r="L23" s="55" t="s">
        <v>16</v>
      </c>
    </row>
    <row r="24" spans="2:12" x14ac:dyDescent="0.2">
      <c r="B24" s="155"/>
      <c r="C24" s="155"/>
      <c r="D24" s="108" t="s">
        <v>103</v>
      </c>
      <c r="E24" s="81" t="s">
        <v>102</v>
      </c>
      <c r="F24" s="105">
        <v>98.96</v>
      </c>
      <c r="G24" s="52">
        <v>0</v>
      </c>
      <c r="H24" s="106">
        <f>F24+G24</f>
        <v>98.96</v>
      </c>
      <c r="I24" s="186">
        <v>3.0110000000000001</v>
      </c>
      <c r="J24" s="106">
        <f>H24-I24-INDUSTRIAL!I14</f>
        <v>95.948999999999998</v>
      </c>
      <c r="K24" s="135">
        <f t="shared" ref="K24:K25" si="9">I24/H24</f>
        <v>3.0426434923201295E-2</v>
      </c>
      <c r="L24" s="55" t="s">
        <v>16</v>
      </c>
    </row>
    <row r="25" spans="2:12" x14ac:dyDescent="0.2">
      <c r="B25" s="155"/>
      <c r="C25" s="155"/>
      <c r="D25" s="108" t="s">
        <v>104</v>
      </c>
      <c r="E25" s="81" t="s">
        <v>102</v>
      </c>
      <c r="F25" s="105">
        <v>124.84</v>
      </c>
      <c r="G25" s="52">
        <v>0</v>
      </c>
      <c r="H25" s="106">
        <f>F25+G25</f>
        <v>124.84</v>
      </c>
      <c r="I25" s="186">
        <v>3.0950000000000002</v>
      </c>
      <c r="J25" s="106">
        <f>H25-I25-INDUSTRIAL!I15</f>
        <v>121.745</v>
      </c>
      <c r="K25" s="135">
        <f t="shared" si="9"/>
        <v>2.4791733418776035E-2</v>
      </c>
      <c r="L25" s="55" t="s">
        <v>16</v>
      </c>
    </row>
    <row r="26" spans="2:12" x14ac:dyDescent="0.2">
      <c r="B26" s="155"/>
      <c r="C26" s="164" t="s">
        <v>93</v>
      </c>
      <c r="D26" s="167" t="s">
        <v>91</v>
      </c>
      <c r="E26" s="81" t="s">
        <v>102</v>
      </c>
      <c r="F26" s="165">
        <v>2.4</v>
      </c>
      <c r="G26" s="52">
        <v>0</v>
      </c>
      <c r="H26" s="166">
        <f t="shared" ref="H26" si="10">F26+G26</f>
        <v>2.4</v>
      </c>
      <c r="I26" s="52"/>
      <c r="J26" s="166">
        <f>H26-(I26+I27)</f>
        <v>2.4</v>
      </c>
      <c r="K26" s="163">
        <f>I26+I27/H26</f>
        <v>0</v>
      </c>
      <c r="L26" s="55" t="s">
        <v>16</v>
      </c>
    </row>
    <row r="27" spans="2:12" x14ac:dyDescent="0.2">
      <c r="B27" s="155"/>
      <c r="C27" s="164"/>
      <c r="D27" s="168"/>
      <c r="E27" s="81" t="s">
        <v>102</v>
      </c>
      <c r="F27" s="165"/>
      <c r="G27" s="52">
        <v>0</v>
      </c>
      <c r="H27" s="166"/>
      <c r="I27" s="52"/>
      <c r="J27" s="166"/>
      <c r="K27" s="163"/>
      <c r="L27" s="55" t="s">
        <v>16</v>
      </c>
    </row>
    <row r="28" spans="2:12" x14ac:dyDescent="0.2">
      <c r="B28" s="155"/>
      <c r="C28" s="156" t="s">
        <v>99</v>
      </c>
      <c r="D28" s="156"/>
      <c r="E28" s="156"/>
      <c r="F28" s="105">
        <f>+F23+F24+F25+F26</f>
        <v>238.79999999999998</v>
      </c>
      <c r="G28" s="61">
        <f>SUM(G23:G27)</f>
        <v>0</v>
      </c>
      <c r="H28" s="61">
        <f>F28+G28</f>
        <v>238.79999999999998</v>
      </c>
      <c r="I28" s="61">
        <f>SUM(I23:I27)</f>
        <v>6.1059999999999999</v>
      </c>
      <c r="J28" s="61">
        <f>H28-I28</f>
        <v>232.69399999999999</v>
      </c>
      <c r="K28" s="136">
        <f>I28/H28</f>
        <v>2.5569514237855948E-2</v>
      </c>
      <c r="L28" s="81" t="s">
        <v>16</v>
      </c>
    </row>
    <row r="29" spans="2:12" hidden="1" x14ac:dyDescent="0.2">
      <c r="K29" s="70">
        <v>1</v>
      </c>
      <c r="L29" s="55" t="s">
        <v>16</v>
      </c>
    </row>
  </sheetData>
  <mergeCells count="20">
    <mergeCell ref="C22:D22"/>
    <mergeCell ref="D26:D27"/>
    <mergeCell ref="K26:K27"/>
    <mergeCell ref="B23:B28"/>
    <mergeCell ref="C28:E28"/>
    <mergeCell ref="C23:C25"/>
    <mergeCell ref="C26:C27"/>
    <mergeCell ref="F26:F27"/>
    <mergeCell ref="H26:H27"/>
    <mergeCell ref="J26:J27"/>
    <mergeCell ref="C2:J3"/>
    <mergeCell ref="C4:J4"/>
    <mergeCell ref="B7:B18"/>
    <mergeCell ref="C7:C16"/>
    <mergeCell ref="C18:E18"/>
    <mergeCell ref="C6:D6"/>
    <mergeCell ref="D11:D12"/>
    <mergeCell ref="D13:D14"/>
    <mergeCell ref="F11:F12"/>
    <mergeCell ref="F13:F14"/>
  </mergeCells>
  <conditionalFormatting sqref="K7:K18">
    <cfRule type="cellIs" dxfId="3" priority="2" operator="greaterThan">
      <formula>0.9</formula>
    </cfRule>
    <cfRule type="cellIs" dxfId="2" priority="4" operator="greaterThan">
      <formula>85</formula>
    </cfRule>
  </conditionalFormatting>
  <conditionalFormatting sqref="K23:K27">
    <cfRule type="cellIs" dxfId="1" priority="3" operator="greaterThan">
      <formula>85</formula>
    </cfRule>
  </conditionalFormatting>
  <conditionalFormatting sqref="K23:K28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A3851"/>
  </sheetPr>
  <dimension ref="B1:L15"/>
  <sheetViews>
    <sheetView showGridLines="0" zoomScaleNormal="100" workbookViewId="0">
      <selection activeCell="F7" sqref="F7:F9"/>
    </sheetView>
  </sheetViews>
  <sheetFormatPr baseColWidth="10" defaultColWidth="11.42578125" defaultRowHeight="12.75" x14ac:dyDescent="0.2"/>
  <cols>
    <col min="1" max="1" width="7.42578125" style="65" customWidth="1"/>
    <col min="2" max="2" width="18.5703125" style="65" bestFit="1" customWidth="1"/>
    <col min="3" max="3" width="19.7109375" style="65" bestFit="1" customWidth="1"/>
    <col min="4" max="4" width="20" style="65" bestFit="1" customWidth="1"/>
    <col min="5" max="5" width="21.7109375" style="65" bestFit="1" customWidth="1"/>
    <col min="6" max="6" width="20.28515625" style="65" bestFit="1" customWidth="1"/>
    <col min="7" max="7" width="17.7109375" style="65" bestFit="1" customWidth="1"/>
    <col min="8" max="8" width="19.140625" style="65" bestFit="1" customWidth="1"/>
    <col min="9" max="9" width="13.28515625" style="65" bestFit="1" customWidth="1"/>
    <col min="10" max="10" width="11.28515625" style="65" bestFit="1" customWidth="1"/>
    <col min="11" max="11" width="11.140625" style="65" bestFit="1" customWidth="1"/>
    <col min="12" max="12" width="6.140625" style="65" bestFit="1" customWidth="1"/>
    <col min="13" max="16384" width="11.42578125" style="65"/>
  </cols>
  <sheetData>
    <row r="1" spans="2:12" ht="22.5" customHeight="1" thickBot="1" x14ac:dyDescent="0.25"/>
    <row r="2" spans="2:12" x14ac:dyDescent="0.2">
      <c r="B2" s="85"/>
      <c r="C2" s="151" t="s">
        <v>94</v>
      </c>
      <c r="D2" s="152"/>
      <c r="E2" s="152"/>
      <c r="F2" s="152"/>
      <c r="G2" s="152"/>
      <c r="H2" s="152"/>
      <c r="I2" s="152"/>
      <c r="J2" s="152"/>
      <c r="K2" s="86"/>
      <c r="L2" s="87"/>
    </row>
    <row r="3" spans="2:12" ht="21.75" customHeight="1" x14ac:dyDescent="0.2">
      <c r="B3" s="88"/>
      <c r="C3" s="153"/>
      <c r="D3" s="153"/>
      <c r="E3" s="153"/>
      <c r="F3" s="153"/>
      <c r="G3" s="153"/>
      <c r="H3" s="153"/>
      <c r="I3" s="153"/>
      <c r="J3" s="153"/>
      <c r="K3" s="89"/>
      <c r="L3" s="90"/>
    </row>
    <row r="4" spans="2:12" ht="13.5" thickBot="1" x14ac:dyDescent="0.25">
      <c r="B4" s="91"/>
      <c r="C4" s="154">
        <f>+RESUMEN!B4</f>
        <v>44727</v>
      </c>
      <c r="D4" s="154"/>
      <c r="E4" s="154"/>
      <c r="F4" s="154"/>
      <c r="G4" s="154"/>
      <c r="H4" s="154"/>
      <c r="I4" s="154"/>
      <c r="J4" s="154"/>
      <c r="K4" s="92"/>
      <c r="L4" s="93"/>
    </row>
    <row r="5" spans="2:12" ht="28.5" customHeight="1" x14ac:dyDescent="0.2"/>
    <row r="6" spans="2:12" x14ac:dyDescent="0.2">
      <c r="B6" s="84" t="s">
        <v>86</v>
      </c>
      <c r="C6" s="157" t="s">
        <v>96</v>
      </c>
      <c r="D6" s="158"/>
      <c r="E6" s="84" t="s">
        <v>88</v>
      </c>
      <c r="F6" s="84" t="s">
        <v>78</v>
      </c>
      <c r="G6" s="84" t="s">
        <v>79</v>
      </c>
      <c r="H6" s="84" t="s">
        <v>80</v>
      </c>
      <c r="I6" s="84" t="s">
        <v>81</v>
      </c>
      <c r="J6" s="84" t="s">
        <v>82</v>
      </c>
      <c r="K6" s="84" t="s">
        <v>83</v>
      </c>
      <c r="L6" s="84" t="s">
        <v>98</v>
      </c>
    </row>
    <row r="7" spans="2:12" x14ac:dyDescent="0.2">
      <c r="B7" s="156" t="s">
        <v>36</v>
      </c>
      <c r="C7" s="94" t="s">
        <v>97</v>
      </c>
      <c r="D7" s="156" t="s">
        <v>64</v>
      </c>
      <c r="E7" s="81" t="s">
        <v>102</v>
      </c>
      <c r="F7" s="82">
        <v>35.46</v>
      </c>
      <c r="G7" s="52">
        <v>0</v>
      </c>
      <c r="H7" s="52">
        <f t="shared" ref="H7:H8" si="0">F7+G7</f>
        <v>35.46</v>
      </c>
      <c r="I7" s="52"/>
      <c r="J7" s="52">
        <f t="shared" ref="J7:J8" si="1">H7-I7</f>
        <v>35.46</v>
      </c>
      <c r="K7" s="60">
        <f t="shared" ref="K7:K8" si="2">I7/H7</f>
        <v>0</v>
      </c>
      <c r="L7" s="55" t="s">
        <v>16</v>
      </c>
    </row>
    <row r="8" spans="2:12" x14ac:dyDescent="0.2">
      <c r="B8" s="156"/>
      <c r="C8" s="95" t="s">
        <v>90</v>
      </c>
      <c r="D8" s="156"/>
      <c r="E8" s="81" t="s">
        <v>102</v>
      </c>
      <c r="F8" s="82">
        <v>0.36</v>
      </c>
      <c r="G8" s="52">
        <v>0</v>
      </c>
      <c r="H8" s="52">
        <f t="shared" si="0"/>
        <v>0.36</v>
      </c>
      <c r="I8" s="52"/>
      <c r="J8" s="52">
        <f t="shared" si="1"/>
        <v>0.36</v>
      </c>
      <c r="K8" s="60">
        <f t="shared" si="2"/>
        <v>0</v>
      </c>
      <c r="L8" s="55" t="s">
        <v>16</v>
      </c>
    </row>
    <row r="9" spans="2:12" x14ac:dyDescent="0.2">
      <c r="B9" s="156"/>
      <c r="C9" s="156" t="s">
        <v>13</v>
      </c>
      <c r="D9" s="156"/>
      <c r="E9" s="156"/>
      <c r="F9" s="82">
        <f>SUM(F7:F8)</f>
        <v>35.82</v>
      </c>
      <c r="G9" s="61">
        <f>SUM(G7:G8)</f>
        <v>0</v>
      </c>
      <c r="H9" s="61">
        <f>F9+G9</f>
        <v>35.82</v>
      </c>
      <c r="I9" s="61">
        <f>SUM(I7:I8)</f>
        <v>0</v>
      </c>
      <c r="J9" s="61">
        <f>H9-I9</f>
        <v>35.82</v>
      </c>
      <c r="K9" s="83">
        <f>I9/H9</f>
        <v>0</v>
      </c>
      <c r="L9" s="81" t="s">
        <v>16</v>
      </c>
    </row>
    <row r="10" spans="2:12" ht="12" customHeight="1" x14ac:dyDescent="0.2">
      <c r="K10" s="96"/>
    </row>
    <row r="12" spans="2:12" hidden="1" x14ac:dyDescent="0.2">
      <c r="B12" s="84" t="s">
        <v>0</v>
      </c>
      <c r="C12" s="84" t="s">
        <v>1</v>
      </c>
      <c r="D12" s="84" t="s">
        <v>45</v>
      </c>
      <c r="E12" s="84" t="s">
        <v>14</v>
      </c>
      <c r="F12" s="84" t="s">
        <v>3</v>
      </c>
      <c r="G12" s="84" t="s">
        <v>4</v>
      </c>
      <c r="H12" s="84" t="s">
        <v>5</v>
      </c>
      <c r="I12" s="84" t="s">
        <v>6</v>
      </c>
      <c r="J12" s="84" t="s">
        <v>7</v>
      </c>
      <c r="K12" s="84" t="s">
        <v>8</v>
      </c>
      <c r="L12" s="84" t="s">
        <v>9</v>
      </c>
    </row>
    <row r="13" spans="2:12" hidden="1" x14ac:dyDescent="0.2">
      <c r="B13" s="156" t="s">
        <v>15</v>
      </c>
      <c r="C13" s="156" t="s">
        <v>53</v>
      </c>
      <c r="D13" s="156" t="s">
        <v>64</v>
      </c>
      <c r="E13" s="156" t="s">
        <v>102</v>
      </c>
      <c r="F13" s="97"/>
      <c r="G13" s="98">
        <v>0</v>
      </c>
      <c r="H13" s="98">
        <f>+F13+G13</f>
        <v>0</v>
      </c>
      <c r="I13" s="61"/>
      <c r="J13" s="61" t="e">
        <f>+H13-I13-ARTESANAL!I23-ARTESANAL!I24-ARTESANAL!I25-ARTESANAL!#REF!-ARTESANAL!#REF!</f>
        <v>#REF!</v>
      </c>
      <c r="K13" s="99" t="e">
        <f>I13/H13</f>
        <v>#DIV/0!</v>
      </c>
      <c r="L13" s="68" t="s">
        <v>16</v>
      </c>
    </row>
    <row r="14" spans="2:12" ht="13.5" hidden="1" thickBot="1" x14ac:dyDescent="0.25">
      <c r="B14" s="156"/>
      <c r="C14" s="156" t="s">
        <v>13</v>
      </c>
      <c r="D14" s="156"/>
      <c r="E14" s="156"/>
      <c r="F14" s="66">
        <f>+F13</f>
        <v>0</v>
      </c>
      <c r="G14" s="62">
        <f>SUM(G13:G13)</f>
        <v>0</v>
      </c>
      <c r="H14" s="62">
        <f>F14+G14</f>
        <v>0</v>
      </c>
      <c r="I14" s="62">
        <f>SUM(I13:I13)</f>
        <v>0</v>
      </c>
      <c r="J14" s="62">
        <f>H14-I14</f>
        <v>0</v>
      </c>
      <c r="K14" s="63" t="e">
        <f>I14/H14</f>
        <v>#DIV/0!</v>
      </c>
      <c r="L14" s="64" t="s">
        <v>16</v>
      </c>
    </row>
    <row r="15" spans="2:12" x14ac:dyDescent="0.2">
      <c r="K15" s="96"/>
    </row>
  </sheetData>
  <mergeCells count="10">
    <mergeCell ref="C2:J3"/>
    <mergeCell ref="C4:J4"/>
    <mergeCell ref="B7:B9"/>
    <mergeCell ref="C9:E9"/>
    <mergeCell ref="B13:B14"/>
    <mergeCell ref="D7:D8"/>
    <mergeCell ref="C6:D6"/>
    <mergeCell ref="C13:C14"/>
    <mergeCell ref="D13:D14"/>
    <mergeCell ref="E13:E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19"/>
  <sheetViews>
    <sheetView topLeftCell="P1" zoomScale="120" zoomScaleNormal="120" workbookViewId="0">
      <selection activeCell="Y11" sqref="Y11"/>
    </sheetView>
  </sheetViews>
  <sheetFormatPr baseColWidth="10" defaultRowHeight="15" x14ac:dyDescent="0.25"/>
  <cols>
    <col min="2" max="2" width="23.7109375" bestFit="1" customWidth="1"/>
    <col min="3" max="3" width="35.5703125" bestFit="1" customWidth="1"/>
    <col min="4" max="4" width="80.140625" bestFit="1" customWidth="1"/>
    <col min="5" max="5" width="18.85546875" bestFit="1" customWidth="1"/>
    <col min="6" max="6" width="17.28515625" customWidth="1"/>
    <col min="7" max="7" width="17.5703125" bestFit="1" customWidth="1"/>
    <col min="10" max="10" width="14.85546875" bestFit="1" customWidth="1"/>
    <col min="17" max="17" width="12.42578125" customWidth="1"/>
    <col min="18" max="18" width="15.28515625" customWidth="1"/>
    <col min="19" max="19" width="31.85546875" customWidth="1"/>
  </cols>
  <sheetData>
    <row r="3" spans="2:25" ht="15.75" thickBot="1" x14ac:dyDescent="0.3">
      <c r="Q3" s="44"/>
      <c r="R3" s="44"/>
      <c r="S3" s="44"/>
      <c r="T3" s="44"/>
      <c r="U3" s="44"/>
      <c r="V3" s="44"/>
      <c r="W3" s="44"/>
      <c r="X3" s="44"/>
      <c r="Y3" s="44"/>
    </row>
    <row r="4" spans="2:25" ht="24.75" thickBot="1" x14ac:dyDescent="0.3">
      <c r="Q4" s="31" t="s">
        <v>0</v>
      </c>
      <c r="R4" s="32" t="s">
        <v>1</v>
      </c>
      <c r="S4" s="32" t="s">
        <v>45</v>
      </c>
      <c r="T4" s="33" t="s">
        <v>3</v>
      </c>
      <c r="U4" s="32" t="s">
        <v>4</v>
      </c>
      <c r="V4" s="32" t="s">
        <v>5</v>
      </c>
      <c r="W4" s="32" t="s">
        <v>6</v>
      </c>
      <c r="X4" s="32" t="s">
        <v>7</v>
      </c>
      <c r="Y4" s="32" t="s">
        <v>8</v>
      </c>
    </row>
    <row r="5" spans="2:25" ht="24" x14ac:dyDescent="0.25">
      <c r="B5" s="3" t="s">
        <v>50</v>
      </c>
      <c r="C5" s="4" t="s">
        <v>1</v>
      </c>
      <c r="D5" s="4" t="s">
        <v>45</v>
      </c>
      <c r="E5" s="8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Q5" s="178" t="s">
        <v>49</v>
      </c>
      <c r="R5" s="181" t="s">
        <v>52</v>
      </c>
      <c r="S5" s="45" t="s">
        <v>42</v>
      </c>
      <c r="T5" s="34">
        <v>15.43</v>
      </c>
      <c r="U5" s="35">
        <v>0</v>
      </c>
      <c r="V5" s="35">
        <f>T5+U5</f>
        <v>15.43</v>
      </c>
      <c r="W5" s="36">
        <v>17.312000000000001</v>
      </c>
      <c r="X5" s="35">
        <f>V5-W5</f>
        <v>-1.8820000000000014</v>
      </c>
      <c r="Y5" s="37">
        <f>W5/V5</f>
        <v>1.1219701879455606</v>
      </c>
    </row>
    <row r="6" spans="2:25" ht="18.75" x14ac:dyDescent="0.3">
      <c r="B6" s="169" t="s">
        <v>49</v>
      </c>
      <c r="C6" s="30" t="s">
        <v>47</v>
      </c>
      <c r="D6" s="2" t="s">
        <v>48</v>
      </c>
      <c r="E6" s="9">
        <v>8.73</v>
      </c>
      <c r="F6" s="10">
        <v>0</v>
      </c>
      <c r="G6" s="10">
        <f>E6+F6</f>
        <v>8.73</v>
      </c>
      <c r="H6" s="26">
        <v>0</v>
      </c>
      <c r="I6" s="10">
        <f>G6-H6</f>
        <v>8.73</v>
      </c>
      <c r="J6" s="28">
        <f>H6/G6</f>
        <v>0</v>
      </c>
      <c r="Q6" s="179"/>
      <c r="R6" s="182"/>
      <c r="S6" s="45" t="s">
        <v>43</v>
      </c>
      <c r="T6" s="34">
        <v>121.28</v>
      </c>
      <c r="U6" s="35">
        <v>0</v>
      </c>
      <c r="V6" s="35">
        <f>T6+U6</f>
        <v>121.28</v>
      </c>
      <c r="W6" s="36">
        <v>106.11199999999999</v>
      </c>
      <c r="X6" s="35">
        <f>V6-W6</f>
        <v>15.168000000000006</v>
      </c>
      <c r="Y6" s="37">
        <f>W6/V6</f>
        <v>0.87493403693931393</v>
      </c>
    </row>
    <row r="7" spans="2:25" ht="24" x14ac:dyDescent="0.3">
      <c r="B7" s="170"/>
      <c r="C7" s="6" t="s">
        <v>10</v>
      </c>
      <c r="D7" s="2" t="s">
        <v>48</v>
      </c>
      <c r="E7" s="9">
        <v>0.09</v>
      </c>
      <c r="F7" s="10">
        <v>0</v>
      </c>
      <c r="G7" s="10">
        <f t="shared" ref="G7" si="0">E7+F7</f>
        <v>0.09</v>
      </c>
      <c r="H7" s="26">
        <v>5.0000000000000001E-3</v>
      </c>
      <c r="I7" s="11">
        <f t="shared" ref="I7" si="1">G7-H7</f>
        <v>8.4999999999999992E-2</v>
      </c>
      <c r="J7" s="28">
        <f t="shared" ref="J7" si="2">H7/G7</f>
        <v>5.5555555555555559E-2</v>
      </c>
      <c r="Q7" s="179"/>
      <c r="R7" s="183"/>
      <c r="S7" s="45" t="s">
        <v>44</v>
      </c>
      <c r="T7" s="34">
        <v>153</v>
      </c>
      <c r="U7" s="35">
        <v>0</v>
      </c>
      <c r="V7" s="35">
        <f t="shared" ref="V7:V9" si="3">T7+U7</f>
        <v>153</v>
      </c>
      <c r="W7" s="36">
        <v>364.93200000000002</v>
      </c>
      <c r="X7" s="38">
        <f t="shared" ref="X7:X8" si="4">V7-W7</f>
        <v>-211.93200000000002</v>
      </c>
      <c r="Y7" s="37">
        <f t="shared" ref="Y7:Y9" si="5">W7/V7</f>
        <v>2.3851764705882355</v>
      </c>
    </row>
    <row r="8" spans="2:25" ht="24.75" thickBot="1" x14ac:dyDescent="0.3">
      <c r="B8" s="171"/>
      <c r="C8" s="175" t="s">
        <v>13</v>
      </c>
      <c r="D8" s="176"/>
      <c r="E8" s="23">
        <f>SUM(E6:E7)</f>
        <v>8.82</v>
      </c>
      <c r="F8" s="24">
        <f>SUM(F6:F7)</f>
        <v>0</v>
      </c>
      <c r="G8" s="24">
        <f>E8+F8</f>
        <v>8.82</v>
      </c>
      <c r="H8" s="27">
        <f>SUM(H6:H7)</f>
        <v>5.0000000000000001E-3</v>
      </c>
      <c r="I8" s="24">
        <f>G8-H8</f>
        <v>8.8149999999999995</v>
      </c>
      <c r="J8" s="29">
        <f>H8/G8</f>
        <v>5.6689342403628119E-4</v>
      </c>
      <c r="Q8" s="179"/>
      <c r="R8" s="39" t="s">
        <v>10</v>
      </c>
      <c r="S8" s="45" t="s">
        <v>11</v>
      </c>
      <c r="T8" s="34">
        <v>4.29</v>
      </c>
      <c r="U8" s="35">
        <v>0</v>
      </c>
      <c r="V8" s="35">
        <f t="shared" si="3"/>
        <v>4.29</v>
      </c>
      <c r="W8" s="36">
        <f>2.85</f>
        <v>2.85</v>
      </c>
      <c r="X8" s="38">
        <f t="shared" si="4"/>
        <v>1.44</v>
      </c>
      <c r="Y8" s="37">
        <f t="shared" si="5"/>
        <v>0.66433566433566438</v>
      </c>
    </row>
    <row r="9" spans="2:25" ht="24" x14ac:dyDescent="0.25">
      <c r="Q9" s="179"/>
      <c r="R9" s="39" t="s">
        <v>12</v>
      </c>
      <c r="S9" s="45" t="s">
        <v>11</v>
      </c>
      <c r="T9" s="34">
        <v>6</v>
      </c>
      <c r="U9" s="35">
        <v>0</v>
      </c>
      <c r="V9" s="35">
        <f t="shared" si="3"/>
        <v>6</v>
      </c>
      <c r="W9" s="36">
        <v>0</v>
      </c>
      <c r="X9" s="35">
        <f>V9-W9</f>
        <v>6</v>
      </c>
      <c r="Y9" s="37">
        <f t="shared" si="5"/>
        <v>0</v>
      </c>
    </row>
    <row r="10" spans="2:25" ht="15.75" thickBot="1" x14ac:dyDescent="0.3">
      <c r="Q10" s="180"/>
      <c r="R10" s="184" t="s">
        <v>13</v>
      </c>
      <c r="S10" s="185"/>
      <c r="T10" s="40">
        <f>SUM(T5:T9)</f>
        <v>300.00000000000006</v>
      </c>
      <c r="U10" s="41">
        <f>SUM(U5:U9)</f>
        <v>0</v>
      </c>
      <c r="V10" s="41">
        <f>T10+U10</f>
        <v>300.00000000000006</v>
      </c>
      <c r="W10" s="42">
        <f>SUM(W5:W9)</f>
        <v>491.20600000000002</v>
      </c>
      <c r="X10" s="41">
        <f>V10-W10</f>
        <v>-191.20599999999996</v>
      </c>
      <c r="Y10" s="43">
        <f>W10/V10</f>
        <v>1.637353333333333</v>
      </c>
    </row>
    <row r="12" spans="2:25" ht="15.75" thickBot="1" x14ac:dyDescent="0.3"/>
    <row r="13" spans="2:25" ht="18.75" x14ac:dyDescent="0.25">
      <c r="B13" s="3" t="s">
        <v>0</v>
      </c>
      <c r="C13" s="4" t="s">
        <v>1</v>
      </c>
      <c r="D13" s="4" t="s">
        <v>45</v>
      </c>
      <c r="E13" s="5" t="s">
        <v>2</v>
      </c>
      <c r="F13" s="8" t="s">
        <v>3</v>
      </c>
      <c r="G13" s="4" t="s">
        <v>4</v>
      </c>
      <c r="H13" s="4" t="s">
        <v>5</v>
      </c>
      <c r="I13" s="4" t="s">
        <v>6</v>
      </c>
      <c r="J13" s="4" t="s">
        <v>7</v>
      </c>
      <c r="K13" s="4" t="s">
        <v>8</v>
      </c>
      <c r="L13" s="5" t="s">
        <v>9</v>
      </c>
    </row>
    <row r="14" spans="2:25" ht="18.75" x14ac:dyDescent="0.3">
      <c r="B14" s="169" t="s">
        <v>51</v>
      </c>
      <c r="C14" s="172" t="s">
        <v>17</v>
      </c>
      <c r="D14" s="2" t="s">
        <v>42</v>
      </c>
      <c r="E14" s="22" t="s">
        <v>46</v>
      </c>
      <c r="F14" s="9">
        <v>15.43</v>
      </c>
      <c r="G14" s="10">
        <v>0</v>
      </c>
      <c r="H14" s="10">
        <f>F14+G14</f>
        <v>15.43</v>
      </c>
      <c r="I14" s="26">
        <v>17.312000000000001</v>
      </c>
      <c r="J14" s="10">
        <f>H14-I14</f>
        <v>-1.8820000000000014</v>
      </c>
      <c r="K14" s="28">
        <f>I14/H14</f>
        <v>1.1219701879455606</v>
      </c>
      <c r="L14" s="1">
        <v>44125</v>
      </c>
    </row>
    <row r="15" spans="2:25" ht="18.75" x14ac:dyDescent="0.3">
      <c r="B15" s="170"/>
      <c r="C15" s="173"/>
      <c r="D15" s="2" t="s">
        <v>43</v>
      </c>
      <c r="E15" s="22" t="s">
        <v>46</v>
      </c>
      <c r="F15" s="9">
        <v>121.28</v>
      </c>
      <c r="G15" s="10">
        <v>0</v>
      </c>
      <c r="H15" s="10">
        <f>F15+G15</f>
        <v>121.28</v>
      </c>
      <c r="I15" s="26">
        <v>83.12</v>
      </c>
      <c r="J15" s="10">
        <f>H15-I15</f>
        <v>38.159999999999997</v>
      </c>
      <c r="K15" s="28">
        <f>I15/H15</f>
        <v>0.68535620052770452</v>
      </c>
      <c r="L15" s="1" t="s">
        <v>16</v>
      </c>
    </row>
    <row r="16" spans="2:25" ht="18.75" x14ac:dyDescent="0.3">
      <c r="B16" s="170"/>
      <c r="C16" s="174"/>
      <c r="D16" s="2" t="s">
        <v>44</v>
      </c>
      <c r="E16" s="22" t="s">
        <v>46</v>
      </c>
      <c r="F16" s="9">
        <v>153</v>
      </c>
      <c r="G16" s="10">
        <v>0</v>
      </c>
      <c r="H16" s="10">
        <f t="shared" ref="H16:H18" si="6">F16+G16</f>
        <v>153</v>
      </c>
      <c r="I16" s="26">
        <v>366.56299999999999</v>
      </c>
      <c r="J16" s="11">
        <f t="shared" ref="J16:J18" si="7">H16-I16</f>
        <v>-213.56299999999999</v>
      </c>
      <c r="K16" s="28">
        <f t="shared" ref="K16:K18" si="8">I16/H16</f>
        <v>2.3958366013071895</v>
      </c>
      <c r="L16" s="21">
        <v>44117</v>
      </c>
    </row>
    <row r="17" spans="2:12" ht="18.75" x14ac:dyDescent="0.3">
      <c r="B17" s="170"/>
      <c r="C17" s="6" t="s">
        <v>10</v>
      </c>
      <c r="D17" s="2" t="s">
        <v>11</v>
      </c>
      <c r="E17" s="22" t="s">
        <v>46</v>
      </c>
      <c r="F17" s="9">
        <v>4.29</v>
      </c>
      <c r="G17" s="10">
        <v>0</v>
      </c>
      <c r="H17" s="10">
        <f t="shared" si="6"/>
        <v>4.29</v>
      </c>
      <c r="I17" s="26">
        <f>2.85+0.005</f>
        <v>2.855</v>
      </c>
      <c r="J17" s="11">
        <f t="shared" si="7"/>
        <v>1.4350000000000001</v>
      </c>
      <c r="K17" s="28">
        <f t="shared" si="8"/>
        <v>0.66550116550116545</v>
      </c>
      <c r="L17" s="21">
        <v>44117</v>
      </c>
    </row>
    <row r="18" spans="2:12" ht="18.75" x14ac:dyDescent="0.3">
      <c r="B18" s="170"/>
      <c r="C18" s="7" t="s">
        <v>12</v>
      </c>
      <c r="D18" s="2" t="s">
        <v>11</v>
      </c>
      <c r="E18" s="22" t="s">
        <v>46</v>
      </c>
      <c r="F18" s="9">
        <v>6</v>
      </c>
      <c r="G18" s="10">
        <v>0</v>
      </c>
      <c r="H18" s="10">
        <f t="shared" si="6"/>
        <v>6</v>
      </c>
      <c r="I18" s="26"/>
      <c r="J18" s="10">
        <f t="shared" si="7"/>
        <v>6</v>
      </c>
      <c r="K18" s="28">
        <f t="shared" si="8"/>
        <v>0</v>
      </c>
      <c r="L18" s="1" t="s">
        <v>16</v>
      </c>
    </row>
    <row r="19" spans="2:12" ht="19.5" thickBot="1" x14ac:dyDescent="0.3">
      <c r="B19" s="171"/>
      <c r="C19" s="175" t="s">
        <v>13</v>
      </c>
      <c r="D19" s="176"/>
      <c r="E19" s="177"/>
      <c r="F19" s="23">
        <f>SUM(F14:F18)</f>
        <v>300.00000000000006</v>
      </c>
      <c r="G19" s="24">
        <f>SUM(G14:G18)</f>
        <v>0</v>
      </c>
      <c r="H19" s="24">
        <f>F19+G19</f>
        <v>300.00000000000006</v>
      </c>
      <c r="I19" s="27">
        <f>SUM(I14:I18)</f>
        <v>469.85</v>
      </c>
      <c r="J19" s="24">
        <f>H19-I19</f>
        <v>-169.84999999999997</v>
      </c>
      <c r="K19" s="29">
        <f>I19/H19</f>
        <v>1.5661666666666665</v>
      </c>
      <c r="L19" s="25"/>
    </row>
  </sheetData>
  <mergeCells count="8">
    <mergeCell ref="B14:B19"/>
    <mergeCell ref="C14:C16"/>
    <mergeCell ref="C19:E19"/>
    <mergeCell ref="Q5:Q10"/>
    <mergeCell ref="R5:R7"/>
    <mergeCell ref="R10:S10"/>
    <mergeCell ref="B6:B8"/>
    <mergeCell ref="C8:D8"/>
  </mergeCells>
  <conditionalFormatting sqref="J6:J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{C8F08CB3-5017-4B88-A9C7-9C00B355ABB0}</x14:id>
        </ext>
      </extLst>
    </cfRule>
  </conditionalFormatting>
  <conditionalFormatting sqref="K14:K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{74B15412-43AA-411E-9AF1-C8CF98A36327}</x14:id>
        </ext>
      </extLst>
    </cfRule>
  </conditionalFormatting>
  <conditionalFormatting sqref="K14:K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{B4C18915-E887-4052-BA28-ED37DDCF67E0}</x14:id>
        </ext>
      </extLst>
    </cfRule>
  </conditionalFormatting>
  <conditionalFormatting sqref="Y5:Y1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{F6AFE3E4-FEE1-4C03-A0FA-719FEF5EC47D}</x14:id>
        </ext>
      </extLst>
    </cfRule>
  </conditionalFormatting>
  <conditionalFormatting sqref="Y5:Y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{F38AFE36-4EE9-41F1-9F3F-633B966C0975}</x14:id>
        </ext>
      </extLst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08CB3-5017-4B88-A9C7-9C00B355AB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J6:J8</xm:sqref>
        </x14:conditionalFormatting>
        <x14:conditionalFormatting xmlns:xm="http://schemas.microsoft.com/office/excel/2006/main">
          <x14:cfRule type="dataBar" id="{74B15412-43AA-411E-9AF1-C8CF98A363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B4C18915-E887-4052-BA28-ED37DDCF6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F6AFE3E4-FEE1-4C03-A0FA-719FEF5EC4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  <x14:conditionalFormatting xmlns:xm="http://schemas.microsoft.com/office/excel/2006/main">
          <x14:cfRule type="dataBar" id="{F38AFE36-4EE9-41F1-9F3F-633B966C09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G26" sqref="G26"/>
    </sheetView>
  </sheetViews>
  <sheetFormatPr baseColWidth="10" defaultColWidth="11.42578125" defaultRowHeight="12.75" x14ac:dyDescent="0.2"/>
  <cols>
    <col min="1" max="1" width="26" style="17" bestFit="1" customWidth="1"/>
    <col min="2" max="2" width="13" style="17" bestFit="1" customWidth="1"/>
    <col min="3" max="3" width="19.7109375" style="17" bestFit="1" customWidth="1"/>
    <col min="4" max="4" width="19.5703125" style="17" bestFit="1" customWidth="1"/>
    <col min="5" max="5" width="36.140625" style="17" bestFit="1" customWidth="1"/>
    <col min="6" max="6" width="12" style="17" bestFit="1" customWidth="1"/>
    <col min="7" max="7" width="11.28515625" style="17" bestFit="1" customWidth="1"/>
    <col min="8" max="8" width="7.42578125" style="17" bestFit="1" customWidth="1"/>
    <col min="9" max="9" width="17.42578125" style="17" bestFit="1" customWidth="1"/>
    <col min="10" max="10" width="12.28515625" style="17" bestFit="1" customWidth="1"/>
    <col min="11" max="11" width="11.85546875" style="17" bestFit="1" customWidth="1"/>
    <col min="12" max="12" width="7.7109375" style="17" customWidth="1"/>
    <col min="13" max="13" width="17.42578125" style="18" bestFit="1" customWidth="1"/>
    <col min="14" max="14" width="10.140625" style="19" bestFit="1" customWidth="1"/>
    <col min="15" max="15" width="10.42578125" style="19" bestFit="1" customWidth="1"/>
    <col min="16" max="16" width="11.42578125" style="20"/>
    <col min="17" max="16384" width="11.42578125" style="17"/>
  </cols>
  <sheetData>
    <row r="1" spans="1:17" x14ac:dyDescent="0.2">
      <c r="A1" s="13" t="s">
        <v>18</v>
      </c>
      <c r="B1" s="13" t="s">
        <v>19</v>
      </c>
      <c r="C1" s="13" t="s">
        <v>20</v>
      </c>
      <c r="D1" s="14" t="s">
        <v>21</v>
      </c>
      <c r="E1" s="13" t="s">
        <v>22</v>
      </c>
      <c r="F1" s="13" t="s">
        <v>23</v>
      </c>
      <c r="G1" s="13" t="s">
        <v>24</v>
      </c>
      <c r="H1" s="13" t="s">
        <v>25</v>
      </c>
      <c r="I1" s="13" t="s">
        <v>26</v>
      </c>
      <c r="J1" s="13" t="s">
        <v>27</v>
      </c>
      <c r="K1" s="13" t="s">
        <v>28</v>
      </c>
      <c r="L1" s="13" t="s">
        <v>29</v>
      </c>
      <c r="M1" s="15" t="s">
        <v>30</v>
      </c>
      <c r="N1" s="16" t="s">
        <v>31</v>
      </c>
      <c r="O1" s="12" t="s">
        <v>32</v>
      </c>
      <c r="P1" s="12" t="s">
        <v>40</v>
      </c>
      <c r="Q1" s="12" t="s">
        <v>41</v>
      </c>
    </row>
    <row r="2" spans="1:17" s="59" customFormat="1" x14ac:dyDescent="0.2">
      <c r="A2" s="53" t="s">
        <v>36</v>
      </c>
      <c r="B2" s="54" t="s">
        <v>34</v>
      </c>
      <c r="C2" s="54" t="str">
        <f>+ARTESANAL!D7</f>
        <v xml:space="preserve">IV a VII </v>
      </c>
      <c r="D2" s="54" t="s">
        <v>35</v>
      </c>
      <c r="E2" s="54" t="str">
        <f>+ARTESANAL!D7</f>
        <v xml:space="preserve">IV a VII </v>
      </c>
      <c r="F2" s="55">
        <v>44671</v>
      </c>
      <c r="G2" s="55">
        <v>44732</v>
      </c>
      <c r="H2" s="56">
        <f>ARTESANAL!F7</f>
        <v>61.11</v>
      </c>
      <c r="I2" s="56">
        <f>ARTESANAL!G7</f>
        <v>0</v>
      </c>
      <c r="J2" s="56">
        <f>ARTESANAL!H7</f>
        <v>61.11</v>
      </c>
      <c r="K2" s="56">
        <f>ARTESANAL!I7</f>
        <v>0</v>
      </c>
      <c r="L2" s="56">
        <f>ARTESANAL!J7</f>
        <v>61.11</v>
      </c>
      <c r="M2" s="137">
        <f>ARTESANAL!K7</f>
        <v>0</v>
      </c>
      <c r="N2" s="137" t="str">
        <f>ARTESANAL!L7</f>
        <v>-</v>
      </c>
      <c r="O2" s="55">
        <f>ARTESANAL!$C$4</f>
        <v>44727</v>
      </c>
      <c r="P2" s="57">
        <f>YEAR(O2)</f>
        <v>2022</v>
      </c>
      <c r="Q2" s="58"/>
    </row>
    <row r="3" spans="1:17" s="59" customFormat="1" x14ac:dyDescent="0.2">
      <c r="A3" s="53" t="s">
        <v>36</v>
      </c>
      <c r="B3" s="54" t="s">
        <v>34</v>
      </c>
      <c r="C3" s="54" t="str">
        <f>+ARTESANAL!D8</f>
        <v>XVI</v>
      </c>
      <c r="D3" s="54" t="s">
        <v>35</v>
      </c>
      <c r="E3" s="54" t="str">
        <f>+ARTESANAL!D8</f>
        <v>XVI</v>
      </c>
      <c r="F3" s="55">
        <v>44671</v>
      </c>
      <c r="G3" s="55">
        <v>44732</v>
      </c>
      <c r="H3" s="56">
        <f>ARTESANAL!F8</f>
        <v>15.98</v>
      </c>
      <c r="I3" s="56">
        <f>ARTESANAL!G8</f>
        <v>0</v>
      </c>
      <c r="J3" s="56">
        <f>ARTESANAL!H8</f>
        <v>15.98</v>
      </c>
      <c r="K3" s="56">
        <f>ARTESANAL!I8</f>
        <v>0</v>
      </c>
      <c r="L3" s="56">
        <f>ARTESANAL!J8</f>
        <v>15.98</v>
      </c>
      <c r="M3" s="137">
        <f>ARTESANAL!K8</f>
        <v>0</v>
      </c>
      <c r="N3" s="137" t="str">
        <f>ARTESANAL!L8</f>
        <v>-</v>
      </c>
      <c r="O3" s="55">
        <f>ARTESANAL!$C$4</f>
        <v>44727</v>
      </c>
      <c r="P3" s="57">
        <f t="shared" ref="P3:P19" si="0">YEAR(O3)</f>
        <v>2022</v>
      </c>
      <c r="Q3" s="58"/>
    </row>
    <row r="4" spans="1:17" s="59" customFormat="1" x14ac:dyDescent="0.2">
      <c r="A4" s="53" t="s">
        <v>36</v>
      </c>
      <c r="B4" s="54" t="s">
        <v>34</v>
      </c>
      <c r="C4" s="54" t="str">
        <f>+ARTESANAL!D9</f>
        <v>VIII</v>
      </c>
      <c r="D4" s="54" t="s">
        <v>35</v>
      </c>
      <c r="E4" s="54" t="str">
        <f>+ARTESANAL!D9</f>
        <v>VIII</v>
      </c>
      <c r="F4" s="55">
        <v>44671</v>
      </c>
      <c r="G4" s="55">
        <v>44732</v>
      </c>
      <c r="H4" s="56">
        <f>ARTESANAL!F9</f>
        <v>217.28</v>
      </c>
      <c r="I4" s="56">
        <f>ARTESANAL!G9</f>
        <v>0</v>
      </c>
      <c r="J4" s="56">
        <f>ARTESANAL!H9</f>
        <v>217.28</v>
      </c>
      <c r="K4" s="56">
        <f>ARTESANAL!I9</f>
        <v>10.1</v>
      </c>
      <c r="L4" s="56">
        <f>ARTESANAL!J9</f>
        <v>207.18</v>
      </c>
      <c r="M4" s="137">
        <f>ARTESANAL!K9</f>
        <v>4.6483799705449191E-2</v>
      </c>
      <c r="N4" s="137" t="str">
        <f>ARTESANAL!L9</f>
        <v>-</v>
      </c>
      <c r="O4" s="55">
        <f>ARTESANAL!$C$4</f>
        <v>44727</v>
      </c>
      <c r="P4" s="57">
        <f t="shared" si="0"/>
        <v>2022</v>
      </c>
      <c r="Q4" s="58"/>
    </row>
    <row r="5" spans="1:17" s="59" customFormat="1" x14ac:dyDescent="0.2">
      <c r="A5" s="53" t="s">
        <v>36</v>
      </c>
      <c r="B5" s="54" t="s">
        <v>34</v>
      </c>
      <c r="C5" s="54" t="str">
        <f>+ARTESANAL!D10</f>
        <v>IX</v>
      </c>
      <c r="D5" s="54" t="s">
        <v>35</v>
      </c>
      <c r="E5" s="54" t="str">
        <f>+ARTESANAL!D10</f>
        <v>IX</v>
      </c>
      <c r="F5" s="55">
        <v>44671</v>
      </c>
      <c r="G5" s="55">
        <v>44732</v>
      </c>
      <c r="H5" s="56">
        <f>ARTESANAL!F10</f>
        <v>30.29</v>
      </c>
      <c r="I5" s="56">
        <f>ARTESANAL!G10</f>
        <v>0</v>
      </c>
      <c r="J5" s="56">
        <f>ARTESANAL!H10</f>
        <v>30.29</v>
      </c>
      <c r="K5" s="56">
        <f>ARTESANAL!I10</f>
        <v>0</v>
      </c>
      <c r="L5" s="56">
        <f>ARTESANAL!J10</f>
        <v>30.29</v>
      </c>
      <c r="M5" s="137">
        <f>ARTESANAL!K10</f>
        <v>0</v>
      </c>
      <c r="N5" s="137" t="str">
        <f>ARTESANAL!L10</f>
        <v>-</v>
      </c>
      <c r="O5" s="55">
        <f>ARTESANAL!$C$4</f>
        <v>44727</v>
      </c>
      <c r="P5" s="57">
        <f t="shared" si="0"/>
        <v>2022</v>
      </c>
      <c r="Q5" s="58"/>
    </row>
    <row r="6" spans="1:17" s="59" customFormat="1" x14ac:dyDescent="0.2">
      <c r="A6" s="53" t="s">
        <v>36</v>
      </c>
      <c r="B6" s="54" t="s">
        <v>34</v>
      </c>
      <c r="C6" s="54" t="str">
        <f ca="1">+ARTESANAL!D11</f>
        <v>XIV</v>
      </c>
      <c r="D6" s="54" t="s">
        <v>35</v>
      </c>
      <c r="E6" s="54" t="str">
        <f ca="1">+ARTESANAL!D11</f>
        <v>XIV</v>
      </c>
      <c r="F6" s="55">
        <v>44671</v>
      </c>
      <c r="G6" s="55">
        <v>44732</v>
      </c>
      <c r="H6" s="56">
        <f>ARTESANAL!F11</f>
        <v>216.42</v>
      </c>
      <c r="I6" s="56">
        <f>ARTESANAL!G11</f>
        <v>0</v>
      </c>
      <c r="J6" s="56">
        <f>ARTESANAL!H11</f>
        <v>216.42</v>
      </c>
      <c r="K6" s="56">
        <f>ARTESANAL!I11</f>
        <v>0</v>
      </c>
      <c r="L6" s="56">
        <f>ARTESANAL!J11</f>
        <v>216.42</v>
      </c>
      <c r="M6" s="137">
        <f>ARTESANAL!K11</f>
        <v>0</v>
      </c>
      <c r="N6" s="137" t="str">
        <f>ARTESANAL!L11</f>
        <v>-</v>
      </c>
      <c r="O6" s="55">
        <f>ARTESANAL!$C$4</f>
        <v>44727</v>
      </c>
      <c r="P6" s="57">
        <f t="shared" si="0"/>
        <v>2022</v>
      </c>
      <c r="Q6" s="58"/>
    </row>
    <row r="7" spans="1:17" s="59" customFormat="1" x14ac:dyDescent="0.2">
      <c r="A7" s="53" t="s">
        <v>36</v>
      </c>
      <c r="B7" s="54" t="s">
        <v>34</v>
      </c>
      <c r="C7" s="54" t="s">
        <v>57</v>
      </c>
      <c r="D7" s="54" t="s">
        <v>35</v>
      </c>
      <c r="E7" s="54" t="s">
        <v>57</v>
      </c>
      <c r="F7" s="55">
        <v>44805</v>
      </c>
      <c r="G7" s="55">
        <v>44865</v>
      </c>
      <c r="H7" s="56">
        <v>216.42</v>
      </c>
      <c r="I7" s="56">
        <f>ARTESANAL!G12</f>
        <v>0</v>
      </c>
      <c r="J7" s="56">
        <f>ARTESANAL!H12</f>
        <v>216.42</v>
      </c>
      <c r="K7" s="56">
        <f>ARTESANAL!I12</f>
        <v>0</v>
      </c>
      <c r="L7" s="56">
        <f>ARTESANAL!J12</f>
        <v>216.42</v>
      </c>
      <c r="M7" s="137">
        <f>ARTESANAL!K12</f>
        <v>0</v>
      </c>
      <c r="N7" s="56" t="str">
        <f>ARTESANAL!L12</f>
        <v>-</v>
      </c>
      <c r="O7" s="55">
        <f>ARTESANAL!$C$4</f>
        <v>44727</v>
      </c>
      <c r="P7" s="57">
        <f t="shared" si="0"/>
        <v>2022</v>
      </c>
      <c r="Q7" s="58"/>
    </row>
    <row r="8" spans="1:17" s="59" customFormat="1" x14ac:dyDescent="0.2">
      <c r="A8" s="53" t="s">
        <v>36</v>
      </c>
      <c r="B8" s="54" t="s">
        <v>34</v>
      </c>
      <c r="C8" s="54" t="s">
        <v>73</v>
      </c>
      <c r="D8" s="54" t="s">
        <v>35</v>
      </c>
      <c r="E8" s="54" t="s">
        <v>73</v>
      </c>
      <c r="F8" s="55">
        <v>44671</v>
      </c>
      <c r="G8" s="55">
        <v>44732</v>
      </c>
      <c r="H8" s="56">
        <f>+ARTESANAL!F13</f>
        <v>416.29</v>
      </c>
      <c r="I8" s="56">
        <f>ARTESANAL!G13</f>
        <v>0</v>
      </c>
      <c r="J8" s="56">
        <f>ARTESANAL!H13</f>
        <v>416.29</v>
      </c>
      <c r="K8" s="56">
        <f>ARTESANAL!I13</f>
        <v>293.03100000000001</v>
      </c>
      <c r="L8" s="56">
        <f>ARTESANAL!J13</f>
        <v>123.25900000000001</v>
      </c>
      <c r="M8" s="137">
        <f>ARTESANAL!K13</f>
        <v>0.70391073530471548</v>
      </c>
      <c r="N8" s="55">
        <f>ARTESANAL!L13</f>
        <v>44708</v>
      </c>
      <c r="O8" s="55">
        <f>ARTESANAL!$C$4</f>
        <v>44727</v>
      </c>
      <c r="P8" s="57">
        <f t="shared" si="0"/>
        <v>2022</v>
      </c>
      <c r="Q8" s="58"/>
    </row>
    <row r="9" spans="1:17" s="59" customFormat="1" x14ac:dyDescent="0.2">
      <c r="A9" s="53" t="s">
        <v>36</v>
      </c>
      <c r="B9" s="54" t="s">
        <v>34</v>
      </c>
      <c r="C9" s="54" t="s">
        <v>73</v>
      </c>
      <c r="D9" s="54" t="s">
        <v>35</v>
      </c>
      <c r="E9" s="54" t="s">
        <v>73</v>
      </c>
      <c r="F9" s="55">
        <v>44826</v>
      </c>
      <c r="G9" s="55">
        <v>44865</v>
      </c>
      <c r="H9" s="56">
        <v>416.29</v>
      </c>
      <c r="I9" s="56">
        <f>ARTESANAL!G14</f>
        <v>0</v>
      </c>
      <c r="J9" s="56">
        <f>ARTESANAL!H14</f>
        <v>123.25900000000001</v>
      </c>
      <c r="K9" s="56">
        <f>ARTESANAL!I14</f>
        <v>0</v>
      </c>
      <c r="L9" s="56">
        <f>ARTESANAL!J14</f>
        <v>123.25900000000001</v>
      </c>
      <c r="M9" s="137">
        <f>ARTESANAL!K14</f>
        <v>0</v>
      </c>
      <c r="N9" s="137" t="str">
        <f>ARTESANAL!L14</f>
        <v>-</v>
      </c>
      <c r="O9" s="55">
        <f>ARTESANAL!$C$4</f>
        <v>44727</v>
      </c>
      <c r="P9" s="57">
        <f t="shared" si="0"/>
        <v>2022</v>
      </c>
      <c r="Q9" s="58"/>
    </row>
    <row r="10" spans="1:17" s="59" customFormat="1" x14ac:dyDescent="0.2">
      <c r="A10" s="53" t="s">
        <v>36</v>
      </c>
      <c r="B10" s="54" t="s">
        <v>34</v>
      </c>
      <c r="C10" s="54" t="s">
        <v>74</v>
      </c>
      <c r="D10" s="54" t="s">
        <v>35</v>
      </c>
      <c r="E10" s="54" t="s">
        <v>74</v>
      </c>
      <c r="F10" s="55">
        <v>44774</v>
      </c>
      <c r="G10" s="55">
        <v>44834</v>
      </c>
      <c r="H10" s="56">
        <f>+ARTESANAL!F15</f>
        <v>107.78</v>
      </c>
      <c r="I10" s="56">
        <f>ARTESANAL!G15</f>
        <v>0</v>
      </c>
      <c r="J10" s="56">
        <f>ARTESANAL!H15</f>
        <v>107.78</v>
      </c>
      <c r="K10" s="56">
        <f>ARTESANAL!I15</f>
        <v>0</v>
      </c>
      <c r="L10" s="56">
        <f>ARTESANAL!J15</f>
        <v>107.78</v>
      </c>
      <c r="M10" s="137">
        <f>ARTESANAL!K15</f>
        <v>0</v>
      </c>
      <c r="N10" s="137" t="str">
        <f>ARTESANAL!L15</f>
        <v>-</v>
      </c>
      <c r="O10" s="55">
        <f>ARTESANAL!$C$4</f>
        <v>44727</v>
      </c>
      <c r="P10" s="57">
        <f t="shared" si="0"/>
        <v>2022</v>
      </c>
      <c r="Q10" s="58"/>
    </row>
    <row r="11" spans="1:17" s="59" customFormat="1" x14ac:dyDescent="0.2">
      <c r="A11" s="53" t="s">
        <v>36</v>
      </c>
      <c r="B11" s="54" t="s">
        <v>34</v>
      </c>
      <c r="C11" s="54" t="str">
        <f>+ARTESANAL!D16</f>
        <v>XII</v>
      </c>
      <c r="D11" s="54" t="s">
        <v>35</v>
      </c>
      <c r="E11" s="54" t="str">
        <f>+ARTESANAL!D16</f>
        <v>XII</v>
      </c>
      <c r="F11" s="55">
        <v>44671</v>
      </c>
      <c r="G11" s="55">
        <v>44732</v>
      </c>
      <c r="H11" s="56">
        <f>ARTESANAL!F16</f>
        <v>81.44</v>
      </c>
      <c r="I11" s="56">
        <f>ARTESANAL!G16</f>
        <v>0</v>
      </c>
      <c r="J11" s="56">
        <f>ARTESANAL!H16</f>
        <v>81.44</v>
      </c>
      <c r="K11" s="56">
        <f>ARTESANAL!I16</f>
        <v>0.76</v>
      </c>
      <c r="L11" s="56">
        <f>ARTESANAL!J16</f>
        <v>80.679999999999993</v>
      </c>
      <c r="M11" s="137">
        <f>ARTESANAL!K16</f>
        <v>9.3320235756385074E-3</v>
      </c>
      <c r="N11" s="137" t="str">
        <f>ARTESANAL!L16</f>
        <v>-</v>
      </c>
      <c r="O11" s="55">
        <f>ARTESANAL!$C$4</f>
        <v>44727</v>
      </c>
      <c r="P11" s="57">
        <f t="shared" si="0"/>
        <v>2022</v>
      </c>
      <c r="Q11" s="58"/>
    </row>
    <row r="12" spans="1:17" s="59" customFormat="1" x14ac:dyDescent="0.2">
      <c r="A12" s="53" t="s">
        <v>36</v>
      </c>
      <c r="B12" s="54" t="s">
        <v>34</v>
      </c>
      <c r="C12" s="54" t="s">
        <v>33</v>
      </c>
      <c r="D12" s="54" t="s">
        <v>60</v>
      </c>
      <c r="E12" s="54" t="s">
        <v>59</v>
      </c>
      <c r="F12" s="55">
        <v>44671</v>
      </c>
      <c r="G12" s="55">
        <v>44732</v>
      </c>
      <c r="H12" s="56">
        <f>+INDUSTRIAL!F7</f>
        <v>35.46</v>
      </c>
      <c r="I12" s="56">
        <f>+INDUSTRIAL!G7</f>
        <v>0</v>
      </c>
      <c r="J12" s="56">
        <f>+INDUSTRIAL!H7</f>
        <v>35.46</v>
      </c>
      <c r="K12" s="56">
        <f>+INDUSTRIAL!I7</f>
        <v>0</v>
      </c>
      <c r="L12" s="56">
        <f>+INDUSTRIAL!J7</f>
        <v>35.46</v>
      </c>
      <c r="M12" s="137">
        <f>+INDUSTRIAL!K7</f>
        <v>0</v>
      </c>
      <c r="N12" s="137" t="str">
        <f>+INDUSTRIAL!L7</f>
        <v>-</v>
      </c>
      <c r="O12" s="55">
        <f>ARTESANAL!$C$4</f>
        <v>44727</v>
      </c>
      <c r="P12" s="57">
        <f t="shared" si="0"/>
        <v>2022</v>
      </c>
      <c r="Q12" s="58"/>
    </row>
    <row r="13" spans="1:17" s="59" customFormat="1" x14ac:dyDescent="0.2">
      <c r="A13" s="53" t="s">
        <v>36</v>
      </c>
      <c r="B13" s="54" t="s">
        <v>34</v>
      </c>
      <c r="C13" s="54" t="s">
        <v>33</v>
      </c>
      <c r="D13" s="54" t="s">
        <v>60</v>
      </c>
      <c r="E13" s="54" t="s">
        <v>111</v>
      </c>
      <c r="F13" s="55">
        <v>44671</v>
      </c>
      <c r="G13" s="55">
        <v>44732</v>
      </c>
      <c r="H13" s="56">
        <f>INDUSTRIAL!F8</f>
        <v>0.36</v>
      </c>
      <c r="I13" s="56">
        <f>INDUSTRIAL!G8</f>
        <v>0</v>
      </c>
      <c r="J13" s="56">
        <f>INDUSTRIAL!H8</f>
        <v>0.36</v>
      </c>
      <c r="K13" s="56">
        <f>INDUSTRIAL!I8</f>
        <v>0</v>
      </c>
      <c r="L13" s="56">
        <f>INDUSTRIAL!J8</f>
        <v>0.36</v>
      </c>
      <c r="M13" s="137">
        <f>INDUSTRIAL!K8</f>
        <v>0</v>
      </c>
      <c r="N13" s="56" t="str">
        <f>INDUSTRIAL!L8</f>
        <v>-</v>
      </c>
      <c r="O13" s="55">
        <f>ARTESANAL!$C$4</f>
        <v>44727</v>
      </c>
      <c r="P13" s="57">
        <f t="shared" si="0"/>
        <v>2022</v>
      </c>
      <c r="Q13" s="58"/>
    </row>
    <row r="14" spans="1:17" s="59" customFormat="1" x14ac:dyDescent="0.2">
      <c r="A14" s="53" t="s">
        <v>36</v>
      </c>
      <c r="B14" s="54" t="s">
        <v>34</v>
      </c>
      <c r="C14" s="54" t="s">
        <v>33</v>
      </c>
      <c r="D14" s="54" t="s">
        <v>58</v>
      </c>
      <c r="E14" s="54" t="s">
        <v>61</v>
      </c>
      <c r="F14" s="55">
        <v>44671</v>
      </c>
      <c r="G14" s="55">
        <v>44865</v>
      </c>
      <c r="H14" s="56">
        <f>RESUMEN!F18+RESUMEN!F27</f>
        <v>1199.99</v>
      </c>
      <c r="I14" s="56">
        <f t="shared" ref="I14" si="1">SUM(I2:I12)</f>
        <v>0</v>
      </c>
      <c r="J14" s="56">
        <f>+H14+I14</f>
        <v>1199.99</v>
      </c>
      <c r="K14" s="56">
        <f>SUM(K2:K13)</f>
        <v>303.89100000000002</v>
      </c>
      <c r="L14" s="56">
        <f>+J14-K14</f>
        <v>896.09899999999993</v>
      </c>
      <c r="M14" s="137">
        <f>+K14/J14</f>
        <v>0.25324461037175311</v>
      </c>
      <c r="N14" s="137" t="s">
        <v>16</v>
      </c>
      <c r="O14" s="55">
        <f>ARTESANAL!$C$4</f>
        <v>44727</v>
      </c>
      <c r="P14" s="57">
        <f t="shared" si="0"/>
        <v>2022</v>
      </c>
      <c r="Q14" s="58"/>
    </row>
    <row r="15" spans="1:17" s="59" customFormat="1" x14ac:dyDescent="0.2">
      <c r="A15" s="53" t="s">
        <v>37</v>
      </c>
      <c r="B15" s="54" t="s">
        <v>38</v>
      </c>
      <c r="C15" s="54" t="s">
        <v>62</v>
      </c>
      <c r="D15" s="54" t="s">
        <v>72</v>
      </c>
      <c r="E15" s="54" t="s">
        <v>62</v>
      </c>
      <c r="F15" s="55">
        <v>44671</v>
      </c>
      <c r="G15" s="55">
        <v>44732</v>
      </c>
      <c r="H15" s="56">
        <f>+ARTESANAL!F23</f>
        <v>12.6</v>
      </c>
      <c r="I15" s="56">
        <f>+ARTESANAL!G23</f>
        <v>0</v>
      </c>
      <c r="J15" s="56">
        <f>ARTESANAL!H23</f>
        <v>12.6</v>
      </c>
      <c r="K15" s="56">
        <f>+ARTESANAL!I23</f>
        <v>0</v>
      </c>
      <c r="L15" s="56">
        <f>ARTESANAL!J23</f>
        <v>12.6</v>
      </c>
      <c r="M15" s="137">
        <f>+ARTESANAL!K23</f>
        <v>0</v>
      </c>
      <c r="N15" s="137" t="str">
        <f>+ARTESANAL!L23</f>
        <v>-</v>
      </c>
      <c r="O15" s="55">
        <f>ARTESANAL!$C$4</f>
        <v>44727</v>
      </c>
      <c r="P15" s="57">
        <f t="shared" si="0"/>
        <v>2022</v>
      </c>
      <c r="Q15" s="58"/>
    </row>
    <row r="16" spans="1:17" s="59" customFormat="1" x14ac:dyDescent="0.2">
      <c r="A16" s="53" t="s">
        <v>37</v>
      </c>
      <c r="B16" s="54" t="s">
        <v>38</v>
      </c>
      <c r="C16" s="54" t="s">
        <v>103</v>
      </c>
      <c r="D16" s="54" t="s">
        <v>72</v>
      </c>
      <c r="E16" s="54" t="s">
        <v>103</v>
      </c>
      <c r="F16" s="55">
        <v>44671</v>
      </c>
      <c r="G16" s="55">
        <v>44732</v>
      </c>
      <c r="H16" s="56">
        <f>+ARTESANAL!F24</f>
        <v>98.96</v>
      </c>
      <c r="I16" s="56">
        <f>+ARTESANAL!G24</f>
        <v>0</v>
      </c>
      <c r="J16" s="56">
        <f>+ARTESANAL!H24</f>
        <v>98.96</v>
      </c>
      <c r="K16" s="56">
        <f>+ARTESANAL!I24</f>
        <v>3.0110000000000001</v>
      </c>
      <c r="L16" s="56">
        <f>+ARTESANAL!J24</f>
        <v>95.948999999999998</v>
      </c>
      <c r="M16" s="137">
        <f>+ARTESANAL!K24</f>
        <v>3.0426434923201295E-2</v>
      </c>
      <c r="N16" s="137" t="str">
        <f>+ARTESANAL!L24</f>
        <v>-</v>
      </c>
      <c r="O16" s="55">
        <f>ARTESANAL!$C$4</f>
        <v>44727</v>
      </c>
      <c r="P16" s="57">
        <f t="shared" si="0"/>
        <v>2022</v>
      </c>
      <c r="Q16" s="58"/>
    </row>
    <row r="17" spans="1:17" s="59" customFormat="1" x14ac:dyDescent="0.2">
      <c r="A17" s="53" t="s">
        <v>37</v>
      </c>
      <c r="B17" s="54" t="s">
        <v>38</v>
      </c>
      <c r="C17" s="54" t="s">
        <v>104</v>
      </c>
      <c r="D17" s="54" t="s">
        <v>72</v>
      </c>
      <c r="E17" s="54" t="s">
        <v>104</v>
      </c>
      <c r="F17" s="55">
        <v>44671</v>
      </c>
      <c r="G17" s="55">
        <v>44732</v>
      </c>
      <c r="H17" s="56">
        <f>ARTESANAL!F25</f>
        <v>124.84</v>
      </c>
      <c r="I17" s="56">
        <f>ARTESANAL!G25</f>
        <v>0</v>
      </c>
      <c r="J17" s="56">
        <f>ARTESANAL!H25</f>
        <v>124.84</v>
      </c>
      <c r="K17" s="56">
        <f>ARTESANAL!I25</f>
        <v>3.0950000000000002</v>
      </c>
      <c r="L17" s="56">
        <f>ARTESANAL!J25</f>
        <v>121.745</v>
      </c>
      <c r="M17" s="137">
        <f>ARTESANAL!K25</f>
        <v>2.4791733418776035E-2</v>
      </c>
      <c r="N17" s="56" t="str">
        <f>ARTESANAL!L25</f>
        <v>-</v>
      </c>
      <c r="O17" s="55">
        <f>ARTESANAL!$C$4</f>
        <v>44727</v>
      </c>
      <c r="P17" s="57">
        <f t="shared" si="0"/>
        <v>2022</v>
      </c>
      <c r="Q17" s="58"/>
    </row>
    <row r="18" spans="1:17" s="59" customFormat="1" x14ac:dyDescent="0.2">
      <c r="A18" s="53" t="s">
        <v>37</v>
      </c>
      <c r="B18" s="54" t="s">
        <v>38</v>
      </c>
      <c r="C18" s="54" t="s">
        <v>73</v>
      </c>
      <c r="D18" s="54" t="s">
        <v>72</v>
      </c>
      <c r="E18" s="54" t="s">
        <v>112</v>
      </c>
      <c r="F18" s="55">
        <v>44671</v>
      </c>
      <c r="G18" s="55">
        <v>44732</v>
      </c>
      <c r="H18" s="56">
        <f>ARTESANAL!F26</f>
        <v>2.4</v>
      </c>
      <c r="I18" s="56">
        <f>ARTESANAL!G26</f>
        <v>0</v>
      </c>
      <c r="J18" s="56">
        <f>ARTESANAL!H26</f>
        <v>2.4</v>
      </c>
      <c r="K18" s="56">
        <f>ARTESANAL!I26</f>
        <v>0</v>
      </c>
      <c r="L18" s="56">
        <f>ARTESANAL!J26</f>
        <v>2.4</v>
      </c>
      <c r="M18" s="56">
        <f>ARTESANAL!K26</f>
        <v>0</v>
      </c>
      <c r="N18" s="56" t="str">
        <f>ARTESANAL!L26</f>
        <v>-</v>
      </c>
      <c r="O18" s="55">
        <f>ARTESANAL!$C$4</f>
        <v>44727</v>
      </c>
      <c r="P18" s="57">
        <f t="shared" si="0"/>
        <v>2022</v>
      </c>
      <c r="Q18" s="58"/>
    </row>
    <row r="19" spans="1:17" s="59" customFormat="1" x14ac:dyDescent="0.2">
      <c r="A19" s="53" t="s">
        <v>39</v>
      </c>
      <c r="B19" s="54" t="s">
        <v>38</v>
      </c>
      <c r="C19" s="54" t="s">
        <v>33</v>
      </c>
      <c r="D19" s="54" t="s">
        <v>58</v>
      </c>
      <c r="E19" s="54" t="s">
        <v>61</v>
      </c>
      <c r="F19" s="55">
        <v>44671</v>
      </c>
      <c r="G19" s="55">
        <v>44732</v>
      </c>
      <c r="H19" s="56">
        <f>ARTESANAL!F28</f>
        <v>238.79999999999998</v>
      </c>
      <c r="I19" s="56">
        <f>ARTESANAL!G28</f>
        <v>0</v>
      </c>
      <c r="J19" s="56">
        <f>ARTESANAL!H28</f>
        <v>238.79999999999998</v>
      </c>
      <c r="K19" s="56">
        <f>ARTESANAL!I28</f>
        <v>6.1059999999999999</v>
      </c>
      <c r="L19" s="56">
        <f>ARTESANAL!J28</f>
        <v>232.69399999999999</v>
      </c>
      <c r="M19" s="56">
        <f>ARTESANAL!K28</f>
        <v>2.5569514237855948E-2</v>
      </c>
      <c r="N19" s="56" t="str">
        <f>ARTESANAL!L28</f>
        <v>-</v>
      </c>
      <c r="O19" s="55">
        <f>ARTESANAL!$C$4</f>
        <v>44727</v>
      </c>
      <c r="P19" s="57">
        <f t="shared" si="0"/>
        <v>2022</v>
      </c>
      <c r="Q1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ARTESANAL</vt:lpstr>
      <vt:lpstr>INDUSTRIAL</vt:lpstr>
      <vt:lpstr>Hoja1</vt:lpstr>
      <vt:lpstr>Compliado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2019-08-29T14:45:28Z</dcterms:created>
  <dcterms:modified xsi:type="dcterms:W3CDTF">2022-06-15T20:04:48Z</dcterms:modified>
</cp:coreProperties>
</file>