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ea\Desktop\2022 controles\"/>
    </mc:Choice>
  </mc:AlternateContent>
  <bookViews>
    <workbookView xWindow="-105" yWindow="-105" windowWidth="23250" windowHeight="12450"/>
  </bookViews>
  <sheets>
    <sheet name="RESUMEN" sheetId="4" r:id="rId1"/>
    <sheet name="ARTESANAL" sheetId="1" r:id="rId2"/>
    <sheet name="INDUSTRIAL" sheetId="5" r:id="rId3"/>
    <sheet name="Hoja1" sheetId="3" state="hidden" r:id="rId4"/>
    <sheet name="Compliado web" sheetId="2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4" l="1"/>
  <c r="I18" i="4"/>
  <c r="I25" i="4"/>
  <c r="I22" i="4"/>
  <c r="I19" i="4"/>
  <c r="K31" i="1"/>
  <c r="L28" i="1"/>
  <c r="L7" i="1"/>
  <c r="K28" i="1"/>
  <c r="K7" i="1"/>
  <c r="I10" i="4"/>
  <c r="I7" i="4"/>
  <c r="I13" i="4" l="1"/>
  <c r="I12" i="4" l="1"/>
  <c r="L40" i="1" l="1"/>
  <c r="L31" i="1"/>
  <c r="L11" i="1"/>
  <c r="L17" i="1"/>
  <c r="L19" i="1"/>
  <c r="J27" i="4" l="1"/>
  <c r="J26" i="4"/>
  <c r="H27" i="4"/>
  <c r="H26" i="4"/>
  <c r="H17" i="4"/>
  <c r="I23" i="4"/>
  <c r="I19" i="1" l="1"/>
  <c r="K19" i="1"/>
  <c r="L44" i="1" l="1"/>
  <c r="K44" i="1"/>
  <c r="I15" i="1" l="1"/>
  <c r="I17" i="4" l="1"/>
  <c r="J17" i="4" s="1"/>
  <c r="I9" i="4" l="1"/>
  <c r="G45" i="1" l="1"/>
  <c r="N2" i="2" l="1"/>
  <c r="N3" i="2"/>
  <c r="N4" i="2"/>
  <c r="N5" i="2"/>
  <c r="N6" i="2"/>
  <c r="N8" i="2"/>
  <c r="N10" i="2"/>
  <c r="N11" i="2"/>
  <c r="N12" i="2"/>
  <c r="N15" i="2"/>
  <c r="N16" i="2"/>
  <c r="N18" i="2"/>
  <c r="N19" i="2"/>
  <c r="I18" i="2"/>
  <c r="K18" i="2"/>
  <c r="H18" i="2"/>
  <c r="I17" i="2"/>
  <c r="K17" i="2"/>
  <c r="N17" i="2"/>
  <c r="H17" i="2"/>
  <c r="I13" i="2"/>
  <c r="K13" i="2"/>
  <c r="N13" i="2"/>
  <c r="H13" i="2"/>
  <c r="I9" i="2"/>
  <c r="K9" i="2"/>
  <c r="K7" i="2"/>
  <c r="N7" i="2"/>
  <c r="I7" i="2"/>
  <c r="G22" i="4" l="1"/>
  <c r="I20" i="4"/>
  <c r="I21" i="4"/>
  <c r="G21" i="4"/>
  <c r="I40" i="1"/>
  <c r="I31" i="1"/>
  <c r="I28" i="1"/>
  <c r="G23" i="4"/>
  <c r="F21" i="4"/>
  <c r="G23" i="1"/>
  <c r="H19" i="2"/>
  <c r="H21" i="4" l="1"/>
  <c r="J21" i="4" s="1"/>
  <c r="J17" i="2"/>
  <c r="K40" i="1"/>
  <c r="L17" i="2" s="1"/>
  <c r="M17" i="2"/>
  <c r="K21" i="4"/>
  <c r="F14" i="4"/>
  <c r="F13" i="4"/>
  <c r="F12" i="4"/>
  <c r="F11" i="4"/>
  <c r="F10" i="4"/>
  <c r="F9" i="4"/>
  <c r="F8" i="4"/>
  <c r="H12" i="4" l="1"/>
  <c r="J12" i="4" s="1"/>
  <c r="F20" i="4"/>
  <c r="G12" i="4"/>
  <c r="G13" i="4"/>
  <c r="H13" i="4" s="1"/>
  <c r="J13" i="4" s="1"/>
  <c r="K8" i="2"/>
  <c r="K10" i="2"/>
  <c r="I8" i="2"/>
  <c r="I10" i="2"/>
  <c r="H10" i="2"/>
  <c r="H8" i="2"/>
  <c r="I17" i="1"/>
  <c r="K17" i="1" l="1"/>
  <c r="M8" i="2"/>
  <c r="L10" i="2"/>
  <c r="M10" i="2"/>
  <c r="J8" i="2"/>
  <c r="J10" i="2"/>
  <c r="I16" i="2"/>
  <c r="L8" i="2" l="1"/>
  <c r="K13" i="4"/>
  <c r="K12" i="4"/>
  <c r="K16" i="2"/>
  <c r="K15" i="2"/>
  <c r="I15" i="2"/>
  <c r="H16" i="2"/>
  <c r="H15" i="2"/>
  <c r="I12" i="2"/>
  <c r="K12" i="2"/>
  <c r="H12" i="2"/>
  <c r="I2" i="2"/>
  <c r="K2" i="2"/>
  <c r="I3" i="2"/>
  <c r="K3" i="2"/>
  <c r="I4" i="2"/>
  <c r="K4" i="2"/>
  <c r="I5" i="2"/>
  <c r="K5" i="2"/>
  <c r="I6" i="2"/>
  <c r="K6" i="2"/>
  <c r="I11" i="2"/>
  <c r="K11" i="2"/>
  <c r="H3" i="2"/>
  <c r="H4" i="2"/>
  <c r="H5" i="2"/>
  <c r="H6" i="2"/>
  <c r="H11" i="2"/>
  <c r="E5" i="2"/>
  <c r="E11" i="2"/>
  <c r="E3" i="2"/>
  <c r="E4" i="2"/>
  <c r="E2" i="2"/>
  <c r="C3" i="2"/>
  <c r="C4" i="2"/>
  <c r="C5" i="2"/>
  <c r="C11" i="2"/>
  <c r="C2" i="2"/>
  <c r="C4" i="1"/>
  <c r="C4" i="5"/>
  <c r="F14" i="5"/>
  <c r="I26" i="4"/>
  <c r="G26" i="4"/>
  <c r="D26" i="4"/>
  <c r="O4" i="2" l="1"/>
  <c r="P4" i="2" s="1"/>
  <c r="O9" i="2"/>
  <c r="P9" i="2" s="1"/>
  <c r="O12" i="2"/>
  <c r="P12" i="2" s="1"/>
  <c r="O17" i="2"/>
  <c r="P17" i="2" s="1"/>
  <c r="O8" i="2"/>
  <c r="P8" i="2" s="1"/>
  <c r="O16" i="2"/>
  <c r="P16" i="2" s="1"/>
  <c r="O3" i="2"/>
  <c r="P3" i="2" s="1"/>
  <c r="O7" i="2"/>
  <c r="P7" i="2" s="1"/>
  <c r="O10" i="2"/>
  <c r="P10" i="2" s="1"/>
  <c r="O15" i="2"/>
  <c r="P15" i="2" s="1"/>
  <c r="O18" i="2"/>
  <c r="P18" i="2" s="1"/>
  <c r="O5" i="2"/>
  <c r="P5" i="2" s="1"/>
  <c r="O13" i="2"/>
  <c r="P13" i="2" s="1"/>
  <c r="O6" i="2"/>
  <c r="P6" i="2" s="1"/>
  <c r="O11" i="2"/>
  <c r="P11" i="2" s="1"/>
  <c r="O14" i="2"/>
  <c r="P14" i="2" s="1"/>
  <c r="O19" i="2"/>
  <c r="P19" i="2" s="1"/>
  <c r="M9" i="2"/>
  <c r="J9" i="2"/>
  <c r="L9" i="2"/>
  <c r="K14" i="2"/>
  <c r="K17" i="4"/>
  <c r="K15" i="1"/>
  <c r="L15" i="1"/>
  <c r="J16" i="2"/>
  <c r="M16" i="2"/>
  <c r="M6" i="2"/>
  <c r="J6" i="2"/>
  <c r="G27" i="4"/>
  <c r="I27" i="4"/>
  <c r="G25" i="4"/>
  <c r="G20" i="4"/>
  <c r="H20" i="4" s="1"/>
  <c r="J20" i="4" s="1"/>
  <c r="G19" i="4"/>
  <c r="F23" i="4"/>
  <c r="H23" i="4" s="1"/>
  <c r="J23" i="4" s="1"/>
  <c r="F19" i="4"/>
  <c r="D20" i="4"/>
  <c r="D21" i="4"/>
  <c r="D19" i="4"/>
  <c r="G16" i="4"/>
  <c r="I16" i="4"/>
  <c r="F16" i="4"/>
  <c r="I8" i="4"/>
  <c r="I11" i="4"/>
  <c r="I14" i="4"/>
  <c r="G10" i="4"/>
  <c r="H10" i="4" s="1"/>
  <c r="J10" i="4" s="1"/>
  <c r="G7" i="4"/>
  <c r="G8" i="4"/>
  <c r="H8" i="4" s="1"/>
  <c r="J8" i="4" s="1"/>
  <c r="G9" i="4"/>
  <c r="H9" i="4" s="1"/>
  <c r="J9" i="4" s="1"/>
  <c r="G11" i="4"/>
  <c r="H11" i="4" s="1"/>
  <c r="G14" i="4"/>
  <c r="H14" i="4" s="1"/>
  <c r="J14" i="4" s="1"/>
  <c r="F7" i="4"/>
  <c r="D14" i="4"/>
  <c r="D8" i="4"/>
  <c r="D9" i="4"/>
  <c r="D10" i="4"/>
  <c r="D7" i="4"/>
  <c r="H13" i="5"/>
  <c r="I14" i="5"/>
  <c r="L16" i="2" s="1"/>
  <c r="G14" i="5"/>
  <c r="I9" i="5"/>
  <c r="G9" i="5"/>
  <c r="F9" i="5"/>
  <c r="H8" i="5"/>
  <c r="H7" i="5"/>
  <c r="I10" i="1"/>
  <c r="L10" i="1" s="1"/>
  <c r="I11" i="1"/>
  <c r="I13" i="1"/>
  <c r="I22" i="1"/>
  <c r="L22" i="1" s="1"/>
  <c r="F15" i="4" l="1"/>
  <c r="H7" i="4"/>
  <c r="J7" i="4" s="1"/>
  <c r="H16" i="4"/>
  <c r="F22" i="4"/>
  <c r="H22" i="4" s="1"/>
  <c r="J22" i="4" s="1"/>
  <c r="H19" i="4"/>
  <c r="J19" i="4" s="1"/>
  <c r="J11" i="4"/>
  <c r="K11" i="1"/>
  <c r="L4" i="2" s="1"/>
  <c r="L13" i="1"/>
  <c r="M5" i="2" s="1"/>
  <c r="K13" i="1"/>
  <c r="L5" i="2" s="1"/>
  <c r="K8" i="5"/>
  <c r="M13" i="2" s="1"/>
  <c r="J13" i="2"/>
  <c r="L6" i="2"/>
  <c r="K9" i="4"/>
  <c r="K16" i="4"/>
  <c r="I15" i="4"/>
  <c r="K20" i="4"/>
  <c r="M4" i="2"/>
  <c r="J4" i="2"/>
  <c r="M3" i="2"/>
  <c r="J3" i="2"/>
  <c r="H9" i="5"/>
  <c r="J9" i="5" s="1"/>
  <c r="F26" i="4"/>
  <c r="F27" i="4" s="1"/>
  <c r="H14" i="5"/>
  <c r="F25" i="4"/>
  <c r="H25" i="4" s="1"/>
  <c r="J5" i="2"/>
  <c r="K7" i="5"/>
  <c r="M12" i="2" s="1"/>
  <c r="J12" i="2"/>
  <c r="K13" i="5"/>
  <c r="J13" i="5"/>
  <c r="G18" i="4"/>
  <c r="G28" i="4" s="1"/>
  <c r="G15" i="4"/>
  <c r="K8" i="4"/>
  <c r="J8" i="5"/>
  <c r="L13" i="2" s="1"/>
  <c r="J7" i="5"/>
  <c r="L12" i="2" s="1"/>
  <c r="K10" i="1"/>
  <c r="L3" i="2" s="1"/>
  <c r="K22" i="1"/>
  <c r="J16" i="4" s="1"/>
  <c r="W8" i="3"/>
  <c r="U10" i="3"/>
  <c r="T10" i="3"/>
  <c r="V9" i="3"/>
  <c r="X9" i="3" s="1"/>
  <c r="V8" i="3"/>
  <c r="V7" i="3"/>
  <c r="Y7" i="3" s="1"/>
  <c r="V6" i="3"/>
  <c r="Y6" i="3" s="1"/>
  <c r="V5" i="3"/>
  <c r="X5" i="3" s="1"/>
  <c r="G19" i="3"/>
  <c r="F19" i="3"/>
  <c r="H18" i="3"/>
  <c r="K18" i="3" s="1"/>
  <c r="I17" i="3"/>
  <c r="H17" i="3"/>
  <c r="H16" i="3"/>
  <c r="K16" i="3" s="1"/>
  <c r="H15" i="3"/>
  <c r="J15" i="3" s="1"/>
  <c r="H14" i="3"/>
  <c r="K14" i="3" s="1"/>
  <c r="F8" i="3"/>
  <c r="E8" i="3"/>
  <c r="G7" i="3"/>
  <c r="G6" i="3"/>
  <c r="I6" i="3" s="1"/>
  <c r="J25" i="4" l="1"/>
  <c r="H14" i="2"/>
  <c r="F18" i="4"/>
  <c r="H18" i="4" s="1"/>
  <c r="J18" i="4" s="1"/>
  <c r="H15" i="4"/>
  <c r="J15" i="4" s="1"/>
  <c r="L7" i="2"/>
  <c r="J7" i="2"/>
  <c r="M7" i="2"/>
  <c r="J17" i="3"/>
  <c r="V10" i="3"/>
  <c r="F28" i="4"/>
  <c r="H28" i="4" s="1"/>
  <c r="J14" i="5"/>
  <c r="K14" i="5"/>
  <c r="K23" i="4"/>
  <c r="Y8" i="3"/>
  <c r="K19" i="4"/>
  <c r="K14" i="4"/>
  <c r="K11" i="4"/>
  <c r="K10" i="4"/>
  <c r="K7" i="4"/>
  <c r="K9" i="5"/>
  <c r="Y5" i="3"/>
  <c r="J14" i="3"/>
  <c r="G8" i="3"/>
  <c r="Y9" i="3"/>
  <c r="H19" i="3"/>
  <c r="X7" i="3"/>
  <c r="X8" i="3"/>
  <c r="W10" i="3"/>
  <c r="Y10" i="3" s="1"/>
  <c r="K17" i="3"/>
  <c r="X6" i="3"/>
  <c r="K15" i="3"/>
  <c r="J18" i="3"/>
  <c r="J16" i="3"/>
  <c r="I19" i="3"/>
  <c r="J6" i="3"/>
  <c r="J7" i="3"/>
  <c r="I7" i="3"/>
  <c r="H8" i="3"/>
  <c r="J28" i="4" l="1"/>
  <c r="K27" i="4"/>
  <c r="K25" i="4"/>
  <c r="K22" i="4"/>
  <c r="K26" i="4"/>
  <c r="K15" i="4"/>
  <c r="J8" i="3"/>
  <c r="K19" i="3"/>
  <c r="X10" i="3"/>
  <c r="J19" i="3"/>
  <c r="I8" i="3"/>
  <c r="O2" i="2"/>
  <c r="P2" i="2" s="1"/>
  <c r="K18" i="4" l="1"/>
  <c r="K28" i="4"/>
  <c r="H2" i="2"/>
  <c r="I14" i="2" l="1"/>
  <c r="J14" i="2" s="1"/>
  <c r="I7" i="1"/>
  <c r="L14" i="2" l="1"/>
  <c r="M14" i="2"/>
  <c r="L2" i="2"/>
  <c r="J2" i="2"/>
  <c r="J45" i="1"/>
  <c r="K19" i="2" s="1"/>
  <c r="H45" i="1"/>
  <c r="I44" i="1"/>
  <c r="J18" i="2" s="1"/>
  <c r="J23" i="1"/>
  <c r="H23" i="1"/>
  <c r="I23" i="1" s="1"/>
  <c r="I21" i="1"/>
  <c r="G24" i="4" l="1"/>
  <c r="H24" i="4" s="1"/>
  <c r="J24" i="4" s="1"/>
  <c r="I19" i="2"/>
  <c r="J11" i="2"/>
  <c r="L21" i="1"/>
  <c r="M11" i="2" s="1"/>
  <c r="M18" i="2"/>
  <c r="L18" i="2"/>
  <c r="K21" i="1"/>
  <c r="L11" i="2" s="1"/>
  <c r="K23" i="1"/>
  <c r="M2" i="2"/>
  <c r="K24" i="4" l="1"/>
  <c r="L23" i="1"/>
  <c r="J15" i="2" l="1"/>
  <c r="L15" i="2"/>
  <c r="I45" i="1"/>
  <c r="J19" i="2" s="1"/>
  <c r="M15" i="2"/>
  <c r="L45" i="1" l="1"/>
  <c r="M19" i="2" s="1"/>
  <c r="K45" i="1"/>
  <c r="L19" i="2" s="1"/>
  <c r="E6" i="2"/>
  <c r="D11" i="4"/>
  <c r="C6" i="2"/>
  <c r="D15" i="1"/>
</calcChain>
</file>

<file path=xl/comments1.xml><?xml version="1.0" encoding="utf-8"?>
<comments xmlns="http://schemas.openxmlformats.org/spreadsheetml/2006/main">
  <authors>
    <author>CEA TELLO, MARIO ANDRES</author>
  </authors>
  <commentList>
    <comment ref="M1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Cuota Res. Ex. N°1059-22 (Subpesca)
Cierre Cuota Res. Ex. N°525-22</t>
        </r>
      </text>
    </comment>
  </commentList>
</comments>
</file>

<file path=xl/sharedStrings.xml><?xml version="1.0" encoding="utf-8"?>
<sst xmlns="http://schemas.openxmlformats.org/spreadsheetml/2006/main" count="349" uniqueCount="118">
  <si>
    <t>Pesquería</t>
  </si>
  <si>
    <t>Fracciones</t>
  </si>
  <si>
    <t xml:space="preserve">Periodo </t>
  </si>
  <si>
    <t>Cuota Asignada</t>
  </si>
  <si>
    <t>Movimientos</t>
  </si>
  <si>
    <t>Cuota Efectiva</t>
  </si>
  <si>
    <t>Captura</t>
  </si>
  <si>
    <t>Saldo</t>
  </si>
  <si>
    <t xml:space="preserve">% Consumo </t>
  </si>
  <si>
    <t>Cierre</t>
  </si>
  <si>
    <t>Fauna Acompañante</t>
  </si>
  <si>
    <t xml:space="preserve">IV Región de Coquimbo a XII Región de Magallanes y Antártica Chilena </t>
  </si>
  <si>
    <t>Investigación</t>
  </si>
  <si>
    <t>TOTAL CUOTA GLOBAL</t>
  </si>
  <si>
    <t>Periodo</t>
  </si>
  <si>
    <t>Raya Espinosa IV-XII</t>
  </si>
  <si>
    <t>-</t>
  </si>
  <si>
    <t xml:space="preserve">Objetivo Artesanal-Industrial 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</si>
  <si>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</si>
  <si>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</si>
  <si>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</si>
  <si>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</si>
  <si>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</si>
  <si>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</si>
  <si>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</si>
  <si>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</si>
  <si>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</si>
  <si>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</si>
  <si>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</si>
  <si>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</si>
  <si>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</si>
  <si>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</si>
  <si>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</si>
  <si>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IV-XII</t>
  </si>
  <si>
    <t>RAYA VOLANTIN</t>
  </si>
  <si>
    <t xml:space="preserve">ARTESANAL  </t>
  </si>
  <si>
    <t>RAYA VOLANTIN IV-XII</t>
  </si>
  <si>
    <t>RAYA ESPINOSA IV-VII</t>
  </si>
  <si>
    <t>RAYA ESPINOSA</t>
  </si>
  <si>
    <t>RAYA ESPINOSA IV-XII</t>
  </si>
  <si>
    <t>año</t>
  </si>
  <si>
    <t>mensaje</t>
  </si>
  <si>
    <t xml:space="preserve">IV Región de Coquimbo a VII Región del Maule </t>
  </si>
  <si>
    <t>Región del Ñuble-41°28.6 L.S.</t>
  </si>
  <si>
    <t xml:space="preserve">41°28.6 LS a XII Región de Magallanes y Antártica Chilena </t>
  </si>
  <si>
    <t xml:space="preserve">Unidades de pesquerías </t>
  </si>
  <si>
    <t>13-10-2020 al 24-10-2020</t>
  </si>
  <si>
    <t xml:space="preserve">Objetivo Industrial </t>
  </si>
  <si>
    <t xml:space="preserve">Región de Coquimbo a  Región de Magallanes y Antártica Chilena </t>
  </si>
  <si>
    <t xml:space="preserve">Raya Volantín </t>
  </si>
  <si>
    <t>Recurso</t>
  </si>
  <si>
    <t>Raya Volantín IV</t>
  </si>
  <si>
    <t>Objetivo Artesanal</t>
  </si>
  <si>
    <t>Objetivo Industrial</t>
  </si>
  <si>
    <t>XVI</t>
  </si>
  <si>
    <t>VIII</t>
  </si>
  <si>
    <t>IX</t>
  </si>
  <si>
    <t>XIV</t>
  </si>
  <si>
    <t xml:space="preserve">ARTESANAL-INDUSTRIAL </t>
  </si>
  <si>
    <t>INDUSTRIALES IV A XII</t>
  </si>
  <si>
    <t>INDUSTRIAL</t>
  </si>
  <si>
    <t>ARTESANAL-INDUSTRIAL IV A XII</t>
  </si>
  <si>
    <t xml:space="preserve">IV  a VII </t>
  </si>
  <si>
    <t xml:space="preserve">IV a VII </t>
  </si>
  <si>
    <t xml:space="preserve">IV  a XII </t>
  </si>
  <si>
    <t>Información preliminar</t>
  </si>
  <si>
    <t>SECTOR</t>
  </si>
  <si>
    <t>CUOTA OBJETIVO ARTESANAL</t>
  </si>
  <si>
    <t>TOTAL FRACCION INDUSTRIAL</t>
  </si>
  <si>
    <t>CUOTA GLOBAL RAYA VOLANTÍN Y ESPINOSA IV-XII</t>
  </si>
  <si>
    <t xml:space="preserve">TOTAL FRACCION ARTESANAL IV-XII </t>
  </si>
  <si>
    <t>TOTAL FRACCION ARTESANAL IV-XII</t>
  </si>
  <si>
    <t xml:space="preserve">ARTESANAL </t>
  </si>
  <si>
    <t>X</t>
  </si>
  <si>
    <t>XI</t>
  </si>
  <si>
    <t>XII</t>
  </si>
  <si>
    <t>RESUMEN ANUAL CONSUMO GLOBAL DE CUOTA RAYA VOLANTÍN Y ESPINOSA 2022</t>
  </si>
  <si>
    <t>REGIÓN/AREA</t>
  </si>
  <si>
    <t>CUOTA ASIGNADA (TON)</t>
  </si>
  <si>
    <t>MOVIMIENTOS (TON)</t>
  </si>
  <si>
    <t>CUOTA EFECTIVA (TON)</t>
  </si>
  <si>
    <t>CAPTURA (TON)</t>
  </si>
  <si>
    <t>SALDO (TON)</t>
  </si>
  <si>
    <t>CONSUMO %</t>
  </si>
  <si>
    <t>RECURSO</t>
  </si>
  <si>
    <t>ARTESANAL</t>
  </si>
  <si>
    <t>PESQUERÍA</t>
  </si>
  <si>
    <t>FRACIONAMIENTO</t>
  </si>
  <si>
    <t>PERIODO</t>
  </si>
  <si>
    <t>FECHA CIERRE</t>
  </si>
  <si>
    <t>FAUNA ACOMPAÑANTE</t>
  </si>
  <si>
    <t>IV A XII</t>
  </si>
  <si>
    <t>ARTESANAL-INDUSTRIAL</t>
  </si>
  <si>
    <t>FAUNA ACOMPAÑANTE (ART-IND)</t>
  </si>
  <si>
    <t xml:space="preserve">CONTROL CUOTA INDUSTRIAL RAYA VOLANTIN Y RAYA ESPINOSA IV-XII. AÑO 2022. 
</t>
  </si>
  <si>
    <t xml:space="preserve">CONTROL CUOTA ARTESANAL RAYA VOLANTIN Y RAYA ESPINOSA IV-XII. AÑO 2022. 
</t>
  </si>
  <si>
    <t>FRACCIONAMIENTO</t>
  </si>
  <si>
    <t>OBJETIVO</t>
  </si>
  <si>
    <t>CIERRE</t>
  </si>
  <si>
    <t>TOTAL</t>
  </si>
  <si>
    <t>RAYA VOLANTÍN</t>
  </si>
  <si>
    <t>01-08-2022 al 30-09-2022</t>
  </si>
  <si>
    <t>20-04-2022 al 20-06-2022</t>
  </si>
  <si>
    <t>XVI a 41°28,6 L.S.</t>
  </si>
  <si>
    <t>41°28,6 L.S. AL XII</t>
  </si>
  <si>
    <t>01-09-2022 al 31-10-2022</t>
  </si>
  <si>
    <t>22-09-2022 al 31-10-2022</t>
  </si>
  <si>
    <t xml:space="preserve"> FAUNA ACOMPAÑANTE</t>
  </si>
  <si>
    <t>FAUNA ACOMPAÑANTE ART-IND</t>
  </si>
  <si>
    <t xml:space="preserve"> INVESTIGACIÓN (ART-IND)</t>
  </si>
  <si>
    <t>INVESTIGACIÓN ART-IND</t>
  </si>
  <si>
    <t>FAUNA ACOMPAÑANTE INDUSTRIALES IV A XII</t>
  </si>
  <si>
    <t xml:space="preserve">FAUNA ACOMPAÑANTE </t>
  </si>
  <si>
    <t>X hasta 41°28,6 L.S.</t>
  </si>
  <si>
    <t>21-06-2022 al 31-10-2022</t>
  </si>
  <si>
    <t>X desde 41°28,6 L.S.</t>
  </si>
  <si>
    <t>01-10-2022 al 31-10-2022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</si>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</sst>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0.000"/>
    <numFmt numFmtId="166" formatCode="[$-F800]dddd\,\ mmmm\ dd\,\ yyyy"/>
    <numFmt numFmtId="167" formatCode="0.000%"/>
    <numFmt numFmtId="168" formatCode="0.0"/>
    <numFmt numFmtId="169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1">
    <xf numFmtId="0" fontId="0" fillId="0" borderId="0" xfId="0"/>
    <xf numFmtId="14" fontId="0" fillId="0" borderId="7" xfId="0" applyNumberFormat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7" fillId="0" borderId="0" xfId="0" applyFont="1"/>
    <xf numFmtId="9" fontId="7" fillId="0" borderId="0" xfId="1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14" fontId="3" fillId="2" borderId="7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165" fontId="4" fillId="4" borderId="14" xfId="0" applyNumberFormat="1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 vertical="center"/>
    </xf>
    <xf numFmtId="167" fontId="4" fillId="0" borderId="14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167" fontId="9" fillId="0" borderId="6" xfId="1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165" fontId="8" fillId="4" borderId="14" xfId="0" applyNumberFormat="1" applyFont="1" applyFill="1" applyBorder="1" applyAlignment="1">
      <alignment horizontal="center" vertical="center" wrapText="1"/>
    </xf>
    <xf numFmtId="167" fontId="8" fillId="0" borderId="1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6" xfId="0" applyFont="1" applyFill="1" applyBorder="1" applyAlignment="1">
      <alignment horizontal="left" vertical="center" wrapText="1"/>
    </xf>
    <xf numFmtId="0" fontId="10" fillId="0" borderId="0" xfId="0" applyFont="1"/>
    <xf numFmtId="0" fontId="10" fillId="5" borderId="0" xfId="0" applyFont="1" applyFill="1"/>
    <xf numFmtId="0" fontId="10" fillId="5" borderId="0" xfId="0" quotePrefix="1" applyFont="1" applyFill="1"/>
    <xf numFmtId="164" fontId="10" fillId="5" borderId="0" xfId="0" applyNumberFormat="1" applyFont="1" applyFill="1"/>
    <xf numFmtId="1" fontId="10" fillId="5" borderId="0" xfId="0" applyNumberFormat="1" applyFont="1" applyFill="1"/>
    <xf numFmtId="0" fontId="13" fillId="0" borderId="0" xfId="0" applyFont="1"/>
    <xf numFmtId="165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167" fontId="7" fillId="0" borderId="6" xfId="1" applyNumberFormat="1" applyFont="1" applyFill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7" fontId="11" fillId="0" borderId="14" xfId="1" applyNumberFormat="1" applyFont="1" applyFill="1" applyBorder="1" applyAlignment="1">
      <alignment horizontal="center" vertical="center"/>
    </xf>
    <xf numFmtId="14" fontId="11" fillId="0" borderId="15" xfId="0" applyNumberFormat="1" applyFont="1" applyBorder="1" applyAlignment="1">
      <alignment horizontal="center" vertical="center"/>
    </xf>
    <xf numFmtId="0" fontId="11" fillId="0" borderId="0" xfId="0" applyFont="1"/>
    <xf numFmtId="165" fontId="11" fillId="0" borderId="13" xfId="0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9" fontId="7" fillId="0" borderId="0" xfId="0" applyNumberFormat="1" applyFont="1"/>
    <xf numFmtId="0" fontId="7" fillId="6" borderId="16" xfId="0" applyFont="1" applyFill="1" applyBorder="1"/>
    <xf numFmtId="0" fontId="7" fillId="6" borderId="17" xfId="0" applyFont="1" applyFill="1" applyBorder="1"/>
    <xf numFmtId="0" fontId="7" fillId="6" borderId="18" xfId="0" applyFont="1" applyFill="1" applyBorder="1"/>
    <xf numFmtId="0" fontId="7" fillId="6" borderId="19" xfId="0" applyFont="1" applyFill="1" applyBorder="1"/>
    <xf numFmtId="0" fontId="7" fillId="6" borderId="0" xfId="0" applyFont="1" applyFill="1"/>
    <xf numFmtId="0" fontId="7" fillId="6" borderId="20" xfId="0" applyFont="1" applyFill="1" applyBorder="1"/>
    <xf numFmtId="0" fontId="7" fillId="6" borderId="21" xfId="0" applyFont="1" applyFill="1" applyBorder="1"/>
    <xf numFmtId="0" fontId="7" fillId="6" borderId="22" xfId="0" applyFont="1" applyFill="1" applyBorder="1"/>
    <xf numFmtId="0" fontId="7" fillId="6" borderId="23" xfId="0" applyFont="1" applyFill="1" applyBorder="1"/>
    <xf numFmtId="14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167" fontId="11" fillId="0" borderId="6" xfId="1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6" borderId="16" xfId="0" applyFont="1" applyFill="1" applyBorder="1"/>
    <xf numFmtId="0" fontId="11" fillId="6" borderId="17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0" xfId="0" applyFont="1" applyFill="1"/>
    <xf numFmtId="0" fontId="11" fillId="6" borderId="20" xfId="0" applyFont="1" applyFill="1" applyBorder="1"/>
    <xf numFmtId="0" fontId="11" fillId="6" borderId="21" xfId="0" applyFont="1" applyFill="1" applyBorder="1"/>
    <xf numFmtId="0" fontId="11" fillId="6" borderId="22" xfId="0" applyFont="1" applyFill="1" applyBorder="1"/>
    <xf numFmtId="0" fontId="11" fillId="6" borderId="23" xfId="0" applyFont="1" applyFill="1" applyBorder="1"/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9" fontId="11" fillId="0" borderId="0" xfId="0" applyNumberFormat="1" applyFont="1"/>
    <xf numFmtId="165" fontId="11" fillId="0" borderId="25" xfId="0" applyNumberFormat="1" applyFont="1" applyBorder="1" applyAlignment="1">
      <alignment horizontal="center" vertical="center"/>
    </xf>
    <xf numFmtId="167" fontId="11" fillId="0" borderId="5" xfId="1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 wrapText="1"/>
    </xf>
    <xf numFmtId="167" fontId="7" fillId="0" borderId="6" xfId="1" applyNumberFormat="1" applyFont="1" applyFill="1" applyBorder="1" applyAlignment="1">
      <alignment horizontal="center" wrapText="1"/>
    </xf>
    <xf numFmtId="9" fontId="7" fillId="0" borderId="6" xfId="1" applyFont="1" applyFill="1" applyBorder="1" applyAlignment="1">
      <alignment horizontal="center" wrapText="1"/>
    </xf>
    <xf numFmtId="165" fontId="2" fillId="0" borderId="6" xfId="0" applyNumberFormat="1" applyFont="1" applyBorder="1" applyAlignment="1">
      <alignment horizontal="center" wrapText="1"/>
    </xf>
    <xf numFmtId="167" fontId="2" fillId="0" borderId="6" xfId="1" applyNumberFormat="1" applyFont="1" applyFill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11" fillId="8" borderId="6" xfId="0" applyFont="1" applyFill="1" applyBorder="1" applyAlignment="1">
      <alignment horizontal="center" vertical="center" wrapText="1"/>
    </xf>
    <xf numFmtId="14" fontId="11" fillId="8" borderId="6" xfId="0" applyNumberFormat="1" applyFont="1" applyFill="1" applyBorder="1" applyAlignment="1">
      <alignment horizontal="center" vertical="center"/>
    </xf>
    <xf numFmtId="165" fontId="11" fillId="8" borderId="6" xfId="0" applyNumberFormat="1" applyFont="1" applyFill="1" applyBorder="1" applyAlignment="1">
      <alignment horizontal="center" vertical="center" wrapText="1"/>
    </xf>
    <xf numFmtId="165" fontId="11" fillId="8" borderId="6" xfId="0" applyNumberFormat="1" applyFont="1" applyFill="1" applyBorder="1" applyAlignment="1">
      <alignment horizontal="center" wrapText="1"/>
    </xf>
    <xf numFmtId="167" fontId="11" fillId="8" borderId="6" xfId="1" applyNumberFormat="1" applyFont="1" applyFill="1" applyBorder="1" applyAlignment="1">
      <alignment horizontal="center" wrapText="1"/>
    </xf>
    <xf numFmtId="165" fontId="11" fillId="8" borderId="6" xfId="0" applyNumberFormat="1" applyFont="1" applyFill="1" applyBorder="1" applyAlignment="1">
      <alignment horizontal="center"/>
    </xf>
    <xf numFmtId="0" fontId="11" fillId="8" borderId="6" xfId="0" applyFont="1" applyFill="1" applyBorder="1" applyAlignment="1">
      <alignment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wrapText="1"/>
    </xf>
    <xf numFmtId="167" fontId="11" fillId="0" borderId="6" xfId="1" applyNumberFormat="1" applyFont="1" applyFill="1" applyBorder="1" applyAlignment="1">
      <alignment horizontal="center" wrapText="1"/>
    </xf>
    <xf numFmtId="169" fontId="7" fillId="0" borderId="6" xfId="1" applyNumberFormat="1" applyFont="1" applyFill="1" applyBorder="1" applyAlignment="1">
      <alignment horizontal="center" vertical="center"/>
    </xf>
    <xf numFmtId="169" fontId="11" fillId="0" borderId="6" xfId="1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7" fillId="0" borderId="6" xfId="1" applyNumberFormat="1" applyFont="1" applyFill="1" applyBorder="1" applyAlignment="1">
      <alignment horizontal="center" vertical="center"/>
    </xf>
    <xf numFmtId="169" fontId="7" fillId="0" borderId="6" xfId="1" applyNumberFormat="1" applyFont="1" applyFill="1" applyBorder="1" applyAlignment="1">
      <alignment horizontal="center"/>
    </xf>
    <xf numFmtId="169" fontId="7" fillId="0" borderId="6" xfId="1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165" fontId="11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166" fontId="2" fillId="0" borderId="25" xfId="0" applyNumberFormat="1" applyFont="1" applyBorder="1" applyAlignment="1">
      <alignment horizontal="center" vertical="center"/>
    </xf>
    <xf numFmtId="168" fontId="11" fillId="0" borderId="5" xfId="0" applyNumberFormat="1" applyFont="1" applyBorder="1" applyAlignment="1">
      <alignment horizontal="center" vertical="center" wrapText="1"/>
    </xf>
    <xf numFmtId="168" fontId="11" fillId="0" borderId="10" xfId="0" applyNumberFormat="1" applyFont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166" fontId="2" fillId="6" borderId="21" xfId="0" applyNumberFormat="1" applyFont="1" applyFill="1" applyBorder="1" applyAlignment="1">
      <alignment horizontal="center" vertical="center"/>
    </xf>
    <xf numFmtId="166" fontId="2" fillId="6" borderId="22" xfId="0" applyNumberFormat="1" applyFont="1" applyFill="1" applyBorder="1" applyAlignment="1">
      <alignment horizontal="center" vertical="center"/>
    </xf>
    <xf numFmtId="166" fontId="2" fillId="6" borderId="23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8" fontId="11" fillId="0" borderId="6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69" fontId="7" fillId="0" borderId="5" xfId="1" applyNumberFormat="1" applyFont="1" applyFill="1" applyBorder="1" applyAlignment="1">
      <alignment horizontal="center" vertical="center"/>
    </xf>
    <xf numFmtId="169" fontId="7" fillId="0" borderId="10" xfId="1" applyNumberFormat="1" applyFont="1" applyFill="1" applyBorder="1" applyAlignment="1">
      <alignment horizontal="center" vertical="center"/>
    </xf>
    <xf numFmtId="14" fontId="7" fillId="9" borderId="5" xfId="0" applyNumberFormat="1" applyFont="1" applyFill="1" applyBorder="1" applyAlignment="1">
      <alignment horizontal="center" vertical="center"/>
    </xf>
    <xf numFmtId="14" fontId="7" fillId="9" borderId="10" xfId="0" applyNumberFormat="1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9" fontId="7" fillId="0" borderId="9" xfId="1" applyNumberFormat="1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66" fontId="11" fillId="6" borderId="22" xfId="0" applyNumberFormat="1" applyFont="1" applyFill="1" applyBorder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horizontal="center"/>
    </xf>
    <xf numFmtId="14" fontId="7" fillId="9" borderId="9" xfId="0" applyNumberFormat="1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vertical="center"/>
    </xf>
    <xf numFmtId="165" fontId="7" fillId="4" borderId="5" xfId="0" applyNumberFormat="1" applyFont="1" applyFill="1" applyBorder="1" applyAlignment="1">
      <alignment horizontal="center" vertical="center"/>
    </xf>
    <xf numFmtId="165" fontId="7" fillId="4" borderId="9" xfId="0" applyNumberFormat="1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/>
    </xf>
    <xf numFmtId="165" fontId="2" fillId="4" borderId="6" xfId="0" applyNumberFormat="1" applyFont="1" applyFill="1" applyBorder="1" applyAlignment="1">
      <alignment horizontal="center" wrapText="1"/>
    </xf>
  </cellXfs>
  <cellStyles count="3">
    <cellStyle name="Normal" xfId="0" builtinId="0"/>
    <cellStyle name="Porcentaje" xfId="1" builtinId="5"/>
    <cellStyle name="Porcentual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F9CFDC"/>
      <color rgb="FFBA3851"/>
      <color rgb="FFF45E7E"/>
      <color rgb="FFF2B0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12700</xdr:rowOff>
    </xdr:from>
    <xdr:to>
      <xdr:col>2</xdr:col>
      <xdr:colOff>673818</xdr:colOff>
      <xdr:row>4</xdr:row>
      <xdr:rowOff>9525</xdr:rowOff>
    </xdr:to>
    <xdr:pic>
      <xdr:nvPicPr>
        <xdr:cNvPr id="2" name="1 Imagen" descr="LOGO_SNP_2012_sinfond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4650" y="298450"/>
          <a:ext cx="1746968" cy="60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93662</xdr:colOff>
      <xdr:row>0</xdr:row>
      <xdr:rowOff>215106</xdr:rowOff>
    </xdr:from>
    <xdr:to>
      <xdr:col>2</xdr:col>
      <xdr:colOff>587140</xdr:colOff>
      <xdr:row>4</xdr:row>
      <xdr:rowOff>104775</xdr:rowOff>
    </xdr:to>
    <xdr:pic>
      <xdr:nvPicPr>
        <xdr:cNvPr id="2" name="1 Imagen" descr="LOGO_SNP_2012_sinfondo.PNG">
          <a:extLst>
            <a:ext uri="{FF2B5EF4-FFF2-40B4-BE49-F238E27FC236}">
              <a16:creationId xmlns:a16="http://schemas.microsoft.com/office/drawing/2014/main" id="{2035FC17-91F5-4E0C-B061-6C03C596E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962" y="215106"/>
          <a:ext cx="1731728" cy="785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38"/>
  <sheetViews>
    <sheetView showGridLines="0" tabSelected="1" workbookViewId="0">
      <selection activeCell="B5" sqref="B5:K5"/>
    </sheetView>
  </sheetViews>
  <sheetFormatPr baseColWidth="10" defaultRowHeight="15" x14ac:dyDescent="0.25"/>
  <cols>
    <col min="3" max="3" width="14" customWidth="1"/>
    <col min="4" max="4" width="34" bestFit="1" customWidth="1"/>
    <col min="5" max="5" width="22.5703125" hidden="1" customWidth="1"/>
    <col min="6" max="6" width="24.7109375" style="98" customWidth="1"/>
    <col min="7" max="7" width="20.42578125" customWidth="1"/>
    <col min="8" max="8" width="23" customWidth="1"/>
    <col min="9" max="9" width="15.5703125" customWidth="1"/>
    <col min="10" max="10" width="13.7109375" customWidth="1"/>
    <col min="11" max="11" width="16.7109375" customWidth="1"/>
  </cols>
  <sheetData>
    <row r="1" spans="1:13" x14ac:dyDescent="0.25">
      <c r="A1" s="43"/>
    </row>
    <row r="2" spans="1:13" ht="15.75" thickBot="1" x14ac:dyDescent="0.3">
      <c r="A2" s="43"/>
    </row>
    <row r="3" spans="1:13" x14ac:dyDescent="0.25">
      <c r="A3" s="44"/>
      <c r="B3" s="134" t="s">
        <v>76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13" ht="15.75" thickBot="1" x14ac:dyDescent="0.3">
      <c r="A4" s="44"/>
      <c r="B4" s="137">
        <v>44926</v>
      </c>
      <c r="C4" s="138"/>
      <c r="D4" s="138"/>
      <c r="E4" s="138"/>
      <c r="F4" s="138"/>
      <c r="G4" s="138"/>
      <c r="H4" s="138"/>
      <c r="I4" s="138"/>
      <c r="J4" s="138"/>
      <c r="K4" s="139"/>
    </row>
    <row r="5" spans="1:13" x14ac:dyDescent="0.25">
      <c r="B5" s="140" t="s">
        <v>65</v>
      </c>
      <c r="C5" s="140"/>
      <c r="D5" s="140"/>
      <c r="E5" s="140"/>
      <c r="F5" s="140"/>
      <c r="G5" s="140"/>
      <c r="H5" s="140"/>
      <c r="I5" s="140"/>
      <c r="J5" s="140"/>
      <c r="K5" s="140"/>
    </row>
    <row r="6" spans="1:13" x14ac:dyDescent="0.25">
      <c r="A6" s="44"/>
      <c r="B6" s="94" t="s">
        <v>66</v>
      </c>
      <c r="C6" s="94" t="s">
        <v>84</v>
      </c>
      <c r="D6" s="94" t="s">
        <v>77</v>
      </c>
      <c r="E6" s="94" t="s">
        <v>88</v>
      </c>
      <c r="F6" s="94" t="s">
        <v>78</v>
      </c>
      <c r="G6" s="94" t="s">
        <v>79</v>
      </c>
      <c r="H6" s="94" t="s">
        <v>80</v>
      </c>
      <c r="I6" s="94" t="s">
        <v>81</v>
      </c>
      <c r="J6" s="94" t="s">
        <v>82</v>
      </c>
      <c r="K6" s="94" t="s">
        <v>83</v>
      </c>
    </row>
    <row r="7" spans="1:13" x14ac:dyDescent="0.25">
      <c r="A7" s="44"/>
      <c r="B7" s="141" t="s">
        <v>85</v>
      </c>
      <c r="C7" s="141" t="s">
        <v>100</v>
      </c>
      <c r="D7" s="95" t="str">
        <f>+ARTESANAL!D7</f>
        <v xml:space="preserve">IV a VII </v>
      </c>
      <c r="E7" s="75" t="s">
        <v>102</v>
      </c>
      <c r="F7" s="57">
        <f>+ARTESANAL!G7</f>
        <v>61.11</v>
      </c>
      <c r="G7" s="101">
        <f>+ARTESANAL!H7</f>
        <v>0</v>
      </c>
      <c r="H7" s="101">
        <f t="shared" ref="H7:H14" si="0">+F7+G7</f>
        <v>61.11</v>
      </c>
      <c r="I7" s="204">
        <f>SUM(ARTESANAL!J7:J9)</f>
        <v>5.5749999999999993</v>
      </c>
      <c r="J7" s="101">
        <f t="shared" ref="J7:J15" si="1">+H7-I7</f>
        <v>55.534999999999997</v>
      </c>
      <c r="K7" s="123">
        <f>+I7/H7</f>
        <v>9.1228931435116997E-2</v>
      </c>
    </row>
    <row r="8" spans="1:13" x14ac:dyDescent="0.25">
      <c r="A8" s="45"/>
      <c r="B8" s="141"/>
      <c r="C8" s="141"/>
      <c r="D8" s="95" t="str">
        <f>+ARTESANAL!D10</f>
        <v>XVI</v>
      </c>
      <c r="E8" s="75" t="s">
        <v>102</v>
      </c>
      <c r="F8" s="57">
        <f>ARTESANAL!G10</f>
        <v>15.98</v>
      </c>
      <c r="G8" s="101">
        <f>+ARTESANAL!H10</f>
        <v>0</v>
      </c>
      <c r="H8" s="101">
        <f t="shared" si="0"/>
        <v>15.98</v>
      </c>
      <c r="I8" s="204">
        <f>+ARTESANAL!J10</f>
        <v>0</v>
      </c>
      <c r="J8" s="101">
        <f t="shared" si="1"/>
        <v>15.98</v>
      </c>
      <c r="K8" s="123">
        <f t="shared" ref="K8:K9" si="2">+I8/H8</f>
        <v>0</v>
      </c>
    </row>
    <row r="9" spans="1:13" x14ac:dyDescent="0.25">
      <c r="A9" s="46"/>
      <c r="B9" s="141"/>
      <c r="C9" s="141"/>
      <c r="D9" s="95" t="str">
        <f>+ARTESANAL!D11</f>
        <v>VIII</v>
      </c>
      <c r="E9" s="75" t="s">
        <v>102</v>
      </c>
      <c r="F9" s="57">
        <f>ARTESANAL!G11</f>
        <v>217.28</v>
      </c>
      <c r="G9" s="101">
        <f>+ARTESANAL!H11</f>
        <v>0</v>
      </c>
      <c r="H9" s="101">
        <f t="shared" si="0"/>
        <v>217.28</v>
      </c>
      <c r="I9" s="204">
        <f>ARTESANAL!J11+ARTESANAL!J12</f>
        <v>55.383000000000003</v>
      </c>
      <c r="J9" s="101">
        <f t="shared" si="1"/>
        <v>161.89699999999999</v>
      </c>
      <c r="K9" s="123">
        <f t="shared" si="2"/>
        <v>0.2548923048600884</v>
      </c>
    </row>
    <row r="10" spans="1:13" x14ac:dyDescent="0.25">
      <c r="A10" s="46"/>
      <c r="B10" s="141"/>
      <c r="C10" s="141"/>
      <c r="D10" s="95" t="str">
        <f>+ARTESANAL!D13</f>
        <v>IX</v>
      </c>
      <c r="E10" s="75" t="s">
        <v>102</v>
      </c>
      <c r="F10" s="57">
        <f>ARTESANAL!G13</f>
        <v>30.29</v>
      </c>
      <c r="G10" s="101">
        <f>+ARTESANAL!H13</f>
        <v>0</v>
      </c>
      <c r="H10" s="101">
        <f t="shared" si="0"/>
        <v>30.29</v>
      </c>
      <c r="I10" s="204">
        <f>SUM(ARTESANAL!J13:J14)</f>
        <v>7.54</v>
      </c>
      <c r="J10" s="101">
        <f t="shared" si="1"/>
        <v>22.75</v>
      </c>
      <c r="K10" s="123">
        <f>+I10/H10</f>
        <v>0.24892703862660945</v>
      </c>
    </row>
    <row r="11" spans="1:13" x14ac:dyDescent="0.25">
      <c r="A11" s="46"/>
      <c r="B11" s="141"/>
      <c r="C11" s="141"/>
      <c r="D11" s="95" t="str">
        <f ca="1">+ARTESANAL!D15</f>
        <v>XIV</v>
      </c>
      <c r="E11" s="75" t="s">
        <v>105</v>
      </c>
      <c r="F11" s="57">
        <f>ARTESANAL!G15</f>
        <v>216.42</v>
      </c>
      <c r="G11" s="101">
        <f>+ARTESANAL!H15</f>
        <v>0</v>
      </c>
      <c r="H11" s="101">
        <f t="shared" si="0"/>
        <v>216.42</v>
      </c>
      <c r="I11" s="204">
        <f>+ARTESANAL!J15</f>
        <v>0</v>
      </c>
      <c r="J11" s="101">
        <f t="shared" si="1"/>
        <v>216.42</v>
      </c>
      <c r="K11" s="123">
        <f t="shared" ref="K11:K14" si="3">+I11/H11</f>
        <v>0</v>
      </c>
    </row>
    <row r="12" spans="1:13" x14ac:dyDescent="0.25">
      <c r="A12" s="46"/>
      <c r="B12" s="141"/>
      <c r="C12" s="141"/>
      <c r="D12" s="95" t="s">
        <v>73</v>
      </c>
      <c r="E12" s="75" t="s">
        <v>106</v>
      </c>
      <c r="F12" s="57">
        <f>ARTESANAL!G17</f>
        <v>416.29</v>
      </c>
      <c r="G12" s="101">
        <f>+ARTESANAL!H17</f>
        <v>0</v>
      </c>
      <c r="H12" s="101">
        <f t="shared" si="0"/>
        <v>416.29</v>
      </c>
      <c r="I12" s="204">
        <f>SUM(ARTESANAL!J17:J18)</f>
        <v>467.41800000000001</v>
      </c>
      <c r="J12" s="101">
        <f t="shared" si="1"/>
        <v>-51.127999999999986</v>
      </c>
      <c r="K12" s="123">
        <f t="shared" ref="K12:K13" si="4">+I12/H12</f>
        <v>1.1228182276778207</v>
      </c>
    </row>
    <row r="13" spans="1:13" x14ac:dyDescent="0.25">
      <c r="A13" s="46"/>
      <c r="B13" s="141"/>
      <c r="C13" s="141"/>
      <c r="D13" s="95" t="s">
        <v>74</v>
      </c>
      <c r="E13" s="95" t="s">
        <v>101</v>
      </c>
      <c r="F13" s="57">
        <f>ARTESANAL!G19</f>
        <v>107.78</v>
      </c>
      <c r="G13" s="101">
        <f>+ARTESANAL!H19</f>
        <v>0</v>
      </c>
      <c r="H13" s="101">
        <f t="shared" si="0"/>
        <v>107.78</v>
      </c>
      <c r="I13" s="204">
        <f>SUM(ARTESANAL!J19:J20)</f>
        <v>111.991</v>
      </c>
      <c r="J13" s="101">
        <f t="shared" si="1"/>
        <v>-4.2109999999999985</v>
      </c>
      <c r="K13" s="123">
        <f t="shared" si="4"/>
        <v>1.0390703284468361</v>
      </c>
      <c r="M13" t="s">
        <v>117</v>
      </c>
    </row>
    <row r="14" spans="1:13" x14ac:dyDescent="0.25">
      <c r="A14" s="46"/>
      <c r="B14" s="141"/>
      <c r="C14" s="141"/>
      <c r="D14" s="95" t="str">
        <f>+ARTESANAL!D21</f>
        <v>XII</v>
      </c>
      <c r="E14" s="75" t="s">
        <v>102</v>
      </c>
      <c r="F14" s="57">
        <f>ARTESANAL!G21</f>
        <v>81.44</v>
      </c>
      <c r="G14" s="101">
        <f>+ARTESANAL!H21</f>
        <v>0</v>
      </c>
      <c r="H14" s="101">
        <f t="shared" si="0"/>
        <v>81.44</v>
      </c>
      <c r="I14" s="204">
        <f>+ARTESANAL!J21</f>
        <v>0.76</v>
      </c>
      <c r="J14" s="101">
        <f t="shared" si="1"/>
        <v>80.679999999999993</v>
      </c>
      <c r="K14" s="123">
        <f t="shared" si="3"/>
        <v>9.3320235756385074E-3</v>
      </c>
    </row>
    <row r="15" spans="1:13" x14ac:dyDescent="0.25">
      <c r="A15" s="44"/>
      <c r="B15" s="141"/>
      <c r="C15" s="141"/>
      <c r="D15" s="64" t="s">
        <v>67</v>
      </c>
      <c r="E15" s="75" t="s">
        <v>102</v>
      </c>
      <c r="F15" s="115">
        <f>SUM(F7:F14)</f>
        <v>1146.5900000000001</v>
      </c>
      <c r="G15" s="102">
        <f>+G7+G8+G9+G10+G11+G14</f>
        <v>0</v>
      </c>
      <c r="H15" s="101">
        <f>+F15-G15</f>
        <v>1146.5900000000001</v>
      </c>
      <c r="I15" s="101">
        <f>SUM(I7:I14)</f>
        <v>648.66700000000003</v>
      </c>
      <c r="J15" s="101">
        <f t="shared" si="1"/>
        <v>497.92300000000012</v>
      </c>
      <c r="K15" s="123">
        <f t="shared" ref="K15:K20" si="5">+I15/H15</f>
        <v>0.56573579047436306</v>
      </c>
    </row>
    <row r="16" spans="1:13" x14ac:dyDescent="0.25">
      <c r="A16" s="44"/>
      <c r="B16" s="141"/>
      <c r="C16" s="141"/>
      <c r="D16" s="64" t="s">
        <v>107</v>
      </c>
      <c r="E16" s="75" t="s">
        <v>102</v>
      </c>
      <c r="F16" s="57">
        <f>+ARTESANAL!G22</f>
        <v>11.58</v>
      </c>
      <c r="G16" s="101">
        <f>+ARTESANAL!H22</f>
        <v>0</v>
      </c>
      <c r="H16" s="101">
        <f>+F16+G16</f>
        <v>11.58</v>
      </c>
      <c r="I16" s="101">
        <f>+ARTESANAL!J22</f>
        <v>0</v>
      </c>
      <c r="J16" s="101">
        <f>+ARTESANAL!K22</f>
        <v>11.58</v>
      </c>
      <c r="K16" s="123">
        <f t="shared" si="5"/>
        <v>0</v>
      </c>
    </row>
    <row r="17" spans="1:11" x14ac:dyDescent="0.25">
      <c r="A17" s="44"/>
      <c r="B17" s="141"/>
      <c r="C17" s="141"/>
      <c r="D17" s="64" t="s">
        <v>109</v>
      </c>
      <c r="E17" s="75" t="s">
        <v>102</v>
      </c>
      <c r="F17" s="57">
        <v>6</v>
      </c>
      <c r="G17" s="101">
        <v>0</v>
      </c>
      <c r="H17" s="101">
        <f>+F17+G17</f>
        <v>6</v>
      </c>
      <c r="I17" s="204">
        <f>0.035+0.067</f>
        <v>0.10200000000000001</v>
      </c>
      <c r="J17" s="101">
        <f>H17-I17</f>
        <v>5.8979999999999997</v>
      </c>
      <c r="K17" s="123">
        <f>+I17/H17</f>
        <v>1.7000000000000001E-2</v>
      </c>
    </row>
    <row r="18" spans="1:11" x14ac:dyDescent="0.25">
      <c r="A18" s="44"/>
      <c r="B18" s="141"/>
      <c r="C18" s="141"/>
      <c r="D18" s="108" t="s">
        <v>70</v>
      </c>
      <c r="E18" s="109" t="s">
        <v>102</v>
      </c>
      <c r="F18" s="110">
        <f>F15+F16+F17</f>
        <v>1164.17</v>
      </c>
      <c r="G18" s="111">
        <f t="shared" ref="G18" si="6">+G7+G8+G9+G16+G10+G11+G14</f>
        <v>0</v>
      </c>
      <c r="H18" s="111">
        <f>+F18+G18</f>
        <v>1164.17</v>
      </c>
      <c r="I18" s="111">
        <f>+I15+I16</f>
        <v>648.66700000000003</v>
      </c>
      <c r="J18" s="111">
        <f>+H18-I18</f>
        <v>515.50300000000004</v>
      </c>
      <c r="K18" s="112">
        <f t="shared" si="5"/>
        <v>0.5571926780453027</v>
      </c>
    </row>
    <row r="19" spans="1:11" x14ac:dyDescent="0.25">
      <c r="A19" s="44"/>
      <c r="B19" s="141"/>
      <c r="C19" s="141" t="s">
        <v>38</v>
      </c>
      <c r="D19" s="64" t="str">
        <f>+ARTESANAL!D28</f>
        <v xml:space="preserve">IV  a VII </v>
      </c>
      <c r="E19" s="75" t="s">
        <v>102</v>
      </c>
      <c r="F19" s="97">
        <f>+ARTESANAL!G28</f>
        <v>12.6</v>
      </c>
      <c r="G19" s="102">
        <f>+ARTESANAL!H28</f>
        <v>0</v>
      </c>
      <c r="H19" s="102">
        <f>+F19+G19</f>
        <v>12.6</v>
      </c>
      <c r="I19" s="102">
        <f>SUM(ARTESANAL!J28:J30)</f>
        <v>8.9209999999999994</v>
      </c>
      <c r="J19" s="102">
        <f>+H19-I19</f>
        <v>3.6790000000000003</v>
      </c>
      <c r="K19" s="104">
        <f t="shared" si="5"/>
        <v>0.70801587301587299</v>
      </c>
    </row>
    <row r="20" spans="1:11" x14ac:dyDescent="0.25">
      <c r="A20" s="44"/>
      <c r="B20" s="141"/>
      <c r="C20" s="141"/>
      <c r="D20" s="64" t="str">
        <f>+ARTESANAL!D31</f>
        <v>XVI a 41°28,6 L.S.</v>
      </c>
      <c r="E20" s="75" t="s">
        <v>102</v>
      </c>
      <c r="F20" s="97">
        <f>+ARTESANAL!G31</f>
        <v>98.96</v>
      </c>
      <c r="G20" s="102">
        <f>+ARTESANAL!H31</f>
        <v>0</v>
      </c>
      <c r="H20" s="102">
        <f>+F20+G20</f>
        <v>98.96</v>
      </c>
      <c r="I20" s="102">
        <f>ARTESANAL!J31</f>
        <v>9.0969999999999995</v>
      </c>
      <c r="J20" s="102">
        <f>+H20-I20</f>
        <v>89.863</v>
      </c>
      <c r="K20" s="103">
        <f t="shared" si="5"/>
        <v>9.1926030719482618E-2</v>
      </c>
    </row>
    <row r="21" spans="1:11" x14ac:dyDescent="0.25">
      <c r="A21" s="44"/>
      <c r="B21" s="141"/>
      <c r="C21" s="141"/>
      <c r="D21" s="64" t="str">
        <f>+ARTESANAL!D40</f>
        <v>41°28,6 L.S. AL XII</v>
      </c>
      <c r="E21" s="75" t="s">
        <v>102</v>
      </c>
      <c r="F21" s="97">
        <f>ARTESANAL!G40</f>
        <v>124.84</v>
      </c>
      <c r="G21" s="102">
        <f>ARTESANAL!H40</f>
        <v>0</v>
      </c>
      <c r="H21" s="102">
        <f>F21+G21</f>
        <v>124.84</v>
      </c>
      <c r="I21" s="102">
        <f>ARTESANAL!J40</f>
        <v>15.1675</v>
      </c>
      <c r="J21" s="102">
        <f>H21-I21</f>
        <v>109.6725</v>
      </c>
      <c r="K21" s="103">
        <f>I21/H21</f>
        <v>0.12149551425825056</v>
      </c>
    </row>
    <row r="22" spans="1:11" x14ac:dyDescent="0.25">
      <c r="A22" s="44"/>
      <c r="B22" s="141"/>
      <c r="C22" s="141"/>
      <c r="D22" s="64" t="s">
        <v>67</v>
      </c>
      <c r="E22" s="75" t="s">
        <v>102</v>
      </c>
      <c r="F22" s="97">
        <f>SUM(F19:F21)</f>
        <v>236.39999999999998</v>
      </c>
      <c r="G22" s="116">
        <f>+ARTESANAL!H44</f>
        <v>0</v>
      </c>
      <c r="H22" s="116">
        <f>+F22+G22</f>
        <v>236.39999999999998</v>
      </c>
      <c r="I22" s="116">
        <f>SUM(I19:I21)</f>
        <v>33.185500000000005</v>
      </c>
      <c r="J22" s="116">
        <f t="shared" ref="J22:J28" si="7">+H22-I22</f>
        <v>203.21449999999999</v>
      </c>
      <c r="K22" s="117">
        <f t="shared" ref="K22:K26" si="8">+I22/H22</f>
        <v>0.14037859560067686</v>
      </c>
    </row>
    <row r="23" spans="1:11" x14ac:dyDescent="0.25">
      <c r="A23" s="44"/>
      <c r="B23" s="141"/>
      <c r="C23" s="141"/>
      <c r="D23" s="64" t="s">
        <v>108</v>
      </c>
      <c r="E23" s="75" t="s">
        <v>102</v>
      </c>
      <c r="F23" s="97">
        <f>+ARTESANAL!G44</f>
        <v>2.4</v>
      </c>
      <c r="G23" s="102">
        <f>ARTESANAL!H44</f>
        <v>0</v>
      </c>
      <c r="H23" s="102">
        <f>+F23+G23</f>
        <v>2.4</v>
      </c>
      <c r="I23" s="102">
        <f>ARTESANAL!J44</f>
        <v>0</v>
      </c>
      <c r="J23" s="102">
        <f t="shared" si="7"/>
        <v>2.4</v>
      </c>
      <c r="K23" s="103">
        <f t="shared" si="8"/>
        <v>0</v>
      </c>
    </row>
    <row r="24" spans="1:11" x14ac:dyDescent="0.25">
      <c r="A24" s="44"/>
      <c r="B24" s="141"/>
      <c r="C24" s="141"/>
      <c r="D24" s="64" t="s">
        <v>110</v>
      </c>
      <c r="E24" s="75" t="s">
        <v>102</v>
      </c>
      <c r="F24" s="97">
        <v>1.2</v>
      </c>
      <c r="G24" s="102">
        <f>+ARTESANAL!H45</f>
        <v>0</v>
      </c>
      <c r="H24" s="102">
        <f>+F24+G24</f>
        <v>1.2</v>
      </c>
      <c r="I24" s="102">
        <v>0</v>
      </c>
      <c r="J24" s="102">
        <f t="shared" si="7"/>
        <v>1.2</v>
      </c>
      <c r="K24" s="104">
        <f t="shared" si="8"/>
        <v>0</v>
      </c>
    </row>
    <row r="25" spans="1:11" x14ac:dyDescent="0.25">
      <c r="A25" s="44"/>
      <c r="B25" s="141"/>
      <c r="C25" s="141"/>
      <c r="D25" s="108" t="s">
        <v>71</v>
      </c>
      <c r="E25" s="109" t="s">
        <v>102</v>
      </c>
      <c r="F25" s="110">
        <f>+F22+F23+F24</f>
        <v>239.99999999999997</v>
      </c>
      <c r="G25" s="111">
        <f>+ARTESANAL!H46</f>
        <v>0</v>
      </c>
      <c r="H25" s="111">
        <f>+F25+G25</f>
        <v>239.99999999999997</v>
      </c>
      <c r="I25" s="111">
        <f>+I22+I23+I24</f>
        <v>33.185500000000005</v>
      </c>
      <c r="J25" s="111">
        <f t="shared" si="7"/>
        <v>206.81449999999995</v>
      </c>
      <c r="K25" s="112">
        <f>+I25/H25</f>
        <v>0.13827291666666669</v>
      </c>
    </row>
    <row r="26" spans="1:11" x14ac:dyDescent="0.25">
      <c r="A26" s="47"/>
      <c r="B26" s="141" t="s">
        <v>60</v>
      </c>
      <c r="C26" s="132" t="s">
        <v>100</v>
      </c>
      <c r="D26" s="96" t="str">
        <f>+INDUSTRIAL!D7</f>
        <v xml:space="preserve">IV  a XII </v>
      </c>
      <c r="E26" s="75" t="s">
        <v>102</v>
      </c>
      <c r="F26" s="57">
        <f>+INDUSTRIAL!F9</f>
        <v>35.82</v>
      </c>
      <c r="G26" s="101">
        <f>+INDUSTRIAL!G7+INDUSTRIAL!G8</f>
        <v>0</v>
      </c>
      <c r="H26" s="101">
        <f>+F26+G26</f>
        <v>35.82</v>
      </c>
      <c r="I26" s="101">
        <f>+INDUSTRIAL!I7+INDUSTRIAL!I8</f>
        <v>0</v>
      </c>
      <c r="J26" s="102">
        <f t="shared" si="7"/>
        <v>35.82</v>
      </c>
      <c r="K26" s="103">
        <f t="shared" si="8"/>
        <v>0</v>
      </c>
    </row>
    <row r="27" spans="1:11" ht="15" customHeight="1" x14ac:dyDescent="0.25">
      <c r="A27" s="44"/>
      <c r="B27" s="141"/>
      <c r="C27" s="133"/>
      <c r="D27" s="114" t="s">
        <v>68</v>
      </c>
      <c r="E27" s="109" t="s">
        <v>102</v>
      </c>
      <c r="F27" s="110">
        <f>SUM(F26:F26)</f>
        <v>35.82</v>
      </c>
      <c r="G27" s="111">
        <f>SUM(G26:G26)</f>
        <v>0</v>
      </c>
      <c r="H27" s="111">
        <f>+F27-G27</f>
        <v>35.82</v>
      </c>
      <c r="I27" s="113">
        <f>SUM(I26:I26)</f>
        <v>0</v>
      </c>
      <c r="J27" s="111">
        <f t="shared" si="7"/>
        <v>35.82</v>
      </c>
      <c r="K27" s="112">
        <f>+I27/H27</f>
        <v>0</v>
      </c>
    </row>
    <row r="28" spans="1:11" x14ac:dyDescent="0.25">
      <c r="A28" s="44"/>
      <c r="B28" s="129" t="s">
        <v>69</v>
      </c>
      <c r="C28" s="130"/>
      <c r="D28" s="130"/>
      <c r="E28" s="131"/>
      <c r="F28" s="100">
        <f>+F18+F25+F26</f>
        <v>1439.99</v>
      </c>
      <c r="G28" s="105">
        <f>G18+G25+G27</f>
        <v>0</v>
      </c>
      <c r="H28" s="107">
        <f>+F28-G28</f>
        <v>1439.99</v>
      </c>
      <c r="I28" s="210">
        <f>+I18+I25+I27+I17</f>
        <v>681.95450000000005</v>
      </c>
      <c r="J28" s="105">
        <f t="shared" si="7"/>
        <v>758.03549999999996</v>
      </c>
      <c r="K28" s="106">
        <f>+I28/H28</f>
        <v>0.47358280265835184</v>
      </c>
    </row>
    <row r="31" spans="1:11" x14ac:dyDescent="0.25">
      <c r="B31" s="48"/>
      <c r="C31" s="48"/>
    </row>
    <row r="32" spans="1:11" x14ac:dyDescent="0.25">
      <c r="B32" s="48"/>
      <c r="C32" s="48"/>
    </row>
    <row r="33" spans="2:3" x14ac:dyDescent="0.25">
      <c r="B33" s="48"/>
      <c r="C33" s="48"/>
    </row>
    <row r="34" spans="2:3" x14ac:dyDescent="0.25">
      <c r="B34" s="48"/>
    </row>
    <row r="35" spans="2:3" x14ac:dyDescent="0.25">
      <c r="B35" s="48"/>
    </row>
    <row r="36" spans="2:3" x14ac:dyDescent="0.25">
      <c r="B36" s="48"/>
    </row>
    <row r="37" spans="2:3" x14ac:dyDescent="0.25">
      <c r="B37" s="48"/>
    </row>
    <row r="38" spans="2:3" x14ac:dyDescent="0.25">
      <c r="B38" s="48"/>
    </row>
  </sheetData>
  <mergeCells count="9">
    <mergeCell ref="B28:E28"/>
    <mergeCell ref="C26:C27"/>
    <mergeCell ref="B3:K3"/>
    <mergeCell ref="B4:K4"/>
    <mergeCell ref="B5:K5"/>
    <mergeCell ref="B26:B27"/>
    <mergeCell ref="C7:C18"/>
    <mergeCell ref="B7:B25"/>
    <mergeCell ref="C19:C25"/>
  </mergeCells>
  <conditionalFormatting sqref="J7:J28">
    <cfRule type="cellIs" priority="2" operator="lessThan">
      <formula>5</formula>
    </cfRule>
  </conditionalFormatting>
  <conditionalFormatting sqref="K7:K28">
    <cfRule type="cellIs" dxfId="4" priority="1" operator="greater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BA3851"/>
  </sheetPr>
  <dimension ref="B1:M46"/>
  <sheetViews>
    <sheetView showGridLines="0" topLeftCell="A4" zoomScaleNormal="100" workbookViewId="0">
      <selection activeCell="F39" sqref="F39"/>
    </sheetView>
  </sheetViews>
  <sheetFormatPr baseColWidth="10" defaultColWidth="11.42578125" defaultRowHeight="12.75" x14ac:dyDescent="0.2"/>
  <cols>
    <col min="1" max="1" width="3.140625" style="16" customWidth="1"/>
    <col min="2" max="2" width="18.5703125" style="16" bestFit="1" customWidth="1"/>
    <col min="3" max="3" width="28" style="16" bestFit="1" customWidth="1"/>
    <col min="4" max="4" width="14.28515625" style="16" bestFit="1" customWidth="1"/>
    <col min="5" max="5" width="16.140625" style="16" bestFit="1" customWidth="1"/>
    <col min="6" max="6" width="21.7109375" style="16" bestFit="1" customWidth="1"/>
    <col min="7" max="7" width="20.28515625" style="99" bestFit="1" customWidth="1"/>
    <col min="8" max="8" width="17.7109375" style="16" bestFit="1" customWidth="1"/>
    <col min="9" max="9" width="19.140625" style="16" bestFit="1" customWidth="1"/>
    <col min="10" max="10" width="13.28515625" style="16" bestFit="1" customWidth="1"/>
    <col min="11" max="11" width="11.28515625" style="16" bestFit="1" customWidth="1"/>
    <col min="12" max="12" width="11.140625" style="16" bestFit="1" customWidth="1"/>
    <col min="13" max="13" width="11.5703125" style="16" bestFit="1" customWidth="1"/>
    <col min="14" max="16384" width="11.42578125" style="16"/>
  </cols>
  <sheetData>
    <row r="1" spans="2:13" ht="22.5" customHeight="1" thickBot="1" x14ac:dyDescent="0.25"/>
    <row r="2" spans="2:13" x14ac:dyDescent="0.2">
      <c r="B2" s="66"/>
      <c r="C2" s="178" t="s">
        <v>95</v>
      </c>
      <c r="D2" s="179"/>
      <c r="E2" s="179"/>
      <c r="F2" s="179"/>
      <c r="G2" s="179"/>
      <c r="H2" s="179"/>
      <c r="I2" s="179"/>
      <c r="J2" s="179"/>
      <c r="K2" s="179"/>
      <c r="L2" s="67"/>
      <c r="M2" s="68"/>
    </row>
    <row r="3" spans="2:13" ht="21.75" customHeight="1" x14ac:dyDescent="0.2">
      <c r="B3" s="69"/>
      <c r="C3" s="180"/>
      <c r="D3" s="180"/>
      <c r="E3" s="180"/>
      <c r="F3" s="180"/>
      <c r="G3" s="180"/>
      <c r="H3" s="180"/>
      <c r="I3" s="180"/>
      <c r="J3" s="180"/>
      <c r="K3" s="180"/>
      <c r="L3" s="70"/>
      <c r="M3" s="71"/>
    </row>
    <row r="4" spans="2:13" ht="13.5" thickBot="1" x14ac:dyDescent="0.25">
      <c r="B4" s="72"/>
      <c r="C4" s="181">
        <f>+RESUMEN!B4</f>
        <v>44926</v>
      </c>
      <c r="D4" s="181"/>
      <c r="E4" s="181"/>
      <c r="F4" s="181"/>
      <c r="G4" s="181"/>
      <c r="H4" s="181"/>
      <c r="I4" s="181"/>
      <c r="J4" s="181"/>
      <c r="K4" s="181"/>
      <c r="L4" s="73"/>
      <c r="M4" s="74"/>
    </row>
    <row r="6" spans="2:13" x14ac:dyDescent="0.2">
      <c r="B6" s="78" t="s">
        <v>86</v>
      </c>
      <c r="C6" s="165" t="s">
        <v>87</v>
      </c>
      <c r="D6" s="166"/>
      <c r="E6" s="167"/>
      <c r="F6" s="78" t="s">
        <v>88</v>
      </c>
      <c r="G6" s="78" t="s">
        <v>78</v>
      </c>
      <c r="H6" s="78" t="s">
        <v>79</v>
      </c>
      <c r="I6" s="78" t="s">
        <v>80</v>
      </c>
      <c r="J6" s="78" t="s">
        <v>81</v>
      </c>
      <c r="K6" s="78" t="s">
        <v>82</v>
      </c>
      <c r="L6" s="78" t="s">
        <v>83</v>
      </c>
      <c r="M6" s="78" t="s">
        <v>89</v>
      </c>
    </row>
    <row r="7" spans="2:13" x14ac:dyDescent="0.2">
      <c r="B7" s="171" t="s">
        <v>36</v>
      </c>
      <c r="C7" s="171" t="s">
        <v>85</v>
      </c>
      <c r="D7" s="156" t="s">
        <v>63</v>
      </c>
      <c r="E7" s="157"/>
      <c r="F7" s="75" t="s">
        <v>102</v>
      </c>
      <c r="G7" s="148">
        <v>61.11</v>
      </c>
      <c r="H7" s="142">
        <v>0</v>
      </c>
      <c r="I7" s="142">
        <f>G7+H7</f>
        <v>61.11</v>
      </c>
      <c r="J7" s="203"/>
      <c r="K7" s="142">
        <f>I7-(J7+J8+J9)</f>
        <v>55.534999999999997</v>
      </c>
      <c r="L7" s="144">
        <f>(J7+J8+J9)/I7</f>
        <v>9.1228931435116997E-2</v>
      </c>
      <c r="M7" s="128" t="s">
        <v>16</v>
      </c>
    </row>
    <row r="8" spans="2:13" x14ac:dyDescent="0.2">
      <c r="B8" s="171"/>
      <c r="C8" s="171"/>
      <c r="D8" s="184"/>
      <c r="E8" s="185"/>
      <c r="F8" s="75" t="s">
        <v>101</v>
      </c>
      <c r="G8" s="149"/>
      <c r="H8" s="151"/>
      <c r="I8" s="151"/>
      <c r="J8" s="203">
        <v>0.06</v>
      </c>
      <c r="K8" s="151"/>
      <c r="L8" s="152"/>
      <c r="M8" s="128" t="s">
        <v>16</v>
      </c>
    </row>
    <row r="9" spans="2:13" x14ac:dyDescent="0.2">
      <c r="B9" s="171"/>
      <c r="C9" s="171"/>
      <c r="D9" s="158"/>
      <c r="E9" s="159"/>
      <c r="F9" s="75" t="s">
        <v>116</v>
      </c>
      <c r="G9" s="150"/>
      <c r="H9" s="143"/>
      <c r="I9" s="143"/>
      <c r="J9" s="203">
        <v>5.5149999999999997</v>
      </c>
      <c r="K9" s="143"/>
      <c r="L9" s="145"/>
      <c r="M9" s="128" t="s">
        <v>16</v>
      </c>
    </row>
    <row r="10" spans="2:13" x14ac:dyDescent="0.2">
      <c r="B10" s="171"/>
      <c r="C10" s="171"/>
      <c r="D10" s="163" t="s">
        <v>54</v>
      </c>
      <c r="E10" s="164"/>
      <c r="F10" s="75" t="s">
        <v>102</v>
      </c>
      <c r="G10" s="76">
        <v>15.98</v>
      </c>
      <c r="H10" s="49">
        <v>0</v>
      </c>
      <c r="I10" s="49">
        <f t="shared" ref="I10:I13" si="0">G10+H10</f>
        <v>15.98</v>
      </c>
      <c r="J10" s="203"/>
      <c r="K10" s="49">
        <f t="shared" ref="K10" si="1">I10-J10</f>
        <v>15.98</v>
      </c>
      <c r="L10" s="118">
        <f t="shared" ref="L10:L23" si="2">J10/I10</f>
        <v>0</v>
      </c>
      <c r="M10" s="128" t="s">
        <v>16</v>
      </c>
    </row>
    <row r="11" spans="2:13" x14ac:dyDescent="0.2">
      <c r="B11" s="171"/>
      <c r="C11" s="171"/>
      <c r="D11" s="156" t="s">
        <v>55</v>
      </c>
      <c r="E11" s="157"/>
      <c r="F11" s="75" t="s">
        <v>102</v>
      </c>
      <c r="G11" s="148">
        <v>217.28</v>
      </c>
      <c r="H11" s="142">
        <v>0</v>
      </c>
      <c r="I11" s="142">
        <f t="shared" si="0"/>
        <v>217.28</v>
      </c>
      <c r="J11" s="203">
        <v>10.1</v>
      </c>
      <c r="K11" s="142">
        <f>I11-(J11+J12)</f>
        <v>161.89699999999999</v>
      </c>
      <c r="L11" s="144">
        <f>(J11+J12)/I11</f>
        <v>0.2548923048600884</v>
      </c>
      <c r="M11" s="52" t="s">
        <v>16</v>
      </c>
    </row>
    <row r="12" spans="2:13" x14ac:dyDescent="0.2">
      <c r="B12" s="171"/>
      <c r="C12" s="171"/>
      <c r="D12" s="158"/>
      <c r="E12" s="159"/>
      <c r="F12" s="75" t="s">
        <v>114</v>
      </c>
      <c r="G12" s="150"/>
      <c r="H12" s="143"/>
      <c r="I12" s="143"/>
      <c r="J12" s="203">
        <v>45.283000000000001</v>
      </c>
      <c r="K12" s="143"/>
      <c r="L12" s="145"/>
      <c r="M12" s="52" t="s">
        <v>16</v>
      </c>
    </row>
    <row r="13" spans="2:13" x14ac:dyDescent="0.2">
      <c r="B13" s="171"/>
      <c r="C13" s="171"/>
      <c r="D13" s="156" t="s">
        <v>56</v>
      </c>
      <c r="E13" s="157"/>
      <c r="F13" s="75" t="s">
        <v>102</v>
      </c>
      <c r="G13" s="148">
        <v>30.29</v>
      </c>
      <c r="H13" s="142">
        <v>0</v>
      </c>
      <c r="I13" s="142">
        <f t="shared" si="0"/>
        <v>30.29</v>
      </c>
      <c r="J13" s="203"/>
      <c r="K13" s="142">
        <f>I13-(J13+J14)</f>
        <v>22.75</v>
      </c>
      <c r="L13" s="144">
        <f>(J13+J14)/I13</f>
        <v>0.24892703862660945</v>
      </c>
      <c r="M13" s="52" t="s">
        <v>16</v>
      </c>
    </row>
    <row r="14" spans="2:13" x14ac:dyDescent="0.2">
      <c r="B14" s="171"/>
      <c r="C14" s="171"/>
      <c r="D14" s="158"/>
      <c r="E14" s="159"/>
      <c r="F14" s="75" t="s">
        <v>105</v>
      </c>
      <c r="G14" s="150"/>
      <c r="H14" s="143"/>
      <c r="I14" s="143"/>
      <c r="J14" s="203">
        <v>7.54</v>
      </c>
      <c r="K14" s="143"/>
      <c r="L14" s="145"/>
      <c r="M14" s="52"/>
    </row>
    <row r="15" spans="2:13" x14ac:dyDescent="0.2">
      <c r="B15" s="171"/>
      <c r="C15" s="171"/>
      <c r="D15" s="156" t="str">
        <f ca="1">+ARTESANAL!D15</f>
        <v>XIV</v>
      </c>
      <c r="E15" s="157"/>
      <c r="F15" s="75" t="s">
        <v>102</v>
      </c>
      <c r="G15" s="148">
        <v>216.42</v>
      </c>
      <c r="H15" s="142">
        <v>0</v>
      </c>
      <c r="I15" s="142">
        <f>G15+H15</f>
        <v>216.42</v>
      </c>
      <c r="J15" s="203"/>
      <c r="K15" s="142">
        <f>I15-J15</f>
        <v>216.42</v>
      </c>
      <c r="L15" s="144">
        <f t="shared" si="2"/>
        <v>0</v>
      </c>
      <c r="M15" s="52" t="s">
        <v>16</v>
      </c>
    </row>
    <row r="16" spans="2:13" x14ac:dyDescent="0.2">
      <c r="B16" s="171"/>
      <c r="C16" s="171"/>
      <c r="D16" s="158"/>
      <c r="E16" s="159"/>
      <c r="F16" s="75" t="s">
        <v>105</v>
      </c>
      <c r="G16" s="150"/>
      <c r="H16" s="143"/>
      <c r="I16" s="143"/>
      <c r="J16" s="203"/>
      <c r="K16" s="143"/>
      <c r="L16" s="145"/>
      <c r="M16" s="52" t="s">
        <v>16</v>
      </c>
    </row>
    <row r="17" spans="2:13" x14ac:dyDescent="0.2">
      <c r="B17" s="171"/>
      <c r="C17" s="171"/>
      <c r="D17" s="156" t="s">
        <v>73</v>
      </c>
      <c r="E17" s="157"/>
      <c r="F17" s="75" t="s">
        <v>102</v>
      </c>
      <c r="G17" s="148">
        <v>416.29</v>
      </c>
      <c r="H17" s="142">
        <v>0</v>
      </c>
      <c r="I17" s="142">
        <f t="shared" ref="I17" si="3">G17+H17</f>
        <v>416.29</v>
      </c>
      <c r="J17" s="203">
        <v>293.03100000000001</v>
      </c>
      <c r="K17" s="142">
        <f>I17-(J17+J18)</f>
        <v>-51.127999999999986</v>
      </c>
      <c r="L17" s="144">
        <f>(J17+J18)/I17</f>
        <v>1.1228182276778207</v>
      </c>
      <c r="M17" s="153">
        <v>44837</v>
      </c>
    </row>
    <row r="18" spans="2:13" x14ac:dyDescent="0.2">
      <c r="B18" s="171"/>
      <c r="C18" s="171"/>
      <c r="D18" s="158"/>
      <c r="E18" s="159"/>
      <c r="F18" s="75" t="s">
        <v>106</v>
      </c>
      <c r="G18" s="150"/>
      <c r="H18" s="143"/>
      <c r="I18" s="143"/>
      <c r="J18" s="203">
        <v>174.387</v>
      </c>
      <c r="K18" s="143"/>
      <c r="L18" s="145"/>
      <c r="M18" s="155"/>
    </row>
    <row r="19" spans="2:13" x14ac:dyDescent="0.2">
      <c r="B19" s="171"/>
      <c r="C19" s="171"/>
      <c r="D19" s="156" t="s">
        <v>74</v>
      </c>
      <c r="E19" s="157"/>
      <c r="F19" s="75" t="s">
        <v>101</v>
      </c>
      <c r="G19" s="148">
        <v>107.78</v>
      </c>
      <c r="H19" s="142">
        <v>0</v>
      </c>
      <c r="I19" s="142">
        <f>G19+H19</f>
        <v>107.78</v>
      </c>
      <c r="J19" s="203">
        <v>108.57899999999999</v>
      </c>
      <c r="K19" s="142">
        <f>I19-(J19+J20)</f>
        <v>-4.2109999999999985</v>
      </c>
      <c r="L19" s="144">
        <f>(J19+J20)/I19</f>
        <v>1.0390703284468361</v>
      </c>
      <c r="M19" s="146">
        <v>44833</v>
      </c>
    </row>
    <row r="20" spans="2:13" x14ac:dyDescent="0.2">
      <c r="B20" s="171"/>
      <c r="C20" s="171"/>
      <c r="D20" s="158"/>
      <c r="E20" s="159"/>
      <c r="F20" s="75" t="s">
        <v>116</v>
      </c>
      <c r="G20" s="150"/>
      <c r="H20" s="143"/>
      <c r="I20" s="143"/>
      <c r="J20" s="203">
        <v>3.4119999999999999</v>
      </c>
      <c r="K20" s="143"/>
      <c r="L20" s="145"/>
      <c r="M20" s="147"/>
    </row>
    <row r="21" spans="2:13" x14ac:dyDescent="0.2">
      <c r="B21" s="171"/>
      <c r="C21" s="171"/>
      <c r="D21" s="163" t="s">
        <v>75</v>
      </c>
      <c r="E21" s="164"/>
      <c r="F21" s="75" t="s">
        <v>102</v>
      </c>
      <c r="G21" s="76">
        <v>81.44</v>
      </c>
      <c r="H21" s="49">
        <v>0</v>
      </c>
      <c r="I21" s="49">
        <f t="shared" ref="I21" si="4">G21+H21</f>
        <v>81.44</v>
      </c>
      <c r="J21" s="203">
        <v>0.76</v>
      </c>
      <c r="K21" s="49">
        <f t="shared" ref="K21" si="5">I21-J21</f>
        <v>80.679999999999993</v>
      </c>
      <c r="L21" s="118">
        <f t="shared" si="2"/>
        <v>9.3320235756385074E-3</v>
      </c>
      <c r="M21" s="128" t="s">
        <v>16</v>
      </c>
    </row>
    <row r="22" spans="2:13" x14ac:dyDescent="0.2">
      <c r="B22" s="171"/>
      <c r="C22" s="93" t="s">
        <v>90</v>
      </c>
      <c r="D22" s="182" t="s">
        <v>91</v>
      </c>
      <c r="E22" s="183"/>
      <c r="F22" s="75" t="s">
        <v>102</v>
      </c>
      <c r="G22" s="76">
        <v>11.58</v>
      </c>
      <c r="H22" s="49">
        <v>0</v>
      </c>
      <c r="I22" s="49">
        <f t="shared" ref="I22" si="6">G22+H22</f>
        <v>11.58</v>
      </c>
      <c r="J22" s="203"/>
      <c r="K22" s="49">
        <f t="shared" ref="K22" si="7">I22-J22</f>
        <v>11.58</v>
      </c>
      <c r="L22" s="118">
        <f t="shared" si="2"/>
        <v>0</v>
      </c>
      <c r="M22" s="52" t="s">
        <v>16</v>
      </c>
    </row>
    <row r="23" spans="2:13" ht="12" customHeight="1" x14ac:dyDescent="0.2">
      <c r="B23" s="171"/>
      <c r="C23" s="172" t="s">
        <v>99</v>
      </c>
      <c r="D23" s="172"/>
      <c r="E23" s="172"/>
      <c r="F23" s="172"/>
      <c r="G23" s="76">
        <f>SUM(G7:G22)</f>
        <v>1158.17</v>
      </c>
      <c r="H23" s="57">
        <f>SUM(H7:H22)</f>
        <v>0</v>
      </c>
      <c r="I23" s="57">
        <f>G23+H23</f>
        <v>1158.17</v>
      </c>
      <c r="J23" s="57">
        <f>SUM(J7:J22)</f>
        <v>648.66699999999992</v>
      </c>
      <c r="K23" s="57">
        <f>I23-J23</f>
        <v>509.50300000000016</v>
      </c>
      <c r="L23" s="119">
        <f t="shared" si="2"/>
        <v>0.56007926297521082</v>
      </c>
      <c r="M23" s="75" t="s">
        <v>16</v>
      </c>
    </row>
    <row r="24" spans="2:13" x14ac:dyDescent="0.2">
      <c r="L24" s="65"/>
    </row>
    <row r="25" spans="2:13" x14ac:dyDescent="0.2">
      <c r="L25" s="65"/>
    </row>
    <row r="27" spans="2:13" s="61" customFormat="1" x14ac:dyDescent="0.2">
      <c r="B27" s="78" t="s">
        <v>86</v>
      </c>
      <c r="C27" s="165" t="s">
        <v>87</v>
      </c>
      <c r="D27" s="166"/>
      <c r="E27" s="167"/>
      <c r="F27" s="78" t="s">
        <v>88</v>
      </c>
      <c r="G27" s="78" t="s">
        <v>78</v>
      </c>
      <c r="H27" s="78" t="s">
        <v>79</v>
      </c>
      <c r="I27" s="78" t="s">
        <v>80</v>
      </c>
      <c r="J27" s="78" t="s">
        <v>81</v>
      </c>
      <c r="K27" s="78" t="s">
        <v>82</v>
      </c>
      <c r="L27" s="78" t="s">
        <v>83</v>
      </c>
      <c r="M27" s="78" t="s">
        <v>89</v>
      </c>
    </row>
    <row r="28" spans="2:13" x14ac:dyDescent="0.2">
      <c r="B28" s="171" t="s">
        <v>39</v>
      </c>
      <c r="C28" s="175" t="s">
        <v>92</v>
      </c>
      <c r="D28" s="156" t="s">
        <v>62</v>
      </c>
      <c r="E28" s="157"/>
      <c r="F28" s="75" t="s">
        <v>102</v>
      </c>
      <c r="G28" s="168">
        <v>12.6</v>
      </c>
      <c r="H28" s="142">
        <v>0</v>
      </c>
      <c r="I28" s="142">
        <f>G28+H28</f>
        <v>12.6</v>
      </c>
      <c r="J28" s="206"/>
      <c r="K28" s="142">
        <f>I28-(J28+J29+J30)</f>
        <v>3.6790000000000003</v>
      </c>
      <c r="L28" s="144">
        <f>(J28+J29+J30)/I28</f>
        <v>0.70801587301587299</v>
      </c>
      <c r="M28" s="146" t="s">
        <v>16</v>
      </c>
    </row>
    <row r="29" spans="2:13" x14ac:dyDescent="0.2">
      <c r="B29" s="171"/>
      <c r="C29" s="176"/>
      <c r="D29" s="184"/>
      <c r="E29" s="185"/>
      <c r="F29" s="75" t="s">
        <v>101</v>
      </c>
      <c r="G29" s="169"/>
      <c r="H29" s="151"/>
      <c r="I29" s="151"/>
      <c r="J29" s="206"/>
      <c r="K29" s="151"/>
      <c r="L29" s="152"/>
      <c r="M29" s="205"/>
    </row>
    <row r="30" spans="2:13" x14ac:dyDescent="0.2">
      <c r="B30" s="171"/>
      <c r="C30" s="176"/>
      <c r="D30" s="158"/>
      <c r="E30" s="159"/>
      <c r="F30" s="75" t="s">
        <v>116</v>
      </c>
      <c r="G30" s="170"/>
      <c r="H30" s="143"/>
      <c r="I30" s="143"/>
      <c r="J30" s="203">
        <v>8.9209999999999994</v>
      </c>
      <c r="K30" s="143"/>
      <c r="L30" s="145"/>
      <c r="M30" s="147"/>
    </row>
    <row r="31" spans="2:13" x14ac:dyDescent="0.2">
      <c r="B31" s="171"/>
      <c r="C31" s="176"/>
      <c r="D31" s="160" t="s">
        <v>103</v>
      </c>
      <c r="E31" s="120" t="s">
        <v>54</v>
      </c>
      <c r="F31" s="75" t="s">
        <v>102</v>
      </c>
      <c r="G31" s="168">
        <v>98.96</v>
      </c>
      <c r="H31" s="142">
        <v>0</v>
      </c>
      <c r="I31" s="142">
        <f>G31+H31</f>
        <v>98.96</v>
      </c>
      <c r="J31" s="207">
        <v>9.0969999999999995</v>
      </c>
      <c r="K31" s="142">
        <f>I31-J31</f>
        <v>89.863</v>
      </c>
      <c r="L31" s="144">
        <f>J31/I31</f>
        <v>9.1926030719482618E-2</v>
      </c>
      <c r="M31" s="153" t="s">
        <v>16</v>
      </c>
    </row>
    <row r="32" spans="2:13" x14ac:dyDescent="0.2">
      <c r="B32" s="171"/>
      <c r="C32" s="176"/>
      <c r="D32" s="162"/>
      <c r="E32" s="160" t="s">
        <v>55</v>
      </c>
      <c r="F32" s="75" t="s">
        <v>102</v>
      </c>
      <c r="G32" s="169"/>
      <c r="H32" s="151"/>
      <c r="I32" s="151"/>
      <c r="J32" s="208"/>
      <c r="K32" s="151"/>
      <c r="L32" s="152"/>
      <c r="M32" s="154"/>
    </row>
    <row r="33" spans="2:13" x14ac:dyDescent="0.2">
      <c r="B33" s="171"/>
      <c r="C33" s="176"/>
      <c r="D33" s="162"/>
      <c r="E33" s="161"/>
      <c r="F33" s="75" t="s">
        <v>114</v>
      </c>
      <c r="G33" s="169"/>
      <c r="H33" s="151"/>
      <c r="I33" s="151"/>
      <c r="J33" s="208"/>
      <c r="K33" s="151"/>
      <c r="L33" s="152"/>
      <c r="M33" s="154"/>
    </row>
    <row r="34" spans="2:13" x14ac:dyDescent="0.2">
      <c r="B34" s="171"/>
      <c r="C34" s="176"/>
      <c r="D34" s="162"/>
      <c r="E34" s="160" t="s">
        <v>56</v>
      </c>
      <c r="F34" s="75" t="s">
        <v>102</v>
      </c>
      <c r="G34" s="169"/>
      <c r="H34" s="151"/>
      <c r="I34" s="151"/>
      <c r="J34" s="208"/>
      <c r="K34" s="151"/>
      <c r="L34" s="152"/>
      <c r="M34" s="154"/>
    </row>
    <row r="35" spans="2:13" x14ac:dyDescent="0.2">
      <c r="B35" s="171"/>
      <c r="C35" s="176"/>
      <c r="D35" s="162"/>
      <c r="E35" s="161"/>
      <c r="F35" s="75" t="s">
        <v>105</v>
      </c>
      <c r="G35" s="169"/>
      <c r="H35" s="151"/>
      <c r="I35" s="151"/>
      <c r="J35" s="208"/>
      <c r="K35" s="151"/>
      <c r="L35" s="152"/>
      <c r="M35" s="154"/>
    </row>
    <row r="36" spans="2:13" x14ac:dyDescent="0.2">
      <c r="B36" s="171"/>
      <c r="C36" s="176"/>
      <c r="D36" s="162"/>
      <c r="E36" s="160" t="s">
        <v>57</v>
      </c>
      <c r="F36" s="75" t="s">
        <v>102</v>
      </c>
      <c r="G36" s="169"/>
      <c r="H36" s="151"/>
      <c r="I36" s="151"/>
      <c r="J36" s="208"/>
      <c r="K36" s="151"/>
      <c r="L36" s="152"/>
      <c r="M36" s="154"/>
    </row>
    <row r="37" spans="2:13" x14ac:dyDescent="0.2">
      <c r="B37" s="171"/>
      <c r="C37" s="176"/>
      <c r="D37" s="162"/>
      <c r="E37" s="161"/>
      <c r="F37" s="75" t="s">
        <v>105</v>
      </c>
      <c r="G37" s="169"/>
      <c r="H37" s="151"/>
      <c r="I37" s="151"/>
      <c r="J37" s="208"/>
      <c r="K37" s="151"/>
      <c r="L37" s="152"/>
      <c r="M37" s="154"/>
    </row>
    <row r="38" spans="2:13" x14ac:dyDescent="0.2">
      <c r="B38" s="171"/>
      <c r="C38" s="176"/>
      <c r="D38" s="162"/>
      <c r="E38" s="160" t="s">
        <v>113</v>
      </c>
      <c r="F38" s="75" t="s">
        <v>102</v>
      </c>
      <c r="G38" s="169"/>
      <c r="H38" s="151"/>
      <c r="I38" s="151"/>
      <c r="J38" s="208"/>
      <c r="K38" s="151"/>
      <c r="L38" s="152"/>
      <c r="M38" s="154"/>
    </row>
    <row r="39" spans="2:13" x14ac:dyDescent="0.2">
      <c r="B39" s="171"/>
      <c r="C39" s="176"/>
      <c r="D39" s="161"/>
      <c r="E39" s="161"/>
      <c r="F39" s="75" t="s">
        <v>106</v>
      </c>
      <c r="G39" s="170"/>
      <c r="H39" s="143"/>
      <c r="I39" s="143"/>
      <c r="J39" s="209"/>
      <c r="K39" s="143"/>
      <c r="L39" s="145"/>
      <c r="M39" s="155"/>
    </row>
    <row r="40" spans="2:13" x14ac:dyDescent="0.2">
      <c r="B40" s="171"/>
      <c r="C40" s="176"/>
      <c r="D40" s="160" t="s">
        <v>104</v>
      </c>
      <c r="E40" s="160" t="s">
        <v>115</v>
      </c>
      <c r="F40" s="75" t="s">
        <v>102</v>
      </c>
      <c r="G40" s="168">
        <v>124.84</v>
      </c>
      <c r="H40" s="142">
        <v>0</v>
      </c>
      <c r="I40" s="142">
        <f>G40+H40</f>
        <v>124.84</v>
      </c>
      <c r="J40" s="207">
        <v>15.1675</v>
      </c>
      <c r="K40" s="142">
        <f>I40-J40</f>
        <v>109.6725</v>
      </c>
      <c r="L40" s="144">
        <f>J40/I40</f>
        <v>0.12149551425825056</v>
      </c>
      <c r="M40" s="153" t="s">
        <v>16</v>
      </c>
    </row>
    <row r="41" spans="2:13" x14ac:dyDescent="0.2">
      <c r="B41" s="171"/>
      <c r="C41" s="176"/>
      <c r="D41" s="162"/>
      <c r="E41" s="161"/>
      <c r="F41" s="75" t="s">
        <v>106</v>
      </c>
      <c r="G41" s="169"/>
      <c r="H41" s="151"/>
      <c r="I41" s="151"/>
      <c r="J41" s="208"/>
      <c r="K41" s="151"/>
      <c r="L41" s="152"/>
      <c r="M41" s="154"/>
    </row>
    <row r="42" spans="2:13" x14ac:dyDescent="0.2">
      <c r="B42" s="171"/>
      <c r="C42" s="176"/>
      <c r="D42" s="162"/>
      <c r="E42" s="121" t="s">
        <v>74</v>
      </c>
      <c r="F42" s="75" t="s">
        <v>101</v>
      </c>
      <c r="G42" s="169"/>
      <c r="H42" s="151"/>
      <c r="I42" s="151"/>
      <c r="J42" s="208"/>
      <c r="K42" s="151"/>
      <c r="L42" s="152"/>
      <c r="M42" s="154"/>
    </row>
    <row r="43" spans="2:13" x14ac:dyDescent="0.2">
      <c r="B43" s="171"/>
      <c r="C43" s="177"/>
      <c r="D43" s="161"/>
      <c r="E43" s="121" t="s">
        <v>75</v>
      </c>
      <c r="F43" s="75" t="s">
        <v>102</v>
      </c>
      <c r="G43" s="170"/>
      <c r="H43" s="143"/>
      <c r="I43" s="143"/>
      <c r="J43" s="209"/>
      <c r="K43" s="143"/>
      <c r="L43" s="145"/>
      <c r="M43" s="155"/>
    </row>
    <row r="44" spans="2:13" x14ac:dyDescent="0.2">
      <c r="B44" s="171"/>
      <c r="C44" s="125" t="s">
        <v>93</v>
      </c>
      <c r="D44" s="173" t="s">
        <v>91</v>
      </c>
      <c r="E44" s="174"/>
      <c r="F44" s="75" t="s">
        <v>102</v>
      </c>
      <c r="G44" s="126">
        <v>2.4</v>
      </c>
      <c r="H44" s="49">
        <v>0</v>
      </c>
      <c r="I44" s="127">
        <f t="shared" ref="I44" si="8">G44+H44</f>
        <v>2.4</v>
      </c>
      <c r="J44" s="49"/>
      <c r="K44" s="127">
        <f>I44-J44</f>
        <v>2.4</v>
      </c>
      <c r="L44" s="124">
        <f>J44/I44</f>
        <v>0</v>
      </c>
      <c r="M44" s="52" t="s">
        <v>16</v>
      </c>
    </row>
    <row r="45" spans="2:13" x14ac:dyDescent="0.2">
      <c r="B45" s="171"/>
      <c r="C45" s="172" t="s">
        <v>99</v>
      </c>
      <c r="D45" s="172"/>
      <c r="E45" s="172"/>
      <c r="F45" s="172"/>
      <c r="G45" s="57">
        <f>+G28+G31+G40+G44</f>
        <v>238.79999999999998</v>
      </c>
      <c r="H45" s="57">
        <f>SUM(H28:H44)</f>
        <v>0</v>
      </c>
      <c r="I45" s="57">
        <f>G45+H45</f>
        <v>238.79999999999998</v>
      </c>
      <c r="J45" s="57">
        <f>SUM(J28:J44)</f>
        <v>33.185500000000005</v>
      </c>
      <c r="K45" s="57">
        <f>I45-J45</f>
        <v>205.61449999999996</v>
      </c>
      <c r="L45" s="119">
        <f>J45/I45</f>
        <v>0.13896775544388612</v>
      </c>
      <c r="M45" s="75" t="s">
        <v>16</v>
      </c>
    </row>
    <row r="46" spans="2:13" hidden="1" x14ac:dyDescent="0.2">
      <c r="L46" s="65">
        <v>1</v>
      </c>
      <c r="M46" s="52" t="s">
        <v>16</v>
      </c>
    </row>
  </sheetData>
  <mergeCells count="80">
    <mergeCell ref="M28:M30"/>
    <mergeCell ref="H17:H18"/>
    <mergeCell ref="M17:M18"/>
    <mergeCell ref="I17:I18"/>
    <mergeCell ref="K15:K16"/>
    <mergeCell ref="L15:L16"/>
    <mergeCell ref="K17:K18"/>
    <mergeCell ref="L17:L18"/>
    <mergeCell ref="H15:H16"/>
    <mergeCell ref="L11:L12"/>
    <mergeCell ref="K13:K14"/>
    <mergeCell ref="L13:L14"/>
    <mergeCell ref="H11:H12"/>
    <mergeCell ref="I11:I12"/>
    <mergeCell ref="H13:H14"/>
    <mergeCell ref="I13:I14"/>
    <mergeCell ref="C2:K3"/>
    <mergeCell ref="C4:K4"/>
    <mergeCell ref="B7:B23"/>
    <mergeCell ref="C7:C21"/>
    <mergeCell ref="C23:F23"/>
    <mergeCell ref="G15:G16"/>
    <mergeCell ref="G17:G18"/>
    <mergeCell ref="C6:E6"/>
    <mergeCell ref="D10:E10"/>
    <mergeCell ref="D22:E22"/>
    <mergeCell ref="I15:I16"/>
    <mergeCell ref="K11:K12"/>
    <mergeCell ref="D7:E9"/>
    <mergeCell ref="G11:G12"/>
    <mergeCell ref="G13:G14"/>
    <mergeCell ref="D15:E16"/>
    <mergeCell ref="G31:G39"/>
    <mergeCell ref="G40:G43"/>
    <mergeCell ref="G19:G20"/>
    <mergeCell ref="B28:B45"/>
    <mergeCell ref="C45:F45"/>
    <mergeCell ref="E40:E41"/>
    <mergeCell ref="D44:E44"/>
    <mergeCell ref="C28:C43"/>
    <mergeCell ref="D40:D43"/>
    <mergeCell ref="E34:E35"/>
    <mergeCell ref="E36:E37"/>
    <mergeCell ref="D19:E20"/>
    <mergeCell ref="D28:E30"/>
    <mergeCell ref="G28:G30"/>
    <mergeCell ref="D17:E18"/>
    <mergeCell ref="D11:E12"/>
    <mergeCell ref="E32:E33"/>
    <mergeCell ref="D13:E14"/>
    <mergeCell ref="D31:D39"/>
    <mergeCell ref="E38:E39"/>
    <mergeCell ref="D21:E21"/>
    <mergeCell ref="C27:E27"/>
    <mergeCell ref="H31:H39"/>
    <mergeCell ref="I31:I39"/>
    <mergeCell ref="J31:J39"/>
    <mergeCell ref="K31:K39"/>
    <mergeCell ref="L31:L39"/>
    <mergeCell ref="M31:M39"/>
    <mergeCell ref="H28:H30"/>
    <mergeCell ref="I28:I30"/>
    <mergeCell ref="K28:K30"/>
    <mergeCell ref="L28:L30"/>
    <mergeCell ref="M40:M43"/>
    <mergeCell ref="H40:H43"/>
    <mergeCell ref="I40:I43"/>
    <mergeCell ref="J40:J43"/>
    <mergeCell ref="K40:K43"/>
    <mergeCell ref="L40:L43"/>
    <mergeCell ref="G7:G9"/>
    <mergeCell ref="H7:H9"/>
    <mergeCell ref="I7:I9"/>
    <mergeCell ref="K7:K9"/>
    <mergeCell ref="L7:L9"/>
    <mergeCell ref="H19:H20"/>
    <mergeCell ref="I19:I20"/>
    <mergeCell ref="K19:K20"/>
    <mergeCell ref="L19:L20"/>
    <mergeCell ref="M19:M20"/>
  </mergeCells>
  <conditionalFormatting sqref="L7 L15 L13 L10:L11 L17 L19 L21:L23">
    <cfRule type="cellIs" dxfId="3" priority="2" operator="greaterThan">
      <formula>0.9</formula>
    </cfRule>
    <cfRule type="cellIs" dxfId="2" priority="4" operator="greaterThan">
      <formula>85</formula>
    </cfRule>
  </conditionalFormatting>
  <conditionalFormatting sqref="L28 L31 L40 L44">
    <cfRule type="cellIs" dxfId="1" priority="3" operator="greaterThan">
      <formula>85</formula>
    </cfRule>
  </conditionalFormatting>
  <conditionalFormatting sqref="L28 L31 L40 L44:L45">
    <cfRule type="cellIs" dxfId="0" priority="1" operator="greaterThan">
      <formula>0.9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A3851"/>
  </sheetPr>
  <dimension ref="B1:L15"/>
  <sheetViews>
    <sheetView showGridLines="0" topLeftCell="A2" zoomScaleNormal="100" workbookViewId="0">
      <selection activeCell="B45" sqref="B44:B45"/>
    </sheetView>
  </sheetViews>
  <sheetFormatPr baseColWidth="10" defaultColWidth="11.42578125" defaultRowHeight="12.75" x14ac:dyDescent="0.2"/>
  <cols>
    <col min="1" max="1" width="7.42578125" style="61" customWidth="1"/>
    <col min="2" max="2" width="18.5703125" style="61" bestFit="1" customWidth="1"/>
    <col min="3" max="3" width="19.7109375" style="61" bestFit="1" customWidth="1"/>
    <col min="4" max="4" width="20" style="61" bestFit="1" customWidth="1"/>
    <col min="5" max="5" width="21.7109375" style="61" bestFit="1" customWidth="1"/>
    <col min="6" max="6" width="20.28515625" style="61" bestFit="1" customWidth="1"/>
    <col min="7" max="7" width="17.7109375" style="61" bestFit="1" customWidth="1"/>
    <col min="8" max="8" width="19.140625" style="61" bestFit="1" customWidth="1"/>
    <col min="9" max="9" width="13.28515625" style="61" bestFit="1" customWidth="1"/>
    <col min="10" max="10" width="11.28515625" style="61" bestFit="1" customWidth="1"/>
    <col min="11" max="11" width="11.140625" style="61" bestFit="1" customWidth="1"/>
    <col min="12" max="12" width="6.140625" style="61" bestFit="1" customWidth="1"/>
    <col min="13" max="16384" width="11.42578125" style="61"/>
  </cols>
  <sheetData>
    <row r="1" spans="2:12" ht="22.5" customHeight="1" thickBot="1" x14ac:dyDescent="0.25"/>
    <row r="2" spans="2:12" x14ac:dyDescent="0.2">
      <c r="B2" s="79"/>
      <c r="C2" s="178" t="s">
        <v>94</v>
      </c>
      <c r="D2" s="179"/>
      <c r="E2" s="179"/>
      <c r="F2" s="179"/>
      <c r="G2" s="179"/>
      <c r="H2" s="179"/>
      <c r="I2" s="179"/>
      <c r="J2" s="179"/>
      <c r="K2" s="80"/>
      <c r="L2" s="81"/>
    </row>
    <row r="3" spans="2:12" ht="21.75" customHeight="1" x14ac:dyDescent="0.2">
      <c r="B3" s="82"/>
      <c r="C3" s="180"/>
      <c r="D3" s="180"/>
      <c r="E3" s="180"/>
      <c r="F3" s="180"/>
      <c r="G3" s="180"/>
      <c r="H3" s="180"/>
      <c r="I3" s="180"/>
      <c r="J3" s="180"/>
      <c r="K3" s="83"/>
      <c r="L3" s="84"/>
    </row>
    <row r="4" spans="2:12" ht="13.5" thickBot="1" x14ac:dyDescent="0.25">
      <c r="B4" s="85"/>
      <c r="C4" s="181">
        <f>+RESUMEN!B4</f>
        <v>44926</v>
      </c>
      <c r="D4" s="181"/>
      <c r="E4" s="181"/>
      <c r="F4" s="181"/>
      <c r="G4" s="181"/>
      <c r="H4" s="181"/>
      <c r="I4" s="181"/>
      <c r="J4" s="181"/>
      <c r="K4" s="86"/>
      <c r="L4" s="87"/>
    </row>
    <row r="5" spans="2:12" ht="28.5" customHeight="1" x14ac:dyDescent="0.2"/>
    <row r="6" spans="2:12" x14ac:dyDescent="0.2">
      <c r="B6" s="78" t="s">
        <v>86</v>
      </c>
      <c r="C6" s="165" t="s">
        <v>96</v>
      </c>
      <c r="D6" s="167"/>
      <c r="E6" s="78" t="s">
        <v>88</v>
      </c>
      <c r="F6" s="78" t="s">
        <v>78</v>
      </c>
      <c r="G6" s="78" t="s">
        <v>79</v>
      </c>
      <c r="H6" s="78" t="s">
        <v>80</v>
      </c>
      <c r="I6" s="78" t="s">
        <v>81</v>
      </c>
      <c r="J6" s="78" t="s">
        <v>82</v>
      </c>
      <c r="K6" s="78" t="s">
        <v>83</v>
      </c>
      <c r="L6" s="78" t="s">
        <v>98</v>
      </c>
    </row>
    <row r="7" spans="2:12" x14ac:dyDescent="0.2">
      <c r="B7" s="172" t="s">
        <v>36</v>
      </c>
      <c r="C7" s="88" t="s">
        <v>97</v>
      </c>
      <c r="D7" s="172" t="s">
        <v>64</v>
      </c>
      <c r="E7" s="75" t="s">
        <v>102</v>
      </c>
      <c r="F7" s="76">
        <v>35.46</v>
      </c>
      <c r="G7" s="49">
        <v>0</v>
      </c>
      <c r="H7" s="49">
        <f t="shared" ref="H7:H8" si="0">F7+G7</f>
        <v>35.46</v>
      </c>
      <c r="I7" s="49"/>
      <c r="J7" s="49">
        <f t="shared" ref="J7:J8" si="1">H7-I7</f>
        <v>35.46</v>
      </c>
      <c r="K7" s="56">
        <f t="shared" ref="K7:K8" si="2">I7/H7</f>
        <v>0</v>
      </c>
      <c r="L7" s="52" t="s">
        <v>16</v>
      </c>
    </row>
    <row r="8" spans="2:12" x14ac:dyDescent="0.2">
      <c r="B8" s="172"/>
      <c r="C8" s="89" t="s">
        <v>90</v>
      </c>
      <c r="D8" s="172"/>
      <c r="E8" s="75" t="s">
        <v>102</v>
      </c>
      <c r="F8" s="76">
        <v>0.36</v>
      </c>
      <c r="G8" s="49">
        <v>0</v>
      </c>
      <c r="H8" s="49">
        <f t="shared" si="0"/>
        <v>0.36</v>
      </c>
      <c r="I8" s="49"/>
      <c r="J8" s="49">
        <f t="shared" si="1"/>
        <v>0.36</v>
      </c>
      <c r="K8" s="56">
        <f t="shared" si="2"/>
        <v>0</v>
      </c>
      <c r="L8" s="52" t="s">
        <v>16</v>
      </c>
    </row>
    <row r="9" spans="2:12" x14ac:dyDescent="0.2">
      <c r="B9" s="172"/>
      <c r="C9" s="172" t="s">
        <v>13</v>
      </c>
      <c r="D9" s="172"/>
      <c r="E9" s="172"/>
      <c r="F9" s="76">
        <f>SUM(F7:F8)</f>
        <v>35.82</v>
      </c>
      <c r="G9" s="57">
        <f>SUM(G7:G8)</f>
        <v>0</v>
      </c>
      <c r="H9" s="57">
        <f>F9+G9</f>
        <v>35.82</v>
      </c>
      <c r="I9" s="57">
        <f>SUM(I7:I8)</f>
        <v>0</v>
      </c>
      <c r="J9" s="57">
        <f>H9-I9</f>
        <v>35.82</v>
      </c>
      <c r="K9" s="77">
        <f>I9/H9</f>
        <v>0</v>
      </c>
      <c r="L9" s="75" t="s">
        <v>16</v>
      </c>
    </row>
    <row r="10" spans="2:12" ht="12" customHeight="1" x14ac:dyDescent="0.2">
      <c r="K10" s="90"/>
    </row>
    <row r="12" spans="2:12" hidden="1" x14ac:dyDescent="0.2">
      <c r="B12" s="78" t="s">
        <v>0</v>
      </c>
      <c r="C12" s="78" t="s">
        <v>1</v>
      </c>
      <c r="D12" s="78" t="s">
        <v>45</v>
      </c>
      <c r="E12" s="78" t="s">
        <v>14</v>
      </c>
      <c r="F12" s="78" t="s">
        <v>3</v>
      </c>
      <c r="G12" s="78" t="s">
        <v>4</v>
      </c>
      <c r="H12" s="78" t="s">
        <v>5</v>
      </c>
      <c r="I12" s="78" t="s">
        <v>6</v>
      </c>
      <c r="J12" s="78" t="s">
        <v>7</v>
      </c>
      <c r="K12" s="78" t="s">
        <v>8</v>
      </c>
      <c r="L12" s="78" t="s">
        <v>9</v>
      </c>
    </row>
    <row r="13" spans="2:12" hidden="1" x14ac:dyDescent="0.2">
      <c r="B13" s="172" t="s">
        <v>15</v>
      </c>
      <c r="C13" s="172" t="s">
        <v>53</v>
      </c>
      <c r="D13" s="172" t="s">
        <v>64</v>
      </c>
      <c r="E13" s="172" t="s">
        <v>102</v>
      </c>
      <c r="F13" s="91"/>
      <c r="G13" s="57">
        <v>0</v>
      </c>
      <c r="H13" s="57">
        <f>+F13+G13</f>
        <v>0</v>
      </c>
      <c r="I13" s="57"/>
      <c r="J13" s="57" t="e">
        <f>+H13-I13-ARTESANAL!J28-ARTESANAL!J31-ARTESANAL!J40-ARTESANAL!#REF!-ARTESANAL!#REF!</f>
        <v>#REF!</v>
      </c>
      <c r="K13" s="92" t="e">
        <f>I13/H13</f>
        <v>#DIV/0!</v>
      </c>
      <c r="L13" s="63" t="s">
        <v>16</v>
      </c>
    </row>
    <row r="14" spans="2:12" ht="13.5" hidden="1" thickBot="1" x14ac:dyDescent="0.25">
      <c r="B14" s="172"/>
      <c r="C14" s="172" t="s">
        <v>13</v>
      </c>
      <c r="D14" s="172"/>
      <c r="E14" s="172"/>
      <c r="F14" s="62">
        <f>+F13</f>
        <v>0</v>
      </c>
      <c r="G14" s="58">
        <f>SUM(G13:G13)</f>
        <v>0</v>
      </c>
      <c r="H14" s="58">
        <f>F14+G14</f>
        <v>0</v>
      </c>
      <c r="I14" s="58">
        <f>SUM(I13:I13)</f>
        <v>0</v>
      </c>
      <c r="J14" s="58">
        <f>H14-I14</f>
        <v>0</v>
      </c>
      <c r="K14" s="59" t="e">
        <f>I14/H14</f>
        <v>#DIV/0!</v>
      </c>
      <c r="L14" s="60" t="s">
        <v>16</v>
      </c>
    </row>
    <row r="15" spans="2:12" x14ac:dyDescent="0.2">
      <c r="K15" s="90"/>
    </row>
  </sheetData>
  <mergeCells count="10">
    <mergeCell ref="C2:J3"/>
    <mergeCell ref="C4:J4"/>
    <mergeCell ref="B7:B9"/>
    <mergeCell ref="C9:E9"/>
    <mergeCell ref="B13:B14"/>
    <mergeCell ref="D7:D8"/>
    <mergeCell ref="C6:D6"/>
    <mergeCell ref="C13:C14"/>
    <mergeCell ref="D13:D14"/>
    <mergeCell ref="E13:E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19"/>
  <sheetViews>
    <sheetView topLeftCell="P1" zoomScale="120" zoomScaleNormal="120" workbookViewId="0">
      <selection activeCell="Y11" sqref="Y11"/>
    </sheetView>
  </sheetViews>
  <sheetFormatPr baseColWidth="10" defaultRowHeight="15" x14ac:dyDescent="0.25"/>
  <cols>
    <col min="2" max="2" width="23.7109375" bestFit="1" customWidth="1"/>
    <col min="3" max="3" width="35.5703125" bestFit="1" customWidth="1"/>
    <col min="4" max="4" width="80.140625" bestFit="1" customWidth="1"/>
    <col min="5" max="5" width="18.85546875" bestFit="1" customWidth="1"/>
    <col min="6" max="6" width="17.28515625" customWidth="1"/>
    <col min="7" max="7" width="17.5703125" bestFit="1" customWidth="1"/>
    <col min="10" max="10" width="14.85546875" bestFit="1" customWidth="1"/>
    <col min="17" max="17" width="12.42578125" customWidth="1"/>
    <col min="18" max="18" width="15.28515625" customWidth="1"/>
    <col min="19" max="19" width="31.85546875" customWidth="1"/>
  </cols>
  <sheetData>
    <row r="3" spans="2:25" ht="15.75" thickBot="1" x14ac:dyDescent="0.3">
      <c r="Q3" s="41"/>
      <c r="R3" s="41"/>
      <c r="S3" s="41"/>
      <c r="T3" s="41"/>
      <c r="U3" s="41"/>
      <c r="V3" s="41"/>
      <c r="W3" s="41"/>
      <c r="X3" s="41"/>
      <c r="Y3" s="41"/>
    </row>
    <row r="4" spans="2:25" ht="24.75" thickBot="1" x14ac:dyDescent="0.3">
      <c r="Q4" s="29" t="s">
        <v>0</v>
      </c>
      <c r="R4" s="30" t="s">
        <v>1</v>
      </c>
      <c r="S4" s="30" t="s">
        <v>45</v>
      </c>
      <c r="T4" s="31" t="s">
        <v>3</v>
      </c>
      <c r="U4" s="30" t="s">
        <v>4</v>
      </c>
      <c r="V4" s="30" t="s">
        <v>5</v>
      </c>
      <c r="W4" s="30" t="s">
        <v>6</v>
      </c>
      <c r="X4" s="30" t="s">
        <v>7</v>
      </c>
      <c r="Y4" s="30" t="s">
        <v>8</v>
      </c>
    </row>
    <row r="5" spans="2:25" ht="24" x14ac:dyDescent="0.25">
      <c r="B5" s="3" t="s">
        <v>50</v>
      </c>
      <c r="C5" s="4" t="s">
        <v>1</v>
      </c>
      <c r="D5" s="4" t="s">
        <v>45</v>
      </c>
      <c r="E5" s="8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Q5" s="195" t="s">
        <v>49</v>
      </c>
      <c r="R5" s="198" t="s">
        <v>52</v>
      </c>
      <c r="S5" s="42" t="s">
        <v>42</v>
      </c>
      <c r="T5" s="32">
        <v>15.43</v>
      </c>
      <c r="U5" s="33">
        <v>0</v>
      </c>
      <c r="V5" s="33">
        <f>T5+U5</f>
        <v>15.43</v>
      </c>
      <c r="W5" s="34">
        <v>17.312000000000001</v>
      </c>
      <c r="X5" s="33">
        <f>V5-W5</f>
        <v>-1.8820000000000014</v>
      </c>
      <c r="Y5" s="35">
        <f>W5/V5</f>
        <v>1.1219701879455606</v>
      </c>
    </row>
    <row r="6" spans="2:25" ht="18.75" x14ac:dyDescent="0.3">
      <c r="B6" s="186" t="s">
        <v>49</v>
      </c>
      <c r="C6" s="28" t="s">
        <v>47</v>
      </c>
      <c r="D6" s="2" t="s">
        <v>48</v>
      </c>
      <c r="E6" s="9">
        <v>8.73</v>
      </c>
      <c r="F6" s="10">
        <v>0</v>
      </c>
      <c r="G6" s="10">
        <f>E6+F6</f>
        <v>8.73</v>
      </c>
      <c r="H6" s="24">
        <v>0</v>
      </c>
      <c r="I6" s="10">
        <f>G6-H6</f>
        <v>8.73</v>
      </c>
      <c r="J6" s="26">
        <f>H6/G6</f>
        <v>0</v>
      </c>
      <c r="Q6" s="196"/>
      <c r="R6" s="199"/>
      <c r="S6" s="42" t="s">
        <v>43</v>
      </c>
      <c r="T6" s="32">
        <v>121.28</v>
      </c>
      <c r="U6" s="33">
        <v>0</v>
      </c>
      <c r="V6" s="33">
        <f>T6+U6</f>
        <v>121.28</v>
      </c>
      <c r="W6" s="34">
        <v>106.11199999999999</v>
      </c>
      <c r="X6" s="33">
        <f>V6-W6</f>
        <v>15.168000000000006</v>
      </c>
      <c r="Y6" s="35">
        <f>W6/V6</f>
        <v>0.87493403693931393</v>
      </c>
    </row>
    <row r="7" spans="2:25" ht="24" x14ac:dyDescent="0.3">
      <c r="B7" s="187"/>
      <c r="C7" s="6" t="s">
        <v>10</v>
      </c>
      <c r="D7" s="2" t="s">
        <v>48</v>
      </c>
      <c r="E7" s="9">
        <v>0.09</v>
      </c>
      <c r="F7" s="10">
        <v>0</v>
      </c>
      <c r="G7" s="10">
        <f t="shared" ref="G7" si="0">E7+F7</f>
        <v>0.09</v>
      </c>
      <c r="H7" s="24">
        <v>5.0000000000000001E-3</v>
      </c>
      <c r="I7" s="10">
        <f t="shared" ref="I7" si="1">G7-H7</f>
        <v>8.4999999999999992E-2</v>
      </c>
      <c r="J7" s="26">
        <f t="shared" ref="J7" si="2">H7/G7</f>
        <v>5.5555555555555559E-2</v>
      </c>
      <c r="Q7" s="196"/>
      <c r="R7" s="200"/>
      <c r="S7" s="42" t="s">
        <v>44</v>
      </c>
      <c r="T7" s="32">
        <v>153</v>
      </c>
      <c r="U7" s="33">
        <v>0</v>
      </c>
      <c r="V7" s="33">
        <f t="shared" ref="V7:V9" si="3">T7+U7</f>
        <v>153</v>
      </c>
      <c r="W7" s="34">
        <v>364.93200000000002</v>
      </c>
      <c r="X7" s="33">
        <f t="shared" ref="X7:X8" si="4">V7-W7</f>
        <v>-211.93200000000002</v>
      </c>
      <c r="Y7" s="35">
        <f t="shared" ref="Y7:Y9" si="5">W7/V7</f>
        <v>2.3851764705882355</v>
      </c>
    </row>
    <row r="8" spans="2:25" ht="24.75" thickBot="1" x14ac:dyDescent="0.3">
      <c r="B8" s="188"/>
      <c r="C8" s="192" t="s">
        <v>13</v>
      </c>
      <c r="D8" s="193"/>
      <c r="E8" s="21">
        <f>SUM(E6:E7)</f>
        <v>8.82</v>
      </c>
      <c r="F8" s="22">
        <f>SUM(F6:F7)</f>
        <v>0</v>
      </c>
      <c r="G8" s="22">
        <f>E8+F8</f>
        <v>8.82</v>
      </c>
      <c r="H8" s="25">
        <f>SUM(H6:H7)</f>
        <v>5.0000000000000001E-3</v>
      </c>
      <c r="I8" s="22">
        <f>G8-H8</f>
        <v>8.8149999999999995</v>
      </c>
      <c r="J8" s="27">
        <f>H8/G8</f>
        <v>5.6689342403628119E-4</v>
      </c>
      <c r="Q8" s="196"/>
      <c r="R8" s="36" t="s">
        <v>10</v>
      </c>
      <c r="S8" s="42" t="s">
        <v>11</v>
      </c>
      <c r="T8" s="32">
        <v>4.29</v>
      </c>
      <c r="U8" s="33">
        <v>0</v>
      </c>
      <c r="V8" s="33">
        <f t="shared" si="3"/>
        <v>4.29</v>
      </c>
      <c r="W8" s="34">
        <f>2.85</f>
        <v>2.85</v>
      </c>
      <c r="X8" s="33">
        <f t="shared" si="4"/>
        <v>1.44</v>
      </c>
      <c r="Y8" s="35">
        <f t="shared" si="5"/>
        <v>0.66433566433566438</v>
      </c>
    </row>
    <row r="9" spans="2:25" ht="24" x14ac:dyDescent="0.25">
      <c r="Q9" s="196"/>
      <c r="R9" s="36" t="s">
        <v>12</v>
      </c>
      <c r="S9" s="42" t="s">
        <v>11</v>
      </c>
      <c r="T9" s="32">
        <v>6</v>
      </c>
      <c r="U9" s="33">
        <v>0</v>
      </c>
      <c r="V9" s="33">
        <f t="shared" si="3"/>
        <v>6</v>
      </c>
      <c r="W9" s="34">
        <v>0</v>
      </c>
      <c r="X9" s="33">
        <f>V9-W9</f>
        <v>6</v>
      </c>
      <c r="Y9" s="35">
        <f t="shared" si="5"/>
        <v>0</v>
      </c>
    </row>
    <row r="10" spans="2:25" ht="15.75" thickBot="1" x14ac:dyDescent="0.3">
      <c r="Q10" s="197"/>
      <c r="R10" s="201" t="s">
        <v>13</v>
      </c>
      <c r="S10" s="202"/>
      <c r="T10" s="37">
        <f>SUM(T5:T9)</f>
        <v>300.00000000000006</v>
      </c>
      <c r="U10" s="38">
        <f>SUM(U5:U9)</f>
        <v>0</v>
      </c>
      <c r="V10" s="38">
        <f>T10+U10</f>
        <v>300.00000000000006</v>
      </c>
      <c r="W10" s="39">
        <f>SUM(W5:W9)</f>
        <v>491.20600000000002</v>
      </c>
      <c r="X10" s="38">
        <f>V10-W10</f>
        <v>-191.20599999999996</v>
      </c>
      <c r="Y10" s="40">
        <f>W10/V10</f>
        <v>1.637353333333333</v>
      </c>
    </row>
    <row r="12" spans="2:25" ht="15.75" thickBot="1" x14ac:dyDescent="0.3"/>
    <row r="13" spans="2:25" ht="18.75" x14ac:dyDescent="0.25">
      <c r="B13" s="3" t="s">
        <v>0</v>
      </c>
      <c r="C13" s="4" t="s">
        <v>1</v>
      </c>
      <c r="D13" s="4" t="s">
        <v>45</v>
      </c>
      <c r="E13" s="5" t="s">
        <v>2</v>
      </c>
      <c r="F13" s="8" t="s">
        <v>3</v>
      </c>
      <c r="G13" s="4" t="s">
        <v>4</v>
      </c>
      <c r="H13" s="4" t="s">
        <v>5</v>
      </c>
      <c r="I13" s="4" t="s">
        <v>6</v>
      </c>
      <c r="J13" s="4" t="s">
        <v>7</v>
      </c>
      <c r="K13" s="4" t="s">
        <v>8</v>
      </c>
      <c r="L13" s="5" t="s">
        <v>9</v>
      </c>
    </row>
    <row r="14" spans="2:25" ht="18.75" x14ac:dyDescent="0.3">
      <c r="B14" s="186" t="s">
        <v>51</v>
      </c>
      <c r="C14" s="189" t="s">
        <v>17</v>
      </c>
      <c r="D14" s="2" t="s">
        <v>42</v>
      </c>
      <c r="E14" s="20" t="s">
        <v>46</v>
      </c>
      <c r="F14" s="9">
        <v>15.43</v>
      </c>
      <c r="G14" s="10">
        <v>0</v>
      </c>
      <c r="H14" s="10">
        <f>F14+G14</f>
        <v>15.43</v>
      </c>
      <c r="I14" s="24">
        <v>17.312000000000001</v>
      </c>
      <c r="J14" s="10">
        <f>H14-I14</f>
        <v>-1.8820000000000014</v>
      </c>
      <c r="K14" s="26">
        <f>I14/H14</f>
        <v>1.1219701879455606</v>
      </c>
      <c r="L14" s="1">
        <v>44125</v>
      </c>
    </row>
    <row r="15" spans="2:25" ht="18.75" x14ac:dyDescent="0.3">
      <c r="B15" s="187"/>
      <c r="C15" s="190"/>
      <c r="D15" s="2" t="s">
        <v>43</v>
      </c>
      <c r="E15" s="20" t="s">
        <v>46</v>
      </c>
      <c r="F15" s="9">
        <v>121.28</v>
      </c>
      <c r="G15" s="10">
        <v>0</v>
      </c>
      <c r="H15" s="10">
        <f>F15+G15</f>
        <v>121.28</v>
      </c>
      <c r="I15" s="24">
        <v>83.12</v>
      </c>
      <c r="J15" s="10">
        <f>H15-I15</f>
        <v>38.159999999999997</v>
      </c>
      <c r="K15" s="26">
        <f>I15/H15</f>
        <v>0.68535620052770452</v>
      </c>
      <c r="L15" s="1" t="s">
        <v>16</v>
      </c>
    </row>
    <row r="16" spans="2:25" ht="18.75" x14ac:dyDescent="0.3">
      <c r="B16" s="187"/>
      <c r="C16" s="191"/>
      <c r="D16" s="2" t="s">
        <v>44</v>
      </c>
      <c r="E16" s="20" t="s">
        <v>46</v>
      </c>
      <c r="F16" s="9">
        <v>153</v>
      </c>
      <c r="G16" s="10">
        <v>0</v>
      </c>
      <c r="H16" s="10">
        <f t="shared" ref="H16:H18" si="6">F16+G16</f>
        <v>153</v>
      </c>
      <c r="I16" s="24">
        <v>366.56299999999999</v>
      </c>
      <c r="J16" s="10">
        <f t="shared" ref="J16:J18" si="7">H16-I16</f>
        <v>-213.56299999999999</v>
      </c>
      <c r="K16" s="26">
        <f t="shared" ref="K16:K18" si="8">I16/H16</f>
        <v>2.3958366013071895</v>
      </c>
      <c r="L16" s="1">
        <v>44117</v>
      </c>
    </row>
    <row r="17" spans="2:12" ht="18.75" x14ac:dyDescent="0.3">
      <c r="B17" s="187"/>
      <c r="C17" s="6" t="s">
        <v>10</v>
      </c>
      <c r="D17" s="2" t="s">
        <v>11</v>
      </c>
      <c r="E17" s="20" t="s">
        <v>46</v>
      </c>
      <c r="F17" s="9">
        <v>4.29</v>
      </c>
      <c r="G17" s="10">
        <v>0</v>
      </c>
      <c r="H17" s="10">
        <f t="shared" si="6"/>
        <v>4.29</v>
      </c>
      <c r="I17" s="24">
        <f>2.85+0.005</f>
        <v>2.855</v>
      </c>
      <c r="J17" s="10">
        <f t="shared" si="7"/>
        <v>1.4350000000000001</v>
      </c>
      <c r="K17" s="26">
        <f t="shared" si="8"/>
        <v>0.66550116550116545</v>
      </c>
      <c r="L17" s="1">
        <v>44117</v>
      </c>
    </row>
    <row r="18" spans="2:12" ht="18.75" x14ac:dyDescent="0.3">
      <c r="B18" s="187"/>
      <c r="C18" s="7" t="s">
        <v>12</v>
      </c>
      <c r="D18" s="2" t="s">
        <v>11</v>
      </c>
      <c r="E18" s="20" t="s">
        <v>46</v>
      </c>
      <c r="F18" s="9">
        <v>6</v>
      </c>
      <c r="G18" s="10">
        <v>0</v>
      </c>
      <c r="H18" s="10">
        <f t="shared" si="6"/>
        <v>6</v>
      </c>
      <c r="I18" s="24"/>
      <c r="J18" s="10">
        <f t="shared" si="7"/>
        <v>6</v>
      </c>
      <c r="K18" s="26">
        <f t="shared" si="8"/>
        <v>0</v>
      </c>
      <c r="L18" s="1" t="s">
        <v>16</v>
      </c>
    </row>
    <row r="19" spans="2:12" ht="19.5" thickBot="1" x14ac:dyDescent="0.3">
      <c r="B19" s="188"/>
      <c r="C19" s="192" t="s">
        <v>13</v>
      </c>
      <c r="D19" s="193"/>
      <c r="E19" s="194"/>
      <c r="F19" s="21">
        <f>SUM(F14:F18)</f>
        <v>300.00000000000006</v>
      </c>
      <c r="G19" s="22">
        <f>SUM(G14:G18)</f>
        <v>0</v>
      </c>
      <c r="H19" s="22">
        <f>F19+G19</f>
        <v>300.00000000000006</v>
      </c>
      <c r="I19" s="25">
        <f>SUM(I14:I18)</f>
        <v>469.85</v>
      </c>
      <c r="J19" s="22">
        <f>H19-I19</f>
        <v>-169.84999999999997</v>
      </c>
      <c r="K19" s="27">
        <f>I19/H19</f>
        <v>1.5661666666666665</v>
      </c>
      <c r="L19" s="23"/>
    </row>
  </sheetData>
  <mergeCells count="8">
    <mergeCell ref="B14:B19"/>
    <mergeCell ref="C14:C16"/>
    <mergeCell ref="C19:E19"/>
    <mergeCell ref="Q5:Q10"/>
    <mergeCell ref="R5:R7"/>
    <mergeCell ref="R10:S10"/>
    <mergeCell ref="B6:B8"/>
    <mergeCell ref="C8:D8"/>
  </mergeCells>
  <conditionalFormatting sqref="J6:J8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{C8F08CB3-5017-4B88-A9C7-9C00B355ABB0}</x14:id>
        </ext>
      </extLst>
    </cfRule>
  </conditionalFormatting>
  <conditionalFormatting sqref="K14:K1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{74B15412-43AA-411E-9AF1-C8CF98A36327}</x14:id>
        </ext>
      </extLst>
    </cfRule>
  </conditionalFormatting>
  <conditionalFormatting sqref="K14:K1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{B4C18915-E887-4052-BA28-ED37DDCF67E0}</x14:id>
        </ext>
      </extLst>
    </cfRule>
  </conditionalFormatting>
  <conditionalFormatting sqref="Y5:Y1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{F6AFE3E4-FEE1-4C03-A0FA-719FEF5EC47D}</x14:id>
        </ext>
      </extLst>
    </cfRule>
  </conditionalFormatting>
  <conditionalFormatting sqref="Y5:Y1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{F38AFE36-4EE9-41F1-9F3F-633B966C0975}</x14:id>
        </ext>
      </extLst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F08CB3-5017-4B88-A9C7-9C00B355AB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J6:J8</xm:sqref>
        </x14:conditionalFormatting>
        <x14:conditionalFormatting xmlns:xm="http://schemas.microsoft.com/office/excel/2006/main">
          <x14:cfRule type="dataBar" id="{74B15412-43AA-411E-9AF1-C8CF98A363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K14:K19</xm:sqref>
        </x14:conditionalFormatting>
        <x14:conditionalFormatting xmlns:xm="http://schemas.microsoft.com/office/excel/2006/main">
          <x14:cfRule type="dataBar" id="{B4C18915-E887-4052-BA28-ED37DDCF67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K14:K19</xm:sqref>
        </x14:conditionalFormatting>
        <x14:conditionalFormatting xmlns:xm="http://schemas.microsoft.com/office/excel/2006/main">
          <x14:cfRule type="dataBar" id="{F6AFE3E4-FEE1-4C03-A0FA-719FEF5EC4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Y5:Y10</xm:sqref>
        </x14:conditionalFormatting>
        <x14:conditionalFormatting xmlns:xm="http://schemas.microsoft.com/office/excel/2006/main">
          <x14:cfRule type="dataBar" id="{F38AFE36-4EE9-41F1-9F3F-633B966C09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Y5:Y10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N29" sqref="N29"/>
    </sheetView>
  </sheetViews>
  <sheetFormatPr baseColWidth="10" defaultColWidth="11.42578125" defaultRowHeight="12.75" x14ac:dyDescent="0.2"/>
  <cols>
    <col min="1" max="1" width="26" style="16" bestFit="1" customWidth="1"/>
    <col min="2" max="2" width="13" style="16" bestFit="1" customWidth="1"/>
    <col min="3" max="3" width="19.7109375" style="16" bestFit="1" customWidth="1"/>
    <col min="4" max="4" width="19.5703125" style="16" bestFit="1" customWidth="1"/>
    <col min="5" max="5" width="36.140625" style="16" bestFit="1" customWidth="1"/>
    <col min="6" max="6" width="12" style="16" bestFit="1" customWidth="1"/>
    <col min="7" max="7" width="11.28515625" style="16" bestFit="1" customWidth="1"/>
    <col min="8" max="8" width="7.42578125" style="16" bestFit="1" customWidth="1"/>
    <col min="9" max="9" width="17.42578125" style="16" bestFit="1" customWidth="1"/>
    <col min="10" max="10" width="12.28515625" style="16" bestFit="1" customWidth="1"/>
    <col min="11" max="11" width="11.85546875" style="16" bestFit="1" customWidth="1"/>
    <col min="12" max="12" width="7.7109375" style="16" customWidth="1"/>
    <col min="13" max="13" width="17.42578125" style="17" bestFit="1" customWidth="1"/>
    <col min="14" max="14" width="10.140625" style="18" bestFit="1" customWidth="1"/>
    <col min="15" max="15" width="10.42578125" style="18" bestFit="1" customWidth="1"/>
    <col min="16" max="16" width="11.42578125" style="19"/>
    <col min="17" max="16384" width="11.42578125" style="16"/>
  </cols>
  <sheetData>
    <row r="1" spans="1:17" x14ac:dyDescent="0.2">
      <c r="A1" s="12" t="s">
        <v>18</v>
      </c>
      <c r="B1" s="12" t="s">
        <v>19</v>
      </c>
      <c r="C1" s="12" t="s">
        <v>20</v>
      </c>
      <c r="D1" s="13" t="s">
        <v>21</v>
      </c>
      <c r="E1" s="12" t="s">
        <v>22</v>
      </c>
      <c r="F1" s="12" t="s">
        <v>23</v>
      </c>
      <c r="G1" s="12" t="s">
        <v>24</v>
      </c>
      <c r="H1" s="12" t="s">
        <v>25</v>
      </c>
      <c r="I1" s="12" t="s">
        <v>26</v>
      </c>
      <c r="J1" s="12" t="s">
        <v>27</v>
      </c>
      <c r="K1" s="12" t="s">
        <v>28</v>
      </c>
      <c r="L1" s="12" t="s">
        <v>29</v>
      </c>
      <c r="M1" s="14" t="s">
        <v>30</v>
      </c>
      <c r="N1" s="15" t="s">
        <v>31</v>
      </c>
      <c r="O1" s="11" t="s">
        <v>32</v>
      </c>
      <c r="P1" s="11" t="s">
        <v>40</v>
      </c>
      <c r="Q1" s="11" t="s">
        <v>41</v>
      </c>
    </row>
    <row r="2" spans="1:17" x14ac:dyDescent="0.2">
      <c r="A2" s="50" t="s">
        <v>36</v>
      </c>
      <c r="B2" s="51" t="s">
        <v>34</v>
      </c>
      <c r="C2" s="51" t="str">
        <f>+ARTESANAL!D7</f>
        <v xml:space="preserve">IV a VII </v>
      </c>
      <c r="D2" s="51" t="s">
        <v>35</v>
      </c>
      <c r="E2" s="51" t="str">
        <f>+ARTESANAL!D7</f>
        <v xml:space="preserve">IV a VII </v>
      </c>
      <c r="F2" s="52">
        <v>44671</v>
      </c>
      <c r="G2" s="52">
        <v>44732</v>
      </c>
      <c r="H2" s="53">
        <f>ARTESANAL!G7</f>
        <v>61.11</v>
      </c>
      <c r="I2" s="53">
        <f>ARTESANAL!H7</f>
        <v>0</v>
      </c>
      <c r="J2" s="53">
        <f>ARTESANAL!I7</f>
        <v>61.11</v>
      </c>
      <c r="K2" s="53">
        <f>ARTESANAL!J7</f>
        <v>0</v>
      </c>
      <c r="L2" s="53">
        <f>ARTESANAL!K7</f>
        <v>55.534999999999997</v>
      </c>
      <c r="M2" s="118">
        <f>ARTESANAL!L7</f>
        <v>9.1228931435116997E-2</v>
      </c>
      <c r="N2" s="122" t="str">
        <f>ARTESANAL!M7</f>
        <v>-</v>
      </c>
      <c r="O2" s="52">
        <f>ARTESANAL!$C$4</f>
        <v>44926</v>
      </c>
      <c r="P2" s="54">
        <f>YEAR(O2)</f>
        <v>2022</v>
      </c>
      <c r="Q2" s="55"/>
    </row>
    <row r="3" spans="1:17" x14ac:dyDescent="0.2">
      <c r="A3" s="50" t="s">
        <v>36</v>
      </c>
      <c r="B3" s="51" t="s">
        <v>34</v>
      </c>
      <c r="C3" s="51" t="str">
        <f>+ARTESANAL!D10</f>
        <v>XVI</v>
      </c>
      <c r="D3" s="51" t="s">
        <v>35</v>
      </c>
      <c r="E3" s="51" t="str">
        <f>+ARTESANAL!D10</f>
        <v>XVI</v>
      </c>
      <c r="F3" s="52">
        <v>44671</v>
      </c>
      <c r="G3" s="52">
        <v>44732</v>
      </c>
      <c r="H3" s="53">
        <f>ARTESANAL!G10</f>
        <v>15.98</v>
      </c>
      <c r="I3" s="53">
        <f>ARTESANAL!H10</f>
        <v>0</v>
      </c>
      <c r="J3" s="53">
        <f>ARTESANAL!I10</f>
        <v>15.98</v>
      </c>
      <c r="K3" s="53">
        <f>ARTESANAL!J10</f>
        <v>0</v>
      </c>
      <c r="L3" s="53">
        <f>ARTESANAL!K10</f>
        <v>15.98</v>
      </c>
      <c r="M3" s="118">
        <f>ARTESANAL!L10</f>
        <v>0</v>
      </c>
      <c r="N3" s="122" t="str">
        <f>ARTESANAL!M10</f>
        <v>-</v>
      </c>
      <c r="O3" s="52">
        <f>ARTESANAL!$C$4</f>
        <v>44926</v>
      </c>
      <c r="P3" s="54">
        <f t="shared" ref="P3:P19" si="0">YEAR(O3)</f>
        <v>2022</v>
      </c>
      <c r="Q3" s="55"/>
    </row>
    <row r="4" spans="1:17" x14ac:dyDescent="0.2">
      <c r="A4" s="50" t="s">
        <v>36</v>
      </c>
      <c r="B4" s="51" t="s">
        <v>34</v>
      </c>
      <c r="C4" s="51" t="str">
        <f>+ARTESANAL!D11</f>
        <v>VIII</v>
      </c>
      <c r="D4" s="51" t="s">
        <v>35</v>
      </c>
      <c r="E4" s="51" t="str">
        <f>+ARTESANAL!D11</f>
        <v>VIII</v>
      </c>
      <c r="F4" s="52">
        <v>44671</v>
      </c>
      <c r="G4" s="52">
        <v>44732</v>
      </c>
      <c r="H4" s="53">
        <f>ARTESANAL!G11</f>
        <v>217.28</v>
      </c>
      <c r="I4" s="53">
        <f>ARTESANAL!H11</f>
        <v>0</v>
      </c>
      <c r="J4" s="53">
        <f>ARTESANAL!I11</f>
        <v>217.28</v>
      </c>
      <c r="K4" s="53">
        <f>ARTESANAL!J11</f>
        <v>10.1</v>
      </c>
      <c r="L4" s="53">
        <f>ARTESANAL!K11</f>
        <v>161.89699999999999</v>
      </c>
      <c r="M4" s="118">
        <f>ARTESANAL!L11</f>
        <v>0.2548923048600884</v>
      </c>
      <c r="N4" s="122" t="str">
        <f>ARTESANAL!M11</f>
        <v>-</v>
      </c>
      <c r="O4" s="52">
        <f>ARTESANAL!$C$4</f>
        <v>44926</v>
      </c>
      <c r="P4" s="54">
        <f t="shared" si="0"/>
        <v>2022</v>
      </c>
      <c r="Q4" s="55"/>
    </row>
    <row r="5" spans="1:17" x14ac:dyDescent="0.2">
      <c r="A5" s="50" t="s">
        <v>36</v>
      </c>
      <c r="B5" s="51" t="s">
        <v>34</v>
      </c>
      <c r="C5" s="51" t="str">
        <f>+ARTESANAL!D13</f>
        <v>IX</v>
      </c>
      <c r="D5" s="51" t="s">
        <v>35</v>
      </c>
      <c r="E5" s="51" t="str">
        <f>+ARTESANAL!D13</f>
        <v>IX</v>
      </c>
      <c r="F5" s="52">
        <v>44671</v>
      </c>
      <c r="G5" s="52">
        <v>44732</v>
      </c>
      <c r="H5" s="53">
        <f>ARTESANAL!G13</f>
        <v>30.29</v>
      </c>
      <c r="I5" s="53">
        <f>ARTESANAL!H13</f>
        <v>0</v>
      </c>
      <c r="J5" s="53">
        <f>ARTESANAL!I13</f>
        <v>30.29</v>
      </c>
      <c r="K5" s="53">
        <f>ARTESANAL!J13</f>
        <v>0</v>
      </c>
      <c r="L5" s="53">
        <f>ARTESANAL!K13</f>
        <v>22.75</v>
      </c>
      <c r="M5" s="118">
        <f>ARTESANAL!L13</f>
        <v>0.24892703862660945</v>
      </c>
      <c r="N5" s="122" t="str">
        <f>ARTESANAL!M13</f>
        <v>-</v>
      </c>
      <c r="O5" s="52">
        <f>ARTESANAL!$C$4</f>
        <v>44926</v>
      </c>
      <c r="P5" s="54">
        <f t="shared" si="0"/>
        <v>2022</v>
      </c>
      <c r="Q5" s="55"/>
    </row>
    <row r="6" spans="1:17" x14ac:dyDescent="0.2">
      <c r="A6" s="50" t="s">
        <v>36</v>
      </c>
      <c r="B6" s="51" t="s">
        <v>34</v>
      </c>
      <c r="C6" s="51" t="str">
        <f ca="1">+ARTESANAL!D15</f>
        <v>XIV</v>
      </c>
      <c r="D6" s="51" t="s">
        <v>35</v>
      </c>
      <c r="E6" s="51" t="str">
        <f ca="1">+ARTESANAL!D15</f>
        <v>XIV</v>
      </c>
      <c r="F6" s="52">
        <v>44671</v>
      </c>
      <c r="G6" s="52">
        <v>44732</v>
      </c>
      <c r="H6" s="53">
        <f>ARTESANAL!G15</f>
        <v>216.42</v>
      </c>
      <c r="I6" s="53">
        <f>ARTESANAL!H15</f>
        <v>0</v>
      </c>
      <c r="J6" s="53">
        <f>ARTESANAL!I15</f>
        <v>216.42</v>
      </c>
      <c r="K6" s="53">
        <f>ARTESANAL!J15</f>
        <v>0</v>
      </c>
      <c r="L6" s="53">
        <f>ARTESANAL!K15</f>
        <v>216.42</v>
      </c>
      <c r="M6" s="118">
        <f>ARTESANAL!L15</f>
        <v>0</v>
      </c>
      <c r="N6" s="122" t="str">
        <f>ARTESANAL!M15</f>
        <v>-</v>
      </c>
      <c r="O6" s="52">
        <f>ARTESANAL!$C$4</f>
        <v>44926</v>
      </c>
      <c r="P6" s="54">
        <f t="shared" si="0"/>
        <v>2022</v>
      </c>
      <c r="Q6" s="55"/>
    </row>
    <row r="7" spans="1:17" x14ac:dyDescent="0.2">
      <c r="A7" s="50" t="s">
        <v>36</v>
      </c>
      <c r="B7" s="51" t="s">
        <v>34</v>
      </c>
      <c r="C7" s="51" t="s">
        <v>57</v>
      </c>
      <c r="D7" s="51" t="s">
        <v>35</v>
      </c>
      <c r="E7" s="51" t="s">
        <v>57</v>
      </c>
      <c r="F7" s="52">
        <v>44805</v>
      </c>
      <c r="G7" s="52">
        <v>44865</v>
      </c>
      <c r="H7" s="53">
        <v>216.42</v>
      </c>
      <c r="I7" s="53">
        <f>ARTESANAL!H16</f>
        <v>0</v>
      </c>
      <c r="J7" s="53">
        <f>ARTESANAL!I16</f>
        <v>0</v>
      </c>
      <c r="K7" s="53">
        <f>ARTESANAL!J16</f>
        <v>0</v>
      </c>
      <c r="L7" s="53">
        <f>ARTESANAL!K16</f>
        <v>0</v>
      </c>
      <c r="M7" s="118">
        <f>ARTESANAL!L16</f>
        <v>0</v>
      </c>
      <c r="N7" s="52" t="str">
        <f>ARTESANAL!M16</f>
        <v>-</v>
      </c>
      <c r="O7" s="52">
        <f>ARTESANAL!$C$4</f>
        <v>44926</v>
      </c>
      <c r="P7" s="54">
        <f t="shared" si="0"/>
        <v>2022</v>
      </c>
      <c r="Q7" s="55"/>
    </row>
    <row r="8" spans="1:17" x14ac:dyDescent="0.2">
      <c r="A8" s="50" t="s">
        <v>36</v>
      </c>
      <c r="B8" s="51" t="s">
        <v>34</v>
      </c>
      <c r="C8" s="51" t="s">
        <v>73</v>
      </c>
      <c r="D8" s="51" t="s">
        <v>35</v>
      </c>
      <c r="E8" s="51" t="s">
        <v>73</v>
      </c>
      <c r="F8" s="52">
        <v>44671</v>
      </c>
      <c r="G8" s="52">
        <v>44732</v>
      </c>
      <c r="H8" s="53">
        <f>+ARTESANAL!G17</f>
        <v>416.29</v>
      </c>
      <c r="I8" s="53">
        <f>ARTESANAL!H17</f>
        <v>0</v>
      </c>
      <c r="J8" s="53">
        <f>ARTESANAL!I17</f>
        <v>416.29</v>
      </c>
      <c r="K8" s="53">
        <f>ARTESANAL!J17</f>
        <v>293.03100000000001</v>
      </c>
      <c r="L8" s="53">
        <f>ARTESANAL!K17</f>
        <v>-51.127999999999986</v>
      </c>
      <c r="M8" s="118">
        <f>ARTESANAL!L17</f>
        <v>1.1228182276778207</v>
      </c>
      <c r="N8" s="52">
        <f>ARTESANAL!M17</f>
        <v>44837</v>
      </c>
      <c r="O8" s="52">
        <f>ARTESANAL!$C$4</f>
        <v>44926</v>
      </c>
      <c r="P8" s="54">
        <f t="shared" si="0"/>
        <v>2022</v>
      </c>
      <c r="Q8" s="55"/>
    </row>
    <row r="9" spans="1:17" x14ac:dyDescent="0.2">
      <c r="A9" s="50" t="s">
        <v>36</v>
      </c>
      <c r="B9" s="51" t="s">
        <v>34</v>
      </c>
      <c r="C9" s="51" t="s">
        <v>73</v>
      </c>
      <c r="D9" s="51" t="s">
        <v>35</v>
      </c>
      <c r="E9" s="51" t="s">
        <v>73</v>
      </c>
      <c r="F9" s="52">
        <v>44826</v>
      </c>
      <c r="G9" s="52">
        <v>44865</v>
      </c>
      <c r="H9" s="53">
        <v>416.29</v>
      </c>
      <c r="I9" s="53">
        <f>ARTESANAL!H18</f>
        <v>0</v>
      </c>
      <c r="J9" s="53">
        <f>ARTESANAL!I18</f>
        <v>0</v>
      </c>
      <c r="K9" s="53">
        <f>ARTESANAL!J18</f>
        <v>174.387</v>
      </c>
      <c r="L9" s="53">
        <f>ARTESANAL!K18</f>
        <v>0</v>
      </c>
      <c r="M9" s="118">
        <f>ARTESANAL!L18</f>
        <v>0</v>
      </c>
      <c r="N9" s="122" t="s">
        <v>16</v>
      </c>
      <c r="O9" s="52">
        <f>ARTESANAL!$C$4</f>
        <v>44926</v>
      </c>
      <c r="P9" s="54">
        <f t="shared" si="0"/>
        <v>2022</v>
      </c>
      <c r="Q9" s="55"/>
    </row>
    <row r="10" spans="1:17" x14ac:dyDescent="0.2">
      <c r="A10" s="50" t="s">
        <v>36</v>
      </c>
      <c r="B10" s="51" t="s">
        <v>34</v>
      </c>
      <c r="C10" s="51" t="s">
        <v>74</v>
      </c>
      <c r="D10" s="51" t="s">
        <v>35</v>
      </c>
      <c r="E10" s="51" t="s">
        <v>74</v>
      </c>
      <c r="F10" s="52">
        <v>44774</v>
      </c>
      <c r="G10" s="52">
        <v>44834</v>
      </c>
      <c r="H10" s="53">
        <f>+ARTESANAL!G19</f>
        <v>107.78</v>
      </c>
      <c r="I10" s="53">
        <f>ARTESANAL!H19</f>
        <v>0</v>
      </c>
      <c r="J10" s="53">
        <f>ARTESANAL!I19</f>
        <v>107.78</v>
      </c>
      <c r="K10" s="53">
        <f>ARTESANAL!J19</f>
        <v>108.57899999999999</v>
      </c>
      <c r="L10" s="53">
        <f>ARTESANAL!K19</f>
        <v>-4.2109999999999985</v>
      </c>
      <c r="M10" s="118">
        <f>ARTESANAL!L19</f>
        <v>1.0390703284468361</v>
      </c>
      <c r="N10" s="122">
        <f>ARTESANAL!M19</f>
        <v>44833</v>
      </c>
      <c r="O10" s="52">
        <f>ARTESANAL!$C$4</f>
        <v>44926</v>
      </c>
      <c r="P10" s="54">
        <f t="shared" si="0"/>
        <v>2022</v>
      </c>
      <c r="Q10" s="55"/>
    </row>
    <row r="11" spans="1:17" x14ac:dyDescent="0.2">
      <c r="A11" s="50" t="s">
        <v>36</v>
      </c>
      <c r="B11" s="51" t="s">
        <v>34</v>
      </c>
      <c r="C11" s="51" t="str">
        <f>+ARTESANAL!D21</f>
        <v>XII</v>
      </c>
      <c r="D11" s="51" t="s">
        <v>35</v>
      </c>
      <c r="E11" s="51" t="str">
        <f>+ARTESANAL!D21</f>
        <v>XII</v>
      </c>
      <c r="F11" s="52">
        <v>44671</v>
      </c>
      <c r="G11" s="52">
        <v>44732</v>
      </c>
      <c r="H11" s="53">
        <f>ARTESANAL!G21</f>
        <v>81.44</v>
      </c>
      <c r="I11" s="53">
        <f>ARTESANAL!H21</f>
        <v>0</v>
      </c>
      <c r="J11" s="53">
        <f>ARTESANAL!I21</f>
        <v>81.44</v>
      </c>
      <c r="K11" s="53">
        <f>ARTESANAL!J21</f>
        <v>0.76</v>
      </c>
      <c r="L11" s="53">
        <f>ARTESANAL!K21</f>
        <v>80.679999999999993</v>
      </c>
      <c r="M11" s="118">
        <f>ARTESANAL!L21</f>
        <v>9.3320235756385074E-3</v>
      </c>
      <c r="N11" s="122" t="str">
        <f>ARTESANAL!M21</f>
        <v>-</v>
      </c>
      <c r="O11" s="52">
        <f>ARTESANAL!$C$4</f>
        <v>44926</v>
      </c>
      <c r="P11" s="54">
        <f t="shared" si="0"/>
        <v>2022</v>
      </c>
      <c r="Q11" s="55"/>
    </row>
    <row r="12" spans="1:17" x14ac:dyDescent="0.2">
      <c r="A12" s="50" t="s">
        <v>36</v>
      </c>
      <c r="B12" s="51" t="s">
        <v>34</v>
      </c>
      <c r="C12" s="51" t="s">
        <v>33</v>
      </c>
      <c r="D12" s="51" t="s">
        <v>60</v>
      </c>
      <c r="E12" s="51" t="s">
        <v>59</v>
      </c>
      <c r="F12" s="52">
        <v>44671</v>
      </c>
      <c r="G12" s="52">
        <v>44732</v>
      </c>
      <c r="H12" s="53">
        <f>+INDUSTRIAL!F7</f>
        <v>35.46</v>
      </c>
      <c r="I12" s="53">
        <f>+INDUSTRIAL!G7</f>
        <v>0</v>
      </c>
      <c r="J12" s="53">
        <f>+INDUSTRIAL!H7</f>
        <v>35.46</v>
      </c>
      <c r="K12" s="53">
        <f>+INDUSTRIAL!I7</f>
        <v>0</v>
      </c>
      <c r="L12" s="53">
        <f>+INDUSTRIAL!J7</f>
        <v>35.46</v>
      </c>
      <c r="M12" s="118">
        <f>+INDUSTRIAL!K7</f>
        <v>0</v>
      </c>
      <c r="N12" s="122" t="str">
        <f>+INDUSTRIAL!L7</f>
        <v>-</v>
      </c>
      <c r="O12" s="52">
        <f>ARTESANAL!$C$4</f>
        <v>44926</v>
      </c>
      <c r="P12" s="54">
        <f t="shared" si="0"/>
        <v>2022</v>
      </c>
      <c r="Q12" s="55"/>
    </row>
    <row r="13" spans="1:17" x14ac:dyDescent="0.2">
      <c r="A13" s="50" t="s">
        <v>36</v>
      </c>
      <c r="B13" s="51" t="s">
        <v>34</v>
      </c>
      <c r="C13" s="51" t="s">
        <v>33</v>
      </c>
      <c r="D13" s="51" t="s">
        <v>60</v>
      </c>
      <c r="E13" s="51" t="s">
        <v>111</v>
      </c>
      <c r="F13" s="52">
        <v>44671</v>
      </c>
      <c r="G13" s="52">
        <v>44732</v>
      </c>
      <c r="H13" s="53">
        <f>INDUSTRIAL!F8</f>
        <v>0.36</v>
      </c>
      <c r="I13" s="53">
        <f>INDUSTRIAL!G8</f>
        <v>0</v>
      </c>
      <c r="J13" s="53">
        <f>INDUSTRIAL!H8</f>
        <v>0.36</v>
      </c>
      <c r="K13" s="53">
        <f>INDUSTRIAL!I8</f>
        <v>0</v>
      </c>
      <c r="L13" s="53">
        <f>INDUSTRIAL!J8</f>
        <v>0.36</v>
      </c>
      <c r="M13" s="118">
        <f>INDUSTRIAL!K8</f>
        <v>0</v>
      </c>
      <c r="N13" s="52" t="str">
        <f>INDUSTRIAL!L8</f>
        <v>-</v>
      </c>
      <c r="O13" s="52">
        <f>ARTESANAL!$C$4</f>
        <v>44926</v>
      </c>
      <c r="P13" s="54">
        <f t="shared" si="0"/>
        <v>2022</v>
      </c>
      <c r="Q13" s="55"/>
    </row>
    <row r="14" spans="1:17" x14ac:dyDescent="0.2">
      <c r="A14" s="50" t="s">
        <v>36</v>
      </c>
      <c r="B14" s="51" t="s">
        <v>34</v>
      </c>
      <c r="C14" s="51" t="s">
        <v>33</v>
      </c>
      <c r="D14" s="51" t="s">
        <v>58</v>
      </c>
      <c r="E14" s="51" t="s">
        <v>61</v>
      </c>
      <c r="F14" s="52">
        <v>44671</v>
      </c>
      <c r="G14" s="52">
        <v>44865</v>
      </c>
      <c r="H14" s="53">
        <f>RESUMEN!F18+RESUMEN!F27</f>
        <v>1199.99</v>
      </c>
      <c r="I14" s="53">
        <f t="shared" ref="I14" si="1">SUM(I2:I12)</f>
        <v>0</v>
      </c>
      <c r="J14" s="53">
        <f>+H14+I14</f>
        <v>1199.99</v>
      </c>
      <c r="K14" s="53">
        <f>SUM(K2:K13)</f>
        <v>586.85699999999997</v>
      </c>
      <c r="L14" s="53">
        <f>+J14-K14</f>
        <v>613.13300000000004</v>
      </c>
      <c r="M14" s="118">
        <f>+K14/J14</f>
        <v>0.48905157542979522</v>
      </c>
      <c r="N14" s="122" t="s">
        <v>16</v>
      </c>
      <c r="O14" s="52">
        <f>ARTESANAL!$C$4</f>
        <v>44926</v>
      </c>
      <c r="P14" s="54">
        <f t="shared" si="0"/>
        <v>2022</v>
      </c>
      <c r="Q14" s="55"/>
    </row>
    <row r="15" spans="1:17" x14ac:dyDescent="0.2">
      <c r="A15" s="50" t="s">
        <v>37</v>
      </c>
      <c r="B15" s="51" t="s">
        <v>38</v>
      </c>
      <c r="C15" s="51" t="s">
        <v>62</v>
      </c>
      <c r="D15" s="51" t="s">
        <v>72</v>
      </c>
      <c r="E15" s="51" t="s">
        <v>62</v>
      </c>
      <c r="F15" s="52">
        <v>44671</v>
      </c>
      <c r="G15" s="52">
        <v>44732</v>
      </c>
      <c r="H15" s="53">
        <f>+ARTESANAL!G28</f>
        <v>12.6</v>
      </c>
      <c r="I15" s="53">
        <f>+ARTESANAL!H28</f>
        <v>0</v>
      </c>
      <c r="J15" s="53">
        <f>ARTESANAL!I28</f>
        <v>12.6</v>
      </c>
      <c r="K15" s="53">
        <f>+ARTESANAL!J28</f>
        <v>0</v>
      </c>
      <c r="L15" s="53">
        <f>ARTESANAL!K28</f>
        <v>3.6790000000000003</v>
      </c>
      <c r="M15" s="118">
        <f>+ARTESANAL!L28</f>
        <v>0.70801587301587299</v>
      </c>
      <c r="N15" s="122" t="str">
        <f>+ARTESANAL!M28</f>
        <v>-</v>
      </c>
      <c r="O15" s="52">
        <f>ARTESANAL!$C$4</f>
        <v>44926</v>
      </c>
      <c r="P15" s="54">
        <f t="shared" si="0"/>
        <v>2022</v>
      </c>
      <c r="Q15" s="55"/>
    </row>
    <row r="16" spans="1:17" x14ac:dyDescent="0.2">
      <c r="A16" s="50" t="s">
        <v>37</v>
      </c>
      <c r="B16" s="51" t="s">
        <v>38</v>
      </c>
      <c r="C16" s="51" t="s">
        <v>103</v>
      </c>
      <c r="D16" s="51" t="s">
        <v>72</v>
      </c>
      <c r="E16" s="51" t="s">
        <v>103</v>
      </c>
      <c r="F16" s="52">
        <v>44671</v>
      </c>
      <c r="G16" s="52">
        <v>44732</v>
      </c>
      <c r="H16" s="53">
        <f>+ARTESANAL!G31</f>
        <v>98.96</v>
      </c>
      <c r="I16" s="53">
        <f>+ARTESANAL!H31</f>
        <v>0</v>
      </c>
      <c r="J16" s="53">
        <f>+ARTESANAL!I31</f>
        <v>98.96</v>
      </c>
      <c r="K16" s="53">
        <f>+ARTESANAL!J31</f>
        <v>9.0969999999999995</v>
      </c>
      <c r="L16" s="53">
        <f>+ARTESANAL!K31</f>
        <v>89.863</v>
      </c>
      <c r="M16" s="118">
        <f>+ARTESANAL!L31</f>
        <v>9.1926030719482618E-2</v>
      </c>
      <c r="N16" s="122" t="str">
        <f>+ARTESANAL!M31</f>
        <v>-</v>
      </c>
      <c r="O16" s="52">
        <f>ARTESANAL!$C$4</f>
        <v>44926</v>
      </c>
      <c r="P16" s="54">
        <f t="shared" si="0"/>
        <v>2022</v>
      </c>
      <c r="Q16" s="55"/>
    </row>
    <row r="17" spans="1:17" x14ac:dyDescent="0.2">
      <c r="A17" s="50" t="s">
        <v>37</v>
      </c>
      <c r="B17" s="51" t="s">
        <v>38</v>
      </c>
      <c r="C17" s="51" t="s">
        <v>104</v>
      </c>
      <c r="D17" s="51" t="s">
        <v>72</v>
      </c>
      <c r="E17" s="51" t="s">
        <v>104</v>
      </c>
      <c r="F17" s="52">
        <v>44671</v>
      </c>
      <c r="G17" s="52">
        <v>44732</v>
      </c>
      <c r="H17" s="53">
        <f>ARTESANAL!G40</f>
        <v>124.84</v>
      </c>
      <c r="I17" s="53">
        <f>ARTESANAL!H40</f>
        <v>0</v>
      </c>
      <c r="J17" s="53">
        <f>ARTESANAL!I40</f>
        <v>124.84</v>
      </c>
      <c r="K17" s="53">
        <f>ARTESANAL!J40</f>
        <v>15.1675</v>
      </c>
      <c r="L17" s="53">
        <f>ARTESANAL!K40</f>
        <v>109.6725</v>
      </c>
      <c r="M17" s="118">
        <f>ARTESANAL!L40</f>
        <v>0.12149551425825056</v>
      </c>
      <c r="N17" s="52" t="str">
        <f>ARTESANAL!M40</f>
        <v>-</v>
      </c>
      <c r="O17" s="52">
        <f>ARTESANAL!$C$4</f>
        <v>44926</v>
      </c>
      <c r="P17" s="54">
        <f t="shared" si="0"/>
        <v>2022</v>
      </c>
      <c r="Q17" s="55"/>
    </row>
    <row r="18" spans="1:17" x14ac:dyDescent="0.2">
      <c r="A18" s="50" t="s">
        <v>37</v>
      </c>
      <c r="B18" s="51" t="s">
        <v>38</v>
      </c>
      <c r="C18" s="51" t="s">
        <v>73</v>
      </c>
      <c r="D18" s="51" t="s">
        <v>72</v>
      </c>
      <c r="E18" s="51" t="s">
        <v>112</v>
      </c>
      <c r="F18" s="52">
        <v>44671</v>
      </c>
      <c r="G18" s="52">
        <v>44732</v>
      </c>
      <c r="H18" s="53">
        <f>ARTESANAL!G44</f>
        <v>2.4</v>
      </c>
      <c r="I18" s="53">
        <f>ARTESANAL!H44</f>
        <v>0</v>
      </c>
      <c r="J18" s="53">
        <f>ARTESANAL!I44</f>
        <v>2.4</v>
      </c>
      <c r="K18" s="53">
        <f>ARTESANAL!J44</f>
        <v>0</v>
      </c>
      <c r="L18" s="53">
        <f>ARTESANAL!K44</f>
        <v>2.4</v>
      </c>
      <c r="M18" s="53">
        <f>ARTESANAL!L44</f>
        <v>0</v>
      </c>
      <c r="N18" s="52" t="str">
        <f>ARTESANAL!M44</f>
        <v>-</v>
      </c>
      <c r="O18" s="52">
        <f>ARTESANAL!$C$4</f>
        <v>44926</v>
      </c>
      <c r="P18" s="54">
        <f t="shared" si="0"/>
        <v>2022</v>
      </c>
      <c r="Q18" s="55"/>
    </row>
    <row r="19" spans="1:17" x14ac:dyDescent="0.2">
      <c r="A19" s="50" t="s">
        <v>39</v>
      </c>
      <c r="B19" s="51" t="s">
        <v>38</v>
      </c>
      <c r="C19" s="51" t="s">
        <v>33</v>
      </c>
      <c r="D19" s="51" t="s">
        <v>58</v>
      </c>
      <c r="E19" s="51" t="s">
        <v>61</v>
      </c>
      <c r="F19" s="52">
        <v>44671</v>
      </c>
      <c r="G19" s="52">
        <v>44732</v>
      </c>
      <c r="H19" s="53">
        <f>ARTESANAL!G45</f>
        <v>238.79999999999998</v>
      </c>
      <c r="I19" s="53">
        <f>ARTESANAL!H45</f>
        <v>0</v>
      </c>
      <c r="J19" s="53">
        <f>ARTESANAL!I45</f>
        <v>238.79999999999998</v>
      </c>
      <c r="K19" s="53">
        <f>ARTESANAL!J45</f>
        <v>33.185500000000005</v>
      </c>
      <c r="L19" s="53">
        <f>ARTESANAL!K45</f>
        <v>205.61449999999996</v>
      </c>
      <c r="M19" s="53">
        <f>ARTESANAL!L45</f>
        <v>0.13896775544388612</v>
      </c>
      <c r="N19" s="52" t="str">
        <f>ARTESANAL!M45</f>
        <v>-</v>
      </c>
      <c r="O19" s="52">
        <f>ARTESANAL!$C$4</f>
        <v>44926</v>
      </c>
      <c r="P19" s="54">
        <f t="shared" si="0"/>
        <v>2022</v>
      </c>
      <c r="Q19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ARTESANAL</vt:lpstr>
      <vt:lpstr>INDUSTRIAL</vt:lpstr>
      <vt:lpstr>Hoja1</vt:lpstr>
      <vt:lpstr>Compliado 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CEA TELLO, MARIO ANDRES</cp:lastModifiedBy>
  <dcterms:created xsi:type="dcterms:W3CDTF">2019-08-29T14:45:28Z</dcterms:created>
  <dcterms:modified xsi:type="dcterms:W3CDTF">2023-01-03T15:49:10Z</dcterms:modified>
</cp:coreProperties>
</file>