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comments1.xml" ContentType="application/vnd.openxmlformats-officedocument.spreadsheetml.comments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tables/table180.xml" ContentType="application/vnd.openxmlformats-officedocument.spreadsheetml.table+xml"/>
  <Override PartName="/xl/tables/table181.xml" ContentType="application/vnd.openxmlformats-officedocument.spreadsheetml.table+xml"/>
  <Override PartName="/xl/tables/table182.xml" ContentType="application/vnd.openxmlformats-officedocument.spreadsheetml.table+xml"/>
  <Override PartName="/xl/tables/table183.xml" ContentType="application/vnd.openxmlformats-officedocument.spreadsheetml.table+xml"/>
  <Override PartName="/xl/tables/table184.xml" ContentType="application/vnd.openxmlformats-officedocument.spreadsheetml.table+xml"/>
  <Override PartName="/xl/tables/table185.xml" ContentType="application/vnd.openxmlformats-officedocument.spreadsheetml.table+xml"/>
  <Override PartName="/xl/tables/table186.xml" ContentType="application/vnd.openxmlformats-officedocument.spreadsheetml.table+xml"/>
  <Override PartName="/xl/tables/table187.xml" ContentType="application/vnd.openxmlformats-officedocument.spreadsheetml.table+xml"/>
  <Override PartName="/xl/tables/table188.xml" ContentType="application/vnd.openxmlformats-officedocument.spreadsheetml.table+xml"/>
  <Override PartName="/xl/tables/table189.xml" ContentType="application/vnd.openxmlformats-officedocument.spreadsheetml.table+xml"/>
  <Override PartName="/xl/tables/table190.xml" ContentType="application/vnd.openxmlformats-officedocument.spreadsheetml.table+xml"/>
  <Override PartName="/xl/tables/table191.xml" ContentType="application/vnd.openxmlformats-officedocument.spreadsheetml.table+xml"/>
  <Override PartName="/xl/tables/table192.xml" ContentType="application/vnd.openxmlformats-officedocument.spreadsheetml.table+xml"/>
  <Override PartName="/xl/tables/table193.xml" ContentType="application/vnd.openxmlformats-officedocument.spreadsheetml.table+xml"/>
  <Override PartName="/xl/tables/table194.xml" ContentType="application/vnd.openxmlformats-officedocument.spreadsheetml.table+xml"/>
  <Override PartName="/xl/tables/table195.xml" ContentType="application/vnd.openxmlformats-officedocument.spreadsheetml.table+xml"/>
  <Override PartName="/xl/tables/table196.xml" ContentType="application/vnd.openxmlformats-officedocument.spreadsheetml.table+xml"/>
  <Override PartName="/xl/tables/table197.xml" ContentType="application/vnd.openxmlformats-officedocument.spreadsheetml.table+xml"/>
  <Override PartName="/xl/tables/table198.xml" ContentType="application/vnd.openxmlformats-officedocument.spreadsheetml.table+xml"/>
  <Override PartName="/xl/tables/table199.xml" ContentType="application/vnd.openxmlformats-officedocument.spreadsheetml.table+xml"/>
  <Override PartName="/xl/tables/table200.xml" ContentType="application/vnd.openxmlformats-officedocument.spreadsheetml.table+xml"/>
  <Override PartName="/xl/tables/table201.xml" ContentType="application/vnd.openxmlformats-officedocument.spreadsheetml.table+xml"/>
  <Override PartName="/xl/tables/table202.xml" ContentType="application/vnd.openxmlformats-officedocument.spreadsheetml.table+xml"/>
  <Override PartName="/xl/tables/table203.xml" ContentType="application/vnd.openxmlformats-officedocument.spreadsheetml.table+xml"/>
  <Override PartName="/xl/tables/table204.xml" ContentType="application/vnd.openxmlformats-officedocument.spreadsheetml.table+xml"/>
  <Override PartName="/xl/tables/table205.xml" ContentType="application/vnd.openxmlformats-officedocument.spreadsheetml.table+xml"/>
  <Override PartName="/xl/tables/table206.xml" ContentType="application/vnd.openxmlformats-officedocument.spreadsheetml.table+xml"/>
  <Override PartName="/xl/tables/table207.xml" ContentType="application/vnd.openxmlformats-officedocument.spreadsheetml.table+xml"/>
  <Override PartName="/xl/tables/table208.xml" ContentType="application/vnd.openxmlformats-officedocument.spreadsheetml.table+xml"/>
  <Override PartName="/xl/tables/table209.xml" ContentType="application/vnd.openxmlformats-officedocument.spreadsheetml.table+xml"/>
  <Override PartName="/xl/tables/table210.xml" ContentType="application/vnd.openxmlformats-officedocument.spreadsheetml.table+xml"/>
  <Override PartName="/xl/tables/table211.xml" ContentType="application/vnd.openxmlformats-officedocument.spreadsheetml.table+xml"/>
  <Override PartName="/xl/tables/table212.xml" ContentType="application/vnd.openxmlformats-officedocument.spreadsheetml.table+xml"/>
  <Override PartName="/xl/tables/table213.xml" ContentType="application/vnd.openxmlformats-officedocument.spreadsheetml.table+xml"/>
  <Override PartName="/xl/tables/table214.xml" ContentType="application/vnd.openxmlformats-officedocument.spreadsheetml.table+xml"/>
  <Override PartName="/xl/tables/table215.xml" ContentType="application/vnd.openxmlformats-officedocument.spreadsheetml.table+xml"/>
  <Override PartName="/xl/tables/table216.xml" ContentType="application/vnd.openxmlformats-officedocument.spreadsheetml.table+xml"/>
  <Override PartName="/xl/tables/table217.xml" ContentType="application/vnd.openxmlformats-officedocument.spreadsheetml.table+xml"/>
  <Override PartName="/xl/tables/table218.xml" ContentType="application/vnd.openxmlformats-officedocument.spreadsheetml.table+xml"/>
  <Override PartName="/xl/tables/table219.xml" ContentType="application/vnd.openxmlformats-officedocument.spreadsheetml.table+xml"/>
  <Override PartName="/xl/tables/table220.xml" ContentType="application/vnd.openxmlformats-officedocument.spreadsheetml.table+xml"/>
  <Override PartName="/xl/tables/table221.xml" ContentType="application/vnd.openxmlformats-officedocument.spreadsheetml.table+xml"/>
  <Override PartName="/xl/tables/table222.xml" ContentType="application/vnd.openxmlformats-officedocument.spreadsheetml.table+xml"/>
  <Override PartName="/xl/tables/table223.xml" ContentType="application/vnd.openxmlformats-officedocument.spreadsheetml.table+xml"/>
  <Override PartName="/xl/tables/table224.xml" ContentType="application/vnd.openxmlformats-officedocument.spreadsheetml.table+xml"/>
  <Override PartName="/xl/tables/table225.xml" ContentType="application/vnd.openxmlformats-officedocument.spreadsheetml.table+xml"/>
  <Override PartName="/xl/tables/table226.xml" ContentType="application/vnd.openxmlformats-officedocument.spreadsheetml.table+xml"/>
  <Override PartName="/xl/tables/table227.xml" ContentType="application/vnd.openxmlformats-officedocument.spreadsheetml.table+xml"/>
  <Override PartName="/xl/tables/table228.xml" ContentType="application/vnd.openxmlformats-officedocument.spreadsheetml.table+xml"/>
  <Override PartName="/xl/tables/table229.xml" ContentType="application/vnd.openxmlformats-officedocument.spreadsheetml.table+xml"/>
  <Override PartName="/xl/tables/table230.xml" ContentType="application/vnd.openxmlformats-officedocument.spreadsheetml.table+xml"/>
  <Override PartName="/xl/tables/table231.xml" ContentType="application/vnd.openxmlformats-officedocument.spreadsheetml.table+xml"/>
  <Override PartName="/xl/tables/table232.xml" ContentType="application/vnd.openxmlformats-officedocument.spreadsheetml.table+xml"/>
  <Override PartName="/xl/tables/table233.xml" ContentType="application/vnd.openxmlformats-officedocument.spreadsheetml.table+xml"/>
  <Override PartName="/xl/tables/table234.xml" ContentType="application/vnd.openxmlformats-officedocument.spreadsheetml.table+xml"/>
  <Override PartName="/xl/tables/table235.xml" ContentType="application/vnd.openxmlformats-officedocument.spreadsheetml.table+xml"/>
  <Override PartName="/xl/tables/table236.xml" ContentType="application/vnd.openxmlformats-officedocument.spreadsheetml.table+xml"/>
  <Override PartName="/xl/tables/table237.xml" ContentType="application/vnd.openxmlformats-officedocument.spreadsheetml.table+xml"/>
  <Override PartName="/xl/tables/table238.xml" ContentType="application/vnd.openxmlformats-officedocument.spreadsheetml.table+xml"/>
  <Override PartName="/xl/tables/table239.xml" ContentType="application/vnd.openxmlformats-officedocument.spreadsheetml.table+xml"/>
  <Override PartName="/xl/tables/table240.xml" ContentType="application/vnd.openxmlformats-officedocument.spreadsheetml.table+xml"/>
  <Override PartName="/xl/tables/table241.xml" ContentType="application/vnd.openxmlformats-officedocument.spreadsheetml.table+xml"/>
  <Override PartName="/xl/tables/table242.xml" ContentType="application/vnd.openxmlformats-officedocument.spreadsheetml.table+xml"/>
  <Override PartName="/xl/tables/table243.xml" ContentType="application/vnd.openxmlformats-officedocument.spreadsheetml.table+xml"/>
  <Override PartName="/xl/tables/table244.xml" ContentType="application/vnd.openxmlformats-officedocument.spreadsheetml.table+xml"/>
  <Override PartName="/xl/tables/table245.xml" ContentType="application/vnd.openxmlformats-officedocument.spreadsheetml.table+xml"/>
  <Override PartName="/xl/tables/table246.xml" ContentType="application/vnd.openxmlformats-officedocument.spreadsheetml.table+xml"/>
  <Override PartName="/xl/tables/table247.xml" ContentType="application/vnd.openxmlformats-officedocument.spreadsheetml.table+xml"/>
  <Override PartName="/xl/tables/table248.xml" ContentType="application/vnd.openxmlformats-officedocument.spreadsheetml.table+xml"/>
  <Override PartName="/xl/tables/table249.xml" ContentType="application/vnd.openxmlformats-officedocument.spreadsheetml.table+xml"/>
  <Override PartName="/xl/tables/table250.xml" ContentType="application/vnd.openxmlformats-officedocument.spreadsheetml.table+xml"/>
  <Override PartName="/xl/tables/table251.xml" ContentType="application/vnd.openxmlformats-officedocument.spreadsheetml.table+xml"/>
  <Override PartName="/xl/tables/table252.xml" ContentType="application/vnd.openxmlformats-officedocument.spreadsheetml.table+xml"/>
  <Override PartName="/xl/tables/table253.xml" ContentType="application/vnd.openxmlformats-officedocument.spreadsheetml.table+xml"/>
  <Override PartName="/xl/tables/table254.xml" ContentType="application/vnd.openxmlformats-officedocument.spreadsheetml.table+xml"/>
  <Override PartName="/xl/tables/table255.xml" ContentType="application/vnd.openxmlformats-officedocument.spreadsheetml.table+xml"/>
  <Override PartName="/xl/tables/table256.xml" ContentType="application/vnd.openxmlformats-officedocument.spreadsheetml.table+xml"/>
  <Override PartName="/xl/tables/table257.xml" ContentType="application/vnd.openxmlformats-officedocument.spreadsheetml.table+xml"/>
  <Override PartName="/xl/tables/table258.xml" ContentType="application/vnd.openxmlformats-officedocument.spreadsheetml.table+xml"/>
  <Override PartName="/xl/tables/table259.xml" ContentType="application/vnd.openxmlformats-officedocument.spreadsheetml.table+xml"/>
  <Override PartName="/xl/tables/table260.xml" ContentType="application/vnd.openxmlformats-officedocument.spreadsheetml.table+xml"/>
  <Override PartName="/xl/tables/table261.xml" ContentType="application/vnd.openxmlformats-officedocument.spreadsheetml.table+xml"/>
  <Override PartName="/xl/tables/table262.xml" ContentType="application/vnd.openxmlformats-officedocument.spreadsheetml.table+xml"/>
  <Override PartName="/xl/tables/table263.xml" ContentType="application/vnd.openxmlformats-officedocument.spreadsheetml.table+xml"/>
  <Override PartName="/xl/tables/table264.xml" ContentType="application/vnd.openxmlformats-officedocument.spreadsheetml.table+xml"/>
  <Override PartName="/xl/tables/table265.xml" ContentType="application/vnd.openxmlformats-officedocument.spreadsheetml.table+xml"/>
  <Override PartName="/xl/tables/table266.xml" ContentType="application/vnd.openxmlformats-officedocument.spreadsheetml.table+xml"/>
  <Override PartName="/xl/tables/table267.xml" ContentType="application/vnd.openxmlformats-officedocument.spreadsheetml.table+xml"/>
  <Override PartName="/xl/tables/table268.xml" ContentType="application/vnd.openxmlformats-officedocument.spreadsheetml.table+xml"/>
  <Override PartName="/xl/tables/table269.xml" ContentType="application/vnd.openxmlformats-officedocument.spreadsheetml.table+xml"/>
  <Override PartName="/xl/tables/table270.xml" ContentType="application/vnd.openxmlformats-officedocument.spreadsheetml.table+xml"/>
  <Override PartName="/xl/tables/table271.xml" ContentType="application/vnd.openxmlformats-officedocument.spreadsheetml.table+xml"/>
  <Override PartName="/xl/tables/table272.xml" ContentType="application/vnd.openxmlformats-officedocument.spreadsheetml.table+xml"/>
  <Override PartName="/xl/tables/table273.xml" ContentType="application/vnd.openxmlformats-officedocument.spreadsheetml.table+xml"/>
  <Override PartName="/xl/tables/table274.xml" ContentType="application/vnd.openxmlformats-officedocument.spreadsheetml.table+xml"/>
  <Override PartName="/xl/tables/table275.xml" ContentType="application/vnd.openxmlformats-officedocument.spreadsheetml.table+xml"/>
  <Override PartName="/xl/tables/table276.xml" ContentType="application/vnd.openxmlformats-officedocument.spreadsheetml.table+xml"/>
  <Override PartName="/xl/tables/table277.xml" ContentType="application/vnd.openxmlformats-officedocument.spreadsheetml.table+xml"/>
  <Override PartName="/xl/tables/table278.xml" ContentType="application/vnd.openxmlformats-officedocument.spreadsheetml.table+xml"/>
  <Override PartName="/xl/tables/table279.xml" ContentType="application/vnd.openxmlformats-officedocument.spreadsheetml.table+xml"/>
  <Override PartName="/xl/tables/table280.xml" ContentType="application/vnd.openxmlformats-officedocument.spreadsheetml.table+xml"/>
  <Override PartName="/xl/tables/table281.xml" ContentType="application/vnd.openxmlformats-officedocument.spreadsheetml.table+xml"/>
  <Override PartName="/xl/tables/table282.xml" ContentType="application/vnd.openxmlformats-officedocument.spreadsheetml.table+xml"/>
  <Override PartName="/xl/tables/table283.xml" ContentType="application/vnd.openxmlformats-officedocument.spreadsheetml.table+xml"/>
  <Override PartName="/xl/tables/table284.xml" ContentType="application/vnd.openxmlformats-officedocument.spreadsheetml.table+xml"/>
  <Override PartName="/xl/tables/table285.xml" ContentType="application/vnd.openxmlformats-officedocument.spreadsheetml.table+xml"/>
  <Override PartName="/xl/tables/table286.xml" ContentType="application/vnd.openxmlformats-officedocument.spreadsheetml.table+xml"/>
  <Override PartName="/xl/tables/table287.xml" ContentType="application/vnd.openxmlformats-officedocument.spreadsheetml.table+xml"/>
  <Override PartName="/xl/tables/table288.xml" ContentType="application/vnd.openxmlformats-officedocument.spreadsheetml.table+xml"/>
  <Override PartName="/xl/tables/table289.xml" ContentType="application/vnd.openxmlformats-officedocument.spreadsheetml.table+xml"/>
  <Override PartName="/xl/tables/table290.xml" ContentType="application/vnd.openxmlformats-officedocument.spreadsheetml.table+xml"/>
  <Override PartName="/xl/tables/table291.xml" ContentType="application/vnd.openxmlformats-officedocument.spreadsheetml.table+xml"/>
  <Override PartName="/xl/tables/table292.xml" ContentType="application/vnd.openxmlformats-officedocument.spreadsheetml.table+xml"/>
  <Override PartName="/xl/tables/table293.xml" ContentType="application/vnd.openxmlformats-officedocument.spreadsheetml.table+xml"/>
  <Override PartName="/xl/tables/table294.xml" ContentType="application/vnd.openxmlformats-officedocument.spreadsheetml.table+xml"/>
  <Override PartName="/xl/tables/table295.xml" ContentType="application/vnd.openxmlformats-officedocument.spreadsheetml.table+xml"/>
  <Override PartName="/xl/tables/table296.xml" ContentType="application/vnd.openxmlformats-officedocument.spreadsheetml.table+xml"/>
  <Override PartName="/xl/tables/table297.xml" ContentType="application/vnd.openxmlformats-officedocument.spreadsheetml.table+xml"/>
  <Override PartName="/xl/tables/table298.xml" ContentType="application/vnd.openxmlformats-officedocument.spreadsheetml.table+xml"/>
  <Override PartName="/xl/tables/table299.xml" ContentType="application/vnd.openxmlformats-officedocument.spreadsheetml.table+xml"/>
  <Override PartName="/xl/tables/table300.xml" ContentType="application/vnd.openxmlformats-officedocument.spreadsheetml.table+xml"/>
  <Override PartName="/xl/tables/table301.xml" ContentType="application/vnd.openxmlformats-officedocument.spreadsheetml.table+xml"/>
  <Override PartName="/xl/tables/table302.xml" ContentType="application/vnd.openxmlformats-officedocument.spreadsheetml.table+xml"/>
  <Override PartName="/xl/tables/table303.xml" ContentType="application/vnd.openxmlformats-officedocument.spreadsheetml.table+xml"/>
  <Override PartName="/xl/tables/table304.xml" ContentType="application/vnd.openxmlformats-officedocument.spreadsheetml.table+xml"/>
  <Override PartName="/xl/tables/table305.xml" ContentType="application/vnd.openxmlformats-officedocument.spreadsheetml.table+xml"/>
  <Override PartName="/xl/tables/table306.xml" ContentType="application/vnd.openxmlformats-officedocument.spreadsheetml.table+xml"/>
  <Override PartName="/xl/tables/table307.xml" ContentType="application/vnd.openxmlformats-officedocument.spreadsheetml.table+xml"/>
  <Override PartName="/xl/tables/table308.xml" ContentType="application/vnd.openxmlformats-officedocument.spreadsheetml.table+xml"/>
  <Override PartName="/xl/tables/table309.xml" ContentType="application/vnd.openxmlformats-officedocument.spreadsheetml.table+xml"/>
  <Override PartName="/xl/tables/table310.xml" ContentType="application/vnd.openxmlformats-officedocument.spreadsheetml.table+xml"/>
  <Override PartName="/xl/tables/table311.xml" ContentType="application/vnd.openxmlformats-officedocument.spreadsheetml.table+xml"/>
  <Override PartName="/xl/tables/table312.xml" ContentType="application/vnd.openxmlformats-officedocument.spreadsheetml.table+xml"/>
  <Override PartName="/xl/tables/table313.xml" ContentType="application/vnd.openxmlformats-officedocument.spreadsheetml.table+xml"/>
  <Override PartName="/xl/tables/table314.xml" ContentType="application/vnd.openxmlformats-officedocument.spreadsheetml.table+xml"/>
  <Override PartName="/xl/tables/table315.xml" ContentType="application/vnd.openxmlformats-officedocument.spreadsheetml.table+xml"/>
  <Override PartName="/xl/tables/table316.xml" ContentType="application/vnd.openxmlformats-officedocument.spreadsheetml.table+xml"/>
  <Override PartName="/xl/tables/table317.xml" ContentType="application/vnd.openxmlformats-officedocument.spreadsheetml.table+xml"/>
  <Override PartName="/xl/tables/table318.xml" ContentType="application/vnd.openxmlformats-officedocument.spreadsheetml.table+xml"/>
  <Override PartName="/xl/tables/table319.xml" ContentType="application/vnd.openxmlformats-officedocument.spreadsheetml.table+xml"/>
  <Override PartName="/xl/tables/table320.xml" ContentType="application/vnd.openxmlformats-officedocument.spreadsheetml.table+xml"/>
  <Override PartName="/xl/tables/table321.xml" ContentType="application/vnd.openxmlformats-officedocument.spreadsheetml.table+xml"/>
  <Override PartName="/xl/tables/table322.xml" ContentType="application/vnd.openxmlformats-officedocument.spreadsheetml.table+xml"/>
  <Override PartName="/xl/tables/table323.xml" ContentType="application/vnd.openxmlformats-officedocument.spreadsheetml.table+xml"/>
  <Override PartName="/xl/tables/table324.xml" ContentType="application/vnd.openxmlformats-officedocument.spreadsheetml.table+xml"/>
  <Override PartName="/xl/tables/table325.xml" ContentType="application/vnd.openxmlformats-officedocument.spreadsheetml.table+xml"/>
  <Override PartName="/xl/tables/table326.xml" ContentType="application/vnd.openxmlformats-officedocument.spreadsheetml.table+xml"/>
  <Override PartName="/xl/tables/table327.xml" ContentType="application/vnd.openxmlformats-officedocument.spreadsheetml.table+xml"/>
  <Override PartName="/xl/tables/table328.xml" ContentType="application/vnd.openxmlformats-officedocument.spreadsheetml.table+xml"/>
  <Override PartName="/xl/tables/table329.xml" ContentType="application/vnd.openxmlformats-officedocument.spreadsheetml.table+xml"/>
  <Override PartName="/xl/tables/table330.xml" ContentType="application/vnd.openxmlformats-officedocument.spreadsheetml.table+xml"/>
  <Override PartName="/xl/tables/table331.xml" ContentType="application/vnd.openxmlformats-officedocument.spreadsheetml.table+xml"/>
  <Override PartName="/xl/tables/table332.xml" ContentType="application/vnd.openxmlformats-officedocument.spreadsheetml.table+xml"/>
  <Override PartName="/xl/tables/table333.xml" ContentType="application/vnd.openxmlformats-officedocument.spreadsheetml.table+xml"/>
  <Override PartName="/xl/tables/table334.xml" ContentType="application/vnd.openxmlformats-officedocument.spreadsheetml.table+xml"/>
  <Override PartName="/xl/tables/table335.xml" ContentType="application/vnd.openxmlformats-officedocument.spreadsheetml.table+xml"/>
  <Override PartName="/xl/tables/table336.xml" ContentType="application/vnd.openxmlformats-officedocument.spreadsheetml.table+xml"/>
  <Override PartName="/xl/tables/table337.xml" ContentType="application/vnd.openxmlformats-officedocument.spreadsheetml.table+xml"/>
  <Override PartName="/xl/tables/table338.xml" ContentType="application/vnd.openxmlformats-officedocument.spreadsheetml.table+xml"/>
  <Override PartName="/xl/tables/table339.xml" ContentType="application/vnd.openxmlformats-officedocument.spreadsheetml.table+xml"/>
  <Override PartName="/xl/tables/table340.xml" ContentType="application/vnd.openxmlformats-officedocument.spreadsheetml.table+xml"/>
  <Override PartName="/xl/tables/table341.xml" ContentType="application/vnd.openxmlformats-officedocument.spreadsheetml.table+xml"/>
  <Override PartName="/xl/tables/table342.xml" ContentType="application/vnd.openxmlformats-officedocument.spreadsheetml.table+xml"/>
  <Override PartName="/xl/tables/table343.xml" ContentType="application/vnd.openxmlformats-officedocument.spreadsheetml.table+xml"/>
  <Override PartName="/xl/tables/table344.xml" ContentType="application/vnd.openxmlformats-officedocument.spreadsheetml.table+xml"/>
  <Override PartName="/xl/tables/table345.xml" ContentType="application/vnd.openxmlformats-officedocument.spreadsheetml.table+xml"/>
  <Override PartName="/xl/tables/table346.xml" ContentType="application/vnd.openxmlformats-officedocument.spreadsheetml.table+xml"/>
  <Override PartName="/xl/tables/table347.xml" ContentType="application/vnd.openxmlformats-officedocument.spreadsheetml.table+xml"/>
  <Override PartName="/xl/tables/table348.xml" ContentType="application/vnd.openxmlformats-officedocument.spreadsheetml.table+xml"/>
  <Override PartName="/xl/tables/table349.xml" ContentType="application/vnd.openxmlformats-officedocument.spreadsheetml.table+xml"/>
  <Override PartName="/xl/tables/table350.xml" ContentType="application/vnd.openxmlformats-officedocument.spreadsheetml.table+xml"/>
  <Override PartName="/xl/tables/table351.xml" ContentType="application/vnd.openxmlformats-officedocument.spreadsheetml.table+xml"/>
  <Override PartName="/xl/tables/table352.xml" ContentType="application/vnd.openxmlformats-officedocument.spreadsheetml.table+xml"/>
  <Override PartName="/xl/tables/table353.xml" ContentType="application/vnd.openxmlformats-officedocument.spreadsheetml.table+xml"/>
  <Override PartName="/xl/tables/table354.xml" ContentType="application/vnd.openxmlformats-officedocument.spreadsheetml.table+xml"/>
  <Override PartName="/xl/tables/table355.xml" ContentType="application/vnd.openxmlformats-officedocument.spreadsheetml.table+xml"/>
  <Override PartName="/xl/tables/table356.xml" ContentType="application/vnd.openxmlformats-officedocument.spreadsheetml.table+xml"/>
  <Override PartName="/xl/tables/table357.xml" ContentType="application/vnd.openxmlformats-officedocument.spreadsheetml.table+xml"/>
  <Override PartName="/xl/tables/table358.xml" ContentType="application/vnd.openxmlformats-officedocument.spreadsheetml.table+xml"/>
  <Override PartName="/xl/tables/table359.xml" ContentType="application/vnd.openxmlformats-officedocument.spreadsheetml.table+xml"/>
  <Override PartName="/xl/tables/table360.xml" ContentType="application/vnd.openxmlformats-officedocument.spreadsheetml.table+xml"/>
  <Override PartName="/xl/tables/table361.xml" ContentType="application/vnd.openxmlformats-officedocument.spreadsheetml.table+xml"/>
  <Override PartName="/xl/tables/table362.xml" ContentType="application/vnd.openxmlformats-officedocument.spreadsheetml.table+xml"/>
  <Override PartName="/xl/tables/table363.xml" ContentType="application/vnd.openxmlformats-officedocument.spreadsheetml.table+xml"/>
  <Override PartName="/xl/tables/table364.xml" ContentType="application/vnd.openxmlformats-officedocument.spreadsheetml.table+xml"/>
  <Override PartName="/xl/tables/table365.xml" ContentType="application/vnd.openxmlformats-officedocument.spreadsheetml.table+xml"/>
  <Override PartName="/xl/tables/table366.xml" ContentType="application/vnd.openxmlformats-officedocument.spreadsheetml.table+xml"/>
  <Override PartName="/xl/tables/table367.xml" ContentType="application/vnd.openxmlformats-officedocument.spreadsheetml.table+xml"/>
  <Override PartName="/xl/tables/table368.xml" ContentType="application/vnd.openxmlformats-officedocument.spreadsheetml.table+xml"/>
  <Override PartName="/xl/tables/table369.xml" ContentType="application/vnd.openxmlformats-officedocument.spreadsheetml.table+xml"/>
  <Override PartName="/xl/tables/table370.xml" ContentType="application/vnd.openxmlformats-officedocument.spreadsheetml.table+xml"/>
  <Override PartName="/xl/tables/table371.xml" ContentType="application/vnd.openxmlformats-officedocument.spreadsheetml.table+xml"/>
  <Override PartName="/xl/tables/table372.xml" ContentType="application/vnd.openxmlformats-officedocument.spreadsheetml.table+xml"/>
  <Override PartName="/xl/tables/table373.xml" ContentType="application/vnd.openxmlformats-officedocument.spreadsheetml.table+xml"/>
  <Override PartName="/xl/tables/table374.xml" ContentType="application/vnd.openxmlformats-officedocument.spreadsheetml.table+xml"/>
  <Override PartName="/xl/tables/table375.xml" ContentType="application/vnd.openxmlformats-officedocument.spreadsheetml.table+xml"/>
  <Override PartName="/xl/tables/table376.xml" ContentType="application/vnd.openxmlformats-officedocument.spreadsheetml.table+xml"/>
  <Override PartName="/xl/tables/table377.xml" ContentType="application/vnd.openxmlformats-officedocument.spreadsheetml.table+xml"/>
  <Override PartName="/xl/tables/table378.xml" ContentType="application/vnd.openxmlformats-officedocument.spreadsheetml.table+xml"/>
  <Override PartName="/xl/tables/table379.xml" ContentType="application/vnd.openxmlformats-officedocument.spreadsheetml.table+xml"/>
  <Override PartName="/xl/tables/table380.xml" ContentType="application/vnd.openxmlformats-officedocument.spreadsheetml.table+xml"/>
  <Override PartName="/xl/tables/table381.xml" ContentType="application/vnd.openxmlformats-officedocument.spreadsheetml.table+xml"/>
  <Override PartName="/xl/tables/table382.xml" ContentType="application/vnd.openxmlformats-officedocument.spreadsheetml.table+xml"/>
  <Override PartName="/xl/tables/table383.xml" ContentType="application/vnd.openxmlformats-officedocument.spreadsheetml.table+xml"/>
  <Override PartName="/xl/tables/table384.xml" ContentType="application/vnd.openxmlformats-officedocument.spreadsheetml.table+xml"/>
  <Override PartName="/xl/tables/table385.xml" ContentType="application/vnd.openxmlformats-officedocument.spreadsheetml.table+xml"/>
  <Override PartName="/xl/tables/table386.xml" ContentType="application/vnd.openxmlformats-officedocument.spreadsheetml.table+xml"/>
  <Override PartName="/xl/tables/table387.xml" ContentType="application/vnd.openxmlformats-officedocument.spreadsheetml.table+xml"/>
  <Override PartName="/xl/tables/table388.xml" ContentType="application/vnd.openxmlformats-officedocument.spreadsheetml.table+xml"/>
  <Override PartName="/xl/tables/table389.xml" ContentType="application/vnd.openxmlformats-officedocument.spreadsheetml.table+xml"/>
  <Override PartName="/xl/tables/table390.xml" ContentType="application/vnd.openxmlformats-officedocument.spreadsheetml.table+xml"/>
  <Override PartName="/xl/tables/table391.xml" ContentType="application/vnd.openxmlformats-officedocument.spreadsheetml.table+xml"/>
  <Override PartName="/xl/tables/table392.xml" ContentType="application/vnd.openxmlformats-officedocument.spreadsheetml.table+xml"/>
  <Override PartName="/xl/tables/table393.xml" ContentType="application/vnd.openxmlformats-officedocument.spreadsheetml.table+xml"/>
  <Override PartName="/xl/tables/table394.xml" ContentType="application/vnd.openxmlformats-officedocument.spreadsheetml.table+xml"/>
  <Override PartName="/xl/tables/table395.xml" ContentType="application/vnd.openxmlformats-officedocument.spreadsheetml.table+xml"/>
  <Override PartName="/xl/tables/table396.xml" ContentType="application/vnd.openxmlformats-officedocument.spreadsheetml.table+xml"/>
  <Override PartName="/xl/tables/table397.xml" ContentType="application/vnd.openxmlformats-officedocument.spreadsheetml.table+xml"/>
  <Override PartName="/xl/tables/table398.xml" ContentType="application/vnd.openxmlformats-officedocument.spreadsheetml.table+xml"/>
  <Override PartName="/xl/tables/table399.xml" ContentType="application/vnd.openxmlformats-officedocument.spreadsheetml.table+xml"/>
  <Override PartName="/xl/tables/table400.xml" ContentType="application/vnd.openxmlformats-officedocument.spreadsheetml.table+xml"/>
  <Override PartName="/xl/tables/table401.xml" ContentType="application/vnd.openxmlformats-officedocument.spreadsheetml.table+xml"/>
  <Override PartName="/xl/tables/table402.xml" ContentType="application/vnd.openxmlformats-officedocument.spreadsheetml.table+xml"/>
  <Override PartName="/xl/tables/table403.xml" ContentType="application/vnd.openxmlformats-officedocument.spreadsheetml.table+xml"/>
  <Override PartName="/xl/tables/table404.xml" ContentType="application/vnd.openxmlformats-officedocument.spreadsheetml.table+xml"/>
  <Override PartName="/xl/tables/table405.xml" ContentType="application/vnd.openxmlformats-officedocument.spreadsheetml.table+xml"/>
  <Override PartName="/xl/tables/table406.xml" ContentType="application/vnd.openxmlformats-officedocument.spreadsheetml.table+xml"/>
  <Override PartName="/xl/tables/table407.xml" ContentType="application/vnd.openxmlformats-officedocument.spreadsheetml.table+xml"/>
  <Override PartName="/xl/tables/table408.xml" ContentType="application/vnd.openxmlformats-officedocument.spreadsheetml.table+xml"/>
  <Override PartName="/xl/tables/table409.xml" ContentType="application/vnd.openxmlformats-officedocument.spreadsheetml.table+xml"/>
  <Override PartName="/xl/tables/table410.xml" ContentType="application/vnd.openxmlformats-officedocument.spreadsheetml.table+xml"/>
  <Override PartName="/xl/tables/table411.xml" ContentType="application/vnd.openxmlformats-officedocument.spreadsheetml.table+xml"/>
  <Override PartName="/xl/tables/table412.xml" ContentType="application/vnd.openxmlformats-officedocument.spreadsheetml.table+xml"/>
  <Override PartName="/xl/tables/table413.xml" ContentType="application/vnd.openxmlformats-officedocument.spreadsheetml.table+xml"/>
  <Override PartName="/xl/tables/table414.xml" ContentType="application/vnd.openxmlformats-officedocument.spreadsheetml.table+xml"/>
  <Override PartName="/xl/tables/table415.xml" ContentType="application/vnd.openxmlformats-officedocument.spreadsheetml.table+xml"/>
  <Override PartName="/xl/tables/table416.xml" ContentType="application/vnd.openxmlformats-officedocument.spreadsheetml.table+xml"/>
  <Override PartName="/xl/tables/table417.xml" ContentType="application/vnd.openxmlformats-officedocument.spreadsheetml.table+xml"/>
  <Override PartName="/xl/tables/table418.xml" ContentType="application/vnd.openxmlformats-officedocument.spreadsheetml.table+xml"/>
  <Override PartName="/xl/tables/table419.xml" ContentType="application/vnd.openxmlformats-officedocument.spreadsheetml.table+xml"/>
  <Override PartName="/xl/tables/table420.xml" ContentType="application/vnd.openxmlformats-officedocument.spreadsheetml.table+xml"/>
  <Override PartName="/xl/tables/table421.xml" ContentType="application/vnd.openxmlformats-officedocument.spreadsheetml.table+xml"/>
  <Override PartName="/xl/tables/table422.xml" ContentType="application/vnd.openxmlformats-officedocument.spreadsheetml.table+xml"/>
  <Override PartName="/xl/tables/table423.xml" ContentType="application/vnd.openxmlformats-officedocument.spreadsheetml.table+xml"/>
  <Override PartName="/xl/tables/table424.xml" ContentType="application/vnd.openxmlformats-officedocument.spreadsheetml.table+xml"/>
  <Override PartName="/xl/tables/table425.xml" ContentType="application/vnd.openxmlformats-officedocument.spreadsheetml.table+xml"/>
  <Override PartName="/xl/tables/table426.xml" ContentType="application/vnd.openxmlformats-officedocument.spreadsheetml.table+xml"/>
  <Override PartName="/xl/tables/table427.xml" ContentType="application/vnd.openxmlformats-officedocument.spreadsheetml.table+xml"/>
  <Override PartName="/xl/tables/table428.xml" ContentType="application/vnd.openxmlformats-officedocument.spreadsheetml.table+xml"/>
  <Override PartName="/xl/tables/table429.xml" ContentType="application/vnd.openxmlformats-officedocument.spreadsheetml.table+xml"/>
  <Override PartName="/xl/tables/table430.xml" ContentType="application/vnd.openxmlformats-officedocument.spreadsheetml.table+xml"/>
  <Override PartName="/xl/tables/table431.xml" ContentType="application/vnd.openxmlformats-officedocument.spreadsheetml.table+xml"/>
  <Override PartName="/xl/tables/table432.xml" ContentType="application/vnd.openxmlformats-officedocument.spreadsheetml.table+xml"/>
  <Override PartName="/xl/tables/table433.xml" ContentType="application/vnd.openxmlformats-officedocument.spreadsheetml.table+xml"/>
  <Override PartName="/xl/tables/table434.xml" ContentType="application/vnd.openxmlformats-officedocument.spreadsheetml.table+xml"/>
  <Override PartName="/xl/tables/table435.xml" ContentType="application/vnd.openxmlformats-officedocument.spreadsheetml.table+xml"/>
  <Override PartName="/xl/tables/table436.xml" ContentType="application/vnd.openxmlformats-officedocument.spreadsheetml.table+xml"/>
  <Override PartName="/xl/tables/table437.xml" ContentType="application/vnd.openxmlformats-officedocument.spreadsheetml.table+xml"/>
  <Override PartName="/xl/tables/table438.xml" ContentType="application/vnd.openxmlformats-officedocument.spreadsheetml.table+xml"/>
  <Override PartName="/xl/tables/table439.xml" ContentType="application/vnd.openxmlformats-officedocument.spreadsheetml.table+xml"/>
  <Override PartName="/xl/tables/table440.xml" ContentType="application/vnd.openxmlformats-officedocument.spreadsheetml.table+xml"/>
  <Override PartName="/xl/tables/table441.xml" ContentType="application/vnd.openxmlformats-officedocument.spreadsheetml.table+xml"/>
  <Override PartName="/xl/tables/table442.xml" ContentType="application/vnd.openxmlformats-officedocument.spreadsheetml.table+xml"/>
  <Override PartName="/xl/tables/table443.xml" ContentType="application/vnd.openxmlformats-officedocument.spreadsheetml.table+xml"/>
  <Override PartName="/xl/tables/table444.xml" ContentType="application/vnd.openxmlformats-officedocument.spreadsheetml.table+xml"/>
  <Override PartName="/xl/tables/table445.xml" ContentType="application/vnd.openxmlformats-officedocument.spreadsheetml.table+xml"/>
  <Override PartName="/xl/tables/table446.xml" ContentType="application/vnd.openxmlformats-officedocument.spreadsheetml.table+xml"/>
  <Override PartName="/xl/tables/table447.xml" ContentType="application/vnd.openxmlformats-officedocument.spreadsheetml.table+xml"/>
  <Override PartName="/xl/tables/table448.xml" ContentType="application/vnd.openxmlformats-officedocument.spreadsheetml.table+xml"/>
  <Override PartName="/xl/tables/table449.xml" ContentType="application/vnd.openxmlformats-officedocument.spreadsheetml.table+xml"/>
  <Override PartName="/xl/tables/table450.xml" ContentType="application/vnd.openxmlformats-officedocument.spreadsheetml.table+xml"/>
  <Override PartName="/xl/tables/table451.xml" ContentType="application/vnd.openxmlformats-officedocument.spreadsheetml.table+xml"/>
  <Override PartName="/xl/tables/table452.xml" ContentType="application/vnd.openxmlformats-officedocument.spreadsheetml.table+xml"/>
  <Override PartName="/xl/tables/table453.xml" ContentType="application/vnd.openxmlformats-officedocument.spreadsheetml.table+xml"/>
  <Override PartName="/xl/tables/table454.xml" ContentType="application/vnd.openxmlformats-officedocument.spreadsheetml.table+xml"/>
  <Override PartName="/xl/tables/table455.xml" ContentType="application/vnd.openxmlformats-officedocument.spreadsheetml.table+xml"/>
  <Override PartName="/xl/tables/table456.xml" ContentType="application/vnd.openxmlformats-officedocument.spreadsheetml.table+xml"/>
  <Override PartName="/xl/tables/table457.xml" ContentType="application/vnd.openxmlformats-officedocument.spreadsheetml.table+xml"/>
  <Override PartName="/xl/tables/table458.xml" ContentType="application/vnd.openxmlformats-officedocument.spreadsheetml.table+xml"/>
  <Override PartName="/xl/tables/table459.xml" ContentType="application/vnd.openxmlformats-officedocument.spreadsheetml.table+xml"/>
  <Override PartName="/xl/tables/table460.xml" ContentType="application/vnd.openxmlformats-officedocument.spreadsheetml.table+xml"/>
  <Override PartName="/xl/tables/table461.xml" ContentType="application/vnd.openxmlformats-officedocument.spreadsheetml.table+xml"/>
  <Override PartName="/xl/tables/table462.xml" ContentType="application/vnd.openxmlformats-officedocument.spreadsheetml.table+xml"/>
  <Override PartName="/xl/tables/table463.xml" ContentType="application/vnd.openxmlformats-officedocument.spreadsheetml.table+xml"/>
  <Override PartName="/xl/tables/table464.xml" ContentType="application/vnd.openxmlformats-officedocument.spreadsheetml.table+xml"/>
  <Override PartName="/xl/tables/table465.xml" ContentType="application/vnd.openxmlformats-officedocument.spreadsheetml.table+xml"/>
  <Override PartName="/xl/tables/table466.xml" ContentType="application/vnd.openxmlformats-officedocument.spreadsheetml.table+xml"/>
  <Override PartName="/xl/tables/table467.xml" ContentType="application/vnd.openxmlformats-officedocument.spreadsheetml.table+xml"/>
  <Override PartName="/xl/tables/table468.xml" ContentType="application/vnd.openxmlformats-officedocument.spreadsheetml.table+xml"/>
  <Override PartName="/xl/tables/table469.xml" ContentType="application/vnd.openxmlformats-officedocument.spreadsheetml.table+xml"/>
  <Override PartName="/xl/tables/table470.xml" ContentType="application/vnd.openxmlformats-officedocument.spreadsheetml.table+xml"/>
  <Override PartName="/xl/tables/table471.xml" ContentType="application/vnd.openxmlformats-officedocument.spreadsheetml.table+xml"/>
  <Override PartName="/xl/tables/table472.xml" ContentType="application/vnd.openxmlformats-officedocument.spreadsheetml.table+xml"/>
  <Override PartName="/xl/tables/table473.xml" ContentType="application/vnd.openxmlformats-officedocument.spreadsheetml.table+xml"/>
  <Override PartName="/xl/tables/table474.xml" ContentType="application/vnd.openxmlformats-officedocument.spreadsheetml.table+xml"/>
  <Override PartName="/xl/tables/table475.xml" ContentType="application/vnd.openxmlformats-officedocument.spreadsheetml.table+xml"/>
  <Override PartName="/xl/tables/table476.xml" ContentType="application/vnd.openxmlformats-officedocument.spreadsheetml.table+xml"/>
  <Override PartName="/xl/tables/table477.xml" ContentType="application/vnd.openxmlformats-officedocument.spreadsheetml.table+xml"/>
  <Override PartName="/xl/tables/table478.xml" ContentType="application/vnd.openxmlformats-officedocument.spreadsheetml.table+xml"/>
  <Override PartName="/xl/tables/table479.xml" ContentType="application/vnd.openxmlformats-officedocument.spreadsheetml.table+xml"/>
  <Override PartName="/xl/tables/table480.xml" ContentType="application/vnd.openxmlformats-officedocument.spreadsheetml.table+xml"/>
  <Override PartName="/xl/tables/table481.xml" ContentType="application/vnd.openxmlformats-officedocument.spreadsheetml.table+xml"/>
  <Override PartName="/xl/tables/table482.xml" ContentType="application/vnd.openxmlformats-officedocument.spreadsheetml.table+xml"/>
  <Override PartName="/xl/tables/table483.xml" ContentType="application/vnd.openxmlformats-officedocument.spreadsheetml.table+xml"/>
  <Override PartName="/xl/tables/table484.xml" ContentType="application/vnd.openxmlformats-officedocument.spreadsheetml.table+xml"/>
  <Override PartName="/xl/tables/table485.xml" ContentType="application/vnd.openxmlformats-officedocument.spreadsheetml.table+xml"/>
  <Override PartName="/xl/tables/table486.xml" ContentType="application/vnd.openxmlformats-officedocument.spreadsheetml.table+xml"/>
  <Override PartName="/xl/tables/table487.xml" ContentType="application/vnd.openxmlformats-officedocument.spreadsheetml.table+xml"/>
  <Override PartName="/xl/tables/table488.xml" ContentType="application/vnd.openxmlformats-officedocument.spreadsheetml.table+xml"/>
  <Override PartName="/xl/tables/table489.xml" ContentType="application/vnd.openxmlformats-officedocument.spreadsheetml.table+xml"/>
  <Override PartName="/xl/tables/table490.xml" ContentType="application/vnd.openxmlformats-officedocument.spreadsheetml.table+xml"/>
  <Override PartName="/xl/tables/table491.xml" ContentType="application/vnd.openxmlformats-officedocument.spreadsheetml.table+xml"/>
  <Override PartName="/xl/tables/table492.xml" ContentType="application/vnd.openxmlformats-officedocument.spreadsheetml.table+xml"/>
  <Override PartName="/xl/tables/table493.xml" ContentType="application/vnd.openxmlformats-officedocument.spreadsheetml.table+xml"/>
  <Override PartName="/xl/tables/table494.xml" ContentType="application/vnd.openxmlformats-officedocument.spreadsheetml.table+xml"/>
  <Override PartName="/xl/tables/table495.xml" ContentType="application/vnd.openxmlformats-officedocument.spreadsheetml.table+xml"/>
  <Override PartName="/xl/tables/table496.xml" ContentType="application/vnd.openxmlformats-officedocument.spreadsheetml.table+xml"/>
  <Override PartName="/xl/tables/table497.xml" ContentType="application/vnd.openxmlformats-officedocument.spreadsheetml.table+xml"/>
  <Override PartName="/xl/tables/table498.xml" ContentType="application/vnd.openxmlformats-officedocument.spreadsheetml.table+xml"/>
  <Override PartName="/xl/tables/table499.xml" ContentType="application/vnd.openxmlformats-officedocument.spreadsheetml.table+xml"/>
  <Override PartName="/xl/tables/table500.xml" ContentType="application/vnd.openxmlformats-officedocument.spreadsheetml.table+xml"/>
  <Override PartName="/xl/tables/table501.xml" ContentType="application/vnd.openxmlformats-officedocument.spreadsheetml.table+xml"/>
  <Override PartName="/xl/tables/table502.xml" ContentType="application/vnd.openxmlformats-officedocument.spreadsheetml.table+xml"/>
  <Override PartName="/xl/tables/table503.xml" ContentType="application/vnd.openxmlformats-officedocument.spreadsheetml.table+xml"/>
  <Override PartName="/xl/tables/table504.xml" ContentType="application/vnd.openxmlformats-officedocument.spreadsheetml.table+xml"/>
  <Override PartName="/xl/tables/table505.xml" ContentType="application/vnd.openxmlformats-officedocument.spreadsheetml.table+xml"/>
  <Override PartName="/xl/tables/table506.xml" ContentType="application/vnd.openxmlformats-officedocument.spreadsheetml.table+xml"/>
  <Override PartName="/xl/tables/table507.xml" ContentType="application/vnd.openxmlformats-officedocument.spreadsheetml.table+xml"/>
  <Override PartName="/xl/tables/table508.xml" ContentType="application/vnd.openxmlformats-officedocument.spreadsheetml.table+xml"/>
  <Override PartName="/xl/tables/table509.xml" ContentType="application/vnd.openxmlformats-officedocument.spreadsheetml.table+xml"/>
  <Override PartName="/xl/tables/table510.xml" ContentType="application/vnd.openxmlformats-officedocument.spreadsheetml.table+xml"/>
  <Override PartName="/xl/tables/table511.xml" ContentType="application/vnd.openxmlformats-officedocument.spreadsheetml.table+xml"/>
  <Override PartName="/xl/tables/table512.xml" ContentType="application/vnd.openxmlformats-officedocument.spreadsheetml.table+xml"/>
  <Override PartName="/xl/tables/table513.xml" ContentType="application/vnd.openxmlformats-officedocument.spreadsheetml.table+xml"/>
  <Override PartName="/xl/tables/table514.xml" ContentType="application/vnd.openxmlformats-officedocument.spreadsheetml.table+xml"/>
  <Override PartName="/xl/tables/table515.xml" ContentType="application/vnd.openxmlformats-officedocument.spreadsheetml.table+xml"/>
  <Override PartName="/xl/tables/table516.xml" ContentType="application/vnd.openxmlformats-officedocument.spreadsheetml.table+xml"/>
  <Override PartName="/xl/tables/table517.xml" ContentType="application/vnd.openxmlformats-officedocument.spreadsheetml.table+xml"/>
  <Override PartName="/xl/tables/table518.xml" ContentType="application/vnd.openxmlformats-officedocument.spreadsheetml.table+xml"/>
  <Override PartName="/xl/tables/table519.xml" ContentType="application/vnd.openxmlformats-officedocument.spreadsheetml.table+xml"/>
  <Override PartName="/xl/tables/table520.xml" ContentType="application/vnd.openxmlformats-officedocument.spreadsheetml.table+xml"/>
  <Override PartName="/xl/tables/table521.xml" ContentType="application/vnd.openxmlformats-officedocument.spreadsheetml.table+xml"/>
  <Override PartName="/xl/tables/table522.xml" ContentType="application/vnd.openxmlformats-officedocument.spreadsheetml.table+xml"/>
  <Override PartName="/xl/tables/table523.xml" ContentType="application/vnd.openxmlformats-officedocument.spreadsheetml.table+xml"/>
  <Override PartName="/xl/tables/table524.xml" ContentType="application/vnd.openxmlformats-officedocument.spreadsheetml.table+xml"/>
  <Override PartName="/xl/tables/table525.xml" ContentType="application/vnd.openxmlformats-officedocument.spreadsheetml.table+xml"/>
  <Override PartName="/xl/tables/table526.xml" ContentType="application/vnd.openxmlformats-officedocument.spreadsheetml.table+xml"/>
  <Override PartName="/xl/tables/table527.xml" ContentType="application/vnd.openxmlformats-officedocument.spreadsheetml.table+xml"/>
  <Override PartName="/xl/tables/table528.xml" ContentType="application/vnd.openxmlformats-officedocument.spreadsheetml.table+xml"/>
  <Override PartName="/xl/tables/table529.xml" ContentType="application/vnd.openxmlformats-officedocument.spreadsheetml.table+xml"/>
  <Override PartName="/xl/tables/table530.xml" ContentType="application/vnd.openxmlformats-officedocument.spreadsheetml.table+xml"/>
  <Override PartName="/xl/tables/table531.xml" ContentType="application/vnd.openxmlformats-officedocument.spreadsheetml.table+xml"/>
  <Override PartName="/xl/tables/table532.xml" ContentType="application/vnd.openxmlformats-officedocument.spreadsheetml.table+xml"/>
  <Override PartName="/xl/tables/table533.xml" ContentType="application/vnd.openxmlformats-officedocument.spreadsheetml.table+xml"/>
  <Override PartName="/xl/tables/table534.xml" ContentType="application/vnd.openxmlformats-officedocument.spreadsheetml.table+xml"/>
  <Override PartName="/xl/tables/table535.xml" ContentType="application/vnd.openxmlformats-officedocument.spreadsheetml.table+xml"/>
  <Override PartName="/xl/tables/table536.xml" ContentType="application/vnd.openxmlformats-officedocument.spreadsheetml.table+xml"/>
  <Override PartName="/xl/tables/table537.xml" ContentType="application/vnd.openxmlformats-officedocument.spreadsheetml.table+xml"/>
  <Override PartName="/xl/tables/table538.xml" ContentType="application/vnd.openxmlformats-officedocument.spreadsheetml.table+xml"/>
  <Override PartName="/xl/tables/table539.xml" ContentType="application/vnd.openxmlformats-officedocument.spreadsheetml.table+xml"/>
  <Override PartName="/xl/tables/table540.xml" ContentType="application/vnd.openxmlformats-officedocument.spreadsheetml.table+xml"/>
  <Override PartName="/xl/tables/table541.xml" ContentType="application/vnd.openxmlformats-officedocument.spreadsheetml.table+xml"/>
  <Override PartName="/xl/tables/table542.xml" ContentType="application/vnd.openxmlformats-officedocument.spreadsheetml.table+xml"/>
  <Override PartName="/xl/tables/table543.xml" ContentType="application/vnd.openxmlformats-officedocument.spreadsheetml.table+xml"/>
  <Override PartName="/xl/tables/table544.xml" ContentType="application/vnd.openxmlformats-officedocument.spreadsheetml.table+xml"/>
  <Override PartName="/xl/tables/table545.xml" ContentType="application/vnd.openxmlformats-officedocument.spreadsheetml.table+xml"/>
  <Override PartName="/xl/comments2.xml" ContentType="application/vnd.openxmlformats-officedocument.spreadsheetml.comments+xml"/>
  <Override PartName="/xl/tables/table546.xml" ContentType="application/vnd.openxmlformats-officedocument.spreadsheetml.table+xml"/>
  <Override PartName="/xl/tables/table547.xml" ContentType="application/vnd.openxmlformats-officedocument.spreadsheetml.table+xml"/>
  <Override PartName="/xl/tables/table548.xml" ContentType="application/vnd.openxmlformats-officedocument.spreadsheetml.table+xml"/>
  <Override PartName="/xl/tables/table549.xml" ContentType="application/vnd.openxmlformats-officedocument.spreadsheetml.table+xml"/>
  <Override PartName="/xl/tables/table550.xml" ContentType="application/vnd.openxmlformats-officedocument.spreadsheetml.table+xml"/>
  <Override PartName="/xl/tables/table551.xml" ContentType="application/vnd.openxmlformats-officedocument.spreadsheetml.table+xml"/>
  <Override PartName="/xl/tables/table552.xml" ContentType="application/vnd.openxmlformats-officedocument.spreadsheetml.table+xml"/>
  <Override PartName="/xl/tables/table553.xml" ContentType="application/vnd.openxmlformats-officedocument.spreadsheetml.table+xml"/>
  <Override PartName="/xl/tables/table554.xml" ContentType="application/vnd.openxmlformats-officedocument.spreadsheetml.table+xml"/>
  <Override PartName="/xl/tables/table555.xml" ContentType="application/vnd.openxmlformats-officedocument.spreadsheetml.table+xml"/>
  <Override PartName="/xl/tables/table556.xml" ContentType="application/vnd.openxmlformats-officedocument.spreadsheetml.table+xml"/>
  <Override PartName="/xl/tables/table557.xml" ContentType="application/vnd.openxmlformats-officedocument.spreadsheetml.table+xml"/>
  <Override PartName="/xl/tables/table558.xml" ContentType="application/vnd.openxmlformats-officedocument.spreadsheetml.table+xml"/>
  <Override PartName="/xl/tables/table559.xml" ContentType="application/vnd.openxmlformats-officedocument.spreadsheetml.table+xml"/>
  <Override PartName="/xl/tables/table560.xml" ContentType="application/vnd.openxmlformats-officedocument.spreadsheetml.table+xml"/>
  <Override PartName="/xl/tables/table561.xml" ContentType="application/vnd.openxmlformats-officedocument.spreadsheetml.table+xml"/>
  <Override PartName="/xl/tables/table562.xml" ContentType="application/vnd.openxmlformats-officedocument.spreadsheetml.table+xml"/>
  <Override PartName="/xl/tables/table563.xml" ContentType="application/vnd.openxmlformats-officedocument.spreadsheetml.table+xml"/>
  <Override PartName="/xl/tables/table564.xml" ContentType="application/vnd.openxmlformats-officedocument.spreadsheetml.table+xml"/>
  <Override PartName="/xl/tables/table565.xml" ContentType="application/vnd.openxmlformats-officedocument.spreadsheetml.table+xml"/>
  <Override PartName="/xl/tables/table566.xml" ContentType="application/vnd.openxmlformats-officedocument.spreadsheetml.table+xml"/>
  <Override PartName="/xl/tables/table567.xml" ContentType="application/vnd.openxmlformats-officedocument.spreadsheetml.table+xml"/>
  <Override PartName="/xl/tables/table568.xml" ContentType="application/vnd.openxmlformats-officedocument.spreadsheetml.table+xml"/>
  <Override PartName="/xl/tables/table569.xml" ContentType="application/vnd.openxmlformats-officedocument.spreadsheetml.table+xml"/>
  <Override PartName="/xl/tables/table570.xml" ContentType="application/vnd.openxmlformats-officedocument.spreadsheetml.table+xml"/>
  <Override PartName="/xl/tables/table571.xml" ContentType="application/vnd.openxmlformats-officedocument.spreadsheetml.table+xml"/>
  <Override PartName="/xl/tables/table572.xml" ContentType="application/vnd.openxmlformats-officedocument.spreadsheetml.table+xml"/>
  <Override PartName="/xl/tables/table573.xml" ContentType="application/vnd.openxmlformats-officedocument.spreadsheetml.table+xml"/>
  <Override PartName="/xl/tables/table574.xml" ContentType="application/vnd.openxmlformats-officedocument.spreadsheetml.table+xml"/>
  <Override PartName="/xl/tables/table575.xml" ContentType="application/vnd.openxmlformats-officedocument.spreadsheetml.table+xml"/>
  <Override PartName="/xl/tables/table576.xml" ContentType="application/vnd.openxmlformats-officedocument.spreadsheetml.table+xml"/>
  <Override PartName="/xl/tables/table577.xml" ContentType="application/vnd.openxmlformats-officedocument.spreadsheetml.table+xml"/>
  <Override PartName="/xl/tables/table578.xml" ContentType="application/vnd.openxmlformats-officedocument.spreadsheetml.table+xml"/>
  <Override PartName="/xl/tables/table579.xml" ContentType="application/vnd.openxmlformats-officedocument.spreadsheetml.table+xml"/>
  <Override PartName="/xl/tables/table580.xml" ContentType="application/vnd.openxmlformats-officedocument.spreadsheetml.table+xml"/>
  <Override PartName="/xl/tables/table581.xml" ContentType="application/vnd.openxmlformats-officedocument.spreadsheetml.table+xml"/>
  <Override PartName="/xl/tables/table582.xml" ContentType="application/vnd.openxmlformats-officedocument.spreadsheetml.table+xml"/>
  <Override PartName="/xl/tables/table583.xml" ContentType="application/vnd.openxmlformats-officedocument.spreadsheetml.table+xml"/>
  <Override PartName="/xl/tables/table584.xml" ContentType="application/vnd.openxmlformats-officedocument.spreadsheetml.table+xml"/>
  <Override PartName="/xl/tables/table585.xml" ContentType="application/vnd.openxmlformats-officedocument.spreadsheetml.table+xml"/>
  <Override PartName="/xl/tables/table586.xml" ContentType="application/vnd.openxmlformats-officedocument.spreadsheetml.table+xml"/>
  <Override PartName="/xl/tables/table587.xml" ContentType="application/vnd.openxmlformats-officedocument.spreadsheetml.table+xml"/>
  <Override PartName="/xl/tables/table588.xml" ContentType="application/vnd.openxmlformats-officedocument.spreadsheetml.table+xml"/>
  <Override PartName="/xl/tables/table589.xml" ContentType="application/vnd.openxmlformats-officedocument.spreadsheetml.table+xml"/>
  <Override PartName="/xl/tables/table590.xml" ContentType="application/vnd.openxmlformats-officedocument.spreadsheetml.table+xml"/>
  <Override PartName="/xl/tables/table591.xml" ContentType="application/vnd.openxmlformats-officedocument.spreadsheetml.table+xml"/>
  <Override PartName="/xl/tables/table592.xml" ContentType="application/vnd.openxmlformats-officedocument.spreadsheetml.table+xml"/>
  <Override PartName="/xl/tables/table593.xml" ContentType="application/vnd.openxmlformats-officedocument.spreadsheetml.table+xml"/>
  <Override PartName="/xl/tables/table594.xml" ContentType="application/vnd.openxmlformats-officedocument.spreadsheetml.table+xml"/>
  <Override PartName="/xl/tables/table595.xml" ContentType="application/vnd.openxmlformats-officedocument.spreadsheetml.table+xml"/>
  <Override PartName="/xl/tables/table596.xml" ContentType="application/vnd.openxmlformats-officedocument.spreadsheetml.table+xml"/>
  <Override PartName="/xl/tables/table597.xml" ContentType="application/vnd.openxmlformats-officedocument.spreadsheetml.table+xml"/>
  <Override PartName="/xl/tables/table598.xml" ContentType="application/vnd.openxmlformats-officedocument.spreadsheetml.table+xml"/>
  <Override PartName="/xl/tables/table599.xml" ContentType="application/vnd.openxmlformats-officedocument.spreadsheetml.table+xml"/>
  <Override PartName="/xl/tables/table600.xml" ContentType="application/vnd.openxmlformats-officedocument.spreadsheetml.table+xml"/>
  <Override PartName="/xl/tables/table601.xml" ContentType="application/vnd.openxmlformats-officedocument.spreadsheetml.table+xml"/>
  <Override PartName="/xl/tables/table602.xml" ContentType="application/vnd.openxmlformats-officedocument.spreadsheetml.table+xml"/>
  <Override PartName="/xl/tables/table603.xml" ContentType="application/vnd.openxmlformats-officedocument.spreadsheetml.table+xml"/>
  <Override PartName="/xl/tables/table604.xml" ContentType="application/vnd.openxmlformats-officedocument.spreadsheetml.table+xml"/>
  <Override PartName="/xl/tables/table605.xml" ContentType="application/vnd.openxmlformats-officedocument.spreadsheetml.table+xml"/>
  <Override PartName="/xl/tables/table606.xml" ContentType="application/vnd.openxmlformats-officedocument.spreadsheetml.table+xml"/>
  <Override PartName="/xl/tables/table607.xml" ContentType="application/vnd.openxmlformats-officedocument.spreadsheetml.table+xml"/>
  <Override PartName="/xl/tables/table608.xml" ContentType="application/vnd.openxmlformats-officedocument.spreadsheetml.table+xml"/>
  <Override PartName="/xl/tables/table609.xml" ContentType="application/vnd.openxmlformats-officedocument.spreadsheetml.table+xml"/>
  <Override PartName="/xl/tables/table610.xml" ContentType="application/vnd.openxmlformats-officedocument.spreadsheetml.table+xml"/>
  <Override PartName="/xl/tables/table611.xml" ContentType="application/vnd.openxmlformats-officedocument.spreadsheetml.table+xml"/>
  <Override PartName="/xl/tables/table612.xml" ContentType="application/vnd.openxmlformats-officedocument.spreadsheetml.table+xml"/>
  <Override PartName="/xl/tables/table613.xml" ContentType="application/vnd.openxmlformats-officedocument.spreadsheetml.table+xml"/>
  <Override PartName="/xl/tables/table614.xml" ContentType="application/vnd.openxmlformats-officedocument.spreadsheetml.table+xml"/>
  <Override PartName="/xl/tables/table615.xml" ContentType="application/vnd.openxmlformats-officedocument.spreadsheetml.table+xml"/>
  <Override PartName="/xl/tables/table616.xml" ContentType="application/vnd.openxmlformats-officedocument.spreadsheetml.table+xml"/>
  <Override PartName="/xl/tables/table617.xml" ContentType="application/vnd.openxmlformats-officedocument.spreadsheetml.table+xml"/>
  <Override PartName="/xl/tables/table618.xml" ContentType="application/vnd.openxmlformats-officedocument.spreadsheetml.table+xml"/>
  <Override PartName="/xl/tables/table619.xml" ContentType="application/vnd.openxmlformats-officedocument.spreadsheetml.table+xml"/>
  <Override PartName="/xl/tables/table620.xml" ContentType="application/vnd.openxmlformats-officedocument.spreadsheetml.table+xml"/>
  <Override PartName="/xl/tables/table621.xml" ContentType="application/vnd.openxmlformats-officedocument.spreadsheetml.table+xml"/>
  <Override PartName="/xl/drawings/drawing2.xml" ContentType="application/vnd.openxmlformats-officedocument.drawing+xml"/>
  <Override PartName="/xl/tables/table622.xml" ContentType="application/vnd.openxmlformats-officedocument.spreadsheetml.table+xml"/>
  <Override PartName="/xl/comments3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623.xml" ContentType="application/vnd.openxmlformats-officedocument.spreadsheetml.table+xml"/>
  <Override PartName="/xl/tables/table624.xml" ContentType="application/vnd.openxmlformats-officedocument.spreadsheetml.table+xml"/>
  <Override PartName="/xl/tables/table625.xml" ContentType="application/vnd.openxmlformats-officedocument.spreadsheetml.table+xml"/>
  <Override PartName="/xl/tables/table626.xml" ContentType="application/vnd.openxmlformats-officedocument.spreadsheetml.table+xml"/>
  <Override PartName="/xl/tables/table627.xml" ContentType="application/vnd.openxmlformats-officedocument.spreadsheetml.tab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ables/table628.xml" ContentType="application/vnd.openxmlformats-officedocument.spreadsheetml.table+xml"/>
  <Override PartName="/xl/drawings/drawing5.xml" ContentType="application/vnd.openxmlformats-officedocument.drawing+xml"/>
  <Override PartName="/xl/tables/table629.xml" ContentType="application/vnd.openxmlformats-officedocument.spreadsheetml.table+xml"/>
  <Override PartName="/xl/tables/table630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psilva\Desktop\Respaldo.Sernapesca\Archivos_psilva\BASE DE DATOS ACUICULTURA\1-SALUD ANIMAL\1-IMPORTACIONES - SA\VERSIONES OFICIALES AI - OC\"/>
    </mc:Choice>
  </mc:AlternateContent>
  <xr:revisionPtr revIDLastSave="0" documentId="13_ncr:1_{8EC1A0C7-4A09-4EEB-98B7-8626A0987169}" xr6:coauthVersionLast="47" xr6:coauthVersionMax="47" xr10:uidLastSave="{00000000-0000-0000-0000-000000000000}"/>
  <bookViews>
    <workbookView xWindow="28680" yWindow="-120" windowWidth="24240" windowHeight="13020" tabRatio="817" xr2:uid="{00000000-000D-0000-FFFF-FFFF00000000}"/>
  </bookViews>
  <sheets>
    <sheet name="ORDEN DE CUARENTENA" sheetId="1" r:id="rId1"/>
    <sheet name="sp. peces" sheetId="5" state="hidden" r:id="rId2"/>
    <sheet name="sp.cnidaria" sheetId="4" state="hidden" r:id="rId3"/>
    <sheet name="sp. porifera" sheetId="21" state="hidden" r:id="rId4"/>
    <sheet name="ANEXO" sheetId="10" r:id="rId5"/>
    <sheet name="Acuario (Arribado - mortalidad)" sheetId="6" r:id="rId6"/>
    <sheet name="Tratamientos-Eventos" sheetId="8" r:id="rId7"/>
    <sheet name="Resumen de cuarentena" sheetId="24" r:id="rId8"/>
    <sheet name="AMBIENTE" sheetId="11" state="hidden" r:id="rId9"/>
    <sheet name="IMP-PT2" sheetId="12" r:id="rId10"/>
    <sheet name="DatosInspeccion" sheetId="13" r:id="rId11"/>
    <sheet name="DatosAcDia" sheetId="22" r:id="rId12"/>
    <sheet name="Gráfica mortalidad" sheetId="15" r:id="rId13"/>
  </sheets>
  <definedNames>
    <definedName name="_xlnm._FilterDatabase" localSheetId="4" hidden="1">ANEXO!$A$11:$AH$30</definedName>
    <definedName name="_xlnm._FilterDatabase" localSheetId="0" hidden="1">'ORDEN DE CUARENTENA'!$A$11:$AH$30</definedName>
    <definedName name="_xlnm.Print_Area" localSheetId="5">'Acuario (Arribado - mortalidad)'!$A$1:$AD$91</definedName>
    <definedName name="_xlnm.Print_Area" localSheetId="4">ANEXO!$A$1:$AK$72</definedName>
    <definedName name="_xlnm.Print_Area" localSheetId="10">DatosInspeccion!$B$1:$BF$10</definedName>
    <definedName name="_xlnm.Print_Area" localSheetId="12">'Gráfica mortalidad'!$A$1:$BA$27</definedName>
    <definedName name="_xlnm.Print_Area" localSheetId="9">'IMP-PT2'!$A$1:$BB$56</definedName>
    <definedName name="_xlnm.Print_Area" localSheetId="0">'ORDEN DE CUARENTENA'!$A$1:$AK$72</definedName>
    <definedName name="_xlnm.Print_Area" localSheetId="7">'Resumen de cuarentena'!$A$1:$R$126</definedName>
    <definedName name="_xlnm.Print_Area" localSheetId="6">'Tratamientos-Eventos'!$A$1:$R$46</definedName>
  </definedNames>
  <calcPr calcId="191029"/>
  <pivotCaches>
    <pivotCache cacheId="11" r:id="rId1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F6" i="13" l="1"/>
  <c r="BF7" i="13"/>
  <c r="BF8" i="13"/>
  <c r="BF5" i="13"/>
  <c r="BE6" i="13"/>
  <c r="BE7" i="13"/>
  <c r="BE8" i="13"/>
  <c r="BE5" i="13"/>
  <c r="BD6" i="13"/>
  <c r="BD7" i="13"/>
  <c r="BD8" i="13"/>
  <c r="BD5" i="13"/>
  <c r="BC5" i="13"/>
  <c r="AW8" i="13"/>
  <c r="AW7" i="13"/>
  <c r="AW6" i="13"/>
  <c r="AW5" i="13"/>
  <c r="D6" i="13" l="1"/>
  <c r="D7" i="13"/>
  <c r="D8" i="13"/>
  <c r="M110" i="24" l="1"/>
  <c r="M111" i="24"/>
  <c r="M112" i="24"/>
  <c r="M113" i="24"/>
  <c r="M114" i="24"/>
  <c r="M115" i="24"/>
  <c r="M116" i="24"/>
  <c r="M117" i="24"/>
  <c r="M118" i="24"/>
  <c r="M119" i="24"/>
  <c r="M120" i="24"/>
  <c r="M109" i="24"/>
  <c r="M68" i="24"/>
  <c r="M69" i="24"/>
  <c r="M70" i="24"/>
  <c r="M71" i="24"/>
  <c r="M72" i="24"/>
  <c r="M73" i="24"/>
  <c r="M74" i="24"/>
  <c r="M75" i="24"/>
  <c r="M76" i="24"/>
  <c r="M77" i="24"/>
  <c r="M78" i="24"/>
  <c r="M79" i="24"/>
  <c r="M80" i="24"/>
  <c r="M81" i="24"/>
  <c r="M82" i="24"/>
  <c r="M83" i="24"/>
  <c r="M84" i="24"/>
  <c r="M85" i="24"/>
  <c r="M86" i="24"/>
  <c r="M87" i="24"/>
  <c r="M88" i="24"/>
  <c r="M89" i="24"/>
  <c r="M90" i="24"/>
  <c r="M91" i="24"/>
  <c r="M92" i="24"/>
  <c r="M93" i="24"/>
  <c r="M94" i="24"/>
  <c r="M95" i="24"/>
  <c r="M96" i="24"/>
  <c r="M97" i="24"/>
  <c r="M98" i="24"/>
  <c r="M99" i="24"/>
  <c r="M100" i="24"/>
  <c r="Z2" i="22" l="1"/>
  <c r="Z3" i="22"/>
  <c r="Z4" i="22"/>
  <c r="Z5" i="22"/>
  <c r="Z6" i="22"/>
  <c r="Z7" i="22"/>
  <c r="Z8" i="22"/>
  <c r="Z9" i="22"/>
  <c r="Z10" i="22"/>
  <c r="Z11" i="22"/>
  <c r="Z12" i="22"/>
  <c r="Z13" i="22"/>
  <c r="Z14" i="22"/>
  <c r="Z15" i="22"/>
  <c r="Z16" i="22"/>
  <c r="Z17" i="22"/>
  <c r="Z18" i="22"/>
  <c r="Z19" i="22"/>
  <c r="Z20" i="22"/>
  <c r="Z21" i="22"/>
  <c r="Z22" i="22"/>
  <c r="Z23" i="22"/>
  <c r="Z24" i="22"/>
  <c r="Z25" i="22"/>
  <c r="Z26" i="22"/>
  <c r="Z27" i="22"/>
  <c r="Z28" i="22"/>
  <c r="Z29" i="22"/>
  <c r="Z30" i="22"/>
  <c r="Z31" i="22"/>
  <c r="Z32" i="22"/>
  <c r="Z33" i="22"/>
  <c r="Z34" i="22"/>
  <c r="Z35" i="22"/>
  <c r="Z36" i="22"/>
  <c r="Z37" i="22"/>
  <c r="Z38" i="22"/>
  <c r="Z39" i="22"/>
  <c r="Z40" i="22"/>
  <c r="Z41" i="22"/>
  <c r="Z42" i="22"/>
  <c r="Z43" i="22"/>
  <c r="Z44" i="22"/>
  <c r="Z45" i="22"/>
  <c r="Z46" i="22"/>
  <c r="Z47" i="22"/>
  <c r="Z48" i="22"/>
  <c r="Z49" i="22"/>
  <c r="Z50" i="22"/>
  <c r="Z51" i="22"/>
  <c r="Z52" i="22"/>
  <c r="Z53" i="22"/>
  <c r="Z54" i="22"/>
  <c r="Z55" i="22"/>
  <c r="Z56" i="22"/>
  <c r="Z57" i="22"/>
  <c r="Z58" i="22"/>
  <c r="Z59" i="22"/>
  <c r="Z60" i="22"/>
  <c r="Z61" i="22"/>
  <c r="Z62" i="22"/>
  <c r="Z63" i="22"/>
  <c r="Z64" i="22"/>
  <c r="Z65" i="22"/>
  <c r="Z66" i="22"/>
  <c r="Z67" i="22"/>
  <c r="Z68" i="22"/>
  <c r="Z69" i="22"/>
  <c r="Z70" i="22"/>
  <c r="Z71" i="22"/>
  <c r="Z72" i="22"/>
  <c r="Z73" i="22"/>
  <c r="Z74" i="22"/>
  <c r="Z75" i="22"/>
  <c r="Z76" i="22"/>
  <c r="Z77" i="22"/>
  <c r="Z78" i="22"/>
  <c r="AI13" i="12" l="1"/>
  <c r="AI14" i="12"/>
  <c r="AI15" i="12"/>
  <c r="AI16" i="12"/>
  <c r="T2" i="6" l="1"/>
  <c r="B8" i="13" l="1"/>
  <c r="B7" i="13"/>
  <c r="B6" i="13"/>
  <c r="B5" i="13"/>
  <c r="W26" i="8" l="1"/>
  <c r="Z73" i="8" l="1"/>
  <c r="Z74" i="8"/>
  <c r="Z75" i="8"/>
  <c r="Z76" i="8"/>
  <c r="Z77" i="8"/>
  <c r="Z78" i="8"/>
  <c r="Z79" i="8"/>
  <c r="Z80" i="8"/>
  <c r="Z81" i="8"/>
  <c r="Z82" i="8"/>
  <c r="Z83" i="8"/>
  <c r="Z72" i="8"/>
  <c r="Z61" i="8"/>
  <c r="Z62" i="8"/>
  <c r="Z63" i="8"/>
  <c r="Z64" i="8"/>
  <c r="Z65" i="8"/>
  <c r="Z66" i="8"/>
  <c r="Z67" i="8"/>
  <c r="Z68" i="8"/>
  <c r="Z69" i="8"/>
  <c r="Z70" i="8"/>
  <c r="Z71" i="8"/>
  <c r="Z60" i="8"/>
  <c r="Z49" i="8"/>
  <c r="Z50" i="8"/>
  <c r="Z51" i="8"/>
  <c r="Z52" i="8"/>
  <c r="Z53" i="8"/>
  <c r="Z54" i="8"/>
  <c r="Z55" i="8"/>
  <c r="Z56" i="8"/>
  <c r="Z57" i="8"/>
  <c r="Z58" i="8"/>
  <c r="Z59" i="8"/>
  <c r="Z48" i="8"/>
  <c r="Z37" i="8"/>
  <c r="Z38" i="8"/>
  <c r="Z39" i="8"/>
  <c r="Z40" i="8"/>
  <c r="Z41" i="8"/>
  <c r="Z42" i="8"/>
  <c r="Z43" i="8"/>
  <c r="Z44" i="8"/>
  <c r="Z45" i="8"/>
  <c r="Z46" i="8"/>
  <c r="Z47" i="8"/>
  <c r="Z36" i="8"/>
  <c r="Z25" i="8"/>
  <c r="Z26" i="8"/>
  <c r="Z27" i="8"/>
  <c r="Z28" i="8"/>
  <c r="Z29" i="8"/>
  <c r="Z30" i="8"/>
  <c r="Z31" i="8"/>
  <c r="Z32" i="8"/>
  <c r="Z33" i="8"/>
  <c r="Z34" i="8"/>
  <c r="Z35" i="8"/>
  <c r="Z24" i="8"/>
  <c r="Z12" i="8"/>
  <c r="Z13" i="8"/>
  <c r="Z14" i="8"/>
  <c r="Z15" i="8"/>
  <c r="Z16" i="8"/>
  <c r="Z17" i="8"/>
  <c r="Z18" i="8"/>
  <c r="Z19" i="8"/>
  <c r="Z20" i="8"/>
  <c r="Z21" i="8"/>
  <c r="Z22" i="8"/>
  <c r="Z23" i="8"/>
  <c r="N15" i="1" l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14" i="1"/>
  <c r="P120" i="24" l="1"/>
  <c r="Q120" i="24" s="1"/>
  <c r="P119" i="24"/>
  <c r="Q119" i="24" s="1"/>
  <c r="P118" i="24"/>
  <c r="Q118" i="24" s="1"/>
  <c r="P117" i="24"/>
  <c r="Q117" i="24" s="1"/>
  <c r="P116" i="24"/>
  <c r="Q116" i="24" s="1"/>
  <c r="P115" i="24"/>
  <c r="Q115" i="24" s="1"/>
  <c r="P114" i="24"/>
  <c r="Q114" i="24" s="1"/>
  <c r="P113" i="24"/>
  <c r="Q113" i="24" s="1"/>
  <c r="P112" i="24"/>
  <c r="Q112" i="24" s="1"/>
  <c r="P111" i="24"/>
  <c r="Q111" i="24" s="1"/>
  <c r="P110" i="24"/>
  <c r="Q110" i="24" s="1"/>
  <c r="P109" i="24"/>
  <c r="Q109" i="24" s="1"/>
  <c r="P100" i="24"/>
  <c r="Q100" i="24" s="1"/>
  <c r="P99" i="24"/>
  <c r="Q99" i="24" s="1"/>
  <c r="P98" i="24"/>
  <c r="Q98" i="24" s="1"/>
  <c r="P97" i="24"/>
  <c r="Q97" i="24" s="1"/>
  <c r="P96" i="24"/>
  <c r="Q96" i="24" s="1"/>
  <c r="P95" i="24"/>
  <c r="Q95" i="24" s="1"/>
  <c r="P94" i="24"/>
  <c r="Q94" i="24" s="1"/>
  <c r="P93" i="24"/>
  <c r="Q93" i="24" s="1"/>
  <c r="P92" i="24"/>
  <c r="Q92" i="24" s="1"/>
  <c r="P91" i="24"/>
  <c r="Q91" i="24" s="1"/>
  <c r="P90" i="24"/>
  <c r="Q90" i="24" s="1"/>
  <c r="P89" i="24"/>
  <c r="Q89" i="24" s="1"/>
  <c r="P88" i="24"/>
  <c r="Q88" i="24" s="1"/>
  <c r="P87" i="24"/>
  <c r="Q87" i="24" s="1"/>
  <c r="P86" i="24"/>
  <c r="Q86" i="24" s="1"/>
  <c r="P85" i="24"/>
  <c r="Q85" i="24" s="1"/>
  <c r="P84" i="24"/>
  <c r="Q84" i="24" s="1"/>
  <c r="P83" i="24"/>
  <c r="Q83" i="24" s="1"/>
  <c r="P82" i="24"/>
  <c r="Q82" i="24" s="1"/>
  <c r="P81" i="24"/>
  <c r="Q81" i="24" s="1"/>
  <c r="P80" i="24"/>
  <c r="Q80" i="24" s="1"/>
  <c r="P79" i="24"/>
  <c r="Q79" i="24" s="1"/>
  <c r="P78" i="24"/>
  <c r="Q78" i="24" s="1"/>
  <c r="P77" i="24"/>
  <c r="Q77" i="24" s="1"/>
  <c r="P76" i="24"/>
  <c r="Q76" i="24" s="1"/>
  <c r="P75" i="24"/>
  <c r="Q75" i="24" s="1"/>
  <c r="P74" i="24"/>
  <c r="Q74" i="24" s="1"/>
  <c r="P73" i="24"/>
  <c r="Q73" i="24" s="1"/>
  <c r="P72" i="24"/>
  <c r="Q72" i="24" s="1"/>
  <c r="P71" i="24"/>
  <c r="Q71" i="24" s="1"/>
  <c r="P70" i="24"/>
  <c r="Q70" i="24" s="1"/>
  <c r="P69" i="24"/>
  <c r="Q69" i="24" s="1"/>
  <c r="P68" i="24"/>
  <c r="Q68" i="24" s="1"/>
  <c r="P67" i="24"/>
  <c r="Q67" i="24" s="1"/>
  <c r="P66" i="24"/>
  <c r="Q66" i="24" s="1"/>
  <c r="P65" i="24"/>
  <c r="Q65" i="24" s="1"/>
  <c r="P64" i="24"/>
  <c r="Q64" i="24" s="1"/>
  <c r="P63" i="24"/>
  <c r="Q63" i="24" s="1"/>
  <c r="P62" i="24"/>
  <c r="Q62" i="24" s="1"/>
  <c r="P61" i="24"/>
  <c r="Q61" i="24" s="1"/>
  <c r="P60" i="24"/>
  <c r="Q60" i="24" s="1"/>
  <c r="P59" i="24"/>
  <c r="Q59" i="24" s="1"/>
  <c r="P58" i="24"/>
  <c r="Q58" i="24" s="1"/>
  <c r="P49" i="24"/>
  <c r="Q49" i="24" s="1"/>
  <c r="P48" i="24"/>
  <c r="Q48" i="24" s="1"/>
  <c r="P47" i="24"/>
  <c r="Q47" i="24" s="1"/>
  <c r="P46" i="24"/>
  <c r="Q46" i="24" s="1"/>
  <c r="P45" i="24"/>
  <c r="Q45" i="24" s="1"/>
  <c r="P44" i="24"/>
  <c r="Q44" i="24" s="1"/>
  <c r="P43" i="24"/>
  <c r="Q43" i="24" s="1"/>
  <c r="P42" i="24"/>
  <c r="Q42" i="24" s="1"/>
  <c r="P41" i="24"/>
  <c r="Q41" i="24" s="1"/>
  <c r="P40" i="24"/>
  <c r="Q40" i="24" s="1"/>
  <c r="P39" i="24"/>
  <c r="Q39" i="24" s="1"/>
  <c r="P38" i="24"/>
  <c r="Q38" i="24" s="1"/>
  <c r="P37" i="24"/>
  <c r="Q37" i="24" s="1"/>
  <c r="P36" i="24"/>
  <c r="Q36" i="24" s="1"/>
  <c r="P35" i="24"/>
  <c r="Q35" i="24" s="1"/>
  <c r="P34" i="24"/>
  <c r="Q34" i="24" s="1"/>
  <c r="P33" i="24"/>
  <c r="Q33" i="24" s="1"/>
  <c r="P32" i="24"/>
  <c r="Q32" i="24" s="1"/>
  <c r="P31" i="24"/>
  <c r="Q31" i="24" s="1"/>
  <c r="P30" i="24"/>
  <c r="Q30" i="24" s="1"/>
  <c r="P29" i="24"/>
  <c r="Q29" i="24" s="1"/>
  <c r="P28" i="24"/>
  <c r="Q28" i="24" s="1"/>
  <c r="P27" i="24"/>
  <c r="Q27" i="24" s="1"/>
  <c r="P26" i="24"/>
  <c r="Q26" i="24" s="1"/>
  <c r="P25" i="24"/>
  <c r="Q25" i="24" s="1"/>
  <c r="P24" i="24"/>
  <c r="Q24" i="24" s="1"/>
  <c r="P23" i="24"/>
  <c r="Q23" i="24" s="1"/>
  <c r="P22" i="24"/>
  <c r="Q22" i="24" s="1"/>
  <c r="P21" i="24"/>
  <c r="Q21" i="24" s="1"/>
  <c r="P20" i="24"/>
  <c r="Q20" i="24" s="1"/>
  <c r="P19" i="24"/>
  <c r="Q19" i="24" s="1"/>
  <c r="P18" i="24"/>
  <c r="Q18" i="24" s="1"/>
  <c r="P17" i="24"/>
  <c r="Q17" i="24" s="1"/>
  <c r="P16" i="24"/>
  <c r="P15" i="24"/>
  <c r="AA5" i="22" l="1"/>
  <c r="AA6" i="22"/>
  <c r="AA7" i="22"/>
  <c r="AA8" i="22"/>
  <c r="AA9" i="22"/>
  <c r="AA10" i="22"/>
  <c r="AA11" i="22"/>
  <c r="AA12" i="22"/>
  <c r="AA13" i="22"/>
  <c r="AA14" i="22"/>
  <c r="AA15" i="22"/>
  <c r="AA16" i="22"/>
  <c r="AA17" i="22"/>
  <c r="AA18" i="22"/>
  <c r="AA19" i="22"/>
  <c r="AA20" i="22"/>
  <c r="AA21" i="22"/>
  <c r="AA22" i="22"/>
  <c r="AA23" i="22"/>
  <c r="AA24" i="22"/>
  <c r="AA25" i="22"/>
  <c r="AA26" i="22"/>
  <c r="AA27" i="22"/>
  <c r="AA28" i="22"/>
  <c r="AA29" i="22"/>
  <c r="AA30" i="22"/>
  <c r="AA31" i="22"/>
  <c r="AA32" i="22"/>
  <c r="AA33" i="22"/>
  <c r="AA34" i="22"/>
  <c r="AA35" i="22"/>
  <c r="AA36" i="22"/>
  <c r="AA37" i="22"/>
  <c r="AA38" i="22"/>
  <c r="AA39" i="22"/>
  <c r="AA40" i="22"/>
  <c r="AA41" i="22"/>
  <c r="AA42" i="22"/>
  <c r="AA43" i="22"/>
  <c r="AA44" i="22"/>
  <c r="AA45" i="22"/>
  <c r="AA46" i="22"/>
  <c r="AA47" i="22"/>
  <c r="AA48" i="22"/>
  <c r="AA49" i="22"/>
  <c r="AA50" i="22"/>
  <c r="AA51" i="22"/>
  <c r="AA52" i="22"/>
  <c r="AA53" i="22"/>
  <c r="AA54" i="22"/>
  <c r="AA55" i="22"/>
  <c r="AA56" i="22"/>
  <c r="AA57" i="22"/>
  <c r="AA58" i="22"/>
  <c r="AA59" i="22"/>
  <c r="AA60" i="22"/>
  <c r="AA61" i="22"/>
  <c r="AA62" i="22"/>
  <c r="AA63" i="22"/>
  <c r="AA64" i="22"/>
  <c r="AA65" i="22"/>
  <c r="AA66" i="22"/>
  <c r="AA67" i="22"/>
  <c r="AA68" i="22"/>
  <c r="AA69" i="22"/>
  <c r="AA70" i="22"/>
  <c r="AA71" i="22"/>
  <c r="AA72" i="22"/>
  <c r="AA73" i="22"/>
  <c r="AA74" i="22"/>
  <c r="AA75" i="22"/>
  <c r="AA76" i="22"/>
  <c r="AA77" i="22"/>
  <c r="AA78" i="22"/>
  <c r="AA3" i="22"/>
  <c r="AA4" i="22"/>
  <c r="AA2" i="22"/>
  <c r="BE16" i="6" l="1"/>
  <c r="BE17" i="6"/>
  <c r="BE18" i="6"/>
  <c r="BE19" i="6"/>
  <c r="BE20" i="6"/>
  <c r="BE21" i="6"/>
  <c r="BE22" i="6"/>
  <c r="BE23" i="6"/>
  <c r="BE24" i="6"/>
  <c r="BE25" i="6"/>
  <c r="BE26" i="6"/>
  <c r="BE27" i="6"/>
  <c r="BE28" i="6"/>
  <c r="BE29" i="6"/>
  <c r="BE30" i="6"/>
  <c r="BE31" i="6"/>
  <c r="BE32" i="6"/>
  <c r="BE33" i="6"/>
  <c r="BE34" i="6"/>
  <c r="BE35" i="6"/>
  <c r="BE36" i="6"/>
  <c r="BE37" i="6"/>
  <c r="BE38" i="6"/>
  <c r="BE39" i="6"/>
  <c r="BE40" i="6"/>
  <c r="BE41" i="6"/>
  <c r="BE42" i="6"/>
  <c r="BE43" i="6"/>
  <c r="BE44" i="6"/>
  <c r="BE45" i="6"/>
  <c r="BE46" i="6"/>
  <c r="BE47" i="6"/>
  <c r="BE48" i="6"/>
  <c r="BE49" i="6"/>
  <c r="BE50" i="6"/>
  <c r="BE51" i="6"/>
  <c r="BE52" i="6"/>
  <c r="BE53" i="6"/>
  <c r="BE54" i="6"/>
  <c r="BE55" i="6"/>
  <c r="BE56" i="6"/>
  <c r="BE57" i="6"/>
  <c r="BE58" i="6"/>
  <c r="BE59" i="6"/>
  <c r="BE60" i="6"/>
  <c r="BE61" i="6"/>
  <c r="BE62" i="6"/>
  <c r="BE63" i="6"/>
  <c r="BE64" i="6"/>
  <c r="BE65" i="6"/>
  <c r="BE66" i="6"/>
  <c r="BE67" i="6"/>
  <c r="BE68" i="6"/>
  <c r="BE69" i="6"/>
  <c r="BE70" i="6"/>
  <c r="BE71" i="6"/>
  <c r="BE72" i="6"/>
  <c r="BE73" i="6"/>
  <c r="BE74" i="6"/>
  <c r="BE75" i="6"/>
  <c r="BE76" i="6"/>
  <c r="BE77" i="6"/>
  <c r="BE78" i="6"/>
  <c r="BE79" i="6"/>
  <c r="BE80" i="6"/>
  <c r="BE81" i="6"/>
  <c r="BE82" i="6"/>
  <c r="BE83" i="6"/>
  <c r="BE84" i="6"/>
  <c r="BE85" i="6"/>
  <c r="BE86" i="6"/>
  <c r="BE87" i="6"/>
  <c r="BE88" i="6"/>
  <c r="BE89" i="6"/>
  <c r="BE90" i="6"/>
  <c r="BC26" i="6"/>
  <c r="BC27" i="6"/>
  <c r="BC28" i="6"/>
  <c r="BC29" i="6"/>
  <c r="BC30" i="6"/>
  <c r="BC31" i="6"/>
  <c r="BC32" i="6"/>
  <c r="BC33" i="6"/>
  <c r="BC34" i="6"/>
  <c r="BC35" i="6"/>
  <c r="BC36" i="6"/>
  <c r="BC37" i="6"/>
  <c r="BC38" i="6"/>
  <c r="BC39" i="6"/>
  <c r="BC40" i="6"/>
  <c r="BC41" i="6"/>
  <c r="BC42" i="6"/>
  <c r="BC43" i="6"/>
  <c r="BC44" i="6"/>
  <c r="BC45" i="6"/>
  <c r="BC46" i="6"/>
  <c r="BC47" i="6"/>
  <c r="BC48" i="6"/>
  <c r="BC49" i="6"/>
  <c r="BC50" i="6"/>
  <c r="BC51" i="6"/>
  <c r="BC52" i="6"/>
  <c r="BC53" i="6"/>
  <c r="BC54" i="6"/>
  <c r="BC55" i="6"/>
  <c r="BC56" i="6"/>
  <c r="BC57" i="6"/>
  <c r="BC58" i="6"/>
  <c r="BC59" i="6"/>
  <c r="BC60" i="6"/>
  <c r="BC61" i="6"/>
  <c r="BC62" i="6"/>
  <c r="BC63" i="6"/>
  <c r="BC64" i="6"/>
  <c r="BC65" i="6"/>
  <c r="BC66" i="6"/>
  <c r="BC67" i="6"/>
  <c r="BC68" i="6"/>
  <c r="BC69" i="6"/>
  <c r="BC70" i="6"/>
  <c r="BC71" i="6"/>
  <c r="BC72" i="6"/>
  <c r="BC73" i="6"/>
  <c r="BC74" i="6"/>
  <c r="BC75" i="6"/>
  <c r="BC76" i="6"/>
  <c r="BC77" i="6"/>
  <c r="BC78" i="6"/>
  <c r="BC79" i="6"/>
  <c r="BC80" i="6"/>
  <c r="BC81" i="6"/>
  <c r="BC82" i="6"/>
  <c r="BC83" i="6"/>
  <c r="BC84" i="6"/>
  <c r="BC85" i="6"/>
  <c r="BC86" i="6"/>
  <c r="BC87" i="6"/>
  <c r="BC88" i="6"/>
  <c r="BC89" i="6"/>
  <c r="BC90" i="6"/>
  <c r="AZ26" i="6"/>
  <c r="AZ27" i="6"/>
  <c r="AZ28" i="6"/>
  <c r="AZ29" i="6"/>
  <c r="AZ30" i="6"/>
  <c r="AZ31" i="6"/>
  <c r="AZ32" i="6"/>
  <c r="AZ33" i="6"/>
  <c r="AZ34" i="6"/>
  <c r="AZ35" i="6"/>
  <c r="AZ36" i="6"/>
  <c r="AZ37" i="6"/>
  <c r="AZ38" i="6"/>
  <c r="AZ39" i="6"/>
  <c r="AZ40" i="6"/>
  <c r="AZ41" i="6"/>
  <c r="AZ42" i="6"/>
  <c r="AZ43" i="6"/>
  <c r="AZ44" i="6"/>
  <c r="AZ45" i="6"/>
  <c r="AZ46" i="6"/>
  <c r="AZ47" i="6"/>
  <c r="AZ48" i="6"/>
  <c r="AZ49" i="6"/>
  <c r="AZ50" i="6"/>
  <c r="AZ51" i="6"/>
  <c r="AZ52" i="6"/>
  <c r="AZ53" i="6"/>
  <c r="AZ54" i="6"/>
  <c r="AZ55" i="6"/>
  <c r="AZ56" i="6"/>
  <c r="AZ57" i="6"/>
  <c r="AZ58" i="6"/>
  <c r="AZ59" i="6"/>
  <c r="AZ60" i="6"/>
  <c r="AZ61" i="6"/>
  <c r="AZ62" i="6"/>
  <c r="AZ63" i="6"/>
  <c r="AZ64" i="6"/>
  <c r="AZ65" i="6"/>
  <c r="AZ66" i="6"/>
  <c r="AZ67" i="6"/>
  <c r="AZ68" i="6"/>
  <c r="AZ69" i="6"/>
  <c r="AZ70" i="6"/>
  <c r="AZ71" i="6"/>
  <c r="AZ72" i="6"/>
  <c r="AZ73" i="6"/>
  <c r="AZ74" i="6"/>
  <c r="AZ75" i="6"/>
  <c r="AZ76" i="6"/>
  <c r="AZ77" i="6"/>
  <c r="AZ78" i="6"/>
  <c r="AZ79" i="6"/>
  <c r="AZ80" i="6"/>
  <c r="AZ81" i="6"/>
  <c r="AZ82" i="6"/>
  <c r="AZ83" i="6"/>
  <c r="AZ84" i="6"/>
  <c r="AZ85" i="6"/>
  <c r="AZ86" i="6"/>
  <c r="AZ87" i="6"/>
  <c r="AZ88" i="6"/>
  <c r="AZ89" i="6"/>
  <c r="AZ90" i="6"/>
  <c r="AW26" i="6"/>
  <c r="AW27" i="6"/>
  <c r="AW28" i="6"/>
  <c r="AW29" i="6"/>
  <c r="AW30" i="6"/>
  <c r="AW31" i="6"/>
  <c r="AW32" i="6"/>
  <c r="AW33" i="6"/>
  <c r="AW34" i="6"/>
  <c r="AW35" i="6"/>
  <c r="AW36" i="6"/>
  <c r="AW37" i="6"/>
  <c r="AW38" i="6"/>
  <c r="AW39" i="6"/>
  <c r="AW40" i="6"/>
  <c r="AW41" i="6"/>
  <c r="AW42" i="6"/>
  <c r="AW43" i="6"/>
  <c r="AW44" i="6"/>
  <c r="AW45" i="6"/>
  <c r="AW46" i="6"/>
  <c r="AW47" i="6"/>
  <c r="AW48" i="6"/>
  <c r="AW49" i="6"/>
  <c r="AW50" i="6"/>
  <c r="AW51" i="6"/>
  <c r="AW52" i="6"/>
  <c r="AW53" i="6"/>
  <c r="AW54" i="6"/>
  <c r="AW55" i="6"/>
  <c r="AW56" i="6"/>
  <c r="AW57" i="6"/>
  <c r="AW58" i="6"/>
  <c r="AW59" i="6"/>
  <c r="AW60" i="6"/>
  <c r="AW61" i="6"/>
  <c r="AW62" i="6"/>
  <c r="AW63" i="6"/>
  <c r="AW64" i="6"/>
  <c r="AW65" i="6"/>
  <c r="AW66" i="6"/>
  <c r="AW67" i="6"/>
  <c r="AW68" i="6"/>
  <c r="AW69" i="6"/>
  <c r="AW70" i="6"/>
  <c r="AW71" i="6"/>
  <c r="AW72" i="6"/>
  <c r="AW73" i="6"/>
  <c r="AW74" i="6"/>
  <c r="AW75" i="6"/>
  <c r="AW76" i="6"/>
  <c r="AW77" i="6"/>
  <c r="AW78" i="6"/>
  <c r="AW79" i="6"/>
  <c r="AW80" i="6"/>
  <c r="AW81" i="6"/>
  <c r="AW82" i="6"/>
  <c r="AW83" i="6"/>
  <c r="AW84" i="6"/>
  <c r="AW85" i="6"/>
  <c r="AW86" i="6"/>
  <c r="AW87" i="6"/>
  <c r="AW88" i="6"/>
  <c r="AW89" i="6"/>
  <c r="AW90" i="6"/>
  <c r="AS26" i="6"/>
  <c r="AS27" i="6"/>
  <c r="AS28" i="6"/>
  <c r="AS29" i="6"/>
  <c r="AS30" i="6"/>
  <c r="AS31" i="6"/>
  <c r="AS32" i="6"/>
  <c r="AS33" i="6"/>
  <c r="AS34" i="6"/>
  <c r="AS35" i="6"/>
  <c r="AS36" i="6"/>
  <c r="AS37" i="6"/>
  <c r="AS38" i="6"/>
  <c r="AS39" i="6"/>
  <c r="AS40" i="6"/>
  <c r="AS41" i="6"/>
  <c r="AS42" i="6"/>
  <c r="AS43" i="6"/>
  <c r="AS44" i="6"/>
  <c r="AS45" i="6"/>
  <c r="AS46" i="6"/>
  <c r="AS47" i="6"/>
  <c r="AS48" i="6"/>
  <c r="AS49" i="6"/>
  <c r="AS50" i="6"/>
  <c r="AS51" i="6"/>
  <c r="AS52" i="6"/>
  <c r="AS53" i="6"/>
  <c r="AS54" i="6"/>
  <c r="AS55" i="6"/>
  <c r="AS56" i="6"/>
  <c r="AS57" i="6"/>
  <c r="AS58" i="6"/>
  <c r="AS59" i="6"/>
  <c r="AS60" i="6"/>
  <c r="AS61" i="6"/>
  <c r="AS62" i="6"/>
  <c r="AS63" i="6"/>
  <c r="AS64" i="6"/>
  <c r="AS65" i="6"/>
  <c r="AS66" i="6"/>
  <c r="AS67" i="6"/>
  <c r="AS68" i="6"/>
  <c r="AS69" i="6"/>
  <c r="AS70" i="6"/>
  <c r="AS71" i="6"/>
  <c r="AS72" i="6"/>
  <c r="AS73" i="6"/>
  <c r="AS74" i="6"/>
  <c r="AS75" i="6"/>
  <c r="AS76" i="6"/>
  <c r="AS77" i="6"/>
  <c r="AS78" i="6"/>
  <c r="AS79" i="6"/>
  <c r="AS80" i="6"/>
  <c r="AS81" i="6"/>
  <c r="AS82" i="6"/>
  <c r="AS83" i="6"/>
  <c r="AS84" i="6"/>
  <c r="AS85" i="6"/>
  <c r="AS86" i="6"/>
  <c r="AS87" i="6"/>
  <c r="AS88" i="6"/>
  <c r="AS89" i="6"/>
  <c r="AS90" i="6"/>
  <c r="BG14" i="6"/>
  <c r="BH14" i="6"/>
  <c r="BG15" i="6"/>
  <c r="BH15" i="6"/>
  <c r="BG16" i="6"/>
  <c r="BH16" i="6"/>
  <c r="BG17" i="6"/>
  <c r="BH17" i="6"/>
  <c r="BG18" i="6"/>
  <c r="BH18" i="6"/>
  <c r="BG19" i="6"/>
  <c r="BH19" i="6"/>
  <c r="BG20" i="6"/>
  <c r="BH20" i="6"/>
  <c r="BG21" i="6"/>
  <c r="BH21" i="6"/>
  <c r="BG22" i="6"/>
  <c r="BH22" i="6"/>
  <c r="BG23" i="6"/>
  <c r="BH23" i="6"/>
  <c r="BG24" i="6"/>
  <c r="BH24" i="6"/>
  <c r="BG25" i="6"/>
  <c r="BH25" i="6"/>
  <c r="BG26" i="6"/>
  <c r="BH26" i="6"/>
  <c r="BG27" i="6"/>
  <c r="BH27" i="6"/>
  <c r="BG28" i="6"/>
  <c r="BH28" i="6"/>
  <c r="BG29" i="6"/>
  <c r="BH29" i="6"/>
  <c r="BG30" i="6"/>
  <c r="BH30" i="6"/>
  <c r="BG31" i="6"/>
  <c r="BH31" i="6"/>
  <c r="BG32" i="6"/>
  <c r="BH32" i="6"/>
  <c r="BG33" i="6"/>
  <c r="BH33" i="6"/>
  <c r="BG34" i="6"/>
  <c r="BH34" i="6"/>
  <c r="BG35" i="6"/>
  <c r="BH35" i="6"/>
  <c r="BG36" i="6"/>
  <c r="BH36" i="6"/>
  <c r="BG37" i="6"/>
  <c r="BH37" i="6"/>
  <c r="BG38" i="6"/>
  <c r="BH38" i="6"/>
  <c r="BG39" i="6"/>
  <c r="BH39" i="6"/>
  <c r="BG40" i="6"/>
  <c r="BH40" i="6"/>
  <c r="BG41" i="6"/>
  <c r="BH41" i="6"/>
  <c r="BG42" i="6"/>
  <c r="BH42" i="6"/>
  <c r="BG43" i="6"/>
  <c r="BH43" i="6"/>
  <c r="BG44" i="6"/>
  <c r="BH44" i="6"/>
  <c r="BG45" i="6"/>
  <c r="BH45" i="6"/>
  <c r="BG46" i="6"/>
  <c r="BH46" i="6"/>
  <c r="BG47" i="6"/>
  <c r="BH47" i="6"/>
  <c r="BG48" i="6"/>
  <c r="BH48" i="6"/>
  <c r="BG49" i="6"/>
  <c r="BH49" i="6"/>
  <c r="BG50" i="6"/>
  <c r="BH50" i="6"/>
  <c r="BG51" i="6"/>
  <c r="BH51" i="6"/>
  <c r="BG52" i="6"/>
  <c r="BH52" i="6"/>
  <c r="BG53" i="6"/>
  <c r="BH53" i="6"/>
  <c r="BG54" i="6"/>
  <c r="BH54" i="6"/>
  <c r="BG55" i="6"/>
  <c r="BH55" i="6"/>
  <c r="BG56" i="6"/>
  <c r="BH56" i="6"/>
  <c r="BG57" i="6"/>
  <c r="BH57" i="6"/>
  <c r="BG58" i="6"/>
  <c r="BH58" i="6"/>
  <c r="BG59" i="6"/>
  <c r="BH59" i="6"/>
  <c r="BG60" i="6"/>
  <c r="BH60" i="6"/>
  <c r="BG61" i="6"/>
  <c r="BH61" i="6"/>
  <c r="BG62" i="6"/>
  <c r="BH62" i="6"/>
  <c r="BG63" i="6"/>
  <c r="BH63" i="6"/>
  <c r="BG64" i="6"/>
  <c r="BH64" i="6"/>
  <c r="BG65" i="6"/>
  <c r="BH65" i="6"/>
  <c r="BG66" i="6"/>
  <c r="BH66" i="6"/>
  <c r="BG67" i="6"/>
  <c r="BH67" i="6"/>
  <c r="BG68" i="6"/>
  <c r="BH68" i="6"/>
  <c r="BG69" i="6"/>
  <c r="BH69" i="6"/>
  <c r="BG70" i="6"/>
  <c r="BH70" i="6"/>
  <c r="BG71" i="6"/>
  <c r="BH71" i="6"/>
  <c r="BG72" i="6"/>
  <c r="BH72" i="6"/>
  <c r="BG73" i="6"/>
  <c r="BH73" i="6"/>
  <c r="BG74" i="6"/>
  <c r="BH74" i="6"/>
  <c r="BG75" i="6"/>
  <c r="BH75" i="6"/>
  <c r="BG76" i="6"/>
  <c r="BH76" i="6"/>
  <c r="BG77" i="6"/>
  <c r="BH77" i="6"/>
  <c r="BG78" i="6"/>
  <c r="BH78" i="6"/>
  <c r="BG79" i="6"/>
  <c r="BH79" i="6"/>
  <c r="BG80" i="6"/>
  <c r="BH80" i="6"/>
  <c r="BG81" i="6"/>
  <c r="BH81" i="6"/>
  <c r="BG82" i="6"/>
  <c r="BH82" i="6"/>
  <c r="BG83" i="6"/>
  <c r="BH83" i="6"/>
  <c r="BG84" i="6"/>
  <c r="BH84" i="6"/>
  <c r="BG85" i="6"/>
  <c r="BH85" i="6"/>
  <c r="BG86" i="6"/>
  <c r="BH86" i="6"/>
  <c r="BG87" i="6"/>
  <c r="BH87" i="6"/>
  <c r="BG88" i="6"/>
  <c r="BH88" i="6"/>
  <c r="BG89" i="6"/>
  <c r="BH89" i="6"/>
  <c r="BG90" i="6"/>
  <c r="BH90" i="6"/>
  <c r="AZ6" i="13"/>
  <c r="AZ7" i="13"/>
  <c r="AZ8" i="13"/>
  <c r="BB5" i="13"/>
  <c r="Y83" i="8" l="1"/>
  <c r="X83" i="8"/>
  <c r="W83" i="8"/>
  <c r="Y82" i="8"/>
  <c r="X82" i="8"/>
  <c r="W82" i="8"/>
  <c r="Y81" i="8"/>
  <c r="X81" i="8"/>
  <c r="W81" i="8"/>
  <c r="Y80" i="8"/>
  <c r="X80" i="8"/>
  <c r="W80" i="8"/>
  <c r="Y79" i="8"/>
  <c r="X79" i="8"/>
  <c r="W79" i="8"/>
  <c r="Y78" i="8"/>
  <c r="X78" i="8"/>
  <c r="W78" i="8"/>
  <c r="Y77" i="8"/>
  <c r="X77" i="8"/>
  <c r="W77" i="8"/>
  <c r="Y76" i="8"/>
  <c r="X76" i="8"/>
  <c r="W76" i="8"/>
  <c r="Y75" i="8"/>
  <c r="X75" i="8"/>
  <c r="W75" i="8"/>
  <c r="Y74" i="8"/>
  <c r="X74" i="8"/>
  <c r="W74" i="8"/>
  <c r="Y73" i="8"/>
  <c r="X73" i="8"/>
  <c r="W73" i="8"/>
  <c r="Y72" i="8"/>
  <c r="X72" i="8"/>
  <c r="W72" i="8"/>
  <c r="Y71" i="8"/>
  <c r="X71" i="8"/>
  <c r="W71" i="8"/>
  <c r="Y70" i="8"/>
  <c r="X70" i="8"/>
  <c r="W70" i="8"/>
  <c r="Y69" i="8"/>
  <c r="X69" i="8"/>
  <c r="W69" i="8"/>
  <c r="Y68" i="8"/>
  <c r="X68" i="8"/>
  <c r="W68" i="8"/>
  <c r="Y67" i="8"/>
  <c r="X67" i="8"/>
  <c r="W67" i="8"/>
  <c r="Y66" i="8"/>
  <c r="X66" i="8"/>
  <c r="W66" i="8"/>
  <c r="Y65" i="8"/>
  <c r="X65" i="8"/>
  <c r="W65" i="8"/>
  <c r="Y64" i="8"/>
  <c r="X64" i="8"/>
  <c r="W64" i="8"/>
  <c r="Y63" i="8"/>
  <c r="X63" i="8"/>
  <c r="W63" i="8"/>
  <c r="Y62" i="8"/>
  <c r="X62" i="8"/>
  <c r="W62" i="8"/>
  <c r="Y61" i="8"/>
  <c r="X61" i="8"/>
  <c r="W61" i="8"/>
  <c r="Y60" i="8"/>
  <c r="X60" i="8"/>
  <c r="W60" i="8"/>
  <c r="Y59" i="8"/>
  <c r="X59" i="8"/>
  <c r="W59" i="8"/>
  <c r="Y58" i="8"/>
  <c r="X58" i="8"/>
  <c r="W58" i="8"/>
  <c r="Y57" i="8"/>
  <c r="X57" i="8"/>
  <c r="W57" i="8"/>
  <c r="Y56" i="8"/>
  <c r="X56" i="8"/>
  <c r="W56" i="8"/>
  <c r="Y55" i="8"/>
  <c r="X55" i="8"/>
  <c r="W55" i="8"/>
  <c r="Y54" i="8"/>
  <c r="X54" i="8"/>
  <c r="W54" i="8"/>
  <c r="Y53" i="8"/>
  <c r="X53" i="8"/>
  <c r="W53" i="8"/>
  <c r="Y52" i="8"/>
  <c r="X52" i="8"/>
  <c r="W52" i="8"/>
  <c r="Y51" i="8"/>
  <c r="X51" i="8"/>
  <c r="W51" i="8"/>
  <c r="Y50" i="8"/>
  <c r="X50" i="8"/>
  <c r="W50" i="8"/>
  <c r="Y49" i="8"/>
  <c r="X49" i="8"/>
  <c r="W49" i="8"/>
  <c r="Y48" i="8"/>
  <c r="X48" i="8"/>
  <c r="W48" i="8"/>
  <c r="Y47" i="8"/>
  <c r="X47" i="8"/>
  <c r="W47" i="8"/>
  <c r="Y46" i="8"/>
  <c r="X46" i="8"/>
  <c r="W46" i="8"/>
  <c r="Y45" i="8"/>
  <c r="X45" i="8"/>
  <c r="W45" i="8"/>
  <c r="Y44" i="8"/>
  <c r="X44" i="8"/>
  <c r="W44" i="8"/>
  <c r="Y43" i="8"/>
  <c r="X43" i="8"/>
  <c r="W43" i="8"/>
  <c r="Y42" i="8"/>
  <c r="X42" i="8"/>
  <c r="W42" i="8"/>
  <c r="Y41" i="8"/>
  <c r="X41" i="8"/>
  <c r="W41" i="8"/>
  <c r="Y40" i="8"/>
  <c r="X40" i="8"/>
  <c r="W40" i="8"/>
  <c r="AC39" i="8"/>
  <c r="AB39" i="8"/>
  <c r="Y39" i="8"/>
  <c r="X39" i="8"/>
  <c r="W39" i="8"/>
  <c r="AC38" i="8"/>
  <c r="AB38" i="8"/>
  <c r="Y38" i="8"/>
  <c r="X38" i="8"/>
  <c r="W38" i="8"/>
  <c r="AC37" i="8"/>
  <c r="AB37" i="8"/>
  <c r="Y37" i="8"/>
  <c r="X37" i="8"/>
  <c r="W37" i="8"/>
  <c r="AC36" i="8"/>
  <c r="AB36" i="8"/>
  <c r="Y36" i="8"/>
  <c r="X36" i="8"/>
  <c r="W36" i="8"/>
  <c r="AC35" i="8"/>
  <c r="AB35" i="8"/>
  <c r="Y35" i="8"/>
  <c r="X35" i="8"/>
  <c r="W35" i="8"/>
  <c r="AC34" i="8"/>
  <c r="AB34" i="8"/>
  <c r="Y34" i="8"/>
  <c r="X34" i="8"/>
  <c r="W34" i="8"/>
  <c r="AC33" i="8"/>
  <c r="AB33" i="8"/>
  <c r="Y33" i="8"/>
  <c r="X33" i="8"/>
  <c r="W33" i="8"/>
  <c r="AC32" i="8"/>
  <c r="AB32" i="8"/>
  <c r="Y32" i="8"/>
  <c r="X32" i="8"/>
  <c r="W32" i="8"/>
  <c r="AH31" i="8"/>
  <c r="AG31" i="8"/>
  <c r="AF31" i="8"/>
  <c r="AC31" i="8"/>
  <c r="AB31" i="8"/>
  <c r="Y31" i="8"/>
  <c r="X31" i="8"/>
  <c r="W31" i="8"/>
  <c r="AH30" i="8"/>
  <c r="AG30" i="8"/>
  <c r="AF30" i="8"/>
  <c r="AC30" i="8"/>
  <c r="AB30" i="8"/>
  <c r="Y30" i="8"/>
  <c r="X30" i="8"/>
  <c r="W30" i="8"/>
  <c r="AH29" i="8"/>
  <c r="AG29" i="8"/>
  <c r="AF29" i="8"/>
  <c r="AC29" i="8"/>
  <c r="AB29" i="8"/>
  <c r="Y29" i="8"/>
  <c r="X29" i="8"/>
  <c r="W29" i="8"/>
  <c r="AH28" i="8"/>
  <c r="AG28" i="8"/>
  <c r="AF28" i="8"/>
  <c r="AC28" i="8"/>
  <c r="AB28" i="8"/>
  <c r="Y28" i="8"/>
  <c r="X28" i="8"/>
  <c r="W28" i="8"/>
  <c r="AH27" i="8"/>
  <c r="AG27" i="8"/>
  <c r="AF27" i="8"/>
  <c r="AC27" i="8"/>
  <c r="AB27" i="8"/>
  <c r="Y27" i="8"/>
  <c r="X27" i="8"/>
  <c r="W27" i="8"/>
  <c r="AH26" i="8"/>
  <c r="AG26" i="8"/>
  <c r="AF26" i="8"/>
  <c r="AC26" i="8"/>
  <c r="AB26" i="8"/>
  <c r="Y26" i="8"/>
  <c r="X26" i="8"/>
  <c r="AH25" i="8"/>
  <c r="AG25" i="8"/>
  <c r="AF25" i="8"/>
  <c r="AC25" i="8"/>
  <c r="AB25" i="8"/>
  <c r="Y25" i="8"/>
  <c r="X25" i="8"/>
  <c r="W25" i="8"/>
  <c r="AH24" i="8"/>
  <c r="AG24" i="8"/>
  <c r="AF24" i="8"/>
  <c r="AC24" i="8"/>
  <c r="AB24" i="8"/>
  <c r="Y24" i="8"/>
  <c r="X24" i="8"/>
  <c r="W24" i="8"/>
  <c r="AH23" i="8"/>
  <c r="AG23" i="8"/>
  <c r="AF23" i="8"/>
  <c r="AC23" i="8"/>
  <c r="AB23" i="8"/>
  <c r="Y23" i="8"/>
  <c r="X23" i="8"/>
  <c r="W23" i="8"/>
  <c r="AH22" i="8"/>
  <c r="AG22" i="8"/>
  <c r="AF22" i="8"/>
  <c r="AC22" i="8"/>
  <c r="AB22" i="8"/>
  <c r="Y22" i="8"/>
  <c r="X22" i="8"/>
  <c r="W22" i="8"/>
  <c r="AH21" i="8"/>
  <c r="AG21" i="8"/>
  <c r="AF21" i="8"/>
  <c r="AC21" i="8"/>
  <c r="AB21" i="8"/>
  <c r="Y21" i="8"/>
  <c r="X21" i="8"/>
  <c r="W21" i="8"/>
  <c r="AH20" i="8"/>
  <c r="AG20" i="8"/>
  <c r="AF20" i="8"/>
  <c r="AC20" i="8"/>
  <c r="AB20" i="8"/>
  <c r="Y20" i="8"/>
  <c r="X20" i="8"/>
  <c r="W20" i="8"/>
  <c r="U20" i="8"/>
  <c r="AH19" i="8"/>
  <c r="AG19" i="8"/>
  <c r="AF19" i="8"/>
  <c r="AC19" i="8"/>
  <c r="AB19" i="8"/>
  <c r="Y19" i="8"/>
  <c r="X19" i="8"/>
  <c r="W19" i="8"/>
  <c r="U19" i="8"/>
  <c r="AH18" i="8"/>
  <c r="AG18" i="8"/>
  <c r="AF18" i="8"/>
  <c r="AD18" i="8"/>
  <c r="AC18" i="8"/>
  <c r="AB18" i="8"/>
  <c r="Y18" i="8"/>
  <c r="X18" i="8"/>
  <c r="W18" i="8"/>
  <c r="U18" i="8"/>
  <c r="AH17" i="8"/>
  <c r="AG17" i="8"/>
  <c r="AF17" i="8"/>
  <c r="AD17" i="8"/>
  <c r="AC17" i="8"/>
  <c r="AB17" i="8"/>
  <c r="Y17" i="8"/>
  <c r="X17" i="8"/>
  <c r="W17" i="8"/>
  <c r="U17" i="8"/>
  <c r="AH16" i="8"/>
  <c r="AG16" i="8"/>
  <c r="AF16" i="8"/>
  <c r="AD16" i="8"/>
  <c r="AC16" i="8"/>
  <c r="AB16" i="8"/>
  <c r="Y16" i="8"/>
  <c r="X16" i="8"/>
  <c r="W16" i="8"/>
  <c r="U16" i="8"/>
  <c r="AI15" i="8"/>
  <c r="AH15" i="8"/>
  <c r="AG15" i="8"/>
  <c r="AF15" i="8"/>
  <c r="AD15" i="8"/>
  <c r="AC15" i="8"/>
  <c r="AB15" i="8"/>
  <c r="Y15" i="8"/>
  <c r="X15" i="8"/>
  <c r="W15" i="8"/>
  <c r="U15" i="8"/>
  <c r="AI14" i="8"/>
  <c r="AH14" i="8"/>
  <c r="AG14" i="8"/>
  <c r="AF14" i="8"/>
  <c r="AD14" i="8"/>
  <c r="AC14" i="8"/>
  <c r="AB14" i="8"/>
  <c r="Y14" i="8"/>
  <c r="X14" i="8"/>
  <c r="W14" i="8"/>
  <c r="U14" i="8"/>
  <c r="AI13" i="8"/>
  <c r="AH13" i="8"/>
  <c r="AG13" i="8"/>
  <c r="AF13" i="8"/>
  <c r="AD13" i="8"/>
  <c r="AC13" i="8"/>
  <c r="AB13" i="8"/>
  <c r="Y13" i="8"/>
  <c r="X13" i="8"/>
  <c r="W13" i="8"/>
  <c r="U13" i="8"/>
  <c r="AI12" i="8"/>
  <c r="AH12" i="8"/>
  <c r="AG12" i="8"/>
  <c r="AF12" i="8"/>
  <c r="AD12" i="8"/>
  <c r="AC12" i="8"/>
  <c r="AB12" i="8"/>
  <c r="Y12" i="8"/>
  <c r="X12" i="8"/>
  <c r="W12" i="8"/>
  <c r="AT14" i="6" s="1"/>
  <c r="BN2" i="22" s="1"/>
  <c r="U12" i="8"/>
  <c r="U11" i="8"/>
  <c r="U10" i="8"/>
  <c r="Q16" i="24" s="1"/>
  <c r="U9" i="8"/>
  <c r="Q15" i="24" s="1"/>
  <c r="BE15" i="6" l="1"/>
  <c r="BF15" i="6" s="1"/>
  <c r="AT87" i="6"/>
  <c r="BN75" i="22" s="1"/>
  <c r="AT64" i="6"/>
  <c r="BN52" i="22" s="1"/>
  <c r="AT76" i="6"/>
  <c r="BN64" i="22" s="1"/>
  <c r="AT88" i="6"/>
  <c r="BN76" i="22" s="1"/>
  <c r="AT23" i="6"/>
  <c r="BN11" i="22" s="1"/>
  <c r="AT35" i="6"/>
  <c r="BN23" i="22" s="1"/>
  <c r="AT47" i="6"/>
  <c r="BN35" i="22" s="1"/>
  <c r="AT71" i="6"/>
  <c r="BN59" i="22" s="1"/>
  <c r="AT83" i="6"/>
  <c r="BN71" i="22" s="1"/>
  <c r="AT30" i="6"/>
  <c r="BN18" i="22" s="1"/>
  <c r="AT42" i="6"/>
  <c r="BN30" i="22" s="1"/>
  <c r="AT54" i="6"/>
  <c r="BN42" i="22" s="1"/>
  <c r="AT66" i="6"/>
  <c r="BN54" i="22" s="1"/>
  <c r="AT84" i="6"/>
  <c r="BN72" i="22" s="1"/>
  <c r="AT25" i="6"/>
  <c r="BN13" i="22" s="1"/>
  <c r="AT49" i="6"/>
  <c r="BN37" i="22" s="1"/>
  <c r="AT67" i="6"/>
  <c r="BN55" i="22" s="1"/>
  <c r="AT59" i="6"/>
  <c r="BN47" i="22" s="1"/>
  <c r="AT90" i="6"/>
  <c r="BN78" i="22" s="1"/>
  <c r="AT31" i="6"/>
  <c r="BN19" i="22" s="1"/>
  <c r="AT55" i="6"/>
  <c r="BN43" i="22" s="1"/>
  <c r="AT79" i="6"/>
  <c r="BN67" i="22" s="1"/>
  <c r="AT65" i="6"/>
  <c r="BN53" i="22" s="1"/>
  <c r="AT18" i="6"/>
  <c r="BN6" i="22" s="1"/>
  <c r="AT78" i="6"/>
  <c r="BN66" i="22" s="1"/>
  <c r="AT43" i="6"/>
  <c r="BN31" i="22" s="1"/>
  <c r="AT73" i="6"/>
  <c r="BN61" i="22" s="1"/>
  <c r="AT20" i="6"/>
  <c r="BN8" i="22" s="1"/>
  <c r="AT26" i="6"/>
  <c r="BN14" i="22" s="1"/>
  <c r="AT32" i="6"/>
  <c r="BN20" i="22" s="1"/>
  <c r="AT38" i="6"/>
  <c r="BN26" i="22" s="1"/>
  <c r="AT44" i="6"/>
  <c r="BN32" i="22" s="1"/>
  <c r="AT50" i="6"/>
  <c r="BN38" i="22" s="1"/>
  <c r="AT56" i="6"/>
  <c r="BN44" i="22" s="1"/>
  <c r="AT62" i="6"/>
  <c r="BN50" i="22" s="1"/>
  <c r="AT68" i="6"/>
  <c r="BN56" i="22" s="1"/>
  <c r="AT74" i="6"/>
  <c r="BN62" i="22" s="1"/>
  <c r="AT80" i="6"/>
  <c r="BN68" i="22" s="1"/>
  <c r="AT86" i="6"/>
  <c r="BN74" i="22" s="1"/>
  <c r="AT15" i="6"/>
  <c r="BN3" i="22" s="1"/>
  <c r="AT21" i="6"/>
  <c r="BN9" i="22" s="1"/>
  <c r="AT27" i="6"/>
  <c r="BN15" i="22" s="1"/>
  <c r="AT33" i="6"/>
  <c r="BN21" i="22" s="1"/>
  <c r="AT39" i="6"/>
  <c r="BN27" i="22" s="1"/>
  <c r="AT45" i="6"/>
  <c r="BN33" i="22" s="1"/>
  <c r="AT51" i="6"/>
  <c r="BN39" i="22" s="1"/>
  <c r="AT57" i="6"/>
  <c r="BN45" i="22" s="1"/>
  <c r="AT63" i="6"/>
  <c r="BN51" i="22" s="1"/>
  <c r="AT69" i="6"/>
  <c r="BN57" i="22" s="1"/>
  <c r="AT75" i="6"/>
  <c r="BN63" i="22" s="1"/>
  <c r="AT81" i="6"/>
  <c r="BN69" i="22" s="1"/>
  <c r="AT16" i="6"/>
  <c r="BN4" i="22" s="1"/>
  <c r="AT22" i="6"/>
  <c r="BN10" i="22" s="1"/>
  <c r="AT28" i="6"/>
  <c r="BN16" i="22" s="1"/>
  <c r="AT34" i="6"/>
  <c r="BN22" i="22" s="1"/>
  <c r="AT40" i="6"/>
  <c r="BN28" i="22" s="1"/>
  <c r="AT46" i="6"/>
  <c r="BN34" i="22" s="1"/>
  <c r="AT52" i="6"/>
  <c r="BN40" i="22" s="1"/>
  <c r="AT58" i="6"/>
  <c r="BN46" i="22" s="1"/>
  <c r="AT70" i="6"/>
  <c r="BN58" i="22" s="1"/>
  <c r="AT82" i="6"/>
  <c r="BN70" i="22" s="1"/>
  <c r="AT17" i="6"/>
  <c r="BN5" i="22" s="1"/>
  <c r="AT29" i="6"/>
  <c r="BN17" i="22" s="1"/>
  <c r="AT41" i="6"/>
  <c r="BN29" i="22" s="1"/>
  <c r="AT53" i="6"/>
  <c r="BN41" i="22" s="1"/>
  <c r="AT77" i="6"/>
  <c r="BN65" i="22" s="1"/>
  <c r="AT89" i="6"/>
  <c r="BN77" i="22" s="1"/>
  <c r="AT24" i="6"/>
  <c r="BN12" i="22" s="1"/>
  <c r="AT36" i="6"/>
  <c r="BN24" i="22" s="1"/>
  <c r="AT48" i="6"/>
  <c r="BN36" i="22" s="1"/>
  <c r="AT60" i="6"/>
  <c r="BN48" i="22" s="1"/>
  <c r="AT72" i="6"/>
  <c r="BN60" i="22" s="1"/>
  <c r="AT19" i="6"/>
  <c r="BN7" i="22" s="1"/>
  <c r="AT37" i="6"/>
  <c r="BN25" i="22" s="1"/>
  <c r="AT61" i="6"/>
  <c r="BN49" i="22" s="1"/>
  <c r="AT85" i="6"/>
  <c r="BN73" i="22" s="1"/>
  <c r="BC16" i="6"/>
  <c r="BC22" i="6"/>
  <c r="BC18" i="6"/>
  <c r="BC24" i="6"/>
  <c r="BC15" i="6"/>
  <c r="BC19" i="6"/>
  <c r="BC25" i="6"/>
  <c r="BC20" i="6"/>
  <c r="BC21" i="6"/>
  <c r="BC17" i="6"/>
  <c r="BD14" i="6"/>
  <c r="BC23" i="6"/>
  <c r="AS15" i="6"/>
  <c r="AS21" i="6"/>
  <c r="AS16" i="6"/>
  <c r="AS22" i="6"/>
  <c r="AS25" i="6"/>
  <c r="AS17" i="6"/>
  <c r="AS23" i="6"/>
  <c r="AS18" i="6"/>
  <c r="AS24" i="6"/>
  <c r="AS20" i="6"/>
  <c r="AS19" i="6"/>
  <c r="AW19" i="6"/>
  <c r="AW25" i="6"/>
  <c r="AW20" i="6"/>
  <c r="AW15" i="6"/>
  <c r="AW21" i="6"/>
  <c r="AW23" i="6"/>
  <c r="AW16" i="6"/>
  <c r="AW22" i="6"/>
  <c r="AW18" i="6"/>
  <c r="AW24" i="6"/>
  <c r="AW17" i="6"/>
  <c r="AZ18" i="6"/>
  <c r="BA18" i="6" s="1"/>
  <c r="AZ24" i="6"/>
  <c r="BB24" i="6" s="1"/>
  <c r="AZ19" i="6"/>
  <c r="BB19" i="6" s="1"/>
  <c r="AZ25" i="6"/>
  <c r="BB25" i="6" s="1"/>
  <c r="AZ22" i="6"/>
  <c r="BB22" i="6" s="1"/>
  <c r="AZ20" i="6"/>
  <c r="BB20" i="6" s="1"/>
  <c r="AZ16" i="6"/>
  <c r="BB16" i="6" s="1"/>
  <c r="AZ15" i="6"/>
  <c r="BA15" i="6" s="1"/>
  <c r="AZ21" i="6"/>
  <c r="BB21" i="6" s="1"/>
  <c r="AZ17" i="6"/>
  <c r="BB17" i="6" s="1"/>
  <c r="AZ23" i="6"/>
  <c r="BA23" i="6" s="1"/>
  <c r="AV16" i="6"/>
  <c r="AV22" i="6"/>
  <c r="AV28" i="6"/>
  <c r="AV34" i="6"/>
  <c r="AV40" i="6"/>
  <c r="AV46" i="6"/>
  <c r="AV52" i="6"/>
  <c r="AV58" i="6"/>
  <c r="AV64" i="6"/>
  <c r="AV70" i="6"/>
  <c r="AV76" i="6"/>
  <c r="AV82" i="6"/>
  <c r="AV88" i="6"/>
  <c r="AU17" i="6"/>
  <c r="AU23" i="6"/>
  <c r="AU29" i="6"/>
  <c r="AU35" i="6"/>
  <c r="AU41" i="6"/>
  <c r="AU47" i="6"/>
  <c r="AU53" i="6"/>
  <c r="AU59" i="6"/>
  <c r="AU65" i="6"/>
  <c r="AU71" i="6"/>
  <c r="AU77" i="6"/>
  <c r="AU83" i="6"/>
  <c r="AU89" i="6"/>
  <c r="AV39" i="6"/>
  <c r="AV69" i="6"/>
  <c r="AU22" i="6"/>
  <c r="AU46" i="6"/>
  <c r="AU70" i="6"/>
  <c r="AV17" i="6"/>
  <c r="AV23" i="6"/>
  <c r="AV29" i="6"/>
  <c r="AV35" i="6"/>
  <c r="AV41" i="6"/>
  <c r="AV47" i="6"/>
  <c r="AV53" i="6"/>
  <c r="AV59" i="6"/>
  <c r="AV65" i="6"/>
  <c r="AV71" i="6"/>
  <c r="AV77" i="6"/>
  <c r="AV83" i="6"/>
  <c r="AV89" i="6"/>
  <c r="AU18" i="6"/>
  <c r="AU24" i="6"/>
  <c r="AU30" i="6"/>
  <c r="AU36" i="6"/>
  <c r="AU42" i="6"/>
  <c r="AU48" i="6"/>
  <c r="AU54" i="6"/>
  <c r="AU60" i="6"/>
  <c r="AU66" i="6"/>
  <c r="AU72" i="6"/>
  <c r="AU78" i="6"/>
  <c r="AU84" i="6"/>
  <c r="AU90" i="6"/>
  <c r="AV33" i="6"/>
  <c r="AV57" i="6"/>
  <c r="AV81" i="6"/>
  <c r="AU34" i="6"/>
  <c r="AU64" i="6"/>
  <c r="AU88" i="6"/>
  <c r="AV18" i="6"/>
  <c r="AV24" i="6"/>
  <c r="AV30" i="6"/>
  <c r="AV36" i="6"/>
  <c r="AV42" i="6"/>
  <c r="AV48" i="6"/>
  <c r="AV54" i="6"/>
  <c r="AV60" i="6"/>
  <c r="AV66" i="6"/>
  <c r="AV72" i="6"/>
  <c r="AV78" i="6"/>
  <c r="AV84" i="6"/>
  <c r="AV90" i="6"/>
  <c r="AU19" i="6"/>
  <c r="AU25" i="6"/>
  <c r="AU31" i="6"/>
  <c r="AU37" i="6"/>
  <c r="AU43" i="6"/>
  <c r="AU49" i="6"/>
  <c r="AU55" i="6"/>
  <c r="AU61" i="6"/>
  <c r="AU67" i="6"/>
  <c r="AU73" i="6"/>
  <c r="AU79" i="6"/>
  <c r="AU85" i="6"/>
  <c r="AU14" i="6"/>
  <c r="AV21" i="6"/>
  <c r="AV63" i="6"/>
  <c r="AV87" i="6"/>
  <c r="AU40" i="6"/>
  <c r="AU76" i="6"/>
  <c r="AV19" i="6"/>
  <c r="AV25" i="6"/>
  <c r="AV31" i="6"/>
  <c r="AV37" i="6"/>
  <c r="AV43" i="6"/>
  <c r="AV49" i="6"/>
  <c r="AV55" i="6"/>
  <c r="AV61" i="6"/>
  <c r="AV67" i="6"/>
  <c r="AV73" i="6"/>
  <c r="AV79" i="6"/>
  <c r="AV85" i="6"/>
  <c r="AV14" i="6"/>
  <c r="AU20" i="6"/>
  <c r="AU26" i="6"/>
  <c r="AU32" i="6"/>
  <c r="AU38" i="6"/>
  <c r="AU44" i="6"/>
  <c r="AU50" i="6"/>
  <c r="AU56" i="6"/>
  <c r="AU62" i="6"/>
  <c r="AU68" i="6"/>
  <c r="AU74" i="6"/>
  <c r="AU80" i="6"/>
  <c r="AU86" i="6"/>
  <c r="AS14" i="6"/>
  <c r="AV15" i="6"/>
  <c r="AV51" i="6"/>
  <c r="AU16" i="6"/>
  <c r="AU52" i="6"/>
  <c r="AU82" i="6"/>
  <c r="AV20" i="6"/>
  <c r="AV26" i="6"/>
  <c r="AV32" i="6"/>
  <c r="AV38" i="6"/>
  <c r="AV44" i="6"/>
  <c r="AV50" i="6"/>
  <c r="AV56" i="6"/>
  <c r="AV62" i="6"/>
  <c r="AV68" i="6"/>
  <c r="AV74" i="6"/>
  <c r="AV80" i="6"/>
  <c r="AV86" i="6"/>
  <c r="AU15" i="6"/>
  <c r="AU21" i="6"/>
  <c r="AU27" i="6"/>
  <c r="AU33" i="6"/>
  <c r="AU39" i="6"/>
  <c r="AU45" i="6"/>
  <c r="AU51" i="6"/>
  <c r="AU57" i="6"/>
  <c r="AU63" i="6"/>
  <c r="AU69" i="6"/>
  <c r="AU75" i="6"/>
  <c r="AU81" i="6"/>
  <c r="AU87" i="6"/>
  <c r="AV27" i="6"/>
  <c r="AV45" i="6"/>
  <c r="AV75" i="6"/>
  <c r="AU28" i="6"/>
  <c r="AU58" i="6"/>
  <c r="BD17" i="6"/>
  <c r="BD23" i="6"/>
  <c r="BD29" i="6"/>
  <c r="BD35" i="6"/>
  <c r="BD41" i="6"/>
  <c r="BD47" i="6"/>
  <c r="BD53" i="6"/>
  <c r="BD59" i="6"/>
  <c r="BD65" i="6"/>
  <c r="BD71" i="6"/>
  <c r="BD77" i="6"/>
  <c r="BD83" i="6"/>
  <c r="BD89" i="6"/>
  <c r="BD27" i="6"/>
  <c r="BD57" i="6"/>
  <c r="BD75" i="6"/>
  <c r="BD18" i="6"/>
  <c r="BD24" i="6"/>
  <c r="BD30" i="6"/>
  <c r="BD36" i="6"/>
  <c r="BD42" i="6"/>
  <c r="BD48" i="6"/>
  <c r="BD54" i="6"/>
  <c r="BD60" i="6"/>
  <c r="BD66" i="6"/>
  <c r="BD72" i="6"/>
  <c r="BD78" i="6"/>
  <c r="BD84" i="6"/>
  <c r="BD90" i="6"/>
  <c r="BC14" i="6"/>
  <c r="BD39" i="6"/>
  <c r="BD81" i="6"/>
  <c r="BD19" i="6"/>
  <c r="BD25" i="6"/>
  <c r="BD31" i="6"/>
  <c r="BD37" i="6"/>
  <c r="BD43" i="6"/>
  <c r="BD49" i="6"/>
  <c r="BD55" i="6"/>
  <c r="BD61" i="6"/>
  <c r="BD67" i="6"/>
  <c r="BD73" i="6"/>
  <c r="BD79" i="6"/>
  <c r="BD85" i="6"/>
  <c r="BD45" i="6"/>
  <c r="BD87" i="6"/>
  <c r="BD20" i="6"/>
  <c r="BD26" i="6"/>
  <c r="BD32" i="6"/>
  <c r="BD38" i="6"/>
  <c r="BD44" i="6"/>
  <c r="BD50" i="6"/>
  <c r="BD56" i="6"/>
  <c r="BD62" i="6"/>
  <c r="BD68" i="6"/>
  <c r="BD74" i="6"/>
  <c r="BD80" i="6"/>
  <c r="BD86" i="6"/>
  <c r="BD15" i="6"/>
  <c r="BD33" i="6"/>
  <c r="BD63" i="6"/>
  <c r="BD16" i="6"/>
  <c r="BD22" i="6"/>
  <c r="BD28" i="6"/>
  <c r="BD34" i="6"/>
  <c r="BD40" i="6"/>
  <c r="BD46" i="6"/>
  <c r="BD52" i="6"/>
  <c r="BD58" i="6"/>
  <c r="BD64" i="6"/>
  <c r="BD70" i="6"/>
  <c r="BD76" i="6"/>
  <c r="BD82" i="6"/>
  <c r="BD88" i="6"/>
  <c r="BD21" i="6"/>
  <c r="BD51" i="6"/>
  <c r="BD69" i="6"/>
  <c r="AX14" i="6"/>
  <c r="AY14" i="6"/>
  <c r="AY15" i="6"/>
  <c r="AY21" i="6"/>
  <c r="AY27" i="6"/>
  <c r="AY33" i="6"/>
  <c r="AY39" i="6"/>
  <c r="AY45" i="6"/>
  <c r="AY51" i="6"/>
  <c r="AY57" i="6"/>
  <c r="AY63" i="6"/>
  <c r="AY69" i="6"/>
  <c r="AY75" i="6"/>
  <c r="AY81" i="6"/>
  <c r="AY87" i="6"/>
  <c r="AY50" i="6"/>
  <c r="AY16" i="6"/>
  <c r="AY22" i="6"/>
  <c r="AY28" i="6"/>
  <c r="AY34" i="6"/>
  <c r="AY40" i="6"/>
  <c r="AY46" i="6"/>
  <c r="AY52" i="6"/>
  <c r="AY58" i="6"/>
  <c r="AY64" i="6"/>
  <c r="AY70" i="6"/>
  <c r="AY76" i="6"/>
  <c r="AY82" i="6"/>
  <c r="AY88" i="6"/>
  <c r="AY56" i="6"/>
  <c r="AY86" i="6"/>
  <c r="AY17" i="6"/>
  <c r="AY23" i="6"/>
  <c r="AY29" i="6"/>
  <c r="AY35" i="6"/>
  <c r="AY41" i="6"/>
  <c r="AY47" i="6"/>
  <c r="AY53" i="6"/>
  <c r="AY59" i="6"/>
  <c r="AY65" i="6"/>
  <c r="AY71" i="6"/>
  <c r="AY77" i="6"/>
  <c r="AY83" i="6"/>
  <c r="AY89" i="6"/>
  <c r="AY44" i="6"/>
  <c r="AY18" i="6"/>
  <c r="AY24" i="6"/>
  <c r="AY30" i="6"/>
  <c r="AY36" i="6"/>
  <c r="AY42" i="6"/>
  <c r="AY48" i="6"/>
  <c r="AY54" i="6"/>
  <c r="AY60" i="6"/>
  <c r="AY66" i="6"/>
  <c r="AY72" i="6"/>
  <c r="AY78" i="6"/>
  <c r="AY84" i="6"/>
  <c r="AY90" i="6"/>
  <c r="AY38" i="6"/>
  <c r="AY80" i="6"/>
  <c r="AY19" i="6"/>
  <c r="AY25" i="6"/>
  <c r="AY31" i="6"/>
  <c r="AY37" i="6"/>
  <c r="AY43" i="6"/>
  <c r="AY49" i="6"/>
  <c r="AY55" i="6"/>
  <c r="AY61" i="6"/>
  <c r="AY67" i="6"/>
  <c r="AY73" i="6"/>
  <c r="AY79" i="6"/>
  <c r="AY85" i="6"/>
  <c r="AY20" i="6"/>
  <c r="AY26" i="6"/>
  <c r="AY32" i="6"/>
  <c r="AY62" i="6"/>
  <c r="AY68" i="6"/>
  <c r="AY74" i="6"/>
  <c r="AX16" i="6"/>
  <c r="AX22" i="6"/>
  <c r="AX28" i="6"/>
  <c r="AX34" i="6"/>
  <c r="AX40" i="6"/>
  <c r="AX46" i="6"/>
  <c r="AX52" i="6"/>
  <c r="AX58" i="6"/>
  <c r="AX64" i="6"/>
  <c r="AX70" i="6"/>
  <c r="AX76" i="6"/>
  <c r="AX82" i="6"/>
  <c r="AX32" i="6"/>
  <c r="AX62" i="6"/>
  <c r="AX17" i="6"/>
  <c r="AX23" i="6"/>
  <c r="AX29" i="6"/>
  <c r="AX35" i="6"/>
  <c r="AX41" i="6"/>
  <c r="AX47" i="6"/>
  <c r="AX53" i="6"/>
  <c r="AX59" i="6"/>
  <c r="AX65" i="6"/>
  <c r="AX71" i="6"/>
  <c r="AX77" i="6"/>
  <c r="AX83" i="6"/>
  <c r="AX89" i="6"/>
  <c r="AX38" i="6"/>
  <c r="AX74" i="6"/>
  <c r="AX18" i="6"/>
  <c r="AX24" i="6"/>
  <c r="AX30" i="6"/>
  <c r="AX36" i="6"/>
  <c r="AX42" i="6"/>
  <c r="AX48" i="6"/>
  <c r="AX54" i="6"/>
  <c r="AX60" i="6"/>
  <c r="AX66" i="6"/>
  <c r="AX72" i="6"/>
  <c r="AX78" i="6"/>
  <c r="AX84" i="6"/>
  <c r="AX90" i="6"/>
  <c r="AW14" i="6"/>
  <c r="AX44" i="6"/>
  <c r="AX86" i="6"/>
  <c r="AX19" i="6"/>
  <c r="AX25" i="6"/>
  <c r="AX31" i="6"/>
  <c r="AX37" i="6"/>
  <c r="AX43" i="6"/>
  <c r="AX49" i="6"/>
  <c r="AX55" i="6"/>
  <c r="AX61" i="6"/>
  <c r="AX67" i="6"/>
  <c r="AX73" i="6"/>
  <c r="AX79" i="6"/>
  <c r="AX85" i="6"/>
  <c r="AX20" i="6"/>
  <c r="AX50" i="6"/>
  <c r="AX68" i="6"/>
  <c r="AX15" i="6"/>
  <c r="AX21" i="6"/>
  <c r="AX27" i="6"/>
  <c r="AX33" i="6"/>
  <c r="AX39" i="6"/>
  <c r="AX45" i="6"/>
  <c r="AX51" i="6"/>
  <c r="AX57" i="6"/>
  <c r="AX63" i="6"/>
  <c r="AX69" i="6"/>
  <c r="AX75" i="6"/>
  <c r="AX81" i="6"/>
  <c r="AX87" i="6"/>
  <c r="AX88" i="6"/>
  <c r="AX26" i="6"/>
  <c r="AX56" i="6"/>
  <c r="AX80" i="6"/>
  <c r="BA73" i="6"/>
  <c r="BA27" i="6"/>
  <c r="BA33" i="6"/>
  <c r="BA39" i="6"/>
  <c r="BA45" i="6"/>
  <c r="BA51" i="6"/>
  <c r="BA57" i="6"/>
  <c r="BA63" i="6"/>
  <c r="BA69" i="6"/>
  <c r="BA75" i="6"/>
  <c r="BA81" i="6"/>
  <c r="BA87" i="6"/>
  <c r="BA67" i="6"/>
  <c r="BB27" i="6"/>
  <c r="BB33" i="6"/>
  <c r="BB39" i="6"/>
  <c r="BB45" i="6"/>
  <c r="BB51" i="6"/>
  <c r="BB57" i="6"/>
  <c r="BB63" i="6"/>
  <c r="BB69" i="6"/>
  <c r="BB75" i="6"/>
  <c r="BB81" i="6"/>
  <c r="BB87" i="6"/>
  <c r="BB30" i="6"/>
  <c r="BB60" i="6"/>
  <c r="BB72" i="6"/>
  <c r="BB84" i="6"/>
  <c r="BA37" i="6"/>
  <c r="BA49" i="6"/>
  <c r="BA61" i="6"/>
  <c r="BA85" i="6"/>
  <c r="AZ14" i="6"/>
  <c r="BB36" i="6"/>
  <c r="BB42" i="6"/>
  <c r="BB48" i="6"/>
  <c r="BB54" i="6"/>
  <c r="BB66" i="6"/>
  <c r="BB78" i="6"/>
  <c r="BB90" i="6"/>
  <c r="BA25" i="6"/>
  <c r="BA31" i="6"/>
  <c r="BA43" i="6"/>
  <c r="BA55" i="6"/>
  <c r="BA79" i="6"/>
  <c r="BA77" i="6"/>
  <c r="BA58" i="6"/>
  <c r="BA86" i="6"/>
  <c r="BA50" i="6"/>
  <c r="BB85" i="6"/>
  <c r="BB49" i="6"/>
  <c r="BA90" i="6"/>
  <c r="BA54" i="6"/>
  <c r="BA53" i="6"/>
  <c r="BB71" i="6"/>
  <c r="BB35" i="6"/>
  <c r="BB76" i="6"/>
  <c r="BB40" i="6"/>
  <c r="BB80" i="6"/>
  <c r="BB44" i="6"/>
  <c r="BA59" i="6"/>
  <c r="BA52" i="6"/>
  <c r="BA44" i="6"/>
  <c r="BB43" i="6"/>
  <c r="BA48" i="6"/>
  <c r="BA82" i="6"/>
  <c r="BB65" i="6"/>
  <c r="BB70" i="6"/>
  <c r="BB74" i="6"/>
  <c r="BA47" i="6"/>
  <c r="BA74" i="6"/>
  <c r="BB73" i="6"/>
  <c r="BA78" i="6"/>
  <c r="BA35" i="6"/>
  <c r="BB68" i="6"/>
  <c r="BA68" i="6"/>
  <c r="BB67" i="6"/>
  <c r="BA72" i="6"/>
  <c r="BA83" i="6"/>
  <c r="BB53" i="6"/>
  <c r="BB26" i="6"/>
  <c r="BA62" i="6"/>
  <c r="BA66" i="6"/>
  <c r="BB47" i="6"/>
  <c r="BB56" i="6"/>
  <c r="BA40" i="6"/>
  <c r="BB61" i="6"/>
  <c r="BB83" i="6"/>
  <c r="BB64" i="6"/>
  <c r="BA88" i="6"/>
  <c r="BA30" i="6"/>
  <c r="BB88" i="6"/>
  <c r="BA29" i="6"/>
  <c r="BA64" i="6"/>
  <c r="BB58" i="6"/>
  <c r="BA26" i="6"/>
  <c r="BB52" i="6"/>
  <c r="BA70" i="6"/>
  <c r="BA28" i="6"/>
  <c r="BA56" i="6"/>
  <c r="BB55" i="6"/>
  <c r="BA60" i="6"/>
  <c r="BA89" i="6"/>
  <c r="BA41" i="6"/>
  <c r="BB77" i="6"/>
  <c r="BB41" i="6"/>
  <c r="BB82" i="6"/>
  <c r="BB46" i="6"/>
  <c r="BB86" i="6"/>
  <c r="BB50" i="6"/>
  <c r="BA80" i="6"/>
  <c r="BB79" i="6"/>
  <c r="BA84" i="6"/>
  <c r="BA71" i="6"/>
  <c r="BA76" i="6"/>
  <c r="BB29" i="6"/>
  <c r="BB34" i="6"/>
  <c r="BB38" i="6"/>
  <c r="BA46" i="6"/>
  <c r="BA38" i="6"/>
  <c r="BB37" i="6"/>
  <c r="BA42" i="6"/>
  <c r="BB59" i="6"/>
  <c r="BB28" i="6"/>
  <c r="BB32" i="6"/>
  <c r="BA32" i="6"/>
  <c r="BB31" i="6"/>
  <c r="BA36" i="6"/>
  <c r="BB89" i="6"/>
  <c r="BB62" i="6"/>
  <c r="BA34" i="6"/>
  <c r="BA65" i="6"/>
  <c r="BF21" i="6"/>
  <c r="BF27" i="6"/>
  <c r="BF33" i="6"/>
  <c r="BF39" i="6"/>
  <c r="BF45" i="6"/>
  <c r="BF51" i="6"/>
  <c r="BF57" i="6"/>
  <c r="BF63" i="6"/>
  <c r="BF69" i="6"/>
  <c r="BF75" i="6"/>
  <c r="BF81" i="6"/>
  <c r="BF87" i="6"/>
  <c r="BF36" i="6"/>
  <c r="BF48" i="6"/>
  <c r="BF54" i="6"/>
  <c r="BF78" i="6"/>
  <c r="BF30" i="6"/>
  <c r="BF66" i="6"/>
  <c r="BF24" i="6"/>
  <c r="BF72" i="6"/>
  <c r="BF90" i="6"/>
  <c r="BF18" i="6"/>
  <c r="BF42" i="6"/>
  <c r="BF60" i="6"/>
  <c r="BF84" i="6"/>
  <c r="BE14" i="6"/>
  <c r="BF14" i="6" s="1"/>
  <c r="BF79" i="6"/>
  <c r="BF65" i="6"/>
  <c r="BF88" i="6"/>
  <c r="BF46" i="6"/>
  <c r="BF85" i="6"/>
  <c r="BF41" i="6"/>
  <c r="BF59" i="6"/>
  <c r="BF40" i="6"/>
  <c r="BF44" i="6"/>
  <c r="BF23" i="6"/>
  <c r="BF47" i="6"/>
  <c r="BF34" i="6"/>
  <c r="BF38" i="6"/>
  <c r="BF37" i="6"/>
  <c r="BF35" i="6"/>
  <c r="BF28" i="6"/>
  <c r="BF32" i="6"/>
  <c r="BF73" i="6"/>
  <c r="BF29" i="6"/>
  <c r="BF22" i="6"/>
  <c r="BF26" i="6"/>
  <c r="BF49" i="6"/>
  <c r="BF77" i="6"/>
  <c r="BF17" i="6"/>
  <c r="BF52" i="6"/>
  <c r="BF16" i="6"/>
  <c r="BF56" i="6"/>
  <c r="BF20" i="6"/>
  <c r="BF71" i="6"/>
  <c r="BF19" i="6"/>
  <c r="BF86" i="6"/>
  <c r="BF50" i="6"/>
  <c r="BF53" i="6"/>
  <c r="BF61" i="6"/>
  <c r="BF82" i="6"/>
  <c r="BF80" i="6"/>
  <c r="BF67" i="6"/>
  <c r="BF76" i="6"/>
  <c r="BF55" i="6"/>
  <c r="BF70" i="6"/>
  <c r="BF74" i="6"/>
  <c r="BF43" i="6"/>
  <c r="BF31" i="6"/>
  <c r="BF64" i="6"/>
  <c r="BF68" i="6"/>
  <c r="BF25" i="6"/>
  <c r="BF89" i="6"/>
  <c r="BF58" i="6"/>
  <c r="BF62" i="6"/>
  <c r="BF83" i="6"/>
  <c r="G15" i="12"/>
  <c r="BD28" i="12"/>
  <c r="BF28" i="12" s="1"/>
  <c r="BE28" i="12"/>
  <c r="BD29" i="12"/>
  <c r="BF29" i="12" s="1"/>
  <c r="BE29" i="12"/>
  <c r="BD30" i="12"/>
  <c r="BF30" i="12" s="1"/>
  <c r="BE30" i="12"/>
  <c r="BD31" i="12"/>
  <c r="BF31" i="12" s="1"/>
  <c r="BE31" i="12"/>
  <c r="BE27" i="12"/>
  <c r="BD27" i="12"/>
  <c r="BD36" i="12"/>
  <c r="BF36" i="12" s="1"/>
  <c r="BE36" i="12"/>
  <c r="BD37" i="12"/>
  <c r="BF37" i="12" s="1"/>
  <c r="BE37" i="12"/>
  <c r="BD38" i="12"/>
  <c r="BF38" i="12" s="1"/>
  <c r="BE38" i="12"/>
  <c r="BD39" i="12"/>
  <c r="BF39" i="12" s="1"/>
  <c r="BE39" i="12"/>
  <c r="BD40" i="12"/>
  <c r="BF40" i="12" s="1"/>
  <c r="BE40" i="12"/>
  <c r="BD41" i="12"/>
  <c r="BF41" i="12" s="1"/>
  <c r="BE41" i="12"/>
  <c r="BD42" i="12"/>
  <c r="BF42" i="12" s="1"/>
  <c r="BE42" i="12"/>
  <c r="BD43" i="12"/>
  <c r="BF43" i="12" s="1"/>
  <c r="BE43" i="12"/>
  <c r="BD44" i="12"/>
  <c r="BF44" i="12" s="1"/>
  <c r="BE44" i="12"/>
  <c r="BD45" i="12"/>
  <c r="BF45" i="12" s="1"/>
  <c r="BE45" i="12"/>
  <c r="BE35" i="12"/>
  <c r="BD35" i="12" s="1"/>
  <c r="BF35" i="12" s="1"/>
  <c r="BA21" i="6" l="1"/>
  <c r="BA20" i="6"/>
  <c r="BA24" i="6"/>
  <c r="BA16" i="6"/>
  <c r="BB18" i="6"/>
  <c r="BA19" i="6"/>
  <c r="BB23" i="6"/>
  <c r="BA17" i="6"/>
  <c r="BA22" i="6"/>
  <c r="BB15" i="6"/>
  <c r="BB14" i="6"/>
  <c r="BA14" i="6"/>
  <c r="BD32" i="12"/>
  <c r="Y32" i="12" s="1"/>
  <c r="AA5" i="13" s="1"/>
  <c r="BF27" i="12"/>
  <c r="BF32" i="12" s="1"/>
  <c r="Y33" i="12" s="1"/>
  <c r="AB5" i="13" s="1"/>
  <c r="BF46" i="12"/>
  <c r="Y47" i="12" s="1"/>
  <c r="AP5" i="13" s="1"/>
  <c r="BD46" i="12"/>
  <c r="Y46" i="12" s="1"/>
  <c r="Q2" i="6"/>
  <c r="Y2" i="22"/>
  <c r="Y3" i="22"/>
  <c r="Y4" i="22"/>
  <c r="Y5" i="22"/>
  <c r="Y6" i="22"/>
  <c r="Y7" i="22"/>
  <c r="Y8" i="22"/>
  <c r="Y9" i="22"/>
  <c r="Y10" i="22"/>
  <c r="Y11" i="22"/>
  <c r="Y12" i="22"/>
  <c r="Y13" i="22"/>
  <c r="Y14" i="22"/>
  <c r="Y15" i="22"/>
  <c r="Y16" i="22"/>
  <c r="Y17" i="22"/>
  <c r="Y18" i="22"/>
  <c r="Y19" i="22"/>
  <c r="Y20" i="22"/>
  <c r="Y21" i="22"/>
  <c r="Y22" i="22"/>
  <c r="Y23" i="22"/>
  <c r="Y24" i="22"/>
  <c r="Y25" i="22"/>
  <c r="Y26" i="22"/>
  <c r="Y27" i="22"/>
  <c r="Y28" i="22"/>
  <c r="Y29" i="22"/>
  <c r="Y30" i="22"/>
  <c r="Y31" i="22"/>
  <c r="Y32" i="22"/>
  <c r="Y33" i="22"/>
  <c r="Y34" i="22"/>
  <c r="Y35" i="22"/>
  <c r="Y36" i="22"/>
  <c r="Y37" i="22"/>
  <c r="Y38" i="22"/>
  <c r="Y39" i="22"/>
  <c r="Y40" i="22"/>
  <c r="Y41" i="22"/>
  <c r="Y42" i="22"/>
  <c r="Y43" i="22"/>
  <c r="Y44" i="22"/>
  <c r="Y45" i="22"/>
  <c r="Y46" i="22"/>
  <c r="Y47" i="22"/>
  <c r="Y48" i="22"/>
  <c r="Y49" i="22"/>
  <c r="Y50" i="22"/>
  <c r="Y51" i="22"/>
  <c r="Y52" i="22"/>
  <c r="Y53" i="22"/>
  <c r="Y54" i="22"/>
  <c r="Y55" i="22"/>
  <c r="Y56" i="22"/>
  <c r="Y57" i="22"/>
  <c r="Y58" i="22"/>
  <c r="Y59" i="22"/>
  <c r="Y60" i="22"/>
  <c r="Y61" i="22"/>
  <c r="Y62" i="22"/>
  <c r="Y63" i="22"/>
  <c r="Y64" i="22"/>
  <c r="Y65" i="22"/>
  <c r="Y66" i="22"/>
  <c r="Y67" i="22"/>
  <c r="Y68" i="22"/>
  <c r="Y69" i="22"/>
  <c r="Y70" i="22"/>
  <c r="Y71" i="22"/>
  <c r="Y72" i="22"/>
  <c r="Y73" i="22"/>
  <c r="Y74" i="22"/>
  <c r="Y75" i="22"/>
  <c r="Y76" i="22"/>
  <c r="Y77" i="22"/>
  <c r="Y78" i="22"/>
  <c r="BF49" i="12" l="1"/>
  <c r="Y17" i="12" s="1"/>
  <c r="Q5" i="13" s="1"/>
  <c r="AO5" i="13"/>
  <c r="BD49" i="12"/>
  <c r="U69" i="10"/>
  <c r="Y16" i="12" l="1"/>
  <c r="P5" i="13" s="1"/>
  <c r="AW21" i="1"/>
  <c r="AW22" i="1"/>
  <c r="AW23" i="1"/>
  <c r="AW24" i="1"/>
  <c r="AW25" i="1"/>
  <c r="AW26" i="1"/>
  <c r="AW27" i="1"/>
  <c r="AW28" i="1"/>
  <c r="AW29" i="1"/>
  <c r="AW30" i="1"/>
  <c r="AW31" i="1"/>
  <c r="AW32" i="1"/>
  <c r="AW33" i="1"/>
  <c r="AW34" i="1"/>
  <c r="AW35" i="1"/>
  <c r="AW36" i="1"/>
  <c r="AW37" i="1"/>
  <c r="AW38" i="1"/>
  <c r="AW39" i="1"/>
  <c r="AW40" i="1"/>
  <c r="AW41" i="1"/>
  <c r="AW42" i="1"/>
  <c r="AW43" i="1"/>
  <c r="AW44" i="1"/>
  <c r="AW45" i="1"/>
  <c r="AW46" i="1"/>
  <c r="AW47" i="1"/>
  <c r="AW48" i="1"/>
  <c r="AW49" i="1"/>
  <c r="AW50" i="1"/>
  <c r="AW51" i="1"/>
  <c r="AW52" i="1"/>
  <c r="AW53" i="1"/>
  <c r="AW54" i="1"/>
  <c r="AW55" i="1"/>
  <c r="AW56" i="1"/>
  <c r="AW57" i="1"/>
  <c r="AW58" i="1"/>
  <c r="AW15" i="1"/>
  <c r="AW16" i="1"/>
  <c r="AW17" i="1"/>
  <c r="AW18" i="1"/>
  <c r="AW19" i="1"/>
  <c r="AW20" i="1"/>
  <c r="AW14" i="1"/>
  <c r="L68" i="24" l="1"/>
  <c r="L69" i="24"/>
  <c r="L70" i="24"/>
  <c r="L71" i="24"/>
  <c r="L72" i="24"/>
  <c r="L73" i="24"/>
  <c r="L74" i="24"/>
  <c r="L75" i="24"/>
  <c r="L76" i="24"/>
  <c r="L77" i="24"/>
  <c r="L78" i="24"/>
  <c r="L79" i="24"/>
  <c r="L80" i="24"/>
  <c r="L81" i="24"/>
  <c r="L82" i="24"/>
  <c r="L83" i="24"/>
  <c r="L84" i="24"/>
  <c r="L85" i="24"/>
  <c r="L86" i="24"/>
  <c r="L87" i="24"/>
  <c r="L88" i="24"/>
  <c r="L89" i="24"/>
  <c r="L90" i="24"/>
  <c r="L91" i="24"/>
  <c r="L92" i="24"/>
  <c r="L93" i="24"/>
  <c r="L94" i="24"/>
  <c r="L95" i="24"/>
  <c r="L96" i="24"/>
  <c r="L97" i="24"/>
  <c r="L98" i="24"/>
  <c r="L99" i="24"/>
  <c r="L100" i="24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15" i="6"/>
  <c r="K16" i="6"/>
  <c r="K17" i="6"/>
  <c r="K18" i="6"/>
  <c r="K19" i="6"/>
  <c r="K20" i="6"/>
  <c r="K21" i="6"/>
  <c r="K14" i="6"/>
  <c r="A24" i="12" l="1"/>
  <c r="X2" i="22"/>
  <c r="AC2" i="22" s="1"/>
  <c r="X3" i="22"/>
  <c r="X4" i="22"/>
  <c r="X5" i="22"/>
  <c r="X6" i="22"/>
  <c r="AC6" i="22" s="1"/>
  <c r="X7" i="22"/>
  <c r="AC7" i="22" s="1"/>
  <c r="X8" i="22"/>
  <c r="AC8" i="22" s="1"/>
  <c r="X9" i="22"/>
  <c r="X10" i="22"/>
  <c r="X11" i="22"/>
  <c r="X12" i="22"/>
  <c r="AC12" i="22" s="1"/>
  <c r="X13" i="22"/>
  <c r="AC13" i="22" s="1"/>
  <c r="X14" i="22"/>
  <c r="AC14" i="22" s="1"/>
  <c r="X15" i="22"/>
  <c r="AC15" i="22" s="1"/>
  <c r="X16" i="22"/>
  <c r="AC16" i="22" s="1"/>
  <c r="X17" i="22"/>
  <c r="AC17" i="22" s="1"/>
  <c r="X18" i="22"/>
  <c r="AC18" i="22" s="1"/>
  <c r="X19" i="22"/>
  <c r="AC19" i="22" s="1"/>
  <c r="X20" i="22"/>
  <c r="X21" i="22"/>
  <c r="X22" i="22"/>
  <c r="AC22" i="22" s="1"/>
  <c r="X23" i="22"/>
  <c r="X24" i="22"/>
  <c r="AC24" i="22" s="1"/>
  <c r="X25" i="22"/>
  <c r="AC25" i="22" s="1"/>
  <c r="X26" i="22"/>
  <c r="X27" i="22"/>
  <c r="AC27" i="22" s="1"/>
  <c r="X28" i="22"/>
  <c r="AC28" i="22" s="1"/>
  <c r="X29" i="22"/>
  <c r="X30" i="22"/>
  <c r="X31" i="22"/>
  <c r="AC31" i="22" s="1"/>
  <c r="X32" i="22"/>
  <c r="X33" i="22"/>
  <c r="X34" i="22"/>
  <c r="X35" i="22"/>
  <c r="X36" i="22"/>
  <c r="AC36" i="22" s="1"/>
  <c r="X37" i="22"/>
  <c r="X38" i="22"/>
  <c r="AC38" i="22" s="1"/>
  <c r="X39" i="22"/>
  <c r="X40" i="22"/>
  <c r="X41" i="22"/>
  <c r="X42" i="22"/>
  <c r="AC42" i="22" s="1"/>
  <c r="X43" i="22"/>
  <c r="X44" i="22"/>
  <c r="AC44" i="22" s="1"/>
  <c r="X45" i="22"/>
  <c r="AC45" i="22" s="1"/>
  <c r="X46" i="22"/>
  <c r="X47" i="22"/>
  <c r="AC47" i="22" s="1"/>
  <c r="X48" i="22"/>
  <c r="AC48" i="22" s="1"/>
  <c r="X49" i="22"/>
  <c r="AC49" i="22" s="1"/>
  <c r="X50" i="22"/>
  <c r="AC50" i="22" s="1"/>
  <c r="X51" i="22"/>
  <c r="X52" i="22"/>
  <c r="X53" i="22"/>
  <c r="AC53" i="22" s="1"/>
  <c r="X54" i="22"/>
  <c r="AC54" i="22" s="1"/>
  <c r="X55" i="22"/>
  <c r="AC55" i="22" s="1"/>
  <c r="X56" i="22"/>
  <c r="AC56" i="22" s="1"/>
  <c r="X57" i="22"/>
  <c r="X58" i="22"/>
  <c r="X59" i="22"/>
  <c r="X60" i="22"/>
  <c r="AC60" i="22" s="1"/>
  <c r="X61" i="22"/>
  <c r="AC61" i="22" s="1"/>
  <c r="X62" i="22"/>
  <c r="X63" i="22"/>
  <c r="AC63" i="22" s="1"/>
  <c r="X64" i="22"/>
  <c r="X65" i="22"/>
  <c r="AC65" i="22" s="1"/>
  <c r="X66" i="22"/>
  <c r="AC66" i="22" s="1"/>
  <c r="X67" i="22"/>
  <c r="AC67" i="22" s="1"/>
  <c r="X68" i="22"/>
  <c r="X69" i="22"/>
  <c r="AC69" i="22" s="1"/>
  <c r="X70" i="22"/>
  <c r="AC70" i="22" s="1"/>
  <c r="X71" i="22"/>
  <c r="X72" i="22"/>
  <c r="X73" i="22"/>
  <c r="X74" i="22"/>
  <c r="AC74" i="22" s="1"/>
  <c r="X75" i="22"/>
  <c r="X76" i="22"/>
  <c r="X77" i="22"/>
  <c r="X78" i="22"/>
  <c r="AC78" i="22" s="1"/>
  <c r="AD59" i="22" l="1"/>
  <c r="AE59" i="22"/>
  <c r="AF59" i="22"/>
  <c r="AD35" i="22"/>
  <c r="AE35" i="22"/>
  <c r="AF35" i="22"/>
  <c r="AD23" i="22"/>
  <c r="AE23" i="22"/>
  <c r="AF23" i="22"/>
  <c r="AD11" i="22"/>
  <c r="AE11" i="22"/>
  <c r="AF11" i="22"/>
  <c r="AC11" i="22"/>
  <c r="AD76" i="22"/>
  <c r="AF76" i="22"/>
  <c r="AE76" i="22"/>
  <c r="AD70" i="22"/>
  <c r="AF70" i="22"/>
  <c r="AE70" i="22"/>
  <c r="AD64" i="22"/>
  <c r="AF64" i="22"/>
  <c r="AE64" i="22"/>
  <c r="AD58" i="22"/>
  <c r="AF58" i="22"/>
  <c r="AE58" i="22"/>
  <c r="AD52" i="22"/>
  <c r="AF52" i="22"/>
  <c r="AE52" i="22"/>
  <c r="AD46" i="22"/>
  <c r="AF46" i="22"/>
  <c r="AE46" i="22"/>
  <c r="AD40" i="22"/>
  <c r="AF40" i="22"/>
  <c r="AE40" i="22"/>
  <c r="AD34" i="22"/>
  <c r="AF34" i="22"/>
  <c r="AE34" i="22"/>
  <c r="AD28" i="22"/>
  <c r="AF28" i="22"/>
  <c r="AE28" i="22"/>
  <c r="AD22" i="22"/>
  <c r="AF22" i="22"/>
  <c r="AE22" i="22"/>
  <c r="AD16" i="22"/>
  <c r="AE16" i="22"/>
  <c r="AF16" i="22"/>
  <c r="AD10" i="22"/>
  <c r="AF10" i="22"/>
  <c r="AE10" i="22"/>
  <c r="AC10" i="22"/>
  <c r="AC46" i="22"/>
  <c r="AD32" i="22"/>
  <c r="AF32" i="22"/>
  <c r="AE32" i="22"/>
  <c r="AD77" i="22"/>
  <c r="AE77" i="22"/>
  <c r="AF77" i="22"/>
  <c r="AD71" i="22"/>
  <c r="AE71" i="22"/>
  <c r="AF71" i="22"/>
  <c r="AD53" i="22"/>
  <c r="AE53" i="22"/>
  <c r="AF53" i="22"/>
  <c r="AD47" i="22"/>
  <c r="AF47" i="22"/>
  <c r="AE47" i="22"/>
  <c r="AD29" i="22"/>
  <c r="AE29" i="22"/>
  <c r="AF29" i="22"/>
  <c r="AD17" i="22"/>
  <c r="AE17" i="22"/>
  <c r="AF17" i="22"/>
  <c r="AD69" i="22"/>
  <c r="AE69" i="22"/>
  <c r="AF69" i="22"/>
  <c r="AD57" i="22"/>
  <c r="AF57" i="22"/>
  <c r="AE57" i="22"/>
  <c r="AD51" i="22"/>
  <c r="AF51" i="22"/>
  <c r="AE51" i="22"/>
  <c r="AD39" i="22"/>
  <c r="AF39" i="22"/>
  <c r="AE39" i="22"/>
  <c r="AD33" i="22"/>
  <c r="AF33" i="22"/>
  <c r="AE33" i="22"/>
  <c r="AD21" i="22"/>
  <c r="AE21" i="22"/>
  <c r="AF21" i="22"/>
  <c r="AD15" i="22"/>
  <c r="AE15" i="22"/>
  <c r="AF15" i="22"/>
  <c r="AD9" i="22"/>
  <c r="AE9" i="22"/>
  <c r="AF9" i="22"/>
  <c r="AC33" i="22"/>
  <c r="AC23" i="22"/>
  <c r="AC59" i="22"/>
  <c r="AD62" i="22"/>
  <c r="AF62" i="22"/>
  <c r="AE62" i="22"/>
  <c r="AD44" i="22"/>
  <c r="AF44" i="22"/>
  <c r="AE44" i="22"/>
  <c r="AD26" i="22"/>
  <c r="AF26" i="22"/>
  <c r="AE26" i="22"/>
  <c r="AD20" i="22"/>
  <c r="AE20" i="22"/>
  <c r="AF20" i="22"/>
  <c r="AD14" i="22"/>
  <c r="AE14" i="22"/>
  <c r="AF14" i="22"/>
  <c r="AC34" i="22"/>
  <c r="AC20" i="22"/>
  <c r="AC39" i="22"/>
  <c r="AC40" i="22"/>
  <c r="AC21" i="22"/>
  <c r="AC29" i="22"/>
  <c r="AD73" i="22"/>
  <c r="AF73" i="22"/>
  <c r="AE73" i="22"/>
  <c r="AD67" i="22"/>
  <c r="AE67" i="22"/>
  <c r="AF67" i="22"/>
  <c r="AD61" i="22"/>
  <c r="AF61" i="22"/>
  <c r="AE61" i="22"/>
  <c r="AD55" i="22"/>
  <c r="AE55" i="22"/>
  <c r="AF55" i="22"/>
  <c r="AD49" i="22"/>
  <c r="AE49" i="22"/>
  <c r="AF49" i="22"/>
  <c r="AD43" i="22"/>
  <c r="AF43" i="22"/>
  <c r="AE43" i="22"/>
  <c r="AD37" i="22"/>
  <c r="AE37" i="22"/>
  <c r="AF37" i="22"/>
  <c r="AD31" i="22"/>
  <c r="AF31" i="22"/>
  <c r="AE31" i="22"/>
  <c r="AD25" i="22"/>
  <c r="AE25" i="22"/>
  <c r="AF25" i="22"/>
  <c r="AD19" i="22"/>
  <c r="AE19" i="22"/>
  <c r="AF19" i="22"/>
  <c r="AD13" i="22"/>
  <c r="AE13" i="22"/>
  <c r="AF13" i="22"/>
  <c r="AD7" i="22"/>
  <c r="AF7" i="22"/>
  <c r="AE7" i="22"/>
  <c r="AC37" i="22"/>
  <c r="AC73" i="22"/>
  <c r="AC52" i="22"/>
  <c r="AC26" i="22"/>
  <c r="AC62" i="22"/>
  <c r="AC58" i="22"/>
  <c r="AC51" i="22"/>
  <c r="AC35" i="22"/>
  <c r="AC71" i="22"/>
  <c r="AD65" i="22"/>
  <c r="AF65" i="22"/>
  <c r="AE65" i="22"/>
  <c r="AD41" i="22"/>
  <c r="AE41" i="22"/>
  <c r="AF41" i="22"/>
  <c r="AD75" i="22"/>
  <c r="AE75" i="22"/>
  <c r="AF75" i="22"/>
  <c r="AD63" i="22"/>
  <c r="AE63" i="22"/>
  <c r="AF63" i="22"/>
  <c r="AD45" i="22"/>
  <c r="AF45" i="22"/>
  <c r="AE45" i="22"/>
  <c r="AD27" i="22"/>
  <c r="AE27" i="22"/>
  <c r="AF27" i="22"/>
  <c r="AD74" i="22"/>
  <c r="AE74" i="22"/>
  <c r="AF74" i="22"/>
  <c r="AD68" i="22"/>
  <c r="AF68" i="22"/>
  <c r="AE68" i="22"/>
  <c r="AD56" i="22"/>
  <c r="AE56" i="22"/>
  <c r="AF56" i="22"/>
  <c r="AD50" i="22"/>
  <c r="AE50" i="22"/>
  <c r="AF50" i="22"/>
  <c r="AD38" i="22"/>
  <c r="AE38" i="22"/>
  <c r="AF38" i="22"/>
  <c r="AD8" i="22"/>
  <c r="AF8" i="22"/>
  <c r="AE8" i="22"/>
  <c r="AD78" i="22"/>
  <c r="AE78" i="22"/>
  <c r="AF78" i="22"/>
  <c r="AD72" i="22"/>
  <c r="AE72" i="22"/>
  <c r="AF72" i="22"/>
  <c r="AD66" i="22"/>
  <c r="AF66" i="22"/>
  <c r="AE66" i="22"/>
  <c r="AD60" i="22"/>
  <c r="AF60" i="22"/>
  <c r="AE60" i="22"/>
  <c r="AD54" i="22"/>
  <c r="AF54" i="22"/>
  <c r="AE54" i="22"/>
  <c r="AD48" i="22"/>
  <c r="AF48" i="22"/>
  <c r="AE48" i="22"/>
  <c r="AD42" i="22"/>
  <c r="AE42" i="22"/>
  <c r="AF42" i="22"/>
  <c r="AD36" i="22"/>
  <c r="AF36" i="22"/>
  <c r="AE36" i="22"/>
  <c r="AD30" i="22"/>
  <c r="AF30" i="22"/>
  <c r="AE30" i="22"/>
  <c r="AD24" i="22"/>
  <c r="AE24" i="22"/>
  <c r="AF24" i="22"/>
  <c r="AD18" i="22"/>
  <c r="AF18" i="22"/>
  <c r="AE18" i="22"/>
  <c r="AD12" i="22"/>
  <c r="AF12" i="22"/>
  <c r="AE12" i="22"/>
  <c r="AC43" i="22"/>
  <c r="AC9" i="22"/>
  <c r="AC30" i="22"/>
  <c r="AC32" i="22"/>
  <c r="AC68" i="22"/>
  <c r="AC57" i="22"/>
  <c r="AC76" i="22"/>
  <c r="AC75" i="22"/>
  <c r="AC64" i="22"/>
  <c r="AC41" i="22"/>
  <c r="AC77" i="22"/>
  <c r="AC72" i="22"/>
  <c r="AF6" i="22"/>
  <c r="AE6" i="22"/>
  <c r="AD6" i="22"/>
  <c r="AF5" i="22"/>
  <c r="AC5" i="22"/>
  <c r="AE5" i="22"/>
  <c r="AD5" i="22"/>
  <c r="AF4" i="22"/>
  <c r="AD4" i="22"/>
  <c r="AE4" i="22"/>
  <c r="AC4" i="22"/>
  <c r="AE3" i="22"/>
  <c r="AF3" i="22"/>
  <c r="AD3" i="22"/>
  <c r="AC3" i="22"/>
  <c r="AF2" i="22"/>
  <c r="AE2" i="22"/>
  <c r="AD2" i="22"/>
  <c r="X79" i="22"/>
  <c r="AZ19" i="1"/>
  <c r="AZ20" i="1"/>
  <c r="AZ21" i="1"/>
  <c r="AZ22" i="1"/>
  <c r="AZ23" i="1"/>
  <c r="AZ24" i="1"/>
  <c r="AZ25" i="1"/>
  <c r="AZ26" i="1"/>
  <c r="AZ27" i="1"/>
  <c r="AZ28" i="1"/>
  <c r="AZ29" i="1"/>
  <c r="AZ30" i="1"/>
  <c r="AZ31" i="1"/>
  <c r="AZ32" i="1"/>
  <c r="AZ33" i="1"/>
  <c r="AZ34" i="1"/>
  <c r="AZ35" i="1"/>
  <c r="AZ36" i="1"/>
  <c r="AZ37" i="1"/>
  <c r="AZ38" i="1"/>
  <c r="AZ39" i="1"/>
  <c r="AZ40" i="1"/>
  <c r="AZ41" i="1"/>
  <c r="AZ42" i="1"/>
  <c r="AZ43" i="1"/>
  <c r="AZ44" i="1"/>
  <c r="AZ45" i="1"/>
  <c r="AZ46" i="1"/>
  <c r="AZ47" i="1"/>
  <c r="AZ48" i="1"/>
  <c r="AZ50" i="1"/>
  <c r="AZ51" i="1"/>
  <c r="AZ52" i="1"/>
  <c r="AZ53" i="1"/>
  <c r="AZ54" i="1"/>
  <c r="AZ55" i="1"/>
  <c r="AZ56" i="1"/>
  <c r="AZ57" i="1"/>
  <c r="AZ5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50" i="1"/>
  <c r="AY51" i="1"/>
  <c r="AY52" i="1"/>
  <c r="AY53" i="1"/>
  <c r="AY54" i="1"/>
  <c r="AY55" i="1"/>
  <c r="AY56" i="1"/>
  <c r="AY57" i="1"/>
  <c r="AY58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R14" i="1"/>
  <c r="AS14" i="1" s="1"/>
  <c r="AR15" i="1"/>
  <c r="AS15" i="1" s="1"/>
  <c r="AR16" i="1"/>
  <c r="AS16" i="1" s="1"/>
  <c r="AR17" i="1"/>
  <c r="AS17" i="1" s="1"/>
  <c r="AR18" i="1"/>
  <c r="AR19" i="1"/>
  <c r="AR20" i="1"/>
  <c r="AS20" i="1" s="1"/>
  <c r="AR21" i="1"/>
  <c r="AS21" i="1" s="1"/>
  <c r="AR22" i="1"/>
  <c r="AS22" i="1" s="1"/>
  <c r="AR23" i="1"/>
  <c r="AS23" i="1" s="1"/>
  <c r="AR24" i="1"/>
  <c r="AR25" i="1"/>
  <c r="AR26" i="1"/>
  <c r="AS26" i="1" s="1"/>
  <c r="AT26" i="1" s="1"/>
  <c r="AR27" i="1"/>
  <c r="AS27" i="1" s="1"/>
  <c r="AT27" i="1" s="1"/>
  <c r="AR28" i="1"/>
  <c r="AS28" i="1" s="1"/>
  <c r="AT28" i="1" s="1"/>
  <c r="AR29" i="1"/>
  <c r="AS29" i="1" s="1"/>
  <c r="AT29" i="1" s="1"/>
  <c r="AR30" i="1"/>
  <c r="AR31" i="1"/>
  <c r="AR32" i="1"/>
  <c r="AS32" i="1" s="1"/>
  <c r="AT32" i="1" s="1"/>
  <c r="AR33" i="1"/>
  <c r="AS33" i="1" s="1"/>
  <c r="AT33" i="1" s="1"/>
  <c r="AR34" i="1"/>
  <c r="AS34" i="1" s="1"/>
  <c r="AT34" i="1" s="1"/>
  <c r="AR35" i="1"/>
  <c r="AS35" i="1" s="1"/>
  <c r="AT35" i="1" s="1"/>
  <c r="AR36" i="1"/>
  <c r="AR37" i="1"/>
  <c r="AR38" i="1"/>
  <c r="AS38" i="1" s="1"/>
  <c r="AT38" i="1" s="1"/>
  <c r="AR39" i="1"/>
  <c r="AS39" i="1" s="1"/>
  <c r="AT39" i="1" s="1"/>
  <c r="AR40" i="1"/>
  <c r="AS40" i="1" s="1"/>
  <c r="AT40" i="1" s="1"/>
  <c r="AR41" i="1"/>
  <c r="AS41" i="1" s="1"/>
  <c r="AT41" i="1" s="1"/>
  <c r="AR42" i="1"/>
  <c r="AR43" i="1"/>
  <c r="AR44" i="1"/>
  <c r="AS44" i="1" s="1"/>
  <c r="AT44" i="1" s="1"/>
  <c r="AR45" i="1"/>
  <c r="AS45" i="1" s="1"/>
  <c r="AT45" i="1" s="1"/>
  <c r="AR46" i="1"/>
  <c r="AS46" i="1" s="1"/>
  <c r="AT46" i="1" s="1"/>
  <c r="AR47" i="1"/>
  <c r="AS47" i="1" s="1"/>
  <c r="AT47" i="1" s="1"/>
  <c r="AR48" i="1"/>
  <c r="AR49" i="1"/>
  <c r="AR50" i="1"/>
  <c r="AS50" i="1" s="1"/>
  <c r="AT50" i="1" s="1"/>
  <c r="AR51" i="1"/>
  <c r="AS51" i="1" s="1"/>
  <c r="AT51" i="1" s="1"/>
  <c r="AR52" i="1"/>
  <c r="AS52" i="1" s="1"/>
  <c r="AT52" i="1" s="1"/>
  <c r="AR53" i="1"/>
  <c r="AS53" i="1" s="1"/>
  <c r="AT53" i="1" s="1"/>
  <c r="AR54" i="1"/>
  <c r="AR55" i="1"/>
  <c r="AR56" i="1"/>
  <c r="AS56" i="1" s="1"/>
  <c r="AT56" i="1" s="1"/>
  <c r="AR57" i="1"/>
  <c r="AS57" i="1" s="1"/>
  <c r="AT57" i="1" s="1"/>
  <c r="AR58" i="1"/>
  <c r="AS58" i="1" s="1"/>
  <c r="AR14" i="10"/>
  <c r="AS14" i="10" s="1"/>
  <c r="AR15" i="10"/>
  <c r="AS15" i="10" s="1"/>
  <c r="AT15" i="10" s="1"/>
  <c r="AR16" i="10"/>
  <c r="AS16" i="10" s="1"/>
  <c r="AT16" i="10" s="1"/>
  <c r="AR17" i="10"/>
  <c r="AS17" i="10" s="1"/>
  <c r="AT17" i="10" s="1"/>
  <c r="AR18" i="10"/>
  <c r="AS18" i="10" s="1"/>
  <c r="AT18" i="10" s="1"/>
  <c r="AR19" i="10"/>
  <c r="AS19" i="10" s="1"/>
  <c r="AT19" i="10" s="1"/>
  <c r="AR20" i="10"/>
  <c r="AS20" i="10" s="1"/>
  <c r="AT20" i="10" s="1"/>
  <c r="AR21" i="10"/>
  <c r="AS21" i="10" s="1"/>
  <c r="AT21" i="10" s="1"/>
  <c r="AR22" i="10"/>
  <c r="AS22" i="10" s="1"/>
  <c r="AT22" i="10" s="1"/>
  <c r="AR23" i="10"/>
  <c r="AS23" i="10" s="1"/>
  <c r="AT23" i="10" s="1"/>
  <c r="AR24" i="10"/>
  <c r="AS24" i="10" s="1"/>
  <c r="AT24" i="10" s="1"/>
  <c r="AR25" i="10"/>
  <c r="AS25" i="10" s="1"/>
  <c r="AT25" i="10" s="1"/>
  <c r="AR26" i="10"/>
  <c r="AS26" i="10" s="1"/>
  <c r="AT26" i="10" s="1"/>
  <c r="AR27" i="10"/>
  <c r="AS27" i="10" s="1"/>
  <c r="AT27" i="10" s="1"/>
  <c r="AR28" i="10"/>
  <c r="AS28" i="10" s="1"/>
  <c r="AT28" i="10" s="1"/>
  <c r="AR29" i="10"/>
  <c r="AS29" i="10" s="1"/>
  <c r="AT29" i="10" s="1"/>
  <c r="AR30" i="10"/>
  <c r="AS30" i="10" s="1"/>
  <c r="AT30" i="10" s="1"/>
  <c r="AR31" i="10"/>
  <c r="AS31" i="10" s="1"/>
  <c r="AT31" i="10" s="1"/>
  <c r="AR32" i="10"/>
  <c r="AS32" i="10" s="1"/>
  <c r="AT32" i="10" s="1"/>
  <c r="AR33" i="10"/>
  <c r="AS33" i="10" s="1"/>
  <c r="AT33" i="10" s="1"/>
  <c r="AR34" i="10"/>
  <c r="AS34" i="10" s="1"/>
  <c r="AT34" i="10" s="1"/>
  <c r="AR35" i="10"/>
  <c r="AS35" i="10" s="1"/>
  <c r="AT35" i="10" s="1"/>
  <c r="AR36" i="10"/>
  <c r="AS36" i="10" s="1"/>
  <c r="AT36" i="10" s="1"/>
  <c r="AR37" i="10"/>
  <c r="AS37" i="10" s="1"/>
  <c r="AT37" i="10" s="1"/>
  <c r="AR38" i="10"/>
  <c r="AS38" i="10" s="1"/>
  <c r="AT38" i="10" s="1"/>
  <c r="AR39" i="10"/>
  <c r="AS39" i="10" s="1"/>
  <c r="AT39" i="10" s="1"/>
  <c r="AR40" i="10"/>
  <c r="AS40" i="10" s="1"/>
  <c r="AT40" i="10" s="1"/>
  <c r="AR41" i="10"/>
  <c r="AS41" i="10" s="1"/>
  <c r="AT41" i="10" s="1"/>
  <c r="AR42" i="10"/>
  <c r="AS42" i="10" s="1"/>
  <c r="AT42" i="10" s="1"/>
  <c r="AR43" i="10"/>
  <c r="AS43" i="10" s="1"/>
  <c r="AT43" i="10" s="1"/>
  <c r="AR44" i="10"/>
  <c r="AS44" i="10" s="1"/>
  <c r="AT44" i="10" s="1"/>
  <c r="AR45" i="10"/>
  <c r="AS45" i="10" s="1"/>
  <c r="AT45" i="10" s="1"/>
  <c r="AR46" i="10"/>
  <c r="AS46" i="10" s="1"/>
  <c r="AT46" i="10" s="1"/>
  <c r="AR47" i="10"/>
  <c r="AS47" i="10" s="1"/>
  <c r="AT47" i="10" s="1"/>
  <c r="AR48" i="10"/>
  <c r="AS48" i="10" s="1"/>
  <c r="AT48" i="10" s="1"/>
  <c r="AR49" i="10"/>
  <c r="AR50" i="10"/>
  <c r="AS50" i="10" s="1"/>
  <c r="AT50" i="10" s="1"/>
  <c r="AR51" i="10"/>
  <c r="AS51" i="10" s="1"/>
  <c r="AT51" i="10" s="1"/>
  <c r="AR52" i="10"/>
  <c r="AS52" i="10" s="1"/>
  <c r="AT52" i="10" s="1"/>
  <c r="AR53" i="10"/>
  <c r="AS53" i="10" s="1"/>
  <c r="AT53" i="10" s="1"/>
  <c r="AR54" i="10"/>
  <c r="AS54" i="10" s="1"/>
  <c r="AT54" i="10" s="1"/>
  <c r="AR55" i="10"/>
  <c r="AR56" i="10"/>
  <c r="AS56" i="10" s="1"/>
  <c r="AT56" i="10" s="1"/>
  <c r="AR57" i="10"/>
  <c r="AS57" i="10" s="1"/>
  <c r="AT57" i="10" s="1"/>
  <c r="AR58" i="10"/>
  <c r="AS58" i="10" s="1"/>
  <c r="AT58" i="10" s="1"/>
  <c r="AZ14" i="10"/>
  <c r="AZ15" i="10"/>
  <c r="AZ16" i="10"/>
  <c r="AZ17" i="10"/>
  <c r="AZ18" i="10"/>
  <c r="AZ19" i="10"/>
  <c r="AZ20" i="10"/>
  <c r="AZ21" i="10"/>
  <c r="AZ22" i="10"/>
  <c r="AZ23" i="10"/>
  <c r="AZ24" i="10"/>
  <c r="AZ25" i="10"/>
  <c r="AZ26" i="10"/>
  <c r="AZ27" i="10"/>
  <c r="AZ28" i="10"/>
  <c r="AZ29" i="10"/>
  <c r="AZ30" i="10"/>
  <c r="AZ31" i="10"/>
  <c r="AZ32" i="10"/>
  <c r="AZ33" i="10"/>
  <c r="AZ34" i="10"/>
  <c r="AZ35" i="10"/>
  <c r="AZ36" i="10"/>
  <c r="AZ37" i="10"/>
  <c r="AZ38" i="10"/>
  <c r="AZ39" i="10"/>
  <c r="AZ40" i="10"/>
  <c r="AZ41" i="10"/>
  <c r="AZ42" i="10"/>
  <c r="AZ43" i="10"/>
  <c r="AZ44" i="10"/>
  <c r="AZ45" i="10"/>
  <c r="AZ46" i="10"/>
  <c r="AZ48" i="10"/>
  <c r="AZ49" i="10"/>
  <c r="AZ50" i="10"/>
  <c r="AZ51" i="10"/>
  <c r="AZ52" i="10"/>
  <c r="AZ53" i="10"/>
  <c r="AZ54" i="10"/>
  <c r="AZ55" i="10"/>
  <c r="AZ56" i="10"/>
  <c r="AZ57" i="10"/>
  <c r="AZ58" i="10"/>
  <c r="AY14" i="10"/>
  <c r="AY15" i="10"/>
  <c r="AY16" i="10"/>
  <c r="AY17" i="10"/>
  <c r="AY18" i="10"/>
  <c r="AY19" i="10"/>
  <c r="AY20" i="10"/>
  <c r="AY21" i="10"/>
  <c r="AY22" i="10"/>
  <c r="AY23" i="10"/>
  <c r="AY24" i="10"/>
  <c r="AY25" i="10"/>
  <c r="AY26" i="10"/>
  <c r="AY27" i="10"/>
  <c r="AY28" i="10"/>
  <c r="AY29" i="10"/>
  <c r="AY30" i="10"/>
  <c r="AY31" i="10"/>
  <c r="AY32" i="10"/>
  <c r="AY33" i="10"/>
  <c r="AY34" i="10"/>
  <c r="AY35" i="10"/>
  <c r="AY36" i="10"/>
  <c r="AY37" i="10"/>
  <c r="AY38" i="10"/>
  <c r="AY39" i="10"/>
  <c r="AY40" i="10"/>
  <c r="AY41" i="10"/>
  <c r="AY42" i="10"/>
  <c r="AY43" i="10"/>
  <c r="AY44" i="10"/>
  <c r="AY45" i="10"/>
  <c r="AY46" i="10"/>
  <c r="AY48" i="10"/>
  <c r="AY49" i="10"/>
  <c r="AY50" i="10"/>
  <c r="AY51" i="10"/>
  <c r="AY52" i="10"/>
  <c r="AY53" i="10"/>
  <c r="AY54" i="10"/>
  <c r="AY55" i="10"/>
  <c r="AY56" i="10"/>
  <c r="AY57" i="10"/>
  <c r="AY58" i="10"/>
  <c r="AX14" i="10"/>
  <c r="AX15" i="10"/>
  <c r="AX16" i="10"/>
  <c r="AX17" i="10"/>
  <c r="AX18" i="10"/>
  <c r="AX19" i="10"/>
  <c r="AX20" i="10"/>
  <c r="AX21" i="10"/>
  <c r="AX22" i="10"/>
  <c r="AX23" i="10"/>
  <c r="AX24" i="10"/>
  <c r="AX25" i="10"/>
  <c r="AX26" i="10"/>
  <c r="AX27" i="10"/>
  <c r="AX28" i="10"/>
  <c r="AX29" i="10"/>
  <c r="AX30" i="10"/>
  <c r="AX31" i="10"/>
  <c r="AX32" i="10"/>
  <c r="AX33" i="10"/>
  <c r="AX34" i="10"/>
  <c r="AX35" i="10"/>
  <c r="AX36" i="10"/>
  <c r="AX37" i="10"/>
  <c r="AX38" i="10"/>
  <c r="AX39" i="10"/>
  <c r="AX40" i="10"/>
  <c r="AX41" i="10"/>
  <c r="AX42" i="10"/>
  <c r="AX43" i="10"/>
  <c r="AX44" i="10"/>
  <c r="AX45" i="10"/>
  <c r="AX46" i="10"/>
  <c r="AX47" i="10"/>
  <c r="AX48" i="10"/>
  <c r="AX49" i="10"/>
  <c r="AX50" i="10"/>
  <c r="AX51" i="10"/>
  <c r="AX52" i="10"/>
  <c r="AX53" i="10"/>
  <c r="AX54" i="10"/>
  <c r="AX55" i="10"/>
  <c r="AX56" i="10"/>
  <c r="AX57" i="10"/>
  <c r="AX58" i="10"/>
  <c r="BA14" i="1" l="1"/>
  <c r="AD79" i="22"/>
  <c r="BB15" i="10"/>
  <c r="J69" i="24" s="1"/>
  <c r="BB44" i="10"/>
  <c r="J98" i="24" s="1"/>
  <c r="BB26" i="10"/>
  <c r="J80" i="24" s="1"/>
  <c r="BB14" i="10"/>
  <c r="J68" i="24" s="1"/>
  <c r="BB38" i="10"/>
  <c r="J92" i="24" s="1"/>
  <c r="BB20" i="10"/>
  <c r="J74" i="24" s="1"/>
  <c r="BB56" i="10"/>
  <c r="J118" i="24" s="1"/>
  <c r="BB50" i="10"/>
  <c r="J112" i="24" s="1"/>
  <c r="AS55" i="10"/>
  <c r="AT55" i="10" s="1"/>
  <c r="BB31" i="10"/>
  <c r="J85" i="24" s="1"/>
  <c r="BB42" i="10"/>
  <c r="J96" i="24" s="1"/>
  <c r="BB30" i="10"/>
  <c r="J84" i="24" s="1"/>
  <c r="BC17" i="10"/>
  <c r="K71" i="24" s="1"/>
  <c r="BB43" i="10"/>
  <c r="J97" i="24" s="1"/>
  <c r="BB55" i="10"/>
  <c r="J117" i="24" s="1"/>
  <c r="BB36" i="10"/>
  <c r="J90" i="24" s="1"/>
  <c r="BB18" i="10"/>
  <c r="J72" i="24" s="1"/>
  <c r="BB54" i="10"/>
  <c r="J116" i="24" s="1"/>
  <c r="BB48" i="10"/>
  <c r="J110" i="24" s="1"/>
  <c r="AS55" i="1"/>
  <c r="AS49" i="1"/>
  <c r="AT49" i="1" s="1"/>
  <c r="AS43" i="1"/>
  <c r="AT43" i="1" s="1"/>
  <c r="AS37" i="1"/>
  <c r="AT37" i="1" s="1"/>
  <c r="AS31" i="1"/>
  <c r="AT31" i="1" s="1"/>
  <c r="AS25" i="1"/>
  <c r="AS19" i="1"/>
  <c r="AS49" i="10"/>
  <c r="AT49" i="10" s="1"/>
  <c r="BB25" i="10"/>
  <c r="J79" i="24" s="1"/>
  <c r="BB49" i="10"/>
  <c r="J111" i="24" s="1"/>
  <c r="BB24" i="10"/>
  <c r="J78" i="24" s="1"/>
  <c r="AS54" i="1"/>
  <c r="AT54" i="1" s="1"/>
  <c r="AS48" i="1"/>
  <c r="AT48" i="1" s="1"/>
  <c r="AS42" i="1"/>
  <c r="AT42" i="1" s="1"/>
  <c r="AS36" i="1"/>
  <c r="AT36" i="1" s="1"/>
  <c r="AS30" i="1"/>
  <c r="AT30" i="1" s="1"/>
  <c r="AS24" i="1"/>
  <c r="AS18" i="1"/>
  <c r="BB57" i="1"/>
  <c r="J66" i="24" s="1"/>
  <c r="BB51" i="1"/>
  <c r="J60" i="24" s="1"/>
  <c r="BA58" i="1"/>
  <c r="BA52" i="1"/>
  <c r="BA46" i="1"/>
  <c r="BA40" i="1"/>
  <c r="BA34" i="1"/>
  <c r="BA28" i="1"/>
  <c r="BA22" i="1"/>
  <c r="BA16" i="1"/>
  <c r="BA55" i="1"/>
  <c r="BA49" i="1"/>
  <c r="BA43" i="1"/>
  <c r="BA37" i="1"/>
  <c r="BA31" i="1"/>
  <c r="BA25" i="1"/>
  <c r="BA19" i="1"/>
  <c r="BB32" i="10"/>
  <c r="J86" i="24" s="1"/>
  <c r="BB33" i="1"/>
  <c r="J34" i="24" s="1"/>
  <c r="BB27" i="1"/>
  <c r="J28" i="24" s="1"/>
  <c r="BB21" i="1"/>
  <c r="J22" i="24" s="1"/>
  <c r="BA56" i="1"/>
  <c r="BA50" i="1"/>
  <c r="BA44" i="1"/>
  <c r="BA38" i="1"/>
  <c r="BA32" i="1"/>
  <c r="BA26" i="1"/>
  <c r="BA20" i="1"/>
  <c r="BA54" i="1"/>
  <c r="BA48" i="1"/>
  <c r="BA42" i="1"/>
  <c r="BA36" i="1"/>
  <c r="BA30" i="1"/>
  <c r="BA24" i="1"/>
  <c r="BA18" i="1"/>
  <c r="BA53" i="1"/>
  <c r="BA47" i="1"/>
  <c r="BA41" i="1"/>
  <c r="BA35" i="1"/>
  <c r="BA29" i="1"/>
  <c r="BA23" i="1"/>
  <c r="BA17" i="1"/>
  <c r="BA57" i="1"/>
  <c r="BA51" i="1"/>
  <c r="BA45" i="1"/>
  <c r="BA39" i="1"/>
  <c r="BA33" i="1"/>
  <c r="BA27" i="1"/>
  <c r="BA21" i="1"/>
  <c r="BA15" i="1"/>
  <c r="BC55" i="1"/>
  <c r="K64" i="24" s="1"/>
  <c r="BC43" i="1"/>
  <c r="K44" i="24" s="1"/>
  <c r="BC37" i="1"/>
  <c r="K38" i="24" s="1"/>
  <c r="BC31" i="1"/>
  <c r="K32" i="24" s="1"/>
  <c r="BC25" i="1"/>
  <c r="K26" i="24" s="1"/>
  <c r="BC19" i="1"/>
  <c r="K20" i="24" s="1"/>
  <c r="BB37" i="10"/>
  <c r="J91" i="24" s="1"/>
  <c r="BC54" i="1"/>
  <c r="K63" i="24" s="1"/>
  <c r="BC48" i="1"/>
  <c r="K49" i="24" s="1"/>
  <c r="BC36" i="1"/>
  <c r="K37" i="24" s="1"/>
  <c r="BC30" i="1"/>
  <c r="K31" i="24" s="1"/>
  <c r="BC56" i="10"/>
  <c r="K118" i="24" s="1"/>
  <c r="BC50" i="10"/>
  <c r="K112" i="24" s="1"/>
  <c r="BC20" i="10"/>
  <c r="K74" i="24" s="1"/>
  <c r="BC47" i="1"/>
  <c r="K48" i="24" s="1"/>
  <c r="BC29" i="1"/>
  <c r="K30" i="24" s="1"/>
  <c r="BB56" i="1"/>
  <c r="J65" i="24" s="1"/>
  <c r="BB50" i="1"/>
  <c r="J59" i="24" s="1"/>
  <c r="BB44" i="1"/>
  <c r="J45" i="24" s="1"/>
  <c r="BB32" i="1"/>
  <c r="J33" i="24" s="1"/>
  <c r="BB26" i="1"/>
  <c r="J27" i="24" s="1"/>
  <c r="BB20" i="1"/>
  <c r="J21" i="24" s="1"/>
  <c r="BB28" i="1"/>
  <c r="J29" i="24" s="1"/>
  <c r="BB31" i="1"/>
  <c r="J32" i="24" s="1"/>
  <c r="AU15" i="10"/>
  <c r="AU14" i="10"/>
  <c r="BB29" i="1"/>
  <c r="J30" i="24" s="1"/>
  <c r="BB41" i="1"/>
  <c r="J42" i="24" s="1"/>
  <c r="BB41" i="10"/>
  <c r="J95" i="24" s="1"/>
  <c r="BA54" i="10"/>
  <c r="I116" i="24" s="1"/>
  <c r="BA48" i="10"/>
  <c r="I110" i="24" s="1"/>
  <c r="BA42" i="10"/>
  <c r="I96" i="24" s="1"/>
  <c r="BA36" i="10"/>
  <c r="I90" i="24" s="1"/>
  <c r="BA30" i="10"/>
  <c r="I84" i="24" s="1"/>
  <c r="BA24" i="10"/>
  <c r="I78" i="24" s="1"/>
  <c r="BA18" i="10"/>
  <c r="I72" i="24" s="1"/>
  <c r="BC54" i="10"/>
  <c r="K116" i="24" s="1"/>
  <c r="BC48" i="10"/>
  <c r="K110" i="24" s="1"/>
  <c r="BC42" i="10"/>
  <c r="K96" i="24" s="1"/>
  <c r="BC36" i="10"/>
  <c r="K90" i="24" s="1"/>
  <c r="BC30" i="10"/>
  <c r="K84" i="24" s="1"/>
  <c r="BC24" i="10"/>
  <c r="K78" i="24" s="1"/>
  <c r="BC18" i="10"/>
  <c r="K72" i="24" s="1"/>
  <c r="BC57" i="10"/>
  <c r="K119" i="24" s="1"/>
  <c r="BC45" i="10"/>
  <c r="K99" i="24" s="1"/>
  <c r="BC39" i="10"/>
  <c r="K93" i="24" s="1"/>
  <c r="BC33" i="10"/>
  <c r="K87" i="24" s="1"/>
  <c r="BC27" i="10"/>
  <c r="K81" i="24" s="1"/>
  <c r="BC21" i="10"/>
  <c r="K75" i="24" s="1"/>
  <c r="BC15" i="10"/>
  <c r="K69" i="24" s="1"/>
  <c r="AU35" i="10"/>
  <c r="AU44" i="10"/>
  <c r="AU38" i="10"/>
  <c r="BA26" i="10"/>
  <c r="I80" i="24" s="1"/>
  <c r="AU54" i="10"/>
  <c r="L116" i="24" s="1"/>
  <c r="AU36" i="10"/>
  <c r="AU30" i="10"/>
  <c r="AU24" i="10"/>
  <c r="BC57" i="1"/>
  <c r="K66" i="24" s="1"/>
  <c r="BC39" i="1"/>
  <c r="K40" i="24" s="1"/>
  <c r="BC21" i="1"/>
  <c r="K22" i="24" s="1"/>
  <c r="BA35" i="10"/>
  <c r="I89" i="24" s="1"/>
  <c r="BA17" i="10"/>
  <c r="I71" i="24" s="1"/>
  <c r="BA44" i="10"/>
  <c r="I98" i="24" s="1"/>
  <c r="BA41" i="10"/>
  <c r="I95" i="24" s="1"/>
  <c r="BB55" i="1"/>
  <c r="J64" i="24" s="1"/>
  <c r="BB43" i="1"/>
  <c r="J44" i="24" s="1"/>
  <c r="BB37" i="1"/>
  <c r="J38" i="24" s="1"/>
  <c r="BB25" i="1"/>
  <c r="J26" i="24" s="1"/>
  <c r="BB19" i="1"/>
  <c r="J20" i="24" s="1"/>
  <c r="BA53" i="10"/>
  <c r="I115" i="24" s="1"/>
  <c r="BA47" i="10"/>
  <c r="I109" i="24" s="1"/>
  <c r="BA23" i="10"/>
  <c r="I77" i="24" s="1"/>
  <c r="BC44" i="10"/>
  <c r="K98" i="24" s="1"/>
  <c r="BA32" i="10"/>
  <c r="I86" i="24" s="1"/>
  <c r="BC26" i="10"/>
  <c r="K80" i="24" s="1"/>
  <c r="BC14" i="10"/>
  <c r="K68" i="24" s="1"/>
  <c r="AU17" i="10"/>
  <c r="BC46" i="1"/>
  <c r="K47" i="24" s="1"/>
  <c r="BC40" i="1"/>
  <c r="K41" i="24" s="1"/>
  <c r="BC28" i="1"/>
  <c r="K29" i="24" s="1"/>
  <c r="BB35" i="1"/>
  <c r="J36" i="24" s="1"/>
  <c r="BC49" i="10"/>
  <c r="K111" i="24" s="1"/>
  <c r="BC43" i="10"/>
  <c r="K97" i="24" s="1"/>
  <c r="BA38" i="10"/>
  <c r="I92" i="24" s="1"/>
  <c r="BB19" i="10"/>
  <c r="J73" i="24" s="1"/>
  <c r="AU45" i="10"/>
  <c r="AU58" i="10"/>
  <c r="L120" i="24" s="1"/>
  <c r="AU52" i="10"/>
  <c r="L114" i="24" s="1"/>
  <c r="AU46" i="10"/>
  <c r="AU40" i="10"/>
  <c r="AU34" i="10"/>
  <c r="AU28" i="10"/>
  <c r="BC22" i="10"/>
  <c r="K76" i="24" s="1"/>
  <c r="AU16" i="10"/>
  <c r="AU57" i="10"/>
  <c r="L119" i="24" s="1"/>
  <c r="BC32" i="10"/>
  <c r="K86" i="24" s="1"/>
  <c r="BC56" i="1"/>
  <c r="K65" i="24" s="1"/>
  <c r="BC50" i="1"/>
  <c r="K59" i="24" s="1"/>
  <c r="BC44" i="1"/>
  <c r="K45" i="24" s="1"/>
  <c r="BC38" i="1"/>
  <c r="K39" i="24" s="1"/>
  <c r="BC32" i="1"/>
  <c r="K33" i="24" s="1"/>
  <c r="BC26" i="1"/>
  <c r="K27" i="24" s="1"/>
  <c r="BC20" i="1"/>
  <c r="K21" i="24" s="1"/>
  <c r="BB51" i="10"/>
  <c r="J113" i="24" s="1"/>
  <c r="BB21" i="10"/>
  <c r="J75" i="24" s="1"/>
  <c r="BC38" i="10"/>
  <c r="K92" i="24" s="1"/>
  <c r="AU33" i="10"/>
  <c r="AU51" i="10"/>
  <c r="L113" i="24" s="1"/>
  <c r="AX59" i="10"/>
  <c r="BB53" i="10"/>
  <c r="J115" i="24" s="1"/>
  <c r="BB35" i="10"/>
  <c r="J89" i="24" s="1"/>
  <c r="BB29" i="10"/>
  <c r="J83" i="24" s="1"/>
  <c r="BC23" i="10"/>
  <c r="K77" i="24" s="1"/>
  <c r="BB17" i="10"/>
  <c r="J71" i="24" s="1"/>
  <c r="BC53" i="1"/>
  <c r="K62" i="24" s="1"/>
  <c r="BC41" i="1"/>
  <c r="K42" i="24" s="1"/>
  <c r="BC35" i="1"/>
  <c r="K36" i="24" s="1"/>
  <c r="BC23" i="1"/>
  <c r="K24" i="24" s="1"/>
  <c r="BB16" i="10"/>
  <c r="J70" i="24" s="1"/>
  <c r="BB28" i="10"/>
  <c r="J82" i="24" s="1"/>
  <c r="BC51" i="10"/>
  <c r="K113" i="24" s="1"/>
  <c r="BC16" i="10"/>
  <c r="K70" i="24" s="1"/>
  <c r="BA33" i="10"/>
  <c r="I87" i="24" s="1"/>
  <c r="BB58" i="10"/>
  <c r="J120" i="24" s="1"/>
  <c r="BB40" i="10"/>
  <c r="J94" i="24" s="1"/>
  <c r="BB22" i="10"/>
  <c r="J76" i="24" s="1"/>
  <c r="BC28" i="10"/>
  <c r="K82" i="24" s="1"/>
  <c r="AU21" i="10"/>
  <c r="BA56" i="10"/>
  <c r="I118" i="24" s="1"/>
  <c r="BA50" i="10"/>
  <c r="I112" i="24" s="1"/>
  <c r="BA20" i="10"/>
  <c r="I74" i="24" s="1"/>
  <c r="AU56" i="10"/>
  <c r="L118" i="24" s="1"/>
  <c r="AU50" i="10"/>
  <c r="L112" i="24" s="1"/>
  <c r="AU32" i="10"/>
  <c r="AU26" i="10"/>
  <c r="AU20" i="10"/>
  <c r="BB45" i="1"/>
  <c r="J46" i="24" s="1"/>
  <c r="BB39" i="1"/>
  <c r="J40" i="24" s="1"/>
  <c r="BB34" i="10"/>
  <c r="J88" i="24" s="1"/>
  <c r="AU48" i="10"/>
  <c r="L110" i="24" s="1"/>
  <c r="AU42" i="10"/>
  <c r="AU18" i="10"/>
  <c r="BB52" i="10"/>
  <c r="J114" i="24" s="1"/>
  <c r="BC40" i="10"/>
  <c r="K94" i="24" s="1"/>
  <c r="AR59" i="10"/>
  <c r="BC51" i="1"/>
  <c r="K60" i="24" s="1"/>
  <c r="BC45" i="1"/>
  <c r="K46" i="24" s="1"/>
  <c r="BC33" i="1"/>
  <c r="K34" i="24" s="1"/>
  <c r="BC27" i="1"/>
  <c r="K28" i="24" s="1"/>
  <c r="BC34" i="10"/>
  <c r="K88" i="24" s="1"/>
  <c r="BC58" i="1"/>
  <c r="K67" i="24" s="1"/>
  <c r="BB58" i="1"/>
  <c r="J67" i="24" s="1"/>
  <c r="BC34" i="1"/>
  <c r="K35" i="24" s="1"/>
  <c r="BB34" i="1"/>
  <c r="J35" i="24" s="1"/>
  <c r="BC37" i="10"/>
  <c r="K91" i="24" s="1"/>
  <c r="BA37" i="10"/>
  <c r="I91" i="24" s="1"/>
  <c r="BA31" i="10"/>
  <c r="I85" i="24" s="1"/>
  <c r="BC31" i="10"/>
  <c r="K85" i="24" s="1"/>
  <c r="BC25" i="10"/>
  <c r="K79" i="24" s="1"/>
  <c r="BA25" i="10"/>
  <c r="I79" i="24" s="1"/>
  <c r="BA19" i="10"/>
  <c r="I73" i="24" s="1"/>
  <c r="BC19" i="10"/>
  <c r="K73" i="24" s="1"/>
  <c r="BC55" i="10"/>
  <c r="K117" i="24" s="1"/>
  <c r="BA55" i="10"/>
  <c r="I117" i="24" s="1"/>
  <c r="BB22" i="1"/>
  <c r="J23" i="24" s="1"/>
  <c r="BC22" i="1"/>
  <c r="K23" i="24" s="1"/>
  <c r="BA51" i="10"/>
  <c r="I113" i="24" s="1"/>
  <c r="BA29" i="10"/>
  <c r="I83" i="24" s="1"/>
  <c r="BA15" i="10"/>
  <c r="I69" i="24" s="1"/>
  <c r="BB46" i="10"/>
  <c r="J100" i="24" s="1"/>
  <c r="BB33" i="10"/>
  <c r="J87" i="24" s="1"/>
  <c r="BC52" i="10"/>
  <c r="K114" i="24" s="1"/>
  <c r="AU23" i="10"/>
  <c r="BA57" i="10"/>
  <c r="I119" i="24" s="1"/>
  <c r="BA45" i="10"/>
  <c r="I99" i="24" s="1"/>
  <c r="BA27" i="10"/>
  <c r="I81" i="24" s="1"/>
  <c r="BA21" i="10"/>
  <c r="I75" i="24" s="1"/>
  <c r="AU27" i="10"/>
  <c r="BB53" i="1"/>
  <c r="J62" i="24" s="1"/>
  <c r="BB47" i="1"/>
  <c r="J48" i="24" s="1"/>
  <c r="BB23" i="1"/>
  <c r="J24" i="24" s="1"/>
  <c r="BB52" i="1"/>
  <c r="J61" i="24" s="1"/>
  <c r="BB46" i="1"/>
  <c r="J47" i="24" s="1"/>
  <c r="BB40" i="1"/>
  <c r="J41" i="24" s="1"/>
  <c r="BA49" i="10"/>
  <c r="I111" i="24" s="1"/>
  <c r="BA43" i="10"/>
  <c r="I97" i="24" s="1"/>
  <c r="AU43" i="10"/>
  <c r="AU37" i="10"/>
  <c r="AU31" i="10"/>
  <c r="AU25" i="10"/>
  <c r="AU19" i="10"/>
  <c r="BB38" i="1"/>
  <c r="J39" i="24" s="1"/>
  <c r="BA39" i="10"/>
  <c r="I93" i="24" s="1"/>
  <c r="BB23" i="10"/>
  <c r="J77" i="24" s="1"/>
  <c r="BC58" i="10"/>
  <c r="K120" i="24" s="1"/>
  <c r="BC46" i="10"/>
  <c r="K100" i="24" s="1"/>
  <c r="AU39" i="10"/>
  <c r="AU29" i="10"/>
  <c r="AU41" i="10"/>
  <c r="BC52" i="1"/>
  <c r="K61" i="24" s="1"/>
  <c r="BB42" i="1"/>
  <c r="J43" i="24" s="1"/>
  <c r="BB24" i="1"/>
  <c r="J25" i="24" s="1"/>
  <c r="BB48" i="1"/>
  <c r="BB30" i="1"/>
  <c r="J31" i="24" s="1"/>
  <c r="BB54" i="1"/>
  <c r="J63" i="24" s="1"/>
  <c r="BB36" i="1"/>
  <c r="J37" i="24" s="1"/>
  <c r="BC42" i="1"/>
  <c r="K43" i="24" s="1"/>
  <c r="BC24" i="1"/>
  <c r="K25" i="24" s="1"/>
  <c r="BA14" i="10"/>
  <c r="I68" i="24" s="1"/>
  <c r="AU53" i="10"/>
  <c r="L115" i="24" s="1"/>
  <c r="BA58" i="10"/>
  <c r="I120" i="24" s="1"/>
  <c r="BA52" i="10"/>
  <c r="I114" i="24" s="1"/>
  <c r="BA46" i="10"/>
  <c r="I100" i="24" s="1"/>
  <c r="BA40" i="10"/>
  <c r="I94" i="24" s="1"/>
  <c r="BA34" i="10"/>
  <c r="I88" i="24" s="1"/>
  <c r="BA28" i="10"/>
  <c r="I82" i="24" s="1"/>
  <c r="BA22" i="10"/>
  <c r="I76" i="24" s="1"/>
  <c r="BA16" i="10"/>
  <c r="I70" i="24" s="1"/>
  <c r="BB45" i="10"/>
  <c r="J99" i="24" s="1"/>
  <c r="BB27" i="10"/>
  <c r="AU22" i="10"/>
  <c r="BB57" i="10"/>
  <c r="J119" i="24" s="1"/>
  <c r="BB39" i="10"/>
  <c r="J93" i="24" s="1"/>
  <c r="BC53" i="10"/>
  <c r="K115" i="24" s="1"/>
  <c r="BC41" i="10"/>
  <c r="K95" i="24" s="1"/>
  <c r="BC35" i="10"/>
  <c r="K89" i="24" s="1"/>
  <c r="BC29" i="10"/>
  <c r="BH15" i="10"/>
  <c r="BJ15" i="10"/>
  <c r="BH16" i="10"/>
  <c r="BI16" i="10"/>
  <c r="BJ16" i="10"/>
  <c r="BH17" i="10"/>
  <c r="BI17" i="10"/>
  <c r="BJ17" i="10"/>
  <c r="BH18" i="10"/>
  <c r="BI18" i="10"/>
  <c r="BJ18" i="10"/>
  <c r="BH19" i="10"/>
  <c r="BI19" i="10"/>
  <c r="BJ19" i="10"/>
  <c r="BH20" i="10"/>
  <c r="BI20" i="10"/>
  <c r="BJ20" i="10"/>
  <c r="BH21" i="10"/>
  <c r="BI21" i="10"/>
  <c r="BJ21" i="10"/>
  <c r="BH22" i="10"/>
  <c r="BI22" i="10"/>
  <c r="BJ22" i="10"/>
  <c r="BH23" i="10"/>
  <c r="BI23" i="10"/>
  <c r="BJ23" i="10"/>
  <c r="BH24" i="10"/>
  <c r="BI24" i="10"/>
  <c r="BJ24" i="10"/>
  <c r="BH25" i="10"/>
  <c r="BI25" i="10"/>
  <c r="BJ25" i="10"/>
  <c r="BH26" i="10"/>
  <c r="BI26" i="10"/>
  <c r="BJ26" i="10"/>
  <c r="BH27" i="10"/>
  <c r="BI27" i="10"/>
  <c r="BJ27" i="10"/>
  <c r="BH28" i="10"/>
  <c r="BI28" i="10"/>
  <c r="BJ28" i="10"/>
  <c r="BH29" i="10"/>
  <c r="BI29" i="10"/>
  <c r="BJ29" i="10"/>
  <c r="BH30" i="10"/>
  <c r="BI30" i="10"/>
  <c r="BJ30" i="10"/>
  <c r="BH31" i="10"/>
  <c r="BI31" i="10"/>
  <c r="BJ31" i="10"/>
  <c r="BH32" i="10"/>
  <c r="BI32" i="10"/>
  <c r="BJ32" i="10"/>
  <c r="BH33" i="10"/>
  <c r="BI33" i="10"/>
  <c r="BJ33" i="10"/>
  <c r="BH34" i="10"/>
  <c r="BI34" i="10"/>
  <c r="BJ34" i="10"/>
  <c r="BH35" i="10"/>
  <c r="BI35" i="10"/>
  <c r="BJ35" i="10"/>
  <c r="BH36" i="10"/>
  <c r="BI36" i="10"/>
  <c r="BJ36" i="10"/>
  <c r="BH37" i="10"/>
  <c r="BI37" i="10"/>
  <c r="BJ37" i="10"/>
  <c r="BH38" i="10"/>
  <c r="BI38" i="10"/>
  <c r="BJ38" i="10"/>
  <c r="BH39" i="10"/>
  <c r="BI39" i="10"/>
  <c r="BJ39" i="10"/>
  <c r="BH40" i="10"/>
  <c r="BI40" i="10"/>
  <c r="BJ40" i="10"/>
  <c r="BH41" i="10"/>
  <c r="BI41" i="10"/>
  <c r="BJ41" i="10"/>
  <c r="BH42" i="10"/>
  <c r="BI42" i="10"/>
  <c r="BJ42" i="10"/>
  <c r="BH43" i="10"/>
  <c r="BI43" i="10"/>
  <c r="BJ43" i="10"/>
  <c r="BH44" i="10"/>
  <c r="BI44" i="10"/>
  <c r="BJ44" i="10"/>
  <c r="BH45" i="10"/>
  <c r="BI45" i="10"/>
  <c r="BJ45" i="10"/>
  <c r="BH46" i="10"/>
  <c r="BI46" i="10"/>
  <c r="BJ46" i="10"/>
  <c r="BH47" i="10"/>
  <c r="BH48" i="10"/>
  <c r="BI48" i="10"/>
  <c r="BJ48" i="10"/>
  <c r="BH49" i="10"/>
  <c r="BI49" i="10"/>
  <c r="BJ49" i="10"/>
  <c r="BH50" i="10"/>
  <c r="BI50" i="10"/>
  <c r="BJ50" i="10"/>
  <c r="BH51" i="10"/>
  <c r="BI51" i="10"/>
  <c r="BJ51" i="10"/>
  <c r="BH52" i="10"/>
  <c r="BI52" i="10"/>
  <c r="BJ52" i="10"/>
  <c r="BH53" i="10"/>
  <c r="BI53" i="10"/>
  <c r="BJ53" i="10"/>
  <c r="BH54" i="10"/>
  <c r="BI54" i="10"/>
  <c r="BJ54" i="10"/>
  <c r="BH55" i="10"/>
  <c r="BI55" i="10"/>
  <c r="BJ55" i="10"/>
  <c r="BH56" i="10"/>
  <c r="BI56" i="10"/>
  <c r="BJ56" i="10"/>
  <c r="BH57" i="10"/>
  <c r="BI57" i="10"/>
  <c r="BJ57" i="10"/>
  <c r="BH58" i="10"/>
  <c r="BI58" i="10"/>
  <c r="BJ58" i="10"/>
  <c r="BJ14" i="10"/>
  <c r="BI14" i="10"/>
  <c r="BH14" i="10"/>
  <c r="BJ17" i="1"/>
  <c r="BJ19" i="1"/>
  <c r="BJ20" i="1"/>
  <c r="BJ21" i="1"/>
  <c r="BJ22" i="1"/>
  <c r="BJ23" i="1"/>
  <c r="BJ24" i="1"/>
  <c r="BJ25" i="1"/>
  <c r="BJ26" i="1"/>
  <c r="BJ27" i="1"/>
  <c r="BJ28" i="1"/>
  <c r="BJ29" i="1"/>
  <c r="BJ30" i="1"/>
  <c r="BJ31" i="1"/>
  <c r="BJ32" i="1"/>
  <c r="BJ33" i="1"/>
  <c r="BJ34" i="1"/>
  <c r="BJ35" i="1"/>
  <c r="BJ36" i="1"/>
  <c r="BJ37" i="1"/>
  <c r="BJ38" i="1"/>
  <c r="BJ39" i="1"/>
  <c r="BJ40" i="1"/>
  <c r="BJ41" i="1"/>
  <c r="BJ42" i="1"/>
  <c r="BJ43" i="1"/>
  <c r="BJ44" i="1"/>
  <c r="BJ45" i="1"/>
  <c r="BJ46" i="1"/>
  <c r="BJ47" i="1"/>
  <c r="BJ48" i="1"/>
  <c r="BJ50" i="1"/>
  <c r="BJ51" i="1"/>
  <c r="BJ52" i="1"/>
  <c r="BJ53" i="1"/>
  <c r="BJ54" i="1"/>
  <c r="BJ55" i="1"/>
  <c r="BJ56" i="1"/>
  <c r="BJ57" i="1"/>
  <c r="BJ58" i="1"/>
  <c r="BI19" i="1"/>
  <c r="BI20" i="1"/>
  <c r="BI21" i="1"/>
  <c r="BI22" i="1"/>
  <c r="BI23" i="1"/>
  <c r="BI24" i="1"/>
  <c r="BI25" i="1"/>
  <c r="BI26" i="1"/>
  <c r="BI27" i="1"/>
  <c r="BI28" i="1"/>
  <c r="BI29" i="1"/>
  <c r="BI30" i="1"/>
  <c r="BI31" i="1"/>
  <c r="BI32" i="1"/>
  <c r="BI33" i="1"/>
  <c r="BI34" i="1"/>
  <c r="BI35" i="1"/>
  <c r="BI36" i="1"/>
  <c r="BI37" i="1"/>
  <c r="BI38" i="1"/>
  <c r="BI39" i="1"/>
  <c r="BI40" i="1"/>
  <c r="BI41" i="1"/>
  <c r="BI42" i="1"/>
  <c r="BI43" i="1"/>
  <c r="BI44" i="1"/>
  <c r="BI45" i="1"/>
  <c r="BI46" i="1"/>
  <c r="BI47" i="1"/>
  <c r="BI48" i="1"/>
  <c r="BI49" i="1"/>
  <c r="BI50" i="1"/>
  <c r="BI51" i="1"/>
  <c r="BI52" i="1"/>
  <c r="BI53" i="1"/>
  <c r="BI54" i="1"/>
  <c r="BI55" i="1"/>
  <c r="BI56" i="1"/>
  <c r="BI57" i="1"/>
  <c r="BI58" i="1"/>
  <c r="AZ17" i="1"/>
  <c r="BC17" i="1" s="1"/>
  <c r="K18" i="24" s="1"/>
  <c r="AZ18" i="1"/>
  <c r="BC18" i="1" s="1"/>
  <c r="K19" i="24" s="1"/>
  <c r="AZ49" i="1"/>
  <c r="BC49" i="1" s="1"/>
  <c r="K58" i="24" s="1"/>
  <c r="AZ47" i="10"/>
  <c r="AZ59" i="10" s="1"/>
  <c r="AY17" i="1"/>
  <c r="BB17" i="1" s="1"/>
  <c r="J18" i="24" s="1"/>
  <c r="AY18" i="1"/>
  <c r="BB18" i="1" s="1"/>
  <c r="J19" i="24" s="1"/>
  <c r="AY49" i="1"/>
  <c r="BB49" i="1" s="1"/>
  <c r="J58" i="24" s="1"/>
  <c r="AY47" i="10"/>
  <c r="AY59" i="10" s="1"/>
  <c r="BI14" i="1"/>
  <c r="BH14" i="1"/>
  <c r="BH15" i="1"/>
  <c r="BH16" i="1"/>
  <c r="BH17" i="1"/>
  <c r="BH18" i="1"/>
  <c r="BH19" i="1"/>
  <c r="BH20" i="1"/>
  <c r="BH21" i="1"/>
  <c r="BH22" i="1"/>
  <c r="BH23" i="1"/>
  <c r="BH24" i="1"/>
  <c r="BH25" i="1"/>
  <c r="BH26" i="1"/>
  <c r="BH27" i="1"/>
  <c r="BH28" i="1"/>
  <c r="BH29" i="1"/>
  <c r="BH30" i="1"/>
  <c r="BH31" i="1"/>
  <c r="BH32" i="1"/>
  <c r="BH33" i="1"/>
  <c r="BH34" i="1"/>
  <c r="BH35" i="1"/>
  <c r="BH36" i="1"/>
  <c r="BH37" i="1"/>
  <c r="BH38" i="1"/>
  <c r="BH39" i="1"/>
  <c r="BH40" i="1"/>
  <c r="BH41" i="1"/>
  <c r="BH42" i="1"/>
  <c r="BH43" i="1"/>
  <c r="BH44" i="1"/>
  <c r="BH45" i="1"/>
  <c r="BH46" i="1"/>
  <c r="BH47" i="1"/>
  <c r="BH48" i="1"/>
  <c r="BH49" i="1"/>
  <c r="BH50" i="1"/>
  <c r="BH51" i="1"/>
  <c r="BH52" i="1"/>
  <c r="BH53" i="1"/>
  <c r="BH54" i="1"/>
  <c r="BH55" i="1"/>
  <c r="BH56" i="1"/>
  <c r="BH57" i="1"/>
  <c r="BH58" i="1"/>
  <c r="E69" i="24"/>
  <c r="E70" i="24"/>
  <c r="E71" i="24"/>
  <c r="E72" i="24"/>
  <c r="E73" i="24"/>
  <c r="E74" i="24"/>
  <c r="E75" i="24"/>
  <c r="E76" i="24"/>
  <c r="E77" i="24"/>
  <c r="E78" i="24"/>
  <c r="E79" i="24"/>
  <c r="E80" i="24"/>
  <c r="E81" i="24"/>
  <c r="E82" i="24"/>
  <c r="E83" i="24"/>
  <c r="E84" i="24"/>
  <c r="E85" i="24"/>
  <c r="E86" i="24"/>
  <c r="E87" i="24"/>
  <c r="E88" i="24"/>
  <c r="E89" i="24"/>
  <c r="E90" i="24"/>
  <c r="E91" i="24"/>
  <c r="E92" i="24"/>
  <c r="E93" i="24"/>
  <c r="E94" i="24"/>
  <c r="E95" i="24"/>
  <c r="E96" i="24"/>
  <c r="E97" i="24"/>
  <c r="E98" i="24"/>
  <c r="E99" i="24"/>
  <c r="E100" i="24"/>
  <c r="E109" i="24"/>
  <c r="E110" i="24"/>
  <c r="E111" i="24"/>
  <c r="E112" i="24"/>
  <c r="E113" i="24"/>
  <c r="E114" i="24"/>
  <c r="E115" i="24"/>
  <c r="E116" i="24"/>
  <c r="E117" i="24"/>
  <c r="E118" i="24"/>
  <c r="E119" i="24"/>
  <c r="E120" i="24"/>
  <c r="E68" i="24"/>
  <c r="E16" i="24"/>
  <c r="E17" i="24"/>
  <c r="E18" i="24"/>
  <c r="E19" i="24"/>
  <c r="E20" i="24"/>
  <c r="E21" i="24"/>
  <c r="E22" i="24"/>
  <c r="E23" i="24"/>
  <c r="E24" i="24"/>
  <c r="E25" i="24"/>
  <c r="E26" i="24"/>
  <c r="E27" i="24"/>
  <c r="E28" i="24"/>
  <c r="E29" i="24"/>
  <c r="E30" i="24"/>
  <c r="E31" i="24"/>
  <c r="E32" i="24"/>
  <c r="E33" i="24"/>
  <c r="E34" i="24"/>
  <c r="E35" i="24"/>
  <c r="E36" i="24"/>
  <c r="E37" i="24"/>
  <c r="E38" i="24"/>
  <c r="E39" i="24"/>
  <c r="E40" i="24"/>
  <c r="E41" i="24"/>
  <c r="E42" i="24"/>
  <c r="E43" i="24"/>
  <c r="E44" i="24"/>
  <c r="E45" i="24"/>
  <c r="E46" i="24"/>
  <c r="E47" i="24"/>
  <c r="E48" i="24"/>
  <c r="E49" i="24"/>
  <c r="E58" i="24"/>
  <c r="E59" i="24"/>
  <c r="E60" i="24"/>
  <c r="E61" i="24"/>
  <c r="E62" i="24"/>
  <c r="E63" i="24"/>
  <c r="E64" i="24"/>
  <c r="E65" i="24"/>
  <c r="E66" i="24"/>
  <c r="E67" i="24"/>
  <c r="E15" i="24"/>
  <c r="I8" i="24" l="1"/>
  <c r="BI17" i="1"/>
  <c r="BI15" i="1"/>
  <c r="AZ14" i="1"/>
  <c r="BC14" i="1" s="1"/>
  <c r="BJ14" i="1"/>
  <c r="AY15" i="1"/>
  <c r="BB15" i="1" s="1"/>
  <c r="J16" i="24" s="1"/>
  <c r="BJ16" i="1"/>
  <c r="AZ16" i="1"/>
  <c r="BC16" i="1" s="1"/>
  <c r="K17" i="24" s="1"/>
  <c r="BJ15" i="1"/>
  <c r="AZ15" i="1"/>
  <c r="BC15" i="1" s="1"/>
  <c r="K16" i="24" s="1"/>
  <c r="AY14" i="1"/>
  <c r="BB14" i="1" s="1"/>
  <c r="I26" i="24"/>
  <c r="I43" i="24"/>
  <c r="AU49" i="10"/>
  <c r="L111" i="24" s="1"/>
  <c r="AU55" i="10"/>
  <c r="L117" i="24" s="1"/>
  <c r="I31" i="24"/>
  <c r="I47" i="24"/>
  <c r="I60" i="24"/>
  <c r="I61" i="24"/>
  <c r="I17" i="24"/>
  <c r="AT18" i="1"/>
  <c r="I66" i="24"/>
  <c r="I22" i="24"/>
  <c r="I27" i="24"/>
  <c r="I37" i="24"/>
  <c r="I48" i="24"/>
  <c r="I67" i="24"/>
  <c r="I28" i="24"/>
  <c r="I32" i="24"/>
  <c r="I23" i="24"/>
  <c r="I33" i="24"/>
  <c r="I38" i="24"/>
  <c r="I49" i="24"/>
  <c r="I29" i="24"/>
  <c r="I16" i="24"/>
  <c r="I64" i="24"/>
  <c r="I20" i="24"/>
  <c r="AY16" i="1"/>
  <c r="BB16" i="1" s="1"/>
  <c r="J17" i="24" s="1"/>
  <c r="BI16" i="1"/>
  <c r="BC47" i="10"/>
  <c r="K109" i="24" s="1"/>
  <c r="BJ47" i="10"/>
  <c r="BI47" i="10"/>
  <c r="I59" i="24"/>
  <c r="I58" i="24"/>
  <c r="BB47" i="10"/>
  <c r="J109" i="24" s="1"/>
  <c r="I19" i="24"/>
  <c r="I46" i="24"/>
  <c r="I25" i="24"/>
  <c r="I36" i="24"/>
  <c r="I30" i="24"/>
  <c r="I63" i="24"/>
  <c r="I41" i="24"/>
  <c r="I35" i="24"/>
  <c r="I44" i="24"/>
  <c r="I65" i="24"/>
  <c r="I21" i="24"/>
  <c r="I42" i="24"/>
  <c r="BJ49" i="1"/>
  <c r="I24" i="24"/>
  <c r="I40" i="24"/>
  <c r="I34" i="24"/>
  <c r="I45" i="24"/>
  <c r="I39" i="24"/>
  <c r="I62" i="24"/>
  <c r="I18" i="24"/>
  <c r="BJ18" i="1"/>
  <c r="BI18" i="1"/>
  <c r="P1" i="24"/>
  <c r="P51" i="24"/>
  <c r="BI15" i="10"/>
  <c r="P102" i="24"/>
  <c r="J81" i="24"/>
  <c r="J49" i="24"/>
  <c r="K83" i="24"/>
  <c r="BA59" i="10"/>
  <c r="AX59" i="1"/>
  <c r="G15" i="6"/>
  <c r="G23" i="6"/>
  <c r="AT14" i="10" s="1"/>
  <c r="G24" i="6"/>
  <c r="G25" i="6"/>
  <c r="G26" i="6"/>
  <c r="AT23" i="1" s="1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14" i="6"/>
  <c r="AT25" i="1" s="1"/>
  <c r="G16" i="6"/>
  <c r="G17" i="6"/>
  <c r="G18" i="6"/>
  <c r="G20" i="6"/>
  <c r="G21" i="6"/>
  <c r="AU47" i="10"/>
  <c r="AT55" i="1" l="1"/>
  <c r="AT58" i="1"/>
  <c r="AT20" i="1"/>
  <c r="AT16" i="1"/>
  <c r="J15" i="24"/>
  <c r="I9" i="24"/>
  <c r="K15" i="24"/>
  <c r="I10" i="24"/>
  <c r="BC59" i="1"/>
  <c r="AZ59" i="1"/>
  <c r="AT15" i="1"/>
  <c r="AT14" i="1"/>
  <c r="AT24" i="1"/>
  <c r="AT21" i="1"/>
  <c r="BB59" i="10"/>
  <c r="BC59" i="10"/>
  <c r="BB59" i="1"/>
  <c r="AY59" i="1"/>
  <c r="AU59" i="10"/>
  <c r="L109" i="24"/>
  <c r="G19" i="6"/>
  <c r="AT19" i="1" s="1"/>
  <c r="AC79" i="22"/>
  <c r="G22" i="6"/>
  <c r="AT22" i="1" s="1"/>
  <c r="BA59" i="1"/>
  <c r="I15" i="24"/>
  <c r="BG14" i="1"/>
  <c r="BC6" i="13"/>
  <c r="BC7" i="13"/>
  <c r="BC8" i="13"/>
  <c r="BB6" i="13"/>
  <c r="BB7" i="13"/>
  <c r="BB8" i="13"/>
  <c r="BA6" i="13"/>
  <c r="BA7" i="13"/>
  <c r="BA8" i="13"/>
  <c r="BA5" i="13"/>
  <c r="AT8" i="13"/>
  <c r="AS8" i="13"/>
  <c r="AR8" i="13"/>
  <c r="AT7" i="13"/>
  <c r="AS7" i="13"/>
  <c r="AR7" i="13"/>
  <c r="AT6" i="13"/>
  <c r="AS6" i="13"/>
  <c r="AR6" i="13"/>
  <c r="AQ6" i="13"/>
  <c r="AQ8" i="13"/>
  <c r="AQ7" i="13"/>
  <c r="AT5" i="13"/>
  <c r="AS5" i="13"/>
  <c r="AR5" i="13"/>
  <c r="AQ5" i="13"/>
  <c r="AT17" i="1" l="1"/>
  <c r="H18" i="24" s="1"/>
  <c r="H58" i="24"/>
  <c r="AT59" i="10"/>
  <c r="AU5" i="13"/>
  <c r="AY5" i="13"/>
  <c r="B15" i="12"/>
  <c r="BI39" i="12"/>
  <c r="BJ39" i="12"/>
  <c r="BK39" i="12"/>
  <c r="BL39" i="12"/>
  <c r="BI40" i="12"/>
  <c r="BJ40" i="12"/>
  <c r="BK40" i="12"/>
  <c r="BL40" i="12"/>
  <c r="BI41" i="12"/>
  <c r="BJ41" i="12"/>
  <c r="BK41" i="12"/>
  <c r="BL41" i="12"/>
  <c r="BI42" i="12"/>
  <c r="BJ42" i="12"/>
  <c r="BK42" i="12"/>
  <c r="BL42" i="12"/>
  <c r="BI43" i="12"/>
  <c r="BJ43" i="12"/>
  <c r="BK43" i="12"/>
  <c r="BL43" i="12"/>
  <c r="BI38" i="12"/>
  <c r="BL38" i="12"/>
  <c r="BK38" i="12"/>
  <c r="BJ38" i="12"/>
  <c r="BI33" i="12"/>
  <c r="BJ33" i="12"/>
  <c r="BK33" i="12"/>
  <c r="BL33" i="12"/>
  <c r="BI34" i="12"/>
  <c r="BJ34" i="12"/>
  <c r="BK34" i="12"/>
  <c r="BL34" i="12"/>
  <c r="BI35" i="12"/>
  <c r="BJ35" i="12"/>
  <c r="BK35" i="12"/>
  <c r="BL35" i="12"/>
  <c r="BI36" i="12"/>
  <c r="BJ36" i="12"/>
  <c r="BK36" i="12"/>
  <c r="BL36" i="12"/>
  <c r="BI37" i="12"/>
  <c r="BJ37" i="12"/>
  <c r="BK37" i="12"/>
  <c r="BL37" i="12"/>
  <c r="BL32" i="12"/>
  <c r="BK32" i="12"/>
  <c r="BJ32" i="12"/>
  <c r="BI32" i="12"/>
  <c r="BH39" i="12"/>
  <c r="BH40" i="12"/>
  <c r="BH41" i="12"/>
  <c r="BH42" i="12"/>
  <c r="BH43" i="12"/>
  <c r="BH38" i="12"/>
  <c r="BH33" i="12"/>
  <c r="BH34" i="12"/>
  <c r="BH35" i="12"/>
  <c r="BH36" i="12"/>
  <c r="BH37" i="12"/>
  <c r="BH32" i="12"/>
  <c r="BI27" i="12"/>
  <c r="BJ27" i="12"/>
  <c r="BK27" i="12"/>
  <c r="BL27" i="12"/>
  <c r="BI28" i="12"/>
  <c r="BJ28" i="12"/>
  <c r="BK28" i="12"/>
  <c r="BL28" i="12"/>
  <c r="BI29" i="12"/>
  <c r="BJ29" i="12"/>
  <c r="BK29" i="12"/>
  <c r="BL29" i="12"/>
  <c r="BI30" i="12"/>
  <c r="BJ30" i="12"/>
  <c r="BK30" i="12"/>
  <c r="BL30" i="12"/>
  <c r="BI31" i="12"/>
  <c r="BJ31" i="12"/>
  <c r="BK31" i="12"/>
  <c r="BL31" i="12"/>
  <c r="BL26" i="12"/>
  <c r="BK26" i="12"/>
  <c r="BJ26" i="12"/>
  <c r="BI26" i="12"/>
  <c r="BH27" i="12"/>
  <c r="BH28" i="12"/>
  <c r="BH29" i="12"/>
  <c r="BH30" i="12"/>
  <c r="BH31" i="12"/>
  <c r="BH26" i="12"/>
  <c r="AD59" i="10" l="1"/>
  <c r="AB8" i="1" s="1"/>
  <c r="AD59" i="1" l="1"/>
  <c r="L8" i="24" s="1"/>
  <c r="P91" i="6"/>
  <c r="Q91" i="6"/>
  <c r="R91" i="6"/>
  <c r="S91" i="6"/>
  <c r="T91" i="6"/>
  <c r="U91" i="6"/>
  <c r="V91" i="6"/>
  <c r="W91" i="6"/>
  <c r="X91" i="6"/>
  <c r="Y91" i="6"/>
  <c r="Z91" i="6"/>
  <c r="AA91" i="6"/>
  <c r="AB91" i="6"/>
  <c r="AC91" i="6"/>
  <c r="AD91" i="6"/>
  <c r="AE91" i="6"/>
  <c r="AF91" i="6"/>
  <c r="AG91" i="6"/>
  <c r="AH91" i="6"/>
  <c r="AI91" i="6"/>
  <c r="AJ91" i="6"/>
  <c r="AK91" i="6"/>
  <c r="AL91" i="6"/>
  <c r="AM91" i="6"/>
  <c r="AN91" i="6"/>
  <c r="AO91" i="6"/>
  <c r="AP91" i="6"/>
  <c r="AQ91" i="6"/>
  <c r="AR91" i="6"/>
  <c r="O91" i="6"/>
  <c r="F8" i="24" s="1"/>
  <c r="F9" i="24" l="1"/>
  <c r="F10" i="24"/>
  <c r="D9" i="24"/>
  <c r="D8" i="24"/>
  <c r="D7" i="24"/>
  <c r="F11" i="24" l="1"/>
  <c r="P4" i="24"/>
  <c r="P54" i="24" s="1"/>
  <c r="P105" i="24" s="1"/>
  <c r="P2" i="24"/>
  <c r="P52" i="24" s="1"/>
  <c r="P103" i="24" s="1"/>
  <c r="Q7" i="10" l="1"/>
  <c r="I6" i="10"/>
  <c r="H7" i="10"/>
  <c r="F8" i="10"/>
  <c r="H9" i="10"/>
  <c r="Q9" i="10"/>
  <c r="S8" i="10"/>
  <c r="T3" i="22"/>
  <c r="U3" i="22"/>
  <c r="AG3" i="22"/>
  <c r="AI3" i="22"/>
  <c r="AJ3" i="22"/>
  <c r="AK3" i="22"/>
  <c r="AL3" i="22"/>
  <c r="AM3" i="22"/>
  <c r="AN3" i="22"/>
  <c r="AO3" i="22"/>
  <c r="AP3" i="22"/>
  <c r="AQ3" i="22"/>
  <c r="AR3" i="22"/>
  <c r="AS3" i="22"/>
  <c r="AT3" i="22"/>
  <c r="AU3" i="22"/>
  <c r="AV3" i="22"/>
  <c r="AW3" i="22"/>
  <c r="AX3" i="22"/>
  <c r="AY3" i="22"/>
  <c r="AZ3" i="22"/>
  <c r="BA3" i="22"/>
  <c r="BB3" i="22"/>
  <c r="BC3" i="22"/>
  <c r="BD3" i="22"/>
  <c r="BE3" i="22"/>
  <c r="BF3" i="22"/>
  <c r="BG3" i="22"/>
  <c r="BH3" i="22"/>
  <c r="BI3" i="22"/>
  <c r="BJ3" i="22"/>
  <c r="BK3" i="22"/>
  <c r="BL3" i="22"/>
  <c r="BP3" i="22"/>
  <c r="T4" i="22"/>
  <c r="U4" i="22"/>
  <c r="AG4" i="22"/>
  <c r="AI4" i="22"/>
  <c r="AJ4" i="22"/>
  <c r="AK4" i="22"/>
  <c r="AL4" i="22"/>
  <c r="AM4" i="22"/>
  <c r="AN4" i="22"/>
  <c r="AO4" i="22"/>
  <c r="AP4" i="22"/>
  <c r="AQ4" i="22"/>
  <c r="AR4" i="22"/>
  <c r="AS4" i="22"/>
  <c r="AT4" i="22"/>
  <c r="AU4" i="22"/>
  <c r="AV4" i="22"/>
  <c r="AW4" i="22"/>
  <c r="AX4" i="22"/>
  <c r="AY4" i="22"/>
  <c r="AZ4" i="22"/>
  <c r="BA4" i="22"/>
  <c r="BB4" i="22"/>
  <c r="BC4" i="22"/>
  <c r="BD4" i="22"/>
  <c r="BE4" i="22"/>
  <c r="BF4" i="22"/>
  <c r="BG4" i="22"/>
  <c r="BH4" i="22"/>
  <c r="BI4" i="22"/>
  <c r="BJ4" i="22"/>
  <c r="BK4" i="22"/>
  <c r="BL4" i="22"/>
  <c r="BP4" i="22"/>
  <c r="T5" i="22"/>
  <c r="U5" i="22"/>
  <c r="AG5" i="22"/>
  <c r="AI5" i="22"/>
  <c r="AJ5" i="22"/>
  <c r="AK5" i="22"/>
  <c r="AL5" i="22"/>
  <c r="AM5" i="22"/>
  <c r="AN5" i="22"/>
  <c r="AO5" i="22"/>
  <c r="AP5" i="22"/>
  <c r="AQ5" i="22"/>
  <c r="AR5" i="22"/>
  <c r="AS5" i="22"/>
  <c r="AT5" i="22"/>
  <c r="AU5" i="22"/>
  <c r="AV5" i="22"/>
  <c r="AW5" i="22"/>
  <c r="AX5" i="22"/>
  <c r="AY5" i="22"/>
  <c r="AZ5" i="22"/>
  <c r="BA5" i="22"/>
  <c r="BB5" i="22"/>
  <c r="BC5" i="22"/>
  <c r="BD5" i="22"/>
  <c r="BE5" i="22"/>
  <c r="BF5" i="22"/>
  <c r="BG5" i="22"/>
  <c r="BH5" i="22"/>
  <c r="BI5" i="22"/>
  <c r="BJ5" i="22"/>
  <c r="BK5" i="22"/>
  <c r="BL5" i="22"/>
  <c r="BP5" i="22"/>
  <c r="T6" i="22"/>
  <c r="U6" i="22"/>
  <c r="AG6" i="22"/>
  <c r="AI6" i="22"/>
  <c r="AJ6" i="22"/>
  <c r="AK6" i="22"/>
  <c r="AL6" i="22"/>
  <c r="AM6" i="22"/>
  <c r="AN6" i="22"/>
  <c r="AO6" i="22"/>
  <c r="AP6" i="22"/>
  <c r="AQ6" i="22"/>
  <c r="AR6" i="22"/>
  <c r="AS6" i="22"/>
  <c r="AT6" i="22"/>
  <c r="AU6" i="22"/>
  <c r="AV6" i="22"/>
  <c r="AW6" i="22"/>
  <c r="AX6" i="22"/>
  <c r="AY6" i="22"/>
  <c r="AZ6" i="22"/>
  <c r="BA6" i="22"/>
  <c r="BB6" i="22"/>
  <c r="BC6" i="22"/>
  <c r="BD6" i="22"/>
  <c r="BE6" i="22"/>
  <c r="BF6" i="22"/>
  <c r="BG6" i="22"/>
  <c r="BH6" i="22"/>
  <c r="BI6" i="22"/>
  <c r="BJ6" i="22"/>
  <c r="BK6" i="22"/>
  <c r="BL6" i="22"/>
  <c r="BP6" i="22"/>
  <c r="T7" i="22"/>
  <c r="U7" i="22"/>
  <c r="AG7" i="22"/>
  <c r="AI7" i="22"/>
  <c r="AJ7" i="22"/>
  <c r="AK7" i="22"/>
  <c r="AL7" i="22"/>
  <c r="AM7" i="22"/>
  <c r="AN7" i="22"/>
  <c r="AO7" i="22"/>
  <c r="AP7" i="22"/>
  <c r="AQ7" i="22"/>
  <c r="AR7" i="22"/>
  <c r="AS7" i="22"/>
  <c r="AT7" i="22"/>
  <c r="AU7" i="22"/>
  <c r="AV7" i="22"/>
  <c r="AW7" i="22"/>
  <c r="AX7" i="22"/>
  <c r="AY7" i="22"/>
  <c r="AZ7" i="22"/>
  <c r="BA7" i="22"/>
  <c r="BB7" i="22"/>
  <c r="BC7" i="22"/>
  <c r="BD7" i="22"/>
  <c r="BE7" i="22"/>
  <c r="BF7" i="22"/>
  <c r="BG7" i="22"/>
  <c r="BH7" i="22"/>
  <c r="BI7" i="22"/>
  <c r="BJ7" i="22"/>
  <c r="BK7" i="22"/>
  <c r="BL7" i="22"/>
  <c r="BP7" i="22"/>
  <c r="T8" i="22"/>
  <c r="U8" i="22"/>
  <c r="AG8" i="22"/>
  <c r="AI8" i="22"/>
  <c r="AJ8" i="22"/>
  <c r="AK8" i="22"/>
  <c r="AL8" i="22"/>
  <c r="AM8" i="22"/>
  <c r="AN8" i="22"/>
  <c r="AO8" i="22"/>
  <c r="AP8" i="22"/>
  <c r="AQ8" i="22"/>
  <c r="AR8" i="22"/>
  <c r="AS8" i="22"/>
  <c r="AT8" i="22"/>
  <c r="AU8" i="22"/>
  <c r="AV8" i="22"/>
  <c r="AW8" i="22"/>
  <c r="AX8" i="22"/>
  <c r="AY8" i="22"/>
  <c r="AZ8" i="22"/>
  <c r="BA8" i="22"/>
  <c r="BB8" i="22"/>
  <c r="BC8" i="22"/>
  <c r="BD8" i="22"/>
  <c r="BE8" i="22"/>
  <c r="BF8" i="22"/>
  <c r="BG8" i="22"/>
  <c r="BH8" i="22"/>
  <c r="BI8" i="22"/>
  <c r="BJ8" i="22"/>
  <c r="BK8" i="22"/>
  <c r="BL8" i="22"/>
  <c r="BP8" i="22"/>
  <c r="T9" i="22"/>
  <c r="U9" i="22"/>
  <c r="AB9" i="22"/>
  <c r="AG9" i="22"/>
  <c r="AI9" i="22"/>
  <c r="AJ9" i="22"/>
  <c r="AK9" i="22"/>
  <c r="AL9" i="22"/>
  <c r="AM9" i="22"/>
  <c r="AN9" i="22"/>
  <c r="AO9" i="22"/>
  <c r="AP9" i="22"/>
  <c r="AQ9" i="22"/>
  <c r="AR9" i="22"/>
  <c r="AS9" i="22"/>
  <c r="AT9" i="22"/>
  <c r="AU9" i="22"/>
  <c r="AV9" i="22"/>
  <c r="AW9" i="22"/>
  <c r="AX9" i="22"/>
  <c r="AY9" i="22"/>
  <c r="AZ9" i="22"/>
  <c r="BA9" i="22"/>
  <c r="BB9" i="22"/>
  <c r="BC9" i="22"/>
  <c r="BD9" i="22"/>
  <c r="BE9" i="22"/>
  <c r="BF9" i="22"/>
  <c r="BG9" i="22"/>
  <c r="BH9" i="22"/>
  <c r="BI9" i="22"/>
  <c r="BJ9" i="22"/>
  <c r="BK9" i="22"/>
  <c r="BL9" i="22"/>
  <c r="BP9" i="22"/>
  <c r="T10" i="22"/>
  <c r="U10" i="22"/>
  <c r="AB10" i="22"/>
  <c r="AG10" i="22"/>
  <c r="AI10" i="22"/>
  <c r="AJ10" i="22"/>
  <c r="AK10" i="22"/>
  <c r="AL10" i="22"/>
  <c r="AM10" i="22"/>
  <c r="AN10" i="22"/>
  <c r="AO10" i="22"/>
  <c r="AP10" i="22"/>
  <c r="AQ10" i="22"/>
  <c r="AR10" i="22"/>
  <c r="AS10" i="22"/>
  <c r="AT10" i="22"/>
  <c r="AU10" i="22"/>
  <c r="AV10" i="22"/>
  <c r="AW10" i="22"/>
  <c r="AX10" i="22"/>
  <c r="AY10" i="22"/>
  <c r="AZ10" i="22"/>
  <c r="BA10" i="22"/>
  <c r="BB10" i="22"/>
  <c r="BC10" i="22"/>
  <c r="BD10" i="22"/>
  <c r="BE10" i="22"/>
  <c r="BF10" i="22"/>
  <c r="BG10" i="22"/>
  <c r="BH10" i="22"/>
  <c r="BI10" i="22"/>
  <c r="BJ10" i="22"/>
  <c r="BK10" i="22"/>
  <c r="BL10" i="22"/>
  <c r="BP10" i="22"/>
  <c r="T11" i="22"/>
  <c r="U11" i="22"/>
  <c r="AB11" i="22"/>
  <c r="AG11" i="22"/>
  <c r="AI11" i="22"/>
  <c r="AJ11" i="22"/>
  <c r="AK11" i="22"/>
  <c r="AL11" i="22"/>
  <c r="AM11" i="22"/>
  <c r="AN11" i="22"/>
  <c r="AO11" i="22"/>
  <c r="AP11" i="22"/>
  <c r="AQ11" i="22"/>
  <c r="AR11" i="22"/>
  <c r="AS11" i="22"/>
  <c r="AT11" i="22"/>
  <c r="AU11" i="22"/>
  <c r="AV11" i="22"/>
  <c r="AW11" i="22"/>
  <c r="AX11" i="22"/>
  <c r="AY11" i="22"/>
  <c r="AZ11" i="22"/>
  <c r="BA11" i="22"/>
  <c r="BB11" i="22"/>
  <c r="BC11" i="22"/>
  <c r="BD11" i="22"/>
  <c r="BE11" i="22"/>
  <c r="BF11" i="22"/>
  <c r="BG11" i="22"/>
  <c r="BH11" i="22"/>
  <c r="BI11" i="22"/>
  <c r="BJ11" i="22"/>
  <c r="BK11" i="22"/>
  <c r="BL11" i="22"/>
  <c r="BP11" i="22"/>
  <c r="T12" i="22"/>
  <c r="U12" i="22"/>
  <c r="AB12" i="22"/>
  <c r="AG12" i="22"/>
  <c r="AI12" i="22"/>
  <c r="AJ12" i="22"/>
  <c r="AK12" i="22"/>
  <c r="AL12" i="22"/>
  <c r="AM12" i="22"/>
  <c r="AN12" i="22"/>
  <c r="AO12" i="22"/>
  <c r="AP12" i="22"/>
  <c r="AQ12" i="22"/>
  <c r="AR12" i="22"/>
  <c r="AS12" i="22"/>
  <c r="AT12" i="22"/>
  <c r="AU12" i="22"/>
  <c r="AV12" i="22"/>
  <c r="AW12" i="22"/>
  <c r="AX12" i="22"/>
  <c r="AY12" i="22"/>
  <c r="AZ12" i="22"/>
  <c r="BA12" i="22"/>
  <c r="BB12" i="22"/>
  <c r="BC12" i="22"/>
  <c r="BD12" i="22"/>
  <c r="BE12" i="22"/>
  <c r="BF12" i="22"/>
  <c r="BG12" i="22"/>
  <c r="BH12" i="22"/>
  <c r="BI12" i="22"/>
  <c r="BJ12" i="22"/>
  <c r="BK12" i="22"/>
  <c r="BL12" i="22"/>
  <c r="BP12" i="22"/>
  <c r="T13" i="22"/>
  <c r="U13" i="22"/>
  <c r="AB13" i="22"/>
  <c r="AG13" i="22"/>
  <c r="AI13" i="22"/>
  <c r="AJ13" i="22"/>
  <c r="AK13" i="22"/>
  <c r="AL13" i="22"/>
  <c r="AM13" i="22"/>
  <c r="AN13" i="22"/>
  <c r="AO13" i="22"/>
  <c r="AP13" i="22"/>
  <c r="AQ13" i="22"/>
  <c r="AR13" i="22"/>
  <c r="AS13" i="22"/>
  <c r="AT13" i="22"/>
  <c r="AU13" i="22"/>
  <c r="AV13" i="22"/>
  <c r="AW13" i="22"/>
  <c r="AX13" i="22"/>
  <c r="AY13" i="22"/>
  <c r="AZ13" i="22"/>
  <c r="BA13" i="22"/>
  <c r="BB13" i="22"/>
  <c r="BC13" i="22"/>
  <c r="BD13" i="22"/>
  <c r="BE13" i="22"/>
  <c r="BF13" i="22"/>
  <c r="BG13" i="22"/>
  <c r="BH13" i="22"/>
  <c r="BI13" i="22"/>
  <c r="BJ13" i="22"/>
  <c r="BK13" i="22"/>
  <c r="BL13" i="22"/>
  <c r="BP13" i="22"/>
  <c r="T14" i="22"/>
  <c r="U14" i="22"/>
  <c r="AB14" i="22"/>
  <c r="AG14" i="22"/>
  <c r="AI14" i="22"/>
  <c r="AJ14" i="22"/>
  <c r="AK14" i="22"/>
  <c r="AL14" i="22"/>
  <c r="AM14" i="22"/>
  <c r="AN14" i="22"/>
  <c r="AO14" i="22"/>
  <c r="AP14" i="22"/>
  <c r="AQ14" i="22"/>
  <c r="AR14" i="22"/>
  <c r="AS14" i="22"/>
  <c r="AT14" i="22"/>
  <c r="AU14" i="22"/>
  <c r="AV14" i="22"/>
  <c r="AW14" i="22"/>
  <c r="AX14" i="22"/>
  <c r="AY14" i="22"/>
  <c r="AZ14" i="22"/>
  <c r="BA14" i="22"/>
  <c r="BB14" i="22"/>
  <c r="BC14" i="22"/>
  <c r="BD14" i="22"/>
  <c r="BE14" i="22"/>
  <c r="BF14" i="22"/>
  <c r="BG14" i="22"/>
  <c r="BH14" i="22"/>
  <c r="BI14" i="22"/>
  <c r="BJ14" i="22"/>
  <c r="BK14" i="22"/>
  <c r="BL14" i="22"/>
  <c r="BP14" i="22"/>
  <c r="T15" i="22"/>
  <c r="U15" i="22"/>
  <c r="AB15" i="22"/>
  <c r="AG15" i="22"/>
  <c r="AI15" i="22"/>
  <c r="AJ15" i="22"/>
  <c r="AK15" i="22"/>
  <c r="AL15" i="22"/>
  <c r="AM15" i="22"/>
  <c r="AN15" i="22"/>
  <c r="AO15" i="22"/>
  <c r="AP15" i="22"/>
  <c r="AQ15" i="22"/>
  <c r="AR15" i="22"/>
  <c r="AS15" i="22"/>
  <c r="AT15" i="22"/>
  <c r="AU15" i="22"/>
  <c r="AV15" i="22"/>
  <c r="AW15" i="22"/>
  <c r="AX15" i="22"/>
  <c r="AY15" i="22"/>
  <c r="AZ15" i="22"/>
  <c r="BA15" i="22"/>
  <c r="BB15" i="22"/>
  <c r="BC15" i="22"/>
  <c r="BD15" i="22"/>
  <c r="BE15" i="22"/>
  <c r="BF15" i="22"/>
  <c r="BG15" i="22"/>
  <c r="BH15" i="22"/>
  <c r="BI15" i="22"/>
  <c r="BJ15" i="22"/>
  <c r="BK15" i="22"/>
  <c r="BL15" i="22"/>
  <c r="BP15" i="22"/>
  <c r="T16" i="22"/>
  <c r="U16" i="22"/>
  <c r="AB16" i="22"/>
  <c r="AG16" i="22"/>
  <c r="AI16" i="22"/>
  <c r="AJ16" i="22"/>
  <c r="AK16" i="22"/>
  <c r="AL16" i="22"/>
  <c r="AM16" i="22"/>
  <c r="AN16" i="22"/>
  <c r="AO16" i="22"/>
  <c r="AP16" i="22"/>
  <c r="AQ16" i="22"/>
  <c r="AR16" i="22"/>
  <c r="AS16" i="22"/>
  <c r="AT16" i="22"/>
  <c r="AU16" i="22"/>
  <c r="AV16" i="22"/>
  <c r="AW16" i="22"/>
  <c r="AX16" i="22"/>
  <c r="AY16" i="22"/>
  <c r="AZ16" i="22"/>
  <c r="BA16" i="22"/>
  <c r="BB16" i="22"/>
  <c r="BC16" i="22"/>
  <c r="BD16" i="22"/>
  <c r="BE16" i="22"/>
  <c r="BF16" i="22"/>
  <c r="BG16" i="22"/>
  <c r="BH16" i="22"/>
  <c r="BI16" i="22"/>
  <c r="BJ16" i="22"/>
  <c r="BK16" i="22"/>
  <c r="BL16" i="22"/>
  <c r="BP16" i="22"/>
  <c r="T17" i="22"/>
  <c r="U17" i="22"/>
  <c r="AB17" i="22"/>
  <c r="AG17" i="22"/>
  <c r="AI17" i="22"/>
  <c r="AJ17" i="22"/>
  <c r="AK17" i="22"/>
  <c r="AL17" i="22"/>
  <c r="AM17" i="22"/>
  <c r="AN17" i="22"/>
  <c r="AO17" i="22"/>
  <c r="AP17" i="22"/>
  <c r="AQ17" i="22"/>
  <c r="AR17" i="22"/>
  <c r="AS17" i="22"/>
  <c r="AT17" i="22"/>
  <c r="AU17" i="22"/>
  <c r="AV17" i="22"/>
  <c r="AW17" i="22"/>
  <c r="AX17" i="22"/>
  <c r="AY17" i="22"/>
  <c r="AZ17" i="22"/>
  <c r="BA17" i="22"/>
  <c r="BB17" i="22"/>
  <c r="BC17" i="22"/>
  <c r="BD17" i="22"/>
  <c r="BE17" i="22"/>
  <c r="BF17" i="22"/>
  <c r="BG17" i="22"/>
  <c r="BH17" i="22"/>
  <c r="BI17" i="22"/>
  <c r="BJ17" i="22"/>
  <c r="BK17" i="22"/>
  <c r="BL17" i="22"/>
  <c r="BP17" i="22"/>
  <c r="T18" i="22"/>
  <c r="U18" i="22"/>
  <c r="AB18" i="22"/>
  <c r="AG18" i="22"/>
  <c r="AI18" i="22"/>
  <c r="AJ18" i="22"/>
  <c r="AK18" i="22"/>
  <c r="AL18" i="22"/>
  <c r="AM18" i="22"/>
  <c r="AN18" i="22"/>
  <c r="AO18" i="22"/>
  <c r="AP18" i="22"/>
  <c r="AQ18" i="22"/>
  <c r="AR18" i="22"/>
  <c r="AS18" i="22"/>
  <c r="AT18" i="22"/>
  <c r="AU18" i="22"/>
  <c r="AV18" i="22"/>
  <c r="AW18" i="22"/>
  <c r="AX18" i="22"/>
  <c r="AY18" i="22"/>
  <c r="AZ18" i="22"/>
  <c r="BA18" i="22"/>
  <c r="BB18" i="22"/>
  <c r="BC18" i="22"/>
  <c r="BD18" i="22"/>
  <c r="BE18" i="22"/>
  <c r="BF18" i="22"/>
  <c r="BG18" i="22"/>
  <c r="BH18" i="22"/>
  <c r="BI18" i="22"/>
  <c r="BJ18" i="22"/>
  <c r="BK18" i="22"/>
  <c r="BL18" i="22"/>
  <c r="BP18" i="22"/>
  <c r="T19" i="22"/>
  <c r="U19" i="22"/>
  <c r="AB19" i="22"/>
  <c r="AG19" i="22"/>
  <c r="AI19" i="22"/>
  <c r="AJ19" i="22"/>
  <c r="AK19" i="22"/>
  <c r="AL19" i="22"/>
  <c r="AM19" i="22"/>
  <c r="AN19" i="22"/>
  <c r="AO19" i="22"/>
  <c r="AP19" i="22"/>
  <c r="AQ19" i="22"/>
  <c r="AR19" i="22"/>
  <c r="AS19" i="22"/>
  <c r="AT19" i="22"/>
  <c r="AU19" i="22"/>
  <c r="AV19" i="22"/>
  <c r="AW19" i="22"/>
  <c r="AX19" i="22"/>
  <c r="AY19" i="22"/>
  <c r="AZ19" i="22"/>
  <c r="BA19" i="22"/>
  <c r="BB19" i="22"/>
  <c r="BC19" i="22"/>
  <c r="BD19" i="22"/>
  <c r="BE19" i="22"/>
  <c r="BF19" i="22"/>
  <c r="BG19" i="22"/>
  <c r="BH19" i="22"/>
  <c r="BI19" i="22"/>
  <c r="BJ19" i="22"/>
  <c r="BK19" i="22"/>
  <c r="BL19" i="22"/>
  <c r="BP19" i="22"/>
  <c r="T20" i="22"/>
  <c r="U20" i="22"/>
  <c r="AB20" i="22"/>
  <c r="AG20" i="22"/>
  <c r="AI20" i="22"/>
  <c r="AJ20" i="22"/>
  <c r="AK20" i="22"/>
  <c r="AL20" i="22"/>
  <c r="AM20" i="22"/>
  <c r="AN20" i="22"/>
  <c r="AO20" i="22"/>
  <c r="AP20" i="22"/>
  <c r="AQ20" i="22"/>
  <c r="AR20" i="22"/>
  <c r="AS20" i="22"/>
  <c r="AT20" i="22"/>
  <c r="AU20" i="22"/>
  <c r="AV20" i="22"/>
  <c r="AW20" i="22"/>
  <c r="AX20" i="22"/>
  <c r="AY20" i="22"/>
  <c r="AZ20" i="22"/>
  <c r="BA20" i="22"/>
  <c r="BB20" i="22"/>
  <c r="BC20" i="22"/>
  <c r="BD20" i="22"/>
  <c r="BE20" i="22"/>
  <c r="BF20" i="22"/>
  <c r="BG20" i="22"/>
  <c r="BH20" i="22"/>
  <c r="BI20" i="22"/>
  <c r="BJ20" i="22"/>
  <c r="BK20" i="22"/>
  <c r="BL20" i="22"/>
  <c r="BP20" i="22"/>
  <c r="T21" i="22"/>
  <c r="U21" i="22"/>
  <c r="AB21" i="22"/>
  <c r="AG21" i="22"/>
  <c r="AI21" i="22"/>
  <c r="AJ21" i="22"/>
  <c r="AK21" i="22"/>
  <c r="AL21" i="22"/>
  <c r="AM21" i="22"/>
  <c r="AN21" i="22"/>
  <c r="AO21" i="22"/>
  <c r="AP21" i="22"/>
  <c r="AQ21" i="22"/>
  <c r="AR21" i="22"/>
  <c r="AS21" i="22"/>
  <c r="AT21" i="22"/>
  <c r="AU21" i="22"/>
  <c r="AV21" i="22"/>
  <c r="AW21" i="22"/>
  <c r="AX21" i="22"/>
  <c r="AY21" i="22"/>
  <c r="AZ21" i="22"/>
  <c r="BA21" i="22"/>
  <c r="BB21" i="22"/>
  <c r="BC21" i="22"/>
  <c r="BD21" i="22"/>
  <c r="BE21" i="22"/>
  <c r="BF21" i="22"/>
  <c r="BG21" i="22"/>
  <c r="BH21" i="22"/>
  <c r="BI21" i="22"/>
  <c r="BJ21" i="22"/>
  <c r="BK21" i="22"/>
  <c r="BL21" i="22"/>
  <c r="BP21" i="22"/>
  <c r="T22" i="22"/>
  <c r="U22" i="22"/>
  <c r="AB22" i="22"/>
  <c r="AG22" i="22"/>
  <c r="AI22" i="22"/>
  <c r="AJ22" i="22"/>
  <c r="AK22" i="22"/>
  <c r="AL22" i="22"/>
  <c r="AM22" i="22"/>
  <c r="AN22" i="22"/>
  <c r="AO22" i="22"/>
  <c r="AP22" i="22"/>
  <c r="AQ22" i="22"/>
  <c r="AR22" i="22"/>
  <c r="AS22" i="22"/>
  <c r="AT22" i="22"/>
  <c r="AU22" i="22"/>
  <c r="AV22" i="22"/>
  <c r="AW22" i="22"/>
  <c r="AX22" i="22"/>
  <c r="AY22" i="22"/>
  <c r="AZ22" i="22"/>
  <c r="BA22" i="22"/>
  <c r="BB22" i="22"/>
  <c r="BC22" i="22"/>
  <c r="BD22" i="22"/>
  <c r="BE22" i="22"/>
  <c r="BF22" i="22"/>
  <c r="BG22" i="22"/>
  <c r="BH22" i="22"/>
  <c r="BI22" i="22"/>
  <c r="BJ22" i="22"/>
  <c r="BK22" i="22"/>
  <c r="BL22" i="22"/>
  <c r="BP22" i="22"/>
  <c r="T23" i="22"/>
  <c r="U23" i="22"/>
  <c r="AB23" i="22"/>
  <c r="AG23" i="22"/>
  <c r="AI23" i="22"/>
  <c r="AJ23" i="22"/>
  <c r="AK23" i="22"/>
  <c r="AL23" i="22"/>
  <c r="AM23" i="22"/>
  <c r="AN23" i="22"/>
  <c r="AO23" i="22"/>
  <c r="AP23" i="22"/>
  <c r="AQ23" i="22"/>
  <c r="AR23" i="22"/>
  <c r="AS23" i="22"/>
  <c r="AT23" i="22"/>
  <c r="AU23" i="22"/>
  <c r="AV23" i="22"/>
  <c r="AW23" i="22"/>
  <c r="AX23" i="22"/>
  <c r="AY23" i="22"/>
  <c r="AZ23" i="22"/>
  <c r="BA23" i="22"/>
  <c r="BB23" i="22"/>
  <c r="BC23" i="22"/>
  <c r="BD23" i="22"/>
  <c r="BE23" i="22"/>
  <c r="BF23" i="22"/>
  <c r="BG23" i="22"/>
  <c r="BH23" i="22"/>
  <c r="BI23" i="22"/>
  <c r="BJ23" i="22"/>
  <c r="BK23" i="22"/>
  <c r="BL23" i="22"/>
  <c r="BP23" i="22"/>
  <c r="T24" i="22"/>
  <c r="U24" i="22"/>
  <c r="AB24" i="22"/>
  <c r="AG24" i="22"/>
  <c r="AI24" i="22"/>
  <c r="AJ24" i="22"/>
  <c r="AK24" i="22"/>
  <c r="AL24" i="22"/>
  <c r="AM24" i="22"/>
  <c r="AN24" i="22"/>
  <c r="AO24" i="22"/>
  <c r="AP24" i="22"/>
  <c r="AQ24" i="22"/>
  <c r="AR24" i="22"/>
  <c r="AS24" i="22"/>
  <c r="AT24" i="22"/>
  <c r="AU24" i="22"/>
  <c r="AV24" i="22"/>
  <c r="AW24" i="22"/>
  <c r="AX24" i="22"/>
  <c r="AY24" i="22"/>
  <c r="AZ24" i="22"/>
  <c r="BA24" i="22"/>
  <c r="BB24" i="22"/>
  <c r="BC24" i="22"/>
  <c r="BD24" i="22"/>
  <c r="BE24" i="22"/>
  <c r="BF24" i="22"/>
  <c r="BG24" i="22"/>
  <c r="BH24" i="22"/>
  <c r="BI24" i="22"/>
  <c r="BJ24" i="22"/>
  <c r="BK24" i="22"/>
  <c r="BL24" i="22"/>
  <c r="BP24" i="22"/>
  <c r="T25" i="22"/>
  <c r="U25" i="22"/>
  <c r="AB25" i="22"/>
  <c r="AG25" i="22"/>
  <c r="AI25" i="22"/>
  <c r="AJ25" i="22"/>
  <c r="AK25" i="22"/>
  <c r="AL25" i="22"/>
  <c r="AM25" i="22"/>
  <c r="AN25" i="22"/>
  <c r="AO25" i="22"/>
  <c r="AP25" i="22"/>
  <c r="AQ25" i="22"/>
  <c r="AR25" i="22"/>
  <c r="AS25" i="22"/>
  <c r="AT25" i="22"/>
  <c r="AU25" i="22"/>
  <c r="AV25" i="22"/>
  <c r="AW25" i="22"/>
  <c r="AX25" i="22"/>
  <c r="AY25" i="22"/>
  <c r="AZ25" i="22"/>
  <c r="BA25" i="22"/>
  <c r="BB25" i="22"/>
  <c r="BC25" i="22"/>
  <c r="BD25" i="22"/>
  <c r="BE25" i="22"/>
  <c r="BF25" i="22"/>
  <c r="BG25" i="22"/>
  <c r="BH25" i="22"/>
  <c r="BI25" i="22"/>
  <c r="BJ25" i="22"/>
  <c r="BK25" i="22"/>
  <c r="BL25" i="22"/>
  <c r="BP25" i="22"/>
  <c r="T26" i="22"/>
  <c r="U26" i="22"/>
  <c r="AB26" i="22"/>
  <c r="AG26" i="22"/>
  <c r="AI26" i="22"/>
  <c r="AJ26" i="22"/>
  <c r="AK26" i="22"/>
  <c r="AL26" i="22"/>
  <c r="AM26" i="22"/>
  <c r="AN26" i="22"/>
  <c r="AO26" i="22"/>
  <c r="AP26" i="22"/>
  <c r="AQ26" i="22"/>
  <c r="AR26" i="22"/>
  <c r="AS26" i="22"/>
  <c r="AT26" i="22"/>
  <c r="AU26" i="22"/>
  <c r="AV26" i="22"/>
  <c r="AW26" i="22"/>
  <c r="AX26" i="22"/>
  <c r="AY26" i="22"/>
  <c r="AZ26" i="22"/>
  <c r="BA26" i="22"/>
  <c r="BB26" i="22"/>
  <c r="BC26" i="22"/>
  <c r="BD26" i="22"/>
  <c r="BE26" i="22"/>
  <c r="BF26" i="22"/>
  <c r="BG26" i="22"/>
  <c r="BH26" i="22"/>
  <c r="BI26" i="22"/>
  <c r="BJ26" i="22"/>
  <c r="BK26" i="22"/>
  <c r="BL26" i="22"/>
  <c r="BP26" i="22"/>
  <c r="T27" i="22"/>
  <c r="U27" i="22"/>
  <c r="AB27" i="22"/>
  <c r="AG27" i="22"/>
  <c r="AI27" i="22"/>
  <c r="AJ27" i="22"/>
  <c r="AK27" i="22"/>
  <c r="AL27" i="22"/>
  <c r="AM27" i="22"/>
  <c r="AN27" i="22"/>
  <c r="AO27" i="22"/>
  <c r="AP27" i="22"/>
  <c r="AQ27" i="22"/>
  <c r="AR27" i="22"/>
  <c r="AS27" i="22"/>
  <c r="AT27" i="22"/>
  <c r="AU27" i="22"/>
  <c r="AV27" i="22"/>
  <c r="AW27" i="22"/>
  <c r="AX27" i="22"/>
  <c r="AY27" i="22"/>
  <c r="AZ27" i="22"/>
  <c r="BA27" i="22"/>
  <c r="BB27" i="22"/>
  <c r="BC27" i="22"/>
  <c r="BD27" i="22"/>
  <c r="BE27" i="22"/>
  <c r="BF27" i="22"/>
  <c r="BG27" i="22"/>
  <c r="BH27" i="22"/>
  <c r="BI27" i="22"/>
  <c r="BJ27" i="22"/>
  <c r="BK27" i="22"/>
  <c r="BL27" i="22"/>
  <c r="BP27" i="22"/>
  <c r="T28" i="22"/>
  <c r="U28" i="22"/>
  <c r="AB28" i="22"/>
  <c r="AG28" i="22"/>
  <c r="AI28" i="22"/>
  <c r="AJ28" i="22"/>
  <c r="AK28" i="22"/>
  <c r="AL28" i="22"/>
  <c r="AM28" i="22"/>
  <c r="AN28" i="22"/>
  <c r="AO28" i="22"/>
  <c r="AP28" i="22"/>
  <c r="AQ28" i="22"/>
  <c r="AR28" i="22"/>
  <c r="AS28" i="22"/>
  <c r="AT28" i="22"/>
  <c r="AU28" i="22"/>
  <c r="AV28" i="22"/>
  <c r="AW28" i="22"/>
  <c r="AX28" i="22"/>
  <c r="AY28" i="22"/>
  <c r="AZ28" i="22"/>
  <c r="BA28" i="22"/>
  <c r="BB28" i="22"/>
  <c r="BC28" i="22"/>
  <c r="BD28" i="22"/>
  <c r="BE28" i="22"/>
  <c r="BF28" i="22"/>
  <c r="BG28" i="22"/>
  <c r="BH28" i="22"/>
  <c r="BI28" i="22"/>
  <c r="BJ28" i="22"/>
  <c r="BK28" i="22"/>
  <c r="BL28" i="22"/>
  <c r="BP28" i="22"/>
  <c r="T29" i="22"/>
  <c r="U29" i="22"/>
  <c r="AB29" i="22"/>
  <c r="AG29" i="22"/>
  <c r="AI29" i="22"/>
  <c r="AJ29" i="22"/>
  <c r="AK29" i="22"/>
  <c r="AL29" i="22"/>
  <c r="AM29" i="22"/>
  <c r="AN29" i="22"/>
  <c r="AO29" i="22"/>
  <c r="AP29" i="22"/>
  <c r="AQ29" i="22"/>
  <c r="AR29" i="22"/>
  <c r="AS29" i="22"/>
  <c r="AT29" i="22"/>
  <c r="AU29" i="22"/>
  <c r="AV29" i="22"/>
  <c r="AW29" i="22"/>
  <c r="AX29" i="22"/>
  <c r="AY29" i="22"/>
  <c r="AZ29" i="22"/>
  <c r="BA29" i="22"/>
  <c r="BB29" i="22"/>
  <c r="BC29" i="22"/>
  <c r="BD29" i="22"/>
  <c r="BE29" i="22"/>
  <c r="BF29" i="22"/>
  <c r="BG29" i="22"/>
  <c r="BH29" i="22"/>
  <c r="BI29" i="22"/>
  <c r="BJ29" i="22"/>
  <c r="BK29" i="22"/>
  <c r="BL29" i="22"/>
  <c r="BP29" i="22"/>
  <c r="T30" i="22"/>
  <c r="U30" i="22"/>
  <c r="AB30" i="22"/>
  <c r="AG30" i="22"/>
  <c r="AI30" i="22"/>
  <c r="AJ30" i="22"/>
  <c r="AK30" i="22"/>
  <c r="AL30" i="22"/>
  <c r="AM30" i="22"/>
  <c r="AN30" i="22"/>
  <c r="AO30" i="22"/>
  <c r="AP30" i="22"/>
  <c r="AQ30" i="22"/>
  <c r="AR30" i="22"/>
  <c r="AS30" i="22"/>
  <c r="AT30" i="22"/>
  <c r="AU30" i="22"/>
  <c r="AV30" i="22"/>
  <c r="AW30" i="22"/>
  <c r="AX30" i="22"/>
  <c r="AY30" i="22"/>
  <c r="AZ30" i="22"/>
  <c r="BA30" i="22"/>
  <c r="BB30" i="22"/>
  <c r="BC30" i="22"/>
  <c r="BD30" i="22"/>
  <c r="BE30" i="22"/>
  <c r="BF30" i="22"/>
  <c r="BG30" i="22"/>
  <c r="BH30" i="22"/>
  <c r="BI30" i="22"/>
  <c r="BJ30" i="22"/>
  <c r="BK30" i="22"/>
  <c r="BL30" i="22"/>
  <c r="BP30" i="22"/>
  <c r="T31" i="22"/>
  <c r="U31" i="22"/>
  <c r="AB31" i="22"/>
  <c r="AG31" i="22"/>
  <c r="AI31" i="22"/>
  <c r="AJ31" i="22"/>
  <c r="AK31" i="22"/>
  <c r="AL31" i="22"/>
  <c r="AM31" i="22"/>
  <c r="AN31" i="22"/>
  <c r="AO31" i="22"/>
  <c r="AP31" i="22"/>
  <c r="AQ31" i="22"/>
  <c r="AR31" i="22"/>
  <c r="AS31" i="22"/>
  <c r="AT31" i="22"/>
  <c r="AU31" i="22"/>
  <c r="AV31" i="22"/>
  <c r="AW31" i="22"/>
  <c r="AX31" i="22"/>
  <c r="AY31" i="22"/>
  <c r="AZ31" i="22"/>
  <c r="BA31" i="22"/>
  <c r="BB31" i="22"/>
  <c r="BC31" i="22"/>
  <c r="BD31" i="22"/>
  <c r="BE31" i="22"/>
  <c r="BF31" i="22"/>
  <c r="BG31" i="22"/>
  <c r="BH31" i="22"/>
  <c r="BI31" i="22"/>
  <c r="BJ31" i="22"/>
  <c r="BK31" i="22"/>
  <c r="BL31" i="22"/>
  <c r="BP31" i="22"/>
  <c r="T32" i="22"/>
  <c r="U32" i="22"/>
  <c r="AB32" i="22"/>
  <c r="AG32" i="22"/>
  <c r="AI32" i="22"/>
  <c r="AJ32" i="22"/>
  <c r="AK32" i="22"/>
  <c r="AL32" i="22"/>
  <c r="AM32" i="22"/>
  <c r="AN32" i="22"/>
  <c r="AO32" i="22"/>
  <c r="AP32" i="22"/>
  <c r="AQ32" i="22"/>
  <c r="AR32" i="22"/>
  <c r="AS32" i="22"/>
  <c r="AT32" i="22"/>
  <c r="AU32" i="22"/>
  <c r="AV32" i="22"/>
  <c r="AW32" i="22"/>
  <c r="AX32" i="22"/>
  <c r="AY32" i="22"/>
  <c r="AZ32" i="22"/>
  <c r="BA32" i="22"/>
  <c r="BB32" i="22"/>
  <c r="BC32" i="22"/>
  <c r="BD32" i="22"/>
  <c r="BE32" i="22"/>
  <c r="BF32" i="22"/>
  <c r="BG32" i="22"/>
  <c r="BH32" i="22"/>
  <c r="BI32" i="22"/>
  <c r="BJ32" i="22"/>
  <c r="BK32" i="22"/>
  <c r="BL32" i="22"/>
  <c r="BP32" i="22"/>
  <c r="T33" i="22"/>
  <c r="U33" i="22"/>
  <c r="AB33" i="22"/>
  <c r="AG33" i="22"/>
  <c r="AI33" i="22"/>
  <c r="AJ33" i="22"/>
  <c r="AK33" i="22"/>
  <c r="AL33" i="22"/>
  <c r="AM33" i="22"/>
  <c r="AN33" i="22"/>
  <c r="AO33" i="22"/>
  <c r="AP33" i="22"/>
  <c r="AQ33" i="22"/>
  <c r="AR33" i="22"/>
  <c r="AS33" i="22"/>
  <c r="AT33" i="22"/>
  <c r="AU33" i="22"/>
  <c r="AV33" i="22"/>
  <c r="AW33" i="22"/>
  <c r="AX33" i="22"/>
  <c r="AY33" i="22"/>
  <c r="AZ33" i="22"/>
  <c r="BA33" i="22"/>
  <c r="BB33" i="22"/>
  <c r="BC33" i="22"/>
  <c r="BD33" i="22"/>
  <c r="BE33" i="22"/>
  <c r="BF33" i="22"/>
  <c r="BG33" i="22"/>
  <c r="BH33" i="22"/>
  <c r="BI33" i="22"/>
  <c r="BJ33" i="22"/>
  <c r="BK33" i="22"/>
  <c r="BL33" i="22"/>
  <c r="BP33" i="22"/>
  <c r="T34" i="22"/>
  <c r="U34" i="22"/>
  <c r="AB34" i="22"/>
  <c r="AG34" i="22"/>
  <c r="AI34" i="22"/>
  <c r="AJ34" i="22"/>
  <c r="AK34" i="22"/>
  <c r="AL34" i="22"/>
  <c r="AM34" i="22"/>
  <c r="AN34" i="22"/>
  <c r="AO34" i="22"/>
  <c r="AP34" i="22"/>
  <c r="AQ34" i="22"/>
  <c r="AR34" i="22"/>
  <c r="AS34" i="22"/>
  <c r="AT34" i="22"/>
  <c r="AU34" i="22"/>
  <c r="AV34" i="22"/>
  <c r="AW34" i="22"/>
  <c r="AX34" i="22"/>
  <c r="AY34" i="22"/>
  <c r="AZ34" i="22"/>
  <c r="BA34" i="22"/>
  <c r="BB34" i="22"/>
  <c r="BC34" i="22"/>
  <c r="BD34" i="22"/>
  <c r="BE34" i="22"/>
  <c r="BF34" i="22"/>
  <c r="BG34" i="22"/>
  <c r="BH34" i="22"/>
  <c r="BI34" i="22"/>
  <c r="BJ34" i="22"/>
  <c r="BK34" i="22"/>
  <c r="BL34" i="22"/>
  <c r="BP34" i="22"/>
  <c r="T35" i="22"/>
  <c r="U35" i="22"/>
  <c r="AB35" i="22"/>
  <c r="AG35" i="22"/>
  <c r="AI35" i="22"/>
  <c r="AJ35" i="22"/>
  <c r="AK35" i="22"/>
  <c r="AL35" i="22"/>
  <c r="AM35" i="22"/>
  <c r="AN35" i="22"/>
  <c r="AO35" i="22"/>
  <c r="AP35" i="22"/>
  <c r="AQ35" i="22"/>
  <c r="AR35" i="22"/>
  <c r="AS35" i="22"/>
  <c r="AT35" i="22"/>
  <c r="AU35" i="22"/>
  <c r="AV35" i="22"/>
  <c r="AW35" i="22"/>
  <c r="AX35" i="22"/>
  <c r="AY35" i="22"/>
  <c r="AZ35" i="22"/>
  <c r="BA35" i="22"/>
  <c r="BB35" i="22"/>
  <c r="BC35" i="22"/>
  <c r="BD35" i="22"/>
  <c r="BE35" i="22"/>
  <c r="BF35" i="22"/>
  <c r="BG35" i="22"/>
  <c r="BH35" i="22"/>
  <c r="BI35" i="22"/>
  <c r="BJ35" i="22"/>
  <c r="BK35" i="22"/>
  <c r="BL35" i="22"/>
  <c r="BP35" i="22"/>
  <c r="T36" i="22"/>
  <c r="U36" i="22"/>
  <c r="AB36" i="22"/>
  <c r="AG36" i="22"/>
  <c r="AI36" i="22"/>
  <c r="AJ36" i="22"/>
  <c r="AK36" i="22"/>
  <c r="AL36" i="22"/>
  <c r="AM36" i="22"/>
  <c r="AN36" i="22"/>
  <c r="AO36" i="22"/>
  <c r="AP36" i="22"/>
  <c r="AQ36" i="22"/>
  <c r="AR36" i="22"/>
  <c r="AS36" i="22"/>
  <c r="AT36" i="22"/>
  <c r="AU36" i="22"/>
  <c r="AV36" i="22"/>
  <c r="AW36" i="22"/>
  <c r="AX36" i="22"/>
  <c r="AY36" i="22"/>
  <c r="AZ36" i="22"/>
  <c r="BA36" i="22"/>
  <c r="BB36" i="22"/>
  <c r="BC36" i="22"/>
  <c r="BD36" i="22"/>
  <c r="BE36" i="22"/>
  <c r="BF36" i="22"/>
  <c r="BG36" i="22"/>
  <c r="BH36" i="22"/>
  <c r="BI36" i="22"/>
  <c r="BJ36" i="22"/>
  <c r="BK36" i="22"/>
  <c r="BL36" i="22"/>
  <c r="BP36" i="22"/>
  <c r="T37" i="22"/>
  <c r="U37" i="22"/>
  <c r="AB37" i="22"/>
  <c r="AG37" i="22"/>
  <c r="AI37" i="22"/>
  <c r="AJ37" i="22"/>
  <c r="AK37" i="22"/>
  <c r="AL37" i="22"/>
  <c r="AM37" i="22"/>
  <c r="AN37" i="22"/>
  <c r="AO37" i="22"/>
  <c r="AP37" i="22"/>
  <c r="AQ37" i="22"/>
  <c r="AR37" i="22"/>
  <c r="AS37" i="22"/>
  <c r="AT37" i="22"/>
  <c r="AU37" i="22"/>
  <c r="AV37" i="22"/>
  <c r="AW37" i="22"/>
  <c r="AX37" i="22"/>
  <c r="AY37" i="22"/>
  <c r="AZ37" i="22"/>
  <c r="BA37" i="22"/>
  <c r="BB37" i="22"/>
  <c r="BC37" i="22"/>
  <c r="BD37" i="22"/>
  <c r="BE37" i="22"/>
  <c r="BF37" i="22"/>
  <c r="BG37" i="22"/>
  <c r="BH37" i="22"/>
  <c r="BI37" i="22"/>
  <c r="BJ37" i="22"/>
  <c r="BK37" i="22"/>
  <c r="BL37" i="22"/>
  <c r="BP37" i="22"/>
  <c r="T38" i="22"/>
  <c r="U38" i="22"/>
  <c r="AB38" i="22"/>
  <c r="AG38" i="22"/>
  <c r="AI38" i="22"/>
  <c r="AJ38" i="22"/>
  <c r="AK38" i="22"/>
  <c r="AL38" i="22"/>
  <c r="AM38" i="22"/>
  <c r="AN38" i="22"/>
  <c r="AO38" i="22"/>
  <c r="AP38" i="22"/>
  <c r="AQ38" i="22"/>
  <c r="AR38" i="22"/>
  <c r="AS38" i="22"/>
  <c r="AT38" i="22"/>
  <c r="AU38" i="22"/>
  <c r="AV38" i="22"/>
  <c r="AW38" i="22"/>
  <c r="AX38" i="22"/>
  <c r="AY38" i="22"/>
  <c r="AZ38" i="22"/>
  <c r="BA38" i="22"/>
  <c r="BB38" i="22"/>
  <c r="BC38" i="22"/>
  <c r="BD38" i="22"/>
  <c r="BE38" i="22"/>
  <c r="BF38" i="22"/>
  <c r="BG38" i="22"/>
  <c r="BH38" i="22"/>
  <c r="BI38" i="22"/>
  <c r="BJ38" i="22"/>
  <c r="BK38" i="22"/>
  <c r="BL38" i="22"/>
  <c r="BP38" i="22"/>
  <c r="T39" i="22"/>
  <c r="U39" i="22"/>
  <c r="AB39" i="22"/>
  <c r="AG39" i="22"/>
  <c r="AI39" i="22"/>
  <c r="AJ39" i="22"/>
  <c r="AK39" i="22"/>
  <c r="AL39" i="22"/>
  <c r="AM39" i="22"/>
  <c r="AN39" i="22"/>
  <c r="AO39" i="22"/>
  <c r="AP39" i="22"/>
  <c r="AQ39" i="22"/>
  <c r="AR39" i="22"/>
  <c r="AS39" i="22"/>
  <c r="AT39" i="22"/>
  <c r="AU39" i="22"/>
  <c r="AV39" i="22"/>
  <c r="AW39" i="22"/>
  <c r="AX39" i="22"/>
  <c r="AY39" i="22"/>
  <c r="AZ39" i="22"/>
  <c r="BA39" i="22"/>
  <c r="BB39" i="22"/>
  <c r="BC39" i="22"/>
  <c r="BD39" i="22"/>
  <c r="BE39" i="22"/>
  <c r="BF39" i="22"/>
  <c r="BG39" i="22"/>
  <c r="BH39" i="22"/>
  <c r="BI39" i="22"/>
  <c r="BJ39" i="22"/>
  <c r="BK39" i="22"/>
  <c r="BL39" i="22"/>
  <c r="BP39" i="22"/>
  <c r="T40" i="22"/>
  <c r="U40" i="22"/>
  <c r="AB40" i="22"/>
  <c r="AG40" i="22"/>
  <c r="AI40" i="22"/>
  <c r="AJ40" i="22"/>
  <c r="AK40" i="22"/>
  <c r="AL40" i="22"/>
  <c r="AM40" i="22"/>
  <c r="AN40" i="22"/>
  <c r="AO40" i="22"/>
  <c r="AP40" i="22"/>
  <c r="AQ40" i="22"/>
  <c r="AR40" i="22"/>
  <c r="AS40" i="22"/>
  <c r="AT40" i="22"/>
  <c r="AU40" i="22"/>
  <c r="AV40" i="22"/>
  <c r="AW40" i="22"/>
  <c r="AX40" i="22"/>
  <c r="AY40" i="22"/>
  <c r="AZ40" i="22"/>
  <c r="BA40" i="22"/>
  <c r="BB40" i="22"/>
  <c r="BC40" i="22"/>
  <c r="BD40" i="22"/>
  <c r="BE40" i="22"/>
  <c r="BF40" i="22"/>
  <c r="BG40" i="22"/>
  <c r="BH40" i="22"/>
  <c r="BI40" i="22"/>
  <c r="BJ40" i="22"/>
  <c r="BK40" i="22"/>
  <c r="BL40" i="22"/>
  <c r="BP40" i="22"/>
  <c r="T41" i="22"/>
  <c r="U41" i="22"/>
  <c r="AB41" i="22"/>
  <c r="AG41" i="22"/>
  <c r="AI41" i="22"/>
  <c r="AJ41" i="22"/>
  <c r="AK41" i="22"/>
  <c r="AL41" i="22"/>
  <c r="AM41" i="22"/>
  <c r="AN41" i="22"/>
  <c r="AO41" i="22"/>
  <c r="AP41" i="22"/>
  <c r="AQ41" i="22"/>
  <c r="AR41" i="22"/>
  <c r="AS41" i="22"/>
  <c r="AT41" i="22"/>
  <c r="AU41" i="22"/>
  <c r="AV41" i="22"/>
  <c r="AW41" i="22"/>
  <c r="AX41" i="22"/>
  <c r="AY41" i="22"/>
  <c r="AZ41" i="22"/>
  <c r="BA41" i="22"/>
  <c r="BB41" i="22"/>
  <c r="BC41" i="22"/>
  <c r="BD41" i="22"/>
  <c r="BE41" i="22"/>
  <c r="BF41" i="22"/>
  <c r="BG41" i="22"/>
  <c r="BH41" i="22"/>
  <c r="BI41" i="22"/>
  <c r="BJ41" i="22"/>
  <c r="BK41" i="22"/>
  <c r="BL41" i="22"/>
  <c r="BP41" i="22"/>
  <c r="T42" i="22"/>
  <c r="U42" i="22"/>
  <c r="AB42" i="22"/>
  <c r="AG42" i="22"/>
  <c r="AI42" i="22"/>
  <c r="AJ42" i="22"/>
  <c r="AK42" i="22"/>
  <c r="AL42" i="22"/>
  <c r="AM42" i="22"/>
  <c r="AN42" i="22"/>
  <c r="AO42" i="22"/>
  <c r="AP42" i="22"/>
  <c r="AQ42" i="22"/>
  <c r="AR42" i="22"/>
  <c r="AS42" i="22"/>
  <c r="AT42" i="22"/>
  <c r="AU42" i="22"/>
  <c r="AV42" i="22"/>
  <c r="AW42" i="22"/>
  <c r="AX42" i="22"/>
  <c r="AY42" i="22"/>
  <c r="AZ42" i="22"/>
  <c r="BA42" i="22"/>
  <c r="BB42" i="22"/>
  <c r="BC42" i="22"/>
  <c r="BD42" i="22"/>
  <c r="BE42" i="22"/>
  <c r="BF42" i="22"/>
  <c r="BG42" i="22"/>
  <c r="BH42" i="22"/>
  <c r="BI42" i="22"/>
  <c r="BJ42" i="22"/>
  <c r="BK42" i="22"/>
  <c r="BL42" i="22"/>
  <c r="BP42" i="22"/>
  <c r="T43" i="22"/>
  <c r="U43" i="22"/>
  <c r="AB43" i="22"/>
  <c r="AG43" i="22"/>
  <c r="AI43" i="22"/>
  <c r="AJ43" i="22"/>
  <c r="AK43" i="22"/>
  <c r="AL43" i="22"/>
  <c r="AM43" i="22"/>
  <c r="AN43" i="22"/>
  <c r="AO43" i="22"/>
  <c r="AP43" i="22"/>
  <c r="AQ43" i="22"/>
  <c r="AR43" i="22"/>
  <c r="AS43" i="22"/>
  <c r="AT43" i="22"/>
  <c r="AU43" i="22"/>
  <c r="AV43" i="22"/>
  <c r="AW43" i="22"/>
  <c r="AX43" i="22"/>
  <c r="AY43" i="22"/>
  <c r="AZ43" i="22"/>
  <c r="BA43" i="22"/>
  <c r="BB43" i="22"/>
  <c r="BC43" i="22"/>
  <c r="BD43" i="22"/>
  <c r="BE43" i="22"/>
  <c r="BF43" i="22"/>
  <c r="BG43" i="22"/>
  <c r="BH43" i="22"/>
  <c r="BI43" i="22"/>
  <c r="BJ43" i="22"/>
  <c r="BK43" i="22"/>
  <c r="BL43" i="22"/>
  <c r="BP43" i="22"/>
  <c r="T44" i="22"/>
  <c r="U44" i="22"/>
  <c r="AB44" i="22"/>
  <c r="AG44" i="22"/>
  <c r="AI44" i="22"/>
  <c r="AJ44" i="22"/>
  <c r="AK44" i="22"/>
  <c r="AL44" i="22"/>
  <c r="AM44" i="22"/>
  <c r="AN44" i="22"/>
  <c r="AO44" i="22"/>
  <c r="AP44" i="22"/>
  <c r="AQ44" i="22"/>
  <c r="AR44" i="22"/>
  <c r="AS44" i="22"/>
  <c r="AT44" i="22"/>
  <c r="AU44" i="22"/>
  <c r="AV44" i="22"/>
  <c r="AW44" i="22"/>
  <c r="AX44" i="22"/>
  <c r="AY44" i="22"/>
  <c r="AZ44" i="22"/>
  <c r="BA44" i="22"/>
  <c r="BB44" i="22"/>
  <c r="BC44" i="22"/>
  <c r="BD44" i="22"/>
  <c r="BE44" i="22"/>
  <c r="BF44" i="22"/>
  <c r="BG44" i="22"/>
  <c r="BH44" i="22"/>
  <c r="BI44" i="22"/>
  <c r="BJ44" i="22"/>
  <c r="BK44" i="22"/>
  <c r="BL44" i="22"/>
  <c r="BP44" i="22"/>
  <c r="T45" i="22"/>
  <c r="U45" i="22"/>
  <c r="AB45" i="22"/>
  <c r="AG45" i="22"/>
  <c r="AI45" i="22"/>
  <c r="AJ45" i="22"/>
  <c r="AK45" i="22"/>
  <c r="AL45" i="22"/>
  <c r="AM45" i="22"/>
  <c r="AN45" i="22"/>
  <c r="AO45" i="22"/>
  <c r="AP45" i="22"/>
  <c r="AQ45" i="22"/>
  <c r="AR45" i="22"/>
  <c r="AS45" i="22"/>
  <c r="AT45" i="22"/>
  <c r="AU45" i="22"/>
  <c r="AV45" i="22"/>
  <c r="AW45" i="22"/>
  <c r="AX45" i="22"/>
  <c r="AY45" i="22"/>
  <c r="AZ45" i="22"/>
  <c r="BA45" i="22"/>
  <c r="BB45" i="22"/>
  <c r="BC45" i="22"/>
  <c r="BD45" i="22"/>
  <c r="BE45" i="22"/>
  <c r="BF45" i="22"/>
  <c r="BG45" i="22"/>
  <c r="BH45" i="22"/>
  <c r="BI45" i="22"/>
  <c r="BJ45" i="22"/>
  <c r="BK45" i="22"/>
  <c r="BL45" i="22"/>
  <c r="BP45" i="22"/>
  <c r="T46" i="22"/>
  <c r="U46" i="22"/>
  <c r="AB46" i="22"/>
  <c r="AG46" i="22"/>
  <c r="AI46" i="22"/>
  <c r="AJ46" i="22"/>
  <c r="AK46" i="22"/>
  <c r="AL46" i="22"/>
  <c r="AM46" i="22"/>
  <c r="AN46" i="22"/>
  <c r="AO46" i="22"/>
  <c r="AP46" i="22"/>
  <c r="AQ46" i="22"/>
  <c r="AR46" i="22"/>
  <c r="AS46" i="22"/>
  <c r="AT46" i="22"/>
  <c r="AU46" i="22"/>
  <c r="AV46" i="22"/>
  <c r="AW46" i="22"/>
  <c r="AX46" i="22"/>
  <c r="AY46" i="22"/>
  <c r="AZ46" i="22"/>
  <c r="BA46" i="22"/>
  <c r="BB46" i="22"/>
  <c r="BC46" i="22"/>
  <c r="BD46" i="22"/>
  <c r="BE46" i="22"/>
  <c r="BF46" i="22"/>
  <c r="BG46" i="22"/>
  <c r="BH46" i="22"/>
  <c r="BI46" i="22"/>
  <c r="BJ46" i="22"/>
  <c r="BK46" i="22"/>
  <c r="BL46" i="22"/>
  <c r="BP46" i="22"/>
  <c r="T47" i="22"/>
  <c r="U47" i="22"/>
  <c r="AB47" i="22"/>
  <c r="AG47" i="22"/>
  <c r="AI47" i="22"/>
  <c r="AJ47" i="22"/>
  <c r="AK47" i="22"/>
  <c r="AL47" i="22"/>
  <c r="AM47" i="22"/>
  <c r="AN47" i="22"/>
  <c r="AO47" i="22"/>
  <c r="AP47" i="22"/>
  <c r="AQ47" i="22"/>
  <c r="AR47" i="22"/>
  <c r="AS47" i="22"/>
  <c r="AT47" i="22"/>
  <c r="AU47" i="22"/>
  <c r="AV47" i="22"/>
  <c r="AW47" i="22"/>
  <c r="AX47" i="22"/>
  <c r="AY47" i="22"/>
  <c r="AZ47" i="22"/>
  <c r="BA47" i="22"/>
  <c r="BB47" i="22"/>
  <c r="BC47" i="22"/>
  <c r="BD47" i="22"/>
  <c r="BE47" i="22"/>
  <c r="BF47" i="22"/>
  <c r="BG47" i="22"/>
  <c r="BH47" i="22"/>
  <c r="BI47" i="22"/>
  <c r="BJ47" i="22"/>
  <c r="BK47" i="22"/>
  <c r="BL47" i="22"/>
  <c r="BP47" i="22"/>
  <c r="T48" i="22"/>
  <c r="U48" i="22"/>
  <c r="AB48" i="22"/>
  <c r="AG48" i="22"/>
  <c r="AI48" i="22"/>
  <c r="AJ48" i="22"/>
  <c r="AK48" i="22"/>
  <c r="AL48" i="22"/>
  <c r="AM48" i="22"/>
  <c r="AN48" i="22"/>
  <c r="AO48" i="22"/>
  <c r="AP48" i="22"/>
  <c r="AQ48" i="22"/>
  <c r="AR48" i="22"/>
  <c r="AS48" i="22"/>
  <c r="AT48" i="22"/>
  <c r="AU48" i="22"/>
  <c r="AV48" i="22"/>
  <c r="AW48" i="22"/>
  <c r="AX48" i="22"/>
  <c r="AY48" i="22"/>
  <c r="AZ48" i="22"/>
  <c r="BA48" i="22"/>
  <c r="BB48" i="22"/>
  <c r="BC48" i="22"/>
  <c r="BD48" i="22"/>
  <c r="BE48" i="22"/>
  <c r="BF48" i="22"/>
  <c r="BG48" i="22"/>
  <c r="BH48" i="22"/>
  <c r="BI48" i="22"/>
  <c r="BJ48" i="22"/>
  <c r="BK48" i="22"/>
  <c r="BL48" i="22"/>
  <c r="BP48" i="22"/>
  <c r="T49" i="22"/>
  <c r="U49" i="22"/>
  <c r="AB49" i="22"/>
  <c r="AG49" i="22"/>
  <c r="AI49" i="22"/>
  <c r="AJ49" i="22"/>
  <c r="AK49" i="22"/>
  <c r="AL49" i="22"/>
  <c r="AM49" i="22"/>
  <c r="AN49" i="22"/>
  <c r="AO49" i="22"/>
  <c r="AP49" i="22"/>
  <c r="AQ49" i="22"/>
  <c r="AR49" i="22"/>
  <c r="AS49" i="22"/>
  <c r="AT49" i="22"/>
  <c r="AU49" i="22"/>
  <c r="AV49" i="22"/>
  <c r="AW49" i="22"/>
  <c r="AX49" i="22"/>
  <c r="AY49" i="22"/>
  <c r="AZ49" i="22"/>
  <c r="BA49" i="22"/>
  <c r="BB49" i="22"/>
  <c r="BC49" i="22"/>
  <c r="BD49" i="22"/>
  <c r="BE49" i="22"/>
  <c r="BF49" i="22"/>
  <c r="BG49" i="22"/>
  <c r="BH49" i="22"/>
  <c r="BI49" i="22"/>
  <c r="BJ49" i="22"/>
  <c r="BK49" i="22"/>
  <c r="BL49" i="22"/>
  <c r="BP49" i="22"/>
  <c r="T50" i="22"/>
  <c r="U50" i="22"/>
  <c r="AB50" i="22"/>
  <c r="AG50" i="22"/>
  <c r="AI50" i="22"/>
  <c r="AJ50" i="22"/>
  <c r="AK50" i="22"/>
  <c r="AL50" i="22"/>
  <c r="AM50" i="22"/>
  <c r="AN50" i="22"/>
  <c r="AO50" i="22"/>
  <c r="AP50" i="22"/>
  <c r="AQ50" i="22"/>
  <c r="AR50" i="22"/>
  <c r="AS50" i="22"/>
  <c r="AT50" i="22"/>
  <c r="AU50" i="22"/>
  <c r="AV50" i="22"/>
  <c r="AW50" i="22"/>
  <c r="AX50" i="22"/>
  <c r="AY50" i="22"/>
  <c r="AZ50" i="22"/>
  <c r="BA50" i="22"/>
  <c r="BB50" i="22"/>
  <c r="BC50" i="22"/>
  <c r="BD50" i="22"/>
  <c r="BE50" i="22"/>
  <c r="BF50" i="22"/>
  <c r="BG50" i="22"/>
  <c r="BH50" i="22"/>
  <c r="BI50" i="22"/>
  <c r="BJ50" i="22"/>
  <c r="BK50" i="22"/>
  <c r="BL50" i="22"/>
  <c r="BP50" i="22"/>
  <c r="T51" i="22"/>
  <c r="U51" i="22"/>
  <c r="AB51" i="22"/>
  <c r="AG51" i="22"/>
  <c r="AI51" i="22"/>
  <c r="AJ51" i="22"/>
  <c r="AK51" i="22"/>
  <c r="AL51" i="22"/>
  <c r="AM51" i="22"/>
  <c r="AN51" i="22"/>
  <c r="AO51" i="22"/>
  <c r="AP51" i="22"/>
  <c r="AQ51" i="22"/>
  <c r="AR51" i="22"/>
  <c r="AS51" i="22"/>
  <c r="AT51" i="22"/>
  <c r="AU51" i="22"/>
  <c r="AV51" i="22"/>
  <c r="AW51" i="22"/>
  <c r="AX51" i="22"/>
  <c r="AY51" i="22"/>
  <c r="AZ51" i="22"/>
  <c r="BA51" i="22"/>
  <c r="BB51" i="22"/>
  <c r="BC51" i="22"/>
  <c r="BD51" i="22"/>
  <c r="BE51" i="22"/>
  <c r="BF51" i="22"/>
  <c r="BG51" i="22"/>
  <c r="BH51" i="22"/>
  <c r="BI51" i="22"/>
  <c r="BJ51" i="22"/>
  <c r="BK51" i="22"/>
  <c r="BL51" i="22"/>
  <c r="BP51" i="22"/>
  <c r="T52" i="22"/>
  <c r="U52" i="22"/>
  <c r="AB52" i="22"/>
  <c r="AG52" i="22"/>
  <c r="AI52" i="22"/>
  <c r="AJ52" i="22"/>
  <c r="AK52" i="22"/>
  <c r="AL52" i="22"/>
  <c r="AM52" i="22"/>
  <c r="AN52" i="22"/>
  <c r="AO52" i="22"/>
  <c r="AP52" i="22"/>
  <c r="AQ52" i="22"/>
  <c r="AR52" i="22"/>
  <c r="AS52" i="22"/>
  <c r="AT52" i="22"/>
  <c r="AU52" i="22"/>
  <c r="AV52" i="22"/>
  <c r="AW52" i="22"/>
  <c r="AX52" i="22"/>
  <c r="AY52" i="22"/>
  <c r="AZ52" i="22"/>
  <c r="BA52" i="22"/>
  <c r="BB52" i="22"/>
  <c r="BC52" i="22"/>
  <c r="BD52" i="22"/>
  <c r="BE52" i="22"/>
  <c r="BF52" i="22"/>
  <c r="BG52" i="22"/>
  <c r="BH52" i="22"/>
  <c r="BI52" i="22"/>
  <c r="BJ52" i="22"/>
  <c r="BK52" i="22"/>
  <c r="BL52" i="22"/>
  <c r="BP52" i="22"/>
  <c r="T53" i="22"/>
  <c r="U53" i="22"/>
  <c r="AB53" i="22"/>
  <c r="AG53" i="22"/>
  <c r="AI53" i="22"/>
  <c r="AJ53" i="22"/>
  <c r="AK53" i="22"/>
  <c r="AL53" i="22"/>
  <c r="AM53" i="22"/>
  <c r="AN53" i="22"/>
  <c r="AO53" i="22"/>
  <c r="AP53" i="22"/>
  <c r="AQ53" i="22"/>
  <c r="AR53" i="22"/>
  <c r="AS53" i="22"/>
  <c r="AT53" i="22"/>
  <c r="AU53" i="22"/>
  <c r="AV53" i="22"/>
  <c r="AW53" i="22"/>
  <c r="AX53" i="22"/>
  <c r="AY53" i="22"/>
  <c r="AZ53" i="22"/>
  <c r="BA53" i="22"/>
  <c r="BB53" i="22"/>
  <c r="BC53" i="22"/>
  <c r="BD53" i="22"/>
  <c r="BE53" i="22"/>
  <c r="BF53" i="22"/>
  <c r="BG53" i="22"/>
  <c r="BH53" i="22"/>
  <c r="BI53" i="22"/>
  <c r="BJ53" i="22"/>
  <c r="BK53" i="22"/>
  <c r="BL53" i="22"/>
  <c r="BP53" i="22"/>
  <c r="T54" i="22"/>
  <c r="U54" i="22"/>
  <c r="AB54" i="22"/>
  <c r="AG54" i="22"/>
  <c r="AI54" i="22"/>
  <c r="AJ54" i="22"/>
  <c r="AK54" i="22"/>
  <c r="AL54" i="22"/>
  <c r="AM54" i="22"/>
  <c r="AN54" i="22"/>
  <c r="AO54" i="22"/>
  <c r="AP54" i="22"/>
  <c r="AQ54" i="22"/>
  <c r="AR54" i="22"/>
  <c r="AS54" i="22"/>
  <c r="AT54" i="22"/>
  <c r="AU54" i="22"/>
  <c r="AV54" i="22"/>
  <c r="AW54" i="22"/>
  <c r="AX54" i="22"/>
  <c r="AY54" i="22"/>
  <c r="AZ54" i="22"/>
  <c r="BA54" i="22"/>
  <c r="BB54" i="22"/>
  <c r="BC54" i="22"/>
  <c r="BD54" i="22"/>
  <c r="BE54" i="22"/>
  <c r="BF54" i="22"/>
  <c r="BG54" i="22"/>
  <c r="BH54" i="22"/>
  <c r="BI54" i="22"/>
  <c r="BJ54" i="22"/>
  <c r="BK54" i="22"/>
  <c r="BL54" i="22"/>
  <c r="BP54" i="22"/>
  <c r="T55" i="22"/>
  <c r="U55" i="22"/>
  <c r="AB55" i="22"/>
  <c r="AG55" i="22"/>
  <c r="AI55" i="22"/>
  <c r="AJ55" i="22"/>
  <c r="AK55" i="22"/>
  <c r="AL55" i="22"/>
  <c r="AM55" i="22"/>
  <c r="AN55" i="22"/>
  <c r="AO55" i="22"/>
  <c r="AP55" i="22"/>
  <c r="AQ55" i="22"/>
  <c r="AR55" i="22"/>
  <c r="AS55" i="22"/>
  <c r="AT55" i="22"/>
  <c r="AU55" i="22"/>
  <c r="AV55" i="22"/>
  <c r="AW55" i="22"/>
  <c r="AX55" i="22"/>
  <c r="AY55" i="22"/>
  <c r="AZ55" i="22"/>
  <c r="BA55" i="22"/>
  <c r="BB55" i="22"/>
  <c r="BC55" i="22"/>
  <c r="BD55" i="22"/>
  <c r="BE55" i="22"/>
  <c r="BF55" i="22"/>
  <c r="BG55" i="22"/>
  <c r="BH55" i="22"/>
  <c r="BI55" i="22"/>
  <c r="BJ55" i="22"/>
  <c r="BK55" i="22"/>
  <c r="BL55" i="22"/>
  <c r="BP55" i="22"/>
  <c r="T56" i="22"/>
  <c r="U56" i="22"/>
  <c r="AB56" i="22"/>
  <c r="AG56" i="22"/>
  <c r="AI56" i="22"/>
  <c r="AJ56" i="22"/>
  <c r="AK56" i="22"/>
  <c r="AL56" i="22"/>
  <c r="AM56" i="22"/>
  <c r="AN56" i="22"/>
  <c r="AO56" i="22"/>
  <c r="AP56" i="22"/>
  <c r="AQ56" i="22"/>
  <c r="AR56" i="22"/>
  <c r="AS56" i="22"/>
  <c r="AT56" i="22"/>
  <c r="AU56" i="22"/>
  <c r="AV56" i="22"/>
  <c r="AW56" i="22"/>
  <c r="AX56" i="22"/>
  <c r="AY56" i="22"/>
  <c r="AZ56" i="22"/>
  <c r="BA56" i="22"/>
  <c r="BB56" i="22"/>
  <c r="BC56" i="22"/>
  <c r="BD56" i="22"/>
  <c r="BE56" i="22"/>
  <c r="BF56" i="22"/>
  <c r="BG56" i="22"/>
  <c r="BH56" i="22"/>
  <c r="BI56" i="22"/>
  <c r="BJ56" i="22"/>
  <c r="BK56" i="22"/>
  <c r="BL56" i="22"/>
  <c r="BP56" i="22"/>
  <c r="T57" i="22"/>
  <c r="U57" i="22"/>
  <c r="AB57" i="22"/>
  <c r="AG57" i="22"/>
  <c r="AI57" i="22"/>
  <c r="AJ57" i="22"/>
  <c r="AK57" i="22"/>
  <c r="AL57" i="22"/>
  <c r="AM57" i="22"/>
  <c r="AN57" i="22"/>
  <c r="AO57" i="22"/>
  <c r="AP57" i="22"/>
  <c r="AQ57" i="22"/>
  <c r="AR57" i="22"/>
  <c r="AS57" i="22"/>
  <c r="AT57" i="22"/>
  <c r="AU57" i="22"/>
  <c r="AV57" i="22"/>
  <c r="AW57" i="22"/>
  <c r="AX57" i="22"/>
  <c r="AY57" i="22"/>
  <c r="AZ57" i="22"/>
  <c r="BA57" i="22"/>
  <c r="BB57" i="22"/>
  <c r="BC57" i="22"/>
  <c r="BD57" i="22"/>
  <c r="BE57" i="22"/>
  <c r="BF57" i="22"/>
  <c r="BG57" i="22"/>
  <c r="BH57" i="22"/>
  <c r="BI57" i="22"/>
  <c r="BJ57" i="22"/>
  <c r="BK57" i="22"/>
  <c r="BL57" i="22"/>
  <c r="BP57" i="22"/>
  <c r="T58" i="22"/>
  <c r="U58" i="22"/>
  <c r="AB58" i="22"/>
  <c r="AG58" i="22"/>
  <c r="AI58" i="22"/>
  <c r="AJ58" i="22"/>
  <c r="AK58" i="22"/>
  <c r="AL58" i="22"/>
  <c r="AM58" i="22"/>
  <c r="AN58" i="22"/>
  <c r="AO58" i="22"/>
  <c r="AP58" i="22"/>
  <c r="AQ58" i="22"/>
  <c r="AR58" i="22"/>
  <c r="AS58" i="22"/>
  <c r="AT58" i="22"/>
  <c r="AU58" i="22"/>
  <c r="AV58" i="22"/>
  <c r="AW58" i="22"/>
  <c r="AX58" i="22"/>
  <c r="AY58" i="22"/>
  <c r="AZ58" i="22"/>
  <c r="BA58" i="22"/>
  <c r="BB58" i="22"/>
  <c r="BC58" i="22"/>
  <c r="BD58" i="22"/>
  <c r="BE58" i="22"/>
  <c r="BF58" i="22"/>
  <c r="BG58" i="22"/>
  <c r="BH58" i="22"/>
  <c r="BI58" i="22"/>
  <c r="BJ58" i="22"/>
  <c r="BK58" i="22"/>
  <c r="BL58" i="22"/>
  <c r="BP58" i="22"/>
  <c r="T59" i="22"/>
  <c r="U59" i="22"/>
  <c r="AB59" i="22"/>
  <c r="AG59" i="22"/>
  <c r="AI59" i="22"/>
  <c r="AJ59" i="22"/>
  <c r="AK59" i="22"/>
  <c r="AL59" i="22"/>
  <c r="AM59" i="22"/>
  <c r="AN59" i="22"/>
  <c r="AO59" i="22"/>
  <c r="AP59" i="22"/>
  <c r="AQ59" i="22"/>
  <c r="AR59" i="22"/>
  <c r="AS59" i="22"/>
  <c r="AT59" i="22"/>
  <c r="AU59" i="22"/>
  <c r="AV59" i="22"/>
  <c r="AW59" i="22"/>
  <c r="AX59" i="22"/>
  <c r="AY59" i="22"/>
  <c r="AZ59" i="22"/>
  <c r="BA59" i="22"/>
  <c r="BB59" i="22"/>
  <c r="BC59" i="22"/>
  <c r="BD59" i="22"/>
  <c r="BE59" i="22"/>
  <c r="BF59" i="22"/>
  <c r="BG59" i="22"/>
  <c r="BH59" i="22"/>
  <c r="BI59" i="22"/>
  <c r="BJ59" i="22"/>
  <c r="BK59" i="22"/>
  <c r="BL59" i="22"/>
  <c r="BP59" i="22"/>
  <c r="T60" i="22"/>
  <c r="U60" i="22"/>
  <c r="AB60" i="22"/>
  <c r="AG60" i="22"/>
  <c r="AI60" i="22"/>
  <c r="AJ60" i="22"/>
  <c r="AK60" i="22"/>
  <c r="AL60" i="22"/>
  <c r="AM60" i="22"/>
  <c r="AN60" i="22"/>
  <c r="AO60" i="22"/>
  <c r="AP60" i="22"/>
  <c r="AQ60" i="22"/>
  <c r="AR60" i="22"/>
  <c r="AS60" i="22"/>
  <c r="AT60" i="22"/>
  <c r="AU60" i="22"/>
  <c r="AV60" i="22"/>
  <c r="AW60" i="22"/>
  <c r="AX60" i="22"/>
  <c r="AY60" i="22"/>
  <c r="AZ60" i="22"/>
  <c r="BA60" i="22"/>
  <c r="BB60" i="22"/>
  <c r="BC60" i="22"/>
  <c r="BD60" i="22"/>
  <c r="BE60" i="22"/>
  <c r="BF60" i="22"/>
  <c r="BG60" i="22"/>
  <c r="BH60" i="22"/>
  <c r="BI60" i="22"/>
  <c r="BJ60" i="22"/>
  <c r="BK60" i="22"/>
  <c r="BL60" i="22"/>
  <c r="BP60" i="22"/>
  <c r="T61" i="22"/>
  <c r="U61" i="22"/>
  <c r="AB61" i="22"/>
  <c r="AG61" i="22"/>
  <c r="AI61" i="22"/>
  <c r="AJ61" i="22"/>
  <c r="AK61" i="22"/>
  <c r="AL61" i="22"/>
  <c r="AM61" i="22"/>
  <c r="AN61" i="22"/>
  <c r="AO61" i="22"/>
  <c r="AP61" i="22"/>
  <c r="AQ61" i="22"/>
  <c r="AR61" i="22"/>
  <c r="AS61" i="22"/>
  <c r="AT61" i="22"/>
  <c r="AU61" i="22"/>
  <c r="AV61" i="22"/>
  <c r="AW61" i="22"/>
  <c r="AX61" i="22"/>
  <c r="AY61" i="22"/>
  <c r="AZ61" i="22"/>
  <c r="BA61" i="22"/>
  <c r="BB61" i="22"/>
  <c r="BC61" i="22"/>
  <c r="BD61" i="22"/>
  <c r="BE61" i="22"/>
  <c r="BF61" i="22"/>
  <c r="BG61" i="22"/>
  <c r="BH61" i="22"/>
  <c r="BI61" i="22"/>
  <c r="BJ61" i="22"/>
  <c r="BK61" i="22"/>
  <c r="BL61" i="22"/>
  <c r="BP61" i="22"/>
  <c r="T62" i="22"/>
  <c r="U62" i="22"/>
  <c r="AB62" i="22"/>
  <c r="AG62" i="22"/>
  <c r="AI62" i="22"/>
  <c r="AJ62" i="22"/>
  <c r="AK62" i="22"/>
  <c r="AL62" i="22"/>
  <c r="AM62" i="22"/>
  <c r="AN62" i="22"/>
  <c r="AO62" i="22"/>
  <c r="AP62" i="22"/>
  <c r="AQ62" i="22"/>
  <c r="AR62" i="22"/>
  <c r="AS62" i="22"/>
  <c r="AT62" i="22"/>
  <c r="AU62" i="22"/>
  <c r="AV62" i="22"/>
  <c r="AW62" i="22"/>
  <c r="AX62" i="22"/>
  <c r="AY62" i="22"/>
  <c r="AZ62" i="22"/>
  <c r="BA62" i="22"/>
  <c r="BB62" i="22"/>
  <c r="BC62" i="22"/>
  <c r="BD62" i="22"/>
  <c r="BE62" i="22"/>
  <c r="BF62" i="22"/>
  <c r="BG62" i="22"/>
  <c r="BH62" i="22"/>
  <c r="BI62" i="22"/>
  <c r="BJ62" i="22"/>
  <c r="BK62" i="22"/>
  <c r="BL62" i="22"/>
  <c r="BP62" i="22"/>
  <c r="T63" i="22"/>
  <c r="U63" i="22"/>
  <c r="AB63" i="22"/>
  <c r="AG63" i="22"/>
  <c r="AI63" i="22"/>
  <c r="AJ63" i="22"/>
  <c r="AK63" i="22"/>
  <c r="AL63" i="22"/>
  <c r="AM63" i="22"/>
  <c r="AN63" i="22"/>
  <c r="AO63" i="22"/>
  <c r="AP63" i="22"/>
  <c r="AQ63" i="22"/>
  <c r="AR63" i="22"/>
  <c r="AS63" i="22"/>
  <c r="AT63" i="22"/>
  <c r="AU63" i="22"/>
  <c r="AV63" i="22"/>
  <c r="AW63" i="22"/>
  <c r="AX63" i="22"/>
  <c r="AY63" i="22"/>
  <c r="AZ63" i="22"/>
  <c r="BA63" i="22"/>
  <c r="BB63" i="22"/>
  <c r="BC63" i="22"/>
  <c r="BD63" i="22"/>
  <c r="BE63" i="22"/>
  <c r="BF63" i="22"/>
  <c r="BG63" i="22"/>
  <c r="BH63" i="22"/>
  <c r="BI63" i="22"/>
  <c r="BJ63" i="22"/>
  <c r="BK63" i="22"/>
  <c r="BL63" i="22"/>
  <c r="BP63" i="22"/>
  <c r="T64" i="22"/>
  <c r="U64" i="22"/>
  <c r="AB64" i="22"/>
  <c r="AG64" i="22"/>
  <c r="AI64" i="22"/>
  <c r="AJ64" i="22"/>
  <c r="AK64" i="22"/>
  <c r="AL64" i="22"/>
  <c r="AM64" i="22"/>
  <c r="AN64" i="22"/>
  <c r="AO64" i="22"/>
  <c r="AP64" i="22"/>
  <c r="AQ64" i="22"/>
  <c r="AR64" i="22"/>
  <c r="AS64" i="22"/>
  <c r="AT64" i="22"/>
  <c r="AU64" i="22"/>
  <c r="AV64" i="22"/>
  <c r="AW64" i="22"/>
  <c r="AX64" i="22"/>
  <c r="AY64" i="22"/>
  <c r="AZ64" i="22"/>
  <c r="BA64" i="22"/>
  <c r="BB64" i="22"/>
  <c r="BC64" i="22"/>
  <c r="BD64" i="22"/>
  <c r="BE64" i="22"/>
  <c r="BF64" i="22"/>
  <c r="BG64" i="22"/>
  <c r="BH64" i="22"/>
  <c r="BI64" i="22"/>
  <c r="BJ64" i="22"/>
  <c r="BK64" i="22"/>
  <c r="BL64" i="22"/>
  <c r="BP64" i="22"/>
  <c r="T65" i="22"/>
  <c r="U65" i="22"/>
  <c r="AB65" i="22"/>
  <c r="AG65" i="22"/>
  <c r="AI65" i="22"/>
  <c r="AJ65" i="22"/>
  <c r="AK65" i="22"/>
  <c r="AL65" i="22"/>
  <c r="AM65" i="22"/>
  <c r="AN65" i="22"/>
  <c r="AO65" i="22"/>
  <c r="AP65" i="22"/>
  <c r="AQ65" i="22"/>
  <c r="AR65" i="22"/>
  <c r="AS65" i="22"/>
  <c r="AT65" i="22"/>
  <c r="AU65" i="22"/>
  <c r="AV65" i="22"/>
  <c r="AW65" i="22"/>
  <c r="AX65" i="22"/>
  <c r="AY65" i="22"/>
  <c r="AZ65" i="22"/>
  <c r="BA65" i="22"/>
  <c r="BB65" i="22"/>
  <c r="BC65" i="22"/>
  <c r="BD65" i="22"/>
  <c r="BE65" i="22"/>
  <c r="BF65" i="22"/>
  <c r="BG65" i="22"/>
  <c r="BH65" i="22"/>
  <c r="BI65" i="22"/>
  <c r="BJ65" i="22"/>
  <c r="BK65" i="22"/>
  <c r="BL65" i="22"/>
  <c r="BP65" i="22"/>
  <c r="T66" i="22"/>
  <c r="U66" i="22"/>
  <c r="AB66" i="22"/>
  <c r="AG66" i="22"/>
  <c r="AI66" i="22"/>
  <c r="AJ66" i="22"/>
  <c r="AK66" i="22"/>
  <c r="AL66" i="22"/>
  <c r="AM66" i="22"/>
  <c r="AN66" i="22"/>
  <c r="AO66" i="22"/>
  <c r="AP66" i="22"/>
  <c r="AQ66" i="22"/>
  <c r="AR66" i="22"/>
  <c r="AS66" i="22"/>
  <c r="AT66" i="22"/>
  <c r="AU66" i="22"/>
  <c r="AV66" i="22"/>
  <c r="AW66" i="22"/>
  <c r="AX66" i="22"/>
  <c r="AY66" i="22"/>
  <c r="AZ66" i="22"/>
  <c r="BA66" i="22"/>
  <c r="BB66" i="22"/>
  <c r="BC66" i="22"/>
  <c r="BD66" i="22"/>
  <c r="BE66" i="22"/>
  <c r="BF66" i="22"/>
  <c r="BG66" i="22"/>
  <c r="BH66" i="22"/>
  <c r="BI66" i="22"/>
  <c r="BJ66" i="22"/>
  <c r="BK66" i="22"/>
  <c r="BL66" i="22"/>
  <c r="BP66" i="22"/>
  <c r="T67" i="22"/>
  <c r="U67" i="22"/>
  <c r="AB67" i="22"/>
  <c r="AG67" i="22"/>
  <c r="AI67" i="22"/>
  <c r="AJ67" i="22"/>
  <c r="AK67" i="22"/>
  <c r="AL67" i="22"/>
  <c r="AM67" i="22"/>
  <c r="AN67" i="22"/>
  <c r="AO67" i="22"/>
  <c r="AP67" i="22"/>
  <c r="AQ67" i="22"/>
  <c r="AR67" i="22"/>
  <c r="AS67" i="22"/>
  <c r="AT67" i="22"/>
  <c r="AU67" i="22"/>
  <c r="AV67" i="22"/>
  <c r="AW67" i="22"/>
  <c r="AX67" i="22"/>
  <c r="AY67" i="22"/>
  <c r="AZ67" i="22"/>
  <c r="BA67" i="22"/>
  <c r="BB67" i="22"/>
  <c r="BC67" i="22"/>
  <c r="BD67" i="22"/>
  <c r="BE67" i="22"/>
  <c r="BF67" i="22"/>
  <c r="BG67" i="22"/>
  <c r="BH67" i="22"/>
  <c r="BI67" i="22"/>
  <c r="BJ67" i="22"/>
  <c r="BK67" i="22"/>
  <c r="BL67" i="22"/>
  <c r="BP67" i="22"/>
  <c r="T68" i="22"/>
  <c r="U68" i="22"/>
  <c r="AB68" i="22"/>
  <c r="AG68" i="22"/>
  <c r="AI68" i="22"/>
  <c r="AJ68" i="22"/>
  <c r="AK68" i="22"/>
  <c r="AL68" i="22"/>
  <c r="AM68" i="22"/>
  <c r="AN68" i="22"/>
  <c r="AO68" i="22"/>
  <c r="AP68" i="22"/>
  <c r="AQ68" i="22"/>
  <c r="AR68" i="22"/>
  <c r="AS68" i="22"/>
  <c r="AT68" i="22"/>
  <c r="AU68" i="22"/>
  <c r="AV68" i="22"/>
  <c r="AW68" i="22"/>
  <c r="AX68" i="22"/>
  <c r="AY68" i="22"/>
  <c r="AZ68" i="22"/>
  <c r="BA68" i="22"/>
  <c r="BB68" i="22"/>
  <c r="BC68" i="22"/>
  <c r="BD68" i="22"/>
  <c r="BE68" i="22"/>
  <c r="BF68" i="22"/>
  <c r="BG68" i="22"/>
  <c r="BH68" i="22"/>
  <c r="BI68" i="22"/>
  <c r="BJ68" i="22"/>
  <c r="BK68" i="22"/>
  <c r="BL68" i="22"/>
  <c r="BP68" i="22"/>
  <c r="T69" i="22"/>
  <c r="U69" i="22"/>
  <c r="AB69" i="22"/>
  <c r="AG69" i="22"/>
  <c r="AI69" i="22"/>
  <c r="AJ69" i="22"/>
  <c r="AK69" i="22"/>
  <c r="AL69" i="22"/>
  <c r="AM69" i="22"/>
  <c r="AN69" i="22"/>
  <c r="AO69" i="22"/>
  <c r="AP69" i="22"/>
  <c r="AQ69" i="22"/>
  <c r="AR69" i="22"/>
  <c r="AS69" i="22"/>
  <c r="AT69" i="22"/>
  <c r="AU69" i="22"/>
  <c r="AV69" i="22"/>
  <c r="AW69" i="22"/>
  <c r="AX69" i="22"/>
  <c r="AY69" i="22"/>
  <c r="AZ69" i="22"/>
  <c r="BA69" i="22"/>
  <c r="BB69" i="22"/>
  <c r="BC69" i="22"/>
  <c r="BD69" i="22"/>
  <c r="BE69" i="22"/>
  <c r="BF69" i="22"/>
  <c r="BG69" i="22"/>
  <c r="BH69" i="22"/>
  <c r="BI69" i="22"/>
  <c r="BJ69" i="22"/>
  <c r="BK69" i="22"/>
  <c r="BL69" i="22"/>
  <c r="BP69" i="22"/>
  <c r="T70" i="22"/>
  <c r="U70" i="22"/>
  <c r="AB70" i="22"/>
  <c r="AG70" i="22"/>
  <c r="AI70" i="22"/>
  <c r="AJ70" i="22"/>
  <c r="AK70" i="22"/>
  <c r="AL70" i="22"/>
  <c r="AM70" i="22"/>
  <c r="AN70" i="22"/>
  <c r="AO70" i="22"/>
  <c r="AP70" i="22"/>
  <c r="AQ70" i="22"/>
  <c r="AR70" i="22"/>
  <c r="AS70" i="22"/>
  <c r="AT70" i="22"/>
  <c r="AU70" i="22"/>
  <c r="AV70" i="22"/>
  <c r="AW70" i="22"/>
  <c r="AX70" i="22"/>
  <c r="AY70" i="22"/>
  <c r="AZ70" i="22"/>
  <c r="BA70" i="22"/>
  <c r="BB70" i="22"/>
  <c r="BC70" i="22"/>
  <c r="BD70" i="22"/>
  <c r="BE70" i="22"/>
  <c r="BF70" i="22"/>
  <c r="BG70" i="22"/>
  <c r="BH70" i="22"/>
  <c r="BI70" i="22"/>
  <c r="BJ70" i="22"/>
  <c r="BK70" i="22"/>
  <c r="BL70" i="22"/>
  <c r="BP70" i="22"/>
  <c r="T71" i="22"/>
  <c r="U71" i="22"/>
  <c r="AB71" i="22"/>
  <c r="AG71" i="22"/>
  <c r="AI71" i="22"/>
  <c r="AJ71" i="22"/>
  <c r="AK71" i="22"/>
  <c r="AL71" i="22"/>
  <c r="AM71" i="22"/>
  <c r="AN71" i="22"/>
  <c r="AO71" i="22"/>
  <c r="AP71" i="22"/>
  <c r="AQ71" i="22"/>
  <c r="AR71" i="22"/>
  <c r="AS71" i="22"/>
  <c r="AT71" i="22"/>
  <c r="AU71" i="22"/>
  <c r="AV71" i="22"/>
  <c r="AW71" i="22"/>
  <c r="AX71" i="22"/>
  <c r="AY71" i="22"/>
  <c r="AZ71" i="22"/>
  <c r="BA71" i="22"/>
  <c r="BB71" i="22"/>
  <c r="BC71" i="22"/>
  <c r="BD71" i="22"/>
  <c r="BE71" i="22"/>
  <c r="BF71" i="22"/>
  <c r="BG71" i="22"/>
  <c r="BH71" i="22"/>
  <c r="BI71" i="22"/>
  <c r="BJ71" i="22"/>
  <c r="BK71" i="22"/>
  <c r="BL71" i="22"/>
  <c r="BP71" i="22"/>
  <c r="T72" i="22"/>
  <c r="U72" i="22"/>
  <c r="AB72" i="22"/>
  <c r="AG72" i="22"/>
  <c r="AI72" i="22"/>
  <c r="AJ72" i="22"/>
  <c r="AK72" i="22"/>
  <c r="AL72" i="22"/>
  <c r="AM72" i="22"/>
  <c r="AN72" i="22"/>
  <c r="AO72" i="22"/>
  <c r="AP72" i="22"/>
  <c r="AQ72" i="22"/>
  <c r="AR72" i="22"/>
  <c r="AS72" i="22"/>
  <c r="AT72" i="22"/>
  <c r="AU72" i="22"/>
  <c r="AV72" i="22"/>
  <c r="AW72" i="22"/>
  <c r="AX72" i="22"/>
  <c r="AY72" i="22"/>
  <c r="AZ72" i="22"/>
  <c r="BA72" i="22"/>
  <c r="BB72" i="22"/>
  <c r="BC72" i="22"/>
  <c r="BD72" i="22"/>
  <c r="BE72" i="22"/>
  <c r="BF72" i="22"/>
  <c r="BG72" i="22"/>
  <c r="BH72" i="22"/>
  <c r="BI72" i="22"/>
  <c r="BJ72" i="22"/>
  <c r="BK72" i="22"/>
  <c r="BL72" i="22"/>
  <c r="BP72" i="22"/>
  <c r="T73" i="22"/>
  <c r="U73" i="22"/>
  <c r="AB73" i="22"/>
  <c r="AG73" i="22"/>
  <c r="AI73" i="22"/>
  <c r="AJ73" i="22"/>
  <c r="AK73" i="22"/>
  <c r="AL73" i="22"/>
  <c r="AM73" i="22"/>
  <c r="AN73" i="22"/>
  <c r="AO73" i="22"/>
  <c r="AP73" i="22"/>
  <c r="AQ73" i="22"/>
  <c r="AR73" i="22"/>
  <c r="AS73" i="22"/>
  <c r="AT73" i="22"/>
  <c r="AU73" i="22"/>
  <c r="AV73" i="22"/>
  <c r="AW73" i="22"/>
  <c r="AX73" i="22"/>
  <c r="AY73" i="22"/>
  <c r="AZ73" i="22"/>
  <c r="BA73" i="22"/>
  <c r="BB73" i="22"/>
  <c r="BC73" i="22"/>
  <c r="BD73" i="22"/>
  <c r="BE73" i="22"/>
  <c r="BF73" i="22"/>
  <c r="BG73" i="22"/>
  <c r="BH73" i="22"/>
  <c r="BI73" i="22"/>
  <c r="BJ73" i="22"/>
  <c r="BK73" i="22"/>
  <c r="BL73" i="22"/>
  <c r="BP73" i="22"/>
  <c r="T74" i="22"/>
  <c r="U74" i="22"/>
  <c r="AB74" i="22"/>
  <c r="AG74" i="22"/>
  <c r="AI74" i="22"/>
  <c r="AJ74" i="22"/>
  <c r="AK74" i="22"/>
  <c r="AL74" i="22"/>
  <c r="AM74" i="22"/>
  <c r="AN74" i="22"/>
  <c r="AO74" i="22"/>
  <c r="AP74" i="22"/>
  <c r="AQ74" i="22"/>
  <c r="AR74" i="22"/>
  <c r="AS74" i="22"/>
  <c r="AT74" i="22"/>
  <c r="AU74" i="22"/>
  <c r="AV74" i="22"/>
  <c r="AW74" i="22"/>
  <c r="AX74" i="22"/>
  <c r="AY74" i="22"/>
  <c r="AZ74" i="22"/>
  <c r="BA74" i="22"/>
  <c r="BB74" i="22"/>
  <c r="BC74" i="22"/>
  <c r="BD74" i="22"/>
  <c r="BE74" i="22"/>
  <c r="BF74" i="22"/>
  <c r="BG74" i="22"/>
  <c r="BH74" i="22"/>
  <c r="BI74" i="22"/>
  <c r="BJ74" i="22"/>
  <c r="BK74" i="22"/>
  <c r="BL74" i="22"/>
  <c r="BP74" i="22"/>
  <c r="T75" i="22"/>
  <c r="U75" i="22"/>
  <c r="AB75" i="22"/>
  <c r="AG75" i="22"/>
  <c r="AI75" i="22"/>
  <c r="AJ75" i="22"/>
  <c r="AK75" i="22"/>
  <c r="AL75" i="22"/>
  <c r="AM75" i="22"/>
  <c r="AN75" i="22"/>
  <c r="AO75" i="22"/>
  <c r="AP75" i="22"/>
  <c r="AQ75" i="22"/>
  <c r="AR75" i="22"/>
  <c r="AS75" i="22"/>
  <c r="AT75" i="22"/>
  <c r="AU75" i="22"/>
  <c r="AV75" i="22"/>
  <c r="AW75" i="22"/>
  <c r="AX75" i="22"/>
  <c r="AY75" i="22"/>
  <c r="AZ75" i="22"/>
  <c r="BA75" i="22"/>
  <c r="BB75" i="22"/>
  <c r="BC75" i="22"/>
  <c r="BD75" i="22"/>
  <c r="BE75" i="22"/>
  <c r="BF75" i="22"/>
  <c r="BG75" i="22"/>
  <c r="BH75" i="22"/>
  <c r="BI75" i="22"/>
  <c r="BJ75" i="22"/>
  <c r="BK75" i="22"/>
  <c r="BL75" i="22"/>
  <c r="BP75" i="22"/>
  <c r="T76" i="22"/>
  <c r="U76" i="22"/>
  <c r="AB76" i="22"/>
  <c r="AG76" i="22"/>
  <c r="AI76" i="22"/>
  <c r="AJ76" i="22"/>
  <c r="AK76" i="22"/>
  <c r="AL76" i="22"/>
  <c r="AM76" i="22"/>
  <c r="AN76" i="22"/>
  <c r="AO76" i="22"/>
  <c r="AP76" i="22"/>
  <c r="AQ76" i="22"/>
  <c r="AR76" i="22"/>
  <c r="AS76" i="22"/>
  <c r="AT76" i="22"/>
  <c r="AU76" i="22"/>
  <c r="AV76" i="22"/>
  <c r="AW76" i="22"/>
  <c r="AX76" i="22"/>
  <c r="AY76" i="22"/>
  <c r="AZ76" i="22"/>
  <c r="BA76" i="22"/>
  <c r="BB76" i="22"/>
  <c r="BC76" i="22"/>
  <c r="BD76" i="22"/>
  <c r="BE76" i="22"/>
  <c r="BF76" i="22"/>
  <c r="BG76" i="22"/>
  <c r="BH76" i="22"/>
  <c r="BI76" i="22"/>
  <c r="BJ76" i="22"/>
  <c r="BK76" i="22"/>
  <c r="BL76" i="22"/>
  <c r="BP76" i="22"/>
  <c r="T77" i="22"/>
  <c r="U77" i="22"/>
  <c r="AB77" i="22"/>
  <c r="AG77" i="22"/>
  <c r="AI77" i="22"/>
  <c r="AJ77" i="22"/>
  <c r="AK77" i="22"/>
  <c r="AL77" i="22"/>
  <c r="AM77" i="22"/>
  <c r="AN77" i="22"/>
  <c r="AO77" i="22"/>
  <c r="AP77" i="22"/>
  <c r="AQ77" i="22"/>
  <c r="AR77" i="22"/>
  <c r="AS77" i="22"/>
  <c r="AT77" i="22"/>
  <c r="AU77" i="22"/>
  <c r="AV77" i="22"/>
  <c r="AW77" i="22"/>
  <c r="AX77" i="22"/>
  <c r="AY77" i="22"/>
  <c r="AZ77" i="22"/>
  <c r="BA77" i="22"/>
  <c r="BB77" i="22"/>
  <c r="BC77" i="22"/>
  <c r="BD77" i="22"/>
  <c r="BE77" i="22"/>
  <c r="BF77" i="22"/>
  <c r="BG77" i="22"/>
  <c r="BH77" i="22"/>
  <c r="BI77" i="22"/>
  <c r="BJ77" i="22"/>
  <c r="BK77" i="22"/>
  <c r="BL77" i="22"/>
  <c r="BP77" i="22"/>
  <c r="T78" i="22"/>
  <c r="U78" i="22"/>
  <c r="AB78" i="22"/>
  <c r="AG78" i="22"/>
  <c r="AI78" i="22"/>
  <c r="AJ78" i="22"/>
  <c r="AK78" i="22"/>
  <c r="AL78" i="22"/>
  <c r="AM78" i="22"/>
  <c r="AN78" i="22"/>
  <c r="AO78" i="22"/>
  <c r="AP78" i="22"/>
  <c r="AQ78" i="22"/>
  <c r="AR78" i="22"/>
  <c r="AS78" i="22"/>
  <c r="AT78" i="22"/>
  <c r="AU78" i="22"/>
  <c r="AV78" i="22"/>
  <c r="AW78" i="22"/>
  <c r="AX78" i="22"/>
  <c r="AY78" i="22"/>
  <c r="AZ78" i="22"/>
  <c r="BA78" i="22"/>
  <c r="BB78" i="22"/>
  <c r="BC78" i="22"/>
  <c r="BD78" i="22"/>
  <c r="BE78" i="22"/>
  <c r="BF78" i="22"/>
  <c r="BG78" i="22"/>
  <c r="BH78" i="22"/>
  <c r="BI78" i="22"/>
  <c r="BJ78" i="22"/>
  <c r="BK78" i="22"/>
  <c r="BL78" i="22"/>
  <c r="BP78" i="22"/>
  <c r="U2" i="22"/>
  <c r="AG2" i="22"/>
  <c r="AI2" i="22"/>
  <c r="AJ2" i="22"/>
  <c r="AK2" i="22"/>
  <c r="AL2" i="22"/>
  <c r="AM2" i="22"/>
  <c r="AN2" i="22"/>
  <c r="AO2" i="22"/>
  <c r="AP2" i="22"/>
  <c r="AQ2" i="22"/>
  <c r="AR2" i="22"/>
  <c r="AS2" i="22"/>
  <c r="AT2" i="22"/>
  <c r="AU2" i="22"/>
  <c r="AV2" i="22"/>
  <c r="AW2" i="22"/>
  <c r="AX2" i="22"/>
  <c r="AY2" i="22"/>
  <c r="AZ2" i="22"/>
  <c r="BA2" i="22"/>
  <c r="BB2" i="22"/>
  <c r="BC2" i="22"/>
  <c r="BD2" i="22"/>
  <c r="BE2" i="22"/>
  <c r="BF2" i="22"/>
  <c r="BG2" i="22"/>
  <c r="BH2" i="22"/>
  <c r="BI2" i="22"/>
  <c r="BJ2" i="22"/>
  <c r="BK2" i="22"/>
  <c r="BL2" i="22"/>
  <c r="T2" i="22"/>
  <c r="E73" i="22" l="1"/>
  <c r="D73" i="22"/>
  <c r="E61" i="22"/>
  <c r="D61" i="22"/>
  <c r="E25" i="22"/>
  <c r="D25" i="22"/>
  <c r="E8" i="22"/>
  <c r="D8" i="22"/>
  <c r="E78" i="22"/>
  <c r="D78" i="22"/>
  <c r="E72" i="22"/>
  <c r="D72" i="22"/>
  <c r="E66" i="22"/>
  <c r="D66" i="22"/>
  <c r="E60" i="22"/>
  <c r="D60" i="22"/>
  <c r="E54" i="22"/>
  <c r="D54" i="22"/>
  <c r="E48" i="22"/>
  <c r="D48" i="22"/>
  <c r="E42" i="22"/>
  <c r="D42" i="22"/>
  <c r="E36" i="22"/>
  <c r="D36" i="22"/>
  <c r="E30" i="22"/>
  <c r="D30" i="22"/>
  <c r="E24" i="22"/>
  <c r="D24" i="22"/>
  <c r="E18" i="22"/>
  <c r="D18" i="22"/>
  <c r="E12" i="22"/>
  <c r="D12" i="22"/>
  <c r="E49" i="22"/>
  <c r="D49" i="22"/>
  <c r="E43" i="22"/>
  <c r="D43" i="22"/>
  <c r="E31" i="22"/>
  <c r="D31" i="22"/>
  <c r="E74" i="22"/>
  <c r="D74" i="22"/>
  <c r="E68" i="22"/>
  <c r="D68" i="22"/>
  <c r="E62" i="22"/>
  <c r="D62" i="22"/>
  <c r="E56" i="22"/>
  <c r="D56" i="22"/>
  <c r="E50" i="22"/>
  <c r="D50" i="22"/>
  <c r="E44" i="22"/>
  <c r="D44" i="22"/>
  <c r="E38" i="22"/>
  <c r="D38" i="22"/>
  <c r="E32" i="22"/>
  <c r="D32" i="22"/>
  <c r="E26" i="22"/>
  <c r="D26" i="22"/>
  <c r="E20" i="22"/>
  <c r="D20" i="22"/>
  <c r="E14" i="22"/>
  <c r="D14" i="22"/>
  <c r="E67" i="22"/>
  <c r="D67" i="22"/>
  <c r="E37" i="22"/>
  <c r="D37" i="22"/>
  <c r="E13" i="22"/>
  <c r="D13" i="22"/>
  <c r="E75" i="22"/>
  <c r="D75" i="22"/>
  <c r="E69" i="22"/>
  <c r="D69" i="22"/>
  <c r="E63" i="22"/>
  <c r="D63" i="22"/>
  <c r="E57" i="22"/>
  <c r="D57" i="22"/>
  <c r="E51" i="22"/>
  <c r="D51" i="22"/>
  <c r="E45" i="22"/>
  <c r="D45" i="22"/>
  <c r="E39" i="22"/>
  <c r="D39" i="22"/>
  <c r="E33" i="22"/>
  <c r="D33" i="22"/>
  <c r="E27" i="22"/>
  <c r="D27" i="22"/>
  <c r="E21" i="22"/>
  <c r="D21" i="22"/>
  <c r="E15" i="22"/>
  <c r="D15" i="22"/>
  <c r="E9" i="22"/>
  <c r="D9" i="22"/>
  <c r="E55" i="22"/>
  <c r="D55" i="22"/>
  <c r="E76" i="22"/>
  <c r="D76" i="22"/>
  <c r="E70" i="22"/>
  <c r="D70" i="22"/>
  <c r="E64" i="22"/>
  <c r="D64" i="22"/>
  <c r="E58" i="22"/>
  <c r="D58" i="22"/>
  <c r="E52" i="22"/>
  <c r="D52" i="22"/>
  <c r="E46" i="22"/>
  <c r="D46" i="22"/>
  <c r="E40" i="22"/>
  <c r="D40" i="22"/>
  <c r="E34" i="22"/>
  <c r="D34" i="22"/>
  <c r="E28" i="22"/>
  <c r="D28" i="22"/>
  <c r="E22" i="22"/>
  <c r="D22" i="22"/>
  <c r="E16" i="22"/>
  <c r="D16" i="22"/>
  <c r="E10" i="22"/>
  <c r="D10" i="22"/>
  <c r="E19" i="22"/>
  <c r="D19" i="22"/>
  <c r="E77" i="22"/>
  <c r="D77" i="22"/>
  <c r="E71" i="22"/>
  <c r="D71" i="22"/>
  <c r="E65" i="22"/>
  <c r="D65" i="22"/>
  <c r="E59" i="22"/>
  <c r="D59" i="22"/>
  <c r="E53" i="22"/>
  <c r="D53" i="22"/>
  <c r="E47" i="22"/>
  <c r="D47" i="22"/>
  <c r="E41" i="22"/>
  <c r="D41" i="22"/>
  <c r="E35" i="22"/>
  <c r="D35" i="22"/>
  <c r="E29" i="22"/>
  <c r="D29" i="22"/>
  <c r="E23" i="22"/>
  <c r="D23" i="22"/>
  <c r="E17" i="22"/>
  <c r="D17" i="22"/>
  <c r="E11" i="22"/>
  <c r="D11" i="22"/>
  <c r="E7" i="22"/>
  <c r="D7" i="22"/>
  <c r="E2" i="22"/>
  <c r="D2" i="22"/>
  <c r="E3" i="22"/>
  <c r="D3" i="22"/>
  <c r="E6" i="22"/>
  <c r="D6" i="22"/>
  <c r="E5" i="22"/>
  <c r="D5" i="22"/>
  <c r="E4" i="22"/>
  <c r="D4" i="22"/>
  <c r="C73" i="22"/>
  <c r="H73" i="22"/>
  <c r="G73" i="22"/>
  <c r="F73" i="22"/>
  <c r="A73" i="22"/>
  <c r="C67" i="22"/>
  <c r="H67" i="22"/>
  <c r="G67" i="22"/>
  <c r="F67" i="22"/>
  <c r="A67" i="22"/>
  <c r="C55" i="22"/>
  <c r="H55" i="22"/>
  <c r="G55" i="22"/>
  <c r="F55" i="22"/>
  <c r="A55" i="22"/>
  <c r="C19" i="22"/>
  <c r="H19" i="22"/>
  <c r="G19" i="22"/>
  <c r="F19" i="22"/>
  <c r="A19" i="22"/>
  <c r="C77" i="22"/>
  <c r="G77" i="22"/>
  <c r="F77" i="22"/>
  <c r="H77" i="22"/>
  <c r="A77" i="22"/>
  <c r="F78" i="22"/>
  <c r="H78" i="22"/>
  <c r="G78" i="22"/>
  <c r="A78" i="22"/>
  <c r="F72" i="22"/>
  <c r="H72" i="22"/>
  <c r="G72" i="22"/>
  <c r="A72" i="22"/>
  <c r="F66" i="22"/>
  <c r="H66" i="22"/>
  <c r="G66" i="22"/>
  <c r="A66" i="22"/>
  <c r="C60" i="22"/>
  <c r="F60" i="22"/>
  <c r="H60" i="22"/>
  <c r="G60" i="22"/>
  <c r="A60" i="22"/>
  <c r="F54" i="22"/>
  <c r="H54" i="22"/>
  <c r="G54" i="22"/>
  <c r="A54" i="22"/>
  <c r="F48" i="22"/>
  <c r="G48" i="22"/>
  <c r="H48" i="22"/>
  <c r="A48" i="22"/>
  <c r="C42" i="22"/>
  <c r="F42" i="22"/>
  <c r="H42" i="22"/>
  <c r="G42" i="22"/>
  <c r="A42" i="22"/>
  <c r="C36" i="22"/>
  <c r="F36" i="22"/>
  <c r="H36" i="22"/>
  <c r="G36" i="22"/>
  <c r="A36" i="22"/>
  <c r="C30" i="22"/>
  <c r="F30" i="22"/>
  <c r="G30" i="22"/>
  <c r="H30" i="22"/>
  <c r="A30" i="22"/>
  <c r="C24" i="22"/>
  <c r="F24" i="22"/>
  <c r="H24" i="22"/>
  <c r="G24" i="22"/>
  <c r="A24" i="22"/>
  <c r="F18" i="22"/>
  <c r="H18" i="22"/>
  <c r="G18" i="22"/>
  <c r="A18" i="22"/>
  <c r="F12" i="22"/>
  <c r="G12" i="22"/>
  <c r="H12" i="22"/>
  <c r="A12" i="22"/>
  <c r="C61" i="22"/>
  <c r="H61" i="22"/>
  <c r="G61" i="22"/>
  <c r="F61" i="22"/>
  <c r="A61" i="22"/>
  <c r="C43" i="22"/>
  <c r="H43" i="22"/>
  <c r="G43" i="22"/>
  <c r="F43" i="22"/>
  <c r="A43" i="22"/>
  <c r="C13" i="22"/>
  <c r="H13" i="22"/>
  <c r="G13" i="22"/>
  <c r="F13" i="22"/>
  <c r="A13" i="22"/>
  <c r="C8" i="22"/>
  <c r="H8" i="22"/>
  <c r="G8" i="22"/>
  <c r="F8" i="22"/>
  <c r="A8" i="22"/>
  <c r="F5" i="22"/>
  <c r="G5" i="22"/>
  <c r="H5" i="22"/>
  <c r="A5" i="22"/>
  <c r="C68" i="22"/>
  <c r="H68" i="22"/>
  <c r="G68" i="22"/>
  <c r="F68" i="22"/>
  <c r="A68" i="22"/>
  <c r="C62" i="22"/>
  <c r="H62" i="22"/>
  <c r="G62" i="22"/>
  <c r="F62" i="22"/>
  <c r="A62" i="22"/>
  <c r="C56" i="22"/>
  <c r="H56" i="22"/>
  <c r="G56" i="22"/>
  <c r="F56" i="22"/>
  <c r="A56" i="22"/>
  <c r="C50" i="22"/>
  <c r="H50" i="22"/>
  <c r="G50" i="22"/>
  <c r="F50" i="22"/>
  <c r="A50" i="22"/>
  <c r="C44" i="22"/>
  <c r="H44" i="22"/>
  <c r="G44" i="22"/>
  <c r="F44" i="22"/>
  <c r="A44" i="22"/>
  <c r="C38" i="22"/>
  <c r="H38" i="22"/>
  <c r="G38" i="22"/>
  <c r="F38" i="22"/>
  <c r="A38" i="22"/>
  <c r="C32" i="22"/>
  <c r="H32" i="22"/>
  <c r="G32" i="22"/>
  <c r="F32" i="22"/>
  <c r="A32" i="22"/>
  <c r="C26" i="22"/>
  <c r="H26" i="22"/>
  <c r="G26" i="22"/>
  <c r="F26" i="22"/>
  <c r="A26" i="22"/>
  <c r="C20" i="22"/>
  <c r="H20" i="22"/>
  <c r="G20" i="22"/>
  <c r="F20" i="22"/>
  <c r="A20" i="22"/>
  <c r="C14" i="22"/>
  <c r="H14" i="22"/>
  <c r="G14" i="22"/>
  <c r="F14" i="22"/>
  <c r="A14" i="22"/>
  <c r="C75" i="22"/>
  <c r="G75" i="22"/>
  <c r="H75" i="22"/>
  <c r="F75" i="22"/>
  <c r="A75" i="22"/>
  <c r="C69" i="22"/>
  <c r="G69" i="22"/>
  <c r="F69" i="22"/>
  <c r="H69" i="22"/>
  <c r="A69" i="22"/>
  <c r="G63" i="22"/>
  <c r="H63" i="22"/>
  <c r="F63" i="22"/>
  <c r="A63" i="22"/>
  <c r="G57" i="22"/>
  <c r="F57" i="22"/>
  <c r="H57" i="22"/>
  <c r="A57" i="22"/>
  <c r="G51" i="22"/>
  <c r="F51" i="22"/>
  <c r="H51" i="22"/>
  <c r="A51" i="22"/>
  <c r="C45" i="22"/>
  <c r="G45" i="22"/>
  <c r="F45" i="22"/>
  <c r="H45" i="22"/>
  <c r="A45" i="22"/>
  <c r="G39" i="22"/>
  <c r="F39" i="22"/>
  <c r="H39" i="22"/>
  <c r="A39" i="22"/>
  <c r="C33" i="22"/>
  <c r="G33" i="22"/>
  <c r="F33" i="22"/>
  <c r="H33" i="22"/>
  <c r="A33" i="22"/>
  <c r="G27" i="22"/>
  <c r="H27" i="22"/>
  <c r="F27" i="22"/>
  <c r="A27" i="22"/>
  <c r="C21" i="22"/>
  <c r="G21" i="22"/>
  <c r="F21" i="22"/>
  <c r="H21" i="22"/>
  <c r="A21" i="22"/>
  <c r="C15" i="22"/>
  <c r="G15" i="22"/>
  <c r="F15" i="22"/>
  <c r="H15" i="22"/>
  <c r="A15" i="22"/>
  <c r="G9" i="22"/>
  <c r="F9" i="22"/>
  <c r="H9" i="22"/>
  <c r="A9" i="22"/>
  <c r="F6" i="22"/>
  <c r="H6" i="22"/>
  <c r="G6" i="22"/>
  <c r="A6" i="22"/>
  <c r="G3" i="22"/>
  <c r="F3" i="22"/>
  <c r="H3" i="22"/>
  <c r="A3" i="22"/>
  <c r="C49" i="22"/>
  <c r="H49" i="22"/>
  <c r="G49" i="22"/>
  <c r="F49" i="22"/>
  <c r="A49" i="22"/>
  <c r="C37" i="22"/>
  <c r="H37" i="22"/>
  <c r="G37" i="22"/>
  <c r="F37" i="22"/>
  <c r="A37" i="22"/>
  <c r="C31" i="22"/>
  <c r="H31" i="22"/>
  <c r="G31" i="22"/>
  <c r="F31" i="22"/>
  <c r="A31" i="22"/>
  <c r="C25" i="22"/>
  <c r="H25" i="22"/>
  <c r="G25" i="22"/>
  <c r="F25" i="22"/>
  <c r="A25" i="22"/>
  <c r="C74" i="22"/>
  <c r="H74" i="22"/>
  <c r="G74" i="22"/>
  <c r="F74" i="22"/>
  <c r="A74" i="22"/>
  <c r="C76" i="22"/>
  <c r="F76" i="22"/>
  <c r="H76" i="22"/>
  <c r="G76" i="22"/>
  <c r="A76" i="22"/>
  <c r="C70" i="22"/>
  <c r="G70" i="22"/>
  <c r="F70" i="22"/>
  <c r="H70" i="22"/>
  <c r="A70" i="22"/>
  <c r="C64" i="22"/>
  <c r="F64" i="22"/>
  <c r="H64" i="22"/>
  <c r="G64" i="22"/>
  <c r="A64" i="22"/>
  <c r="C58" i="22"/>
  <c r="G58" i="22"/>
  <c r="H58" i="22"/>
  <c r="F58" i="22"/>
  <c r="A58" i="22"/>
  <c r="C52" i="22"/>
  <c r="F52" i="22"/>
  <c r="G52" i="22"/>
  <c r="H52" i="22"/>
  <c r="A52" i="22"/>
  <c r="C46" i="22"/>
  <c r="F46" i="22"/>
  <c r="H46" i="22"/>
  <c r="G46" i="22"/>
  <c r="A46" i="22"/>
  <c r="C40" i="22"/>
  <c r="F40" i="22"/>
  <c r="G40" i="22"/>
  <c r="H40" i="22"/>
  <c r="A40" i="22"/>
  <c r="C34" i="22"/>
  <c r="F34" i="22"/>
  <c r="H34" i="22"/>
  <c r="G34" i="22"/>
  <c r="A34" i="22"/>
  <c r="C28" i="22"/>
  <c r="F28" i="22"/>
  <c r="G28" i="22"/>
  <c r="H28" i="22"/>
  <c r="A28" i="22"/>
  <c r="C22" i="22"/>
  <c r="F22" i="22"/>
  <c r="G22" i="22"/>
  <c r="H22" i="22"/>
  <c r="A22" i="22"/>
  <c r="C16" i="22"/>
  <c r="F16" i="22"/>
  <c r="G16" i="22"/>
  <c r="H16" i="22"/>
  <c r="A16" i="22"/>
  <c r="C10" i="22"/>
  <c r="F10" i="22"/>
  <c r="G10" i="22"/>
  <c r="H10" i="22"/>
  <c r="A10" i="22"/>
  <c r="H2" i="22"/>
  <c r="G2" i="22"/>
  <c r="F2" i="22"/>
  <c r="A2" i="22"/>
  <c r="C71" i="22"/>
  <c r="F71" i="22"/>
  <c r="G71" i="22"/>
  <c r="H71" i="22"/>
  <c r="A71" i="22"/>
  <c r="C65" i="22"/>
  <c r="G65" i="22"/>
  <c r="F65" i="22"/>
  <c r="H65" i="22"/>
  <c r="A65" i="22"/>
  <c r="C59" i="22"/>
  <c r="F59" i="22"/>
  <c r="H59" i="22"/>
  <c r="G59" i="22"/>
  <c r="A59" i="22"/>
  <c r="C53" i="22"/>
  <c r="G53" i="22"/>
  <c r="F53" i="22"/>
  <c r="H53" i="22"/>
  <c r="A53" i="22"/>
  <c r="C47" i="22"/>
  <c r="F47" i="22"/>
  <c r="H47" i="22"/>
  <c r="G47" i="22"/>
  <c r="A47" i="22"/>
  <c r="C41" i="22"/>
  <c r="G41" i="22"/>
  <c r="F41" i="22"/>
  <c r="H41" i="22"/>
  <c r="A41" i="22"/>
  <c r="C35" i="22"/>
  <c r="F35" i="22"/>
  <c r="G35" i="22"/>
  <c r="H35" i="22"/>
  <c r="A35" i="22"/>
  <c r="C29" i="22"/>
  <c r="G29" i="22"/>
  <c r="H29" i="22"/>
  <c r="F29" i="22"/>
  <c r="A29" i="22"/>
  <c r="C23" i="22"/>
  <c r="F23" i="22"/>
  <c r="G23" i="22"/>
  <c r="H23" i="22"/>
  <c r="A23" i="22"/>
  <c r="C17" i="22"/>
  <c r="G17" i="22"/>
  <c r="F17" i="22"/>
  <c r="H17" i="22"/>
  <c r="A17" i="22"/>
  <c r="C11" i="22"/>
  <c r="G11" i="22"/>
  <c r="H11" i="22"/>
  <c r="F11" i="22"/>
  <c r="A11" i="22"/>
  <c r="C7" i="22"/>
  <c r="H7" i="22"/>
  <c r="G7" i="22"/>
  <c r="F7" i="22"/>
  <c r="A7" i="22"/>
  <c r="F4" i="22"/>
  <c r="H4" i="22"/>
  <c r="G4" i="22"/>
  <c r="A4" i="22"/>
  <c r="B78" i="22"/>
  <c r="C78" i="22"/>
  <c r="K72" i="22"/>
  <c r="C72" i="22"/>
  <c r="B66" i="22"/>
  <c r="C66" i="22"/>
  <c r="K54" i="22"/>
  <c r="C54" i="22"/>
  <c r="J48" i="22"/>
  <c r="C48" i="22"/>
  <c r="C18" i="22"/>
  <c r="B12" i="22"/>
  <c r="C12" i="22"/>
  <c r="I63" i="22"/>
  <c r="C63" i="22"/>
  <c r="J57" i="22"/>
  <c r="C57" i="22"/>
  <c r="B51" i="22"/>
  <c r="C51" i="22"/>
  <c r="J39" i="22"/>
  <c r="C39" i="22"/>
  <c r="I27" i="22"/>
  <c r="C27" i="22"/>
  <c r="I9" i="22"/>
  <c r="C9" i="22"/>
  <c r="R52" i="22"/>
  <c r="S52" i="22"/>
  <c r="Q52" i="22"/>
  <c r="P52" i="22"/>
  <c r="Q43" i="22"/>
  <c r="P43" i="22"/>
  <c r="S43" i="22"/>
  <c r="R43" i="22"/>
  <c r="Q37" i="22"/>
  <c r="P37" i="22"/>
  <c r="R37" i="22"/>
  <c r="S37" i="22"/>
  <c r="R19" i="22"/>
  <c r="P19" i="22"/>
  <c r="S19" i="22"/>
  <c r="Q19" i="22"/>
  <c r="S78" i="22"/>
  <c r="P78" i="22"/>
  <c r="R78" i="22"/>
  <c r="Q78" i="22"/>
  <c r="Q69" i="22"/>
  <c r="S69" i="22"/>
  <c r="P69" i="22"/>
  <c r="R69" i="22"/>
  <c r="S77" i="22"/>
  <c r="R77" i="22"/>
  <c r="Q77" i="22"/>
  <c r="P77" i="22"/>
  <c r="S74" i="22"/>
  <c r="Q74" i="22"/>
  <c r="R74" i="22"/>
  <c r="P74" i="22"/>
  <c r="R71" i="22"/>
  <c r="P71" i="22"/>
  <c r="S71" i="22"/>
  <c r="Q71" i="22"/>
  <c r="S68" i="22"/>
  <c r="Q68" i="22"/>
  <c r="R68" i="22"/>
  <c r="P68" i="22"/>
  <c r="R65" i="22"/>
  <c r="P65" i="22"/>
  <c r="S65" i="22"/>
  <c r="Q65" i="22"/>
  <c r="Q62" i="22"/>
  <c r="S62" i="22"/>
  <c r="R62" i="22"/>
  <c r="P62" i="22"/>
  <c r="P59" i="22"/>
  <c r="R59" i="22"/>
  <c r="S59" i="22"/>
  <c r="Q59" i="22"/>
  <c r="S56" i="22"/>
  <c r="Q56" i="22"/>
  <c r="P56" i="22"/>
  <c r="R56" i="22"/>
  <c r="P53" i="22"/>
  <c r="S53" i="22"/>
  <c r="Q53" i="22"/>
  <c r="R53" i="22"/>
  <c r="R50" i="22"/>
  <c r="P50" i="22"/>
  <c r="Q50" i="22"/>
  <c r="S50" i="22"/>
  <c r="R47" i="22"/>
  <c r="P47" i="22"/>
  <c r="S47" i="22"/>
  <c r="Q47" i="22"/>
  <c r="R44" i="22"/>
  <c r="P44" i="22"/>
  <c r="S44" i="22"/>
  <c r="Q44" i="22"/>
  <c r="Q41" i="22"/>
  <c r="R41" i="22"/>
  <c r="P41" i="22"/>
  <c r="S41" i="22"/>
  <c r="S38" i="22"/>
  <c r="Q38" i="22"/>
  <c r="R38" i="22"/>
  <c r="P38" i="22"/>
  <c r="R35" i="22"/>
  <c r="S35" i="22"/>
  <c r="Q35" i="22"/>
  <c r="P35" i="22"/>
  <c r="Q32" i="22"/>
  <c r="R32" i="22"/>
  <c r="P32" i="22"/>
  <c r="S32" i="22"/>
  <c r="S29" i="22"/>
  <c r="Q29" i="22"/>
  <c r="R29" i="22"/>
  <c r="P29" i="22"/>
  <c r="S26" i="22"/>
  <c r="Q26" i="22"/>
  <c r="R26" i="22"/>
  <c r="P26" i="22"/>
  <c r="R23" i="22"/>
  <c r="P23" i="22"/>
  <c r="S23" i="22"/>
  <c r="Q23" i="22"/>
  <c r="Q20" i="22"/>
  <c r="S20" i="22"/>
  <c r="P20" i="22"/>
  <c r="R20" i="22"/>
  <c r="P17" i="22"/>
  <c r="S17" i="22"/>
  <c r="Q17" i="22"/>
  <c r="R17" i="22"/>
  <c r="R14" i="22"/>
  <c r="P14" i="22"/>
  <c r="Q14" i="22"/>
  <c r="S14" i="22"/>
  <c r="P11" i="22"/>
  <c r="S11" i="22"/>
  <c r="R11" i="22"/>
  <c r="Q11" i="22"/>
  <c r="P5" i="22"/>
  <c r="Q5" i="22"/>
  <c r="S5" i="22"/>
  <c r="R5" i="22"/>
  <c r="Q6" i="22"/>
  <c r="P6" i="22"/>
  <c r="S6" i="22"/>
  <c r="R6" i="22"/>
  <c r="P76" i="22"/>
  <c r="Q76" i="22"/>
  <c r="R76" i="22"/>
  <c r="S76" i="22"/>
  <c r="Q73" i="22"/>
  <c r="R73" i="22"/>
  <c r="S73" i="22"/>
  <c r="P73" i="22"/>
  <c r="P61" i="22"/>
  <c r="S61" i="22"/>
  <c r="R61" i="22"/>
  <c r="Q61" i="22"/>
  <c r="R58" i="22"/>
  <c r="S58" i="22"/>
  <c r="Q58" i="22"/>
  <c r="P58" i="22"/>
  <c r="S10" i="22"/>
  <c r="Q10" i="22"/>
  <c r="P10" i="22"/>
  <c r="R10" i="22"/>
  <c r="Q8" i="22"/>
  <c r="R8" i="22"/>
  <c r="S8" i="22"/>
  <c r="P8" i="22"/>
  <c r="P70" i="22"/>
  <c r="Q70" i="22"/>
  <c r="R70" i="22"/>
  <c r="S70" i="22"/>
  <c r="P67" i="22"/>
  <c r="R67" i="22"/>
  <c r="S67" i="22"/>
  <c r="Q67" i="22"/>
  <c r="Q64" i="22"/>
  <c r="R64" i="22"/>
  <c r="S64" i="22"/>
  <c r="P64" i="22"/>
  <c r="R55" i="22"/>
  <c r="P55" i="22"/>
  <c r="S55" i="22"/>
  <c r="Q55" i="22"/>
  <c r="Q28" i="22"/>
  <c r="R28" i="22"/>
  <c r="P28" i="22"/>
  <c r="S28" i="22"/>
  <c r="R22" i="22"/>
  <c r="S22" i="22"/>
  <c r="Q22" i="22"/>
  <c r="P22" i="22"/>
  <c r="S72" i="22"/>
  <c r="R72" i="22"/>
  <c r="P72" i="22"/>
  <c r="Q72" i="22"/>
  <c r="R66" i="22"/>
  <c r="S66" i="22"/>
  <c r="P66" i="22"/>
  <c r="Q66" i="22"/>
  <c r="S63" i="22"/>
  <c r="R63" i="22"/>
  <c r="Q63" i="22"/>
  <c r="P63" i="22"/>
  <c r="R60" i="22"/>
  <c r="Q60" i="22"/>
  <c r="P60" i="22"/>
  <c r="S60" i="22"/>
  <c r="S57" i="22"/>
  <c r="R57" i="22"/>
  <c r="P57" i="22"/>
  <c r="Q57" i="22"/>
  <c r="P54" i="22"/>
  <c r="Q54" i="22"/>
  <c r="S54" i="22"/>
  <c r="R54" i="22"/>
  <c r="S51" i="22"/>
  <c r="R51" i="22"/>
  <c r="P51" i="22"/>
  <c r="Q51" i="22"/>
  <c r="S48" i="22"/>
  <c r="Q48" i="22"/>
  <c r="R48" i="22"/>
  <c r="P48" i="22"/>
  <c r="R45" i="22"/>
  <c r="P45" i="22"/>
  <c r="Q45" i="22"/>
  <c r="S45" i="22"/>
  <c r="S42" i="22"/>
  <c r="R42" i="22"/>
  <c r="Q42" i="22"/>
  <c r="P42" i="22"/>
  <c r="Q39" i="22"/>
  <c r="R39" i="22"/>
  <c r="S39" i="22"/>
  <c r="P39" i="22"/>
  <c r="R36" i="22"/>
  <c r="P36" i="22"/>
  <c r="Q36" i="22"/>
  <c r="S36" i="22"/>
  <c r="S33" i="22"/>
  <c r="Q33" i="22"/>
  <c r="R33" i="22"/>
  <c r="P33" i="22"/>
  <c r="R30" i="22"/>
  <c r="P30" i="22"/>
  <c r="S30" i="22"/>
  <c r="Q30" i="22"/>
  <c r="S27" i="22"/>
  <c r="Q27" i="22"/>
  <c r="P27" i="22"/>
  <c r="R27" i="22"/>
  <c r="R24" i="22"/>
  <c r="P24" i="22"/>
  <c r="S24" i="22"/>
  <c r="Q24" i="22"/>
  <c r="P21" i="22"/>
  <c r="S21" i="22"/>
  <c r="Q21" i="22"/>
  <c r="R21" i="22"/>
  <c r="Q18" i="22"/>
  <c r="S18" i="22"/>
  <c r="R18" i="22"/>
  <c r="P18" i="22"/>
  <c r="S15" i="22"/>
  <c r="R15" i="22"/>
  <c r="P15" i="22"/>
  <c r="Q15" i="22"/>
  <c r="S12" i="22"/>
  <c r="Q12" i="22"/>
  <c r="P12" i="22"/>
  <c r="R12" i="22"/>
  <c r="R9" i="22"/>
  <c r="P9" i="22"/>
  <c r="Q9" i="22"/>
  <c r="S9" i="22"/>
  <c r="P3" i="22"/>
  <c r="S3" i="22"/>
  <c r="R3" i="22"/>
  <c r="Q3" i="22"/>
  <c r="Q49" i="22"/>
  <c r="P49" i="22"/>
  <c r="S49" i="22"/>
  <c r="R49" i="22"/>
  <c r="R46" i="22"/>
  <c r="S46" i="22"/>
  <c r="Q46" i="22"/>
  <c r="P46" i="22"/>
  <c r="P40" i="22"/>
  <c r="R40" i="22"/>
  <c r="S40" i="22"/>
  <c r="Q40" i="22"/>
  <c r="P34" i="22"/>
  <c r="Q34" i="22"/>
  <c r="R34" i="22"/>
  <c r="S34" i="22"/>
  <c r="S31" i="22"/>
  <c r="R31" i="22"/>
  <c r="Q31" i="22"/>
  <c r="P31" i="22"/>
  <c r="P25" i="22"/>
  <c r="S25" i="22"/>
  <c r="R25" i="22"/>
  <c r="Q25" i="22"/>
  <c r="R16" i="22"/>
  <c r="S16" i="22"/>
  <c r="Q16" i="22"/>
  <c r="P16" i="22"/>
  <c r="S13" i="22"/>
  <c r="R13" i="22"/>
  <c r="Q13" i="22"/>
  <c r="P13" i="22"/>
  <c r="P7" i="22"/>
  <c r="Q7" i="22"/>
  <c r="S7" i="22"/>
  <c r="R7" i="22"/>
  <c r="P75" i="22"/>
  <c r="R75" i="22"/>
  <c r="S75" i="22"/>
  <c r="Q75" i="22"/>
  <c r="Q2" i="22"/>
  <c r="R2" i="22"/>
  <c r="P2" i="22"/>
  <c r="S2" i="22"/>
  <c r="R4" i="22"/>
  <c r="P4" i="22"/>
  <c r="S4" i="22"/>
  <c r="Q4" i="22"/>
  <c r="J12" i="22"/>
  <c r="J66" i="22"/>
  <c r="B21" i="22"/>
  <c r="B65" i="22"/>
  <c r="M65" i="22"/>
  <c r="L65" i="22"/>
  <c r="B59" i="22"/>
  <c r="L59" i="22"/>
  <c r="M59" i="22"/>
  <c r="M50" i="22"/>
  <c r="L50" i="22"/>
  <c r="J38" i="22"/>
  <c r="M38" i="22"/>
  <c r="L38" i="22"/>
  <c r="M32" i="22"/>
  <c r="L32" i="22"/>
  <c r="M26" i="22"/>
  <c r="L26" i="22"/>
  <c r="L23" i="22"/>
  <c r="M23" i="22"/>
  <c r="L76" i="22"/>
  <c r="M76" i="22"/>
  <c r="L73" i="22"/>
  <c r="M73" i="22"/>
  <c r="M70" i="22"/>
  <c r="L70" i="22"/>
  <c r="J67" i="22"/>
  <c r="M67" i="22"/>
  <c r="L67" i="22"/>
  <c r="L64" i="22"/>
  <c r="M64" i="22"/>
  <c r="L61" i="22"/>
  <c r="M61" i="22"/>
  <c r="L58" i="22"/>
  <c r="M58" i="22"/>
  <c r="L55" i="22"/>
  <c r="M55" i="22"/>
  <c r="I52" i="22"/>
  <c r="M52" i="22"/>
  <c r="L52" i="22"/>
  <c r="L49" i="22"/>
  <c r="M49" i="22"/>
  <c r="L46" i="22"/>
  <c r="M46" i="22"/>
  <c r="B43" i="22"/>
  <c r="L43" i="22"/>
  <c r="M43" i="22"/>
  <c r="L40" i="22"/>
  <c r="M40" i="22"/>
  <c r="B37" i="22"/>
  <c r="L37" i="22"/>
  <c r="M37" i="22"/>
  <c r="M34" i="22"/>
  <c r="L34" i="22"/>
  <c r="J31" i="22"/>
  <c r="M31" i="22"/>
  <c r="L31" i="22"/>
  <c r="M28" i="22"/>
  <c r="L28" i="22"/>
  <c r="L25" i="22"/>
  <c r="M25" i="22"/>
  <c r="L22" i="22"/>
  <c r="M22" i="22"/>
  <c r="L19" i="22"/>
  <c r="M19" i="22"/>
  <c r="L16" i="22"/>
  <c r="M16" i="22"/>
  <c r="J13" i="22"/>
  <c r="L13" i="22"/>
  <c r="M13" i="22"/>
  <c r="B7" i="22"/>
  <c r="B15" i="22"/>
  <c r="L71" i="22"/>
  <c r="M71" i="22"/>
  <c r="M68" i="22"/>
  <c r="L68" i="22"/>
  <c r="J56" i="22"/>
  <c r="M56" i="22"/>
  <c r="L56" i="22"/>
  <c r="K44" i="22"/>
  <c r="M44" i="22"/>
  <c r="L44" i="22"/>
  <c r="M35" i="22"/>
  <c r="L35" i="22"/>
  <c r="L29" i="22"/>
  <c r="M29" i="22"/>
  <c r="L17" i="22"/>
  <c r="M17" i="22"/>
  <c r="B57" i="22"/>
  <c r="K8" i="22"/>
  <c r="B44" i="22"/>
  <c r="I8" i="22"/>
  <c r="B77" i="22"/>
  <c r="L77" i="22"/>
  <c r="M77" i="22"/>
  <c r="M74" i="22"/>
  <c r="L74" i="22"/>
  <c r="I62" i="22"/>
  <c r="M62" i="22"/>
  <c r="L62" i="22"/>
  <c r="I53" i="22"/>
  <c r="L53" i="22"/>
  <c r="M53" i="22"/>
  <c r="M47" i="22"/>
  <c r="L47" i="22"/>
  <c r="B23" i="22"/>
  <c r="I44" i="22"/>
  <c r="L72" i="22"/>
  <c r="M72" i="22"/>
  <c r="L69" i="22"/>
  <c r="M69" i="22"/>
  <c r="L57" i="22"/>
  <c r="M57" i="22"/>
  <c r="L54" i="22"/>
  <c r="M54" i="22"/>
  <c r="L51" i="22"/>
  <c r="M51" i="22"/>
  <c r="B45" i="22"/>
  <c r="L45" i="22"/>
  <c r="M45" i="22"/>
  <c r="J42" i="22"/>
  <c r="L42" i="22"/>
  <c r="M42" i="22"/>
  <c r="L39" i="22"/>
  <c r="M39" i="22"/>
  <c r="L36" i="22"/>
  <c r="M36" i="22"/>
  <c r="L33" i="22"/>
  <c r="M33" i="22"/>
  <c r="L30" i="22"/>
  <c r="M30" i="22"/>
  <c r="L27" i="22"/>
  <c r="M27" i="22"/>
  <c r="J24" i="22"/>
  <c r="M24" i="22"/>
  <c r="L24" i="22"/>
  <c r="L21" i="22"/>
  <c r="M21" i="22"/>
  <c r="L18" i="22"/>
  <c r="M18" i="22"/>
  <c r="L15" i="22"/>
  <c r="M15" i="22"/>
  <c r="B36" i="22"/>
  <c r="B3" i="22"/>
  <c r="I3" i="22"/>
  <c r="J30" i="22"/>
  <c r="K36" i="22"/>
  <c r="M41" i="22"/>
  <c r="L41" i="22"/>
  <c r="M20" i="22"/>
  <c r="L20" i="22"/>
  <c r="B14" i="22"/>
  <c r="M14" i="22"/>
  <c r="L14" i="22"/>
  <c r="J78" i="22"/>
  <c r="M78" i="22"/>
  <c r="L78" i="22"/>
  <c r="M75" i="22"/>
  <c r="L75" i="22"/>
  <c r="M66" i="22"/>
  <c r="L66" i="22"/>
  <c r="L63" i="22"/>
  <c r="M63" i="22"/>
  <c r="J60" i="22"/>
  <c r="L60" i="22"/>
  <c r="M60" i="22"/>
  <c r="M48" i="22"/>
  <c r="L48" i="22"/>
  <c r="I4" i="22"/>
  <c r="B72" i="22"/>
  <c r="B30" i="22"/>
  <c r="I45" i="22"/>
  <c r="J75" i="22"/>
  <c r="J21" i="22"/>
  <c r="K18" i="22"/>
  <c r="B8" i="22"/>
  <c r="K76" i="22"/>
  <c r="J76" i="22"/>
  <c r="I76" i="22"/>
  <c r="B76" i="22"/>
  <c r="K46" i="22"/>
  <c r="B46" i="22"/>
  <c r="J46" i="22"/>
  <c r="I46" i="22"/>
  <c r="K28" i="22"/>
  <c r="B28" i="22"/>
  <c r="J28" i="22"/>
  <c r="I28" i="22"/>
  <c r="I25" i="22"/>
  <c r="J25" i="22"/>
  <c r="B25" i="22"/>
  <c r="K25" i="22"/>
  <c r="K16" i="22"/>
  <c r="B16" i="22"/>
  <c r="J16" i="22"/>
  <c r="K10" i="22"/>
  <c r="B10" i="22"/>
  <c r="J10" i="22"/>
  <c r="I10" i="22"/>
  <c r="K62" i="22"/>
  <c r="I35" i="22"/>
  <c r="I61" i="22"/>
  <c r="J61" i="22"/>
  <c r="B61" i="22"/>
  <c r="K61" i="22"/>
  <c r="I55" i="22"/>
  <c r="B55" i="22"/>
  <c r="J55" i="22"/>
  <c r="K55" i="22"/>
  <c r="K34" i="22"/>
  <c r="B34" i="22"/>
  <c r="J34" i="22"/>
  <c r="K22" i="22"/>
  <c r="B22" i="22"/>
  <c r="J22" i="22"/>
  <c r="I22" i="22"/>
  <c r="I34" i="22"/>
  <c r="K70" i="22"/>
  <c r="J70" i="22"/>
  <c r="B70" i="22"/>
  <c r="I67" i="22"/>
  <c r="K67" i="22"/>
  <c r="B67" i="22"/>
  <c r="K64" i="22"/>
  <c r="B64" i="22"/>
  <c r="J64" i="22"/>
  <c r="I64" i="22"/>
  <c r="I49" i="22"/>
  <c r="K49" i="22"/>
  <c r="B49" i="22"/>
  <c r="I43" i="22"/>
  <c r="J43" i="22"/>
  <c r="K43" i="22"/>
  <c r="K40" i="22"/>
  <c r="B40" i="22"/>
  <c r="J40" i="22"/>
  <c r="I40" i="22"/>
  <c r="I37" i="22"/>
  <c r="J37" i="22"/>
  <c r="K37" i="22"/>
  <c r="I31" i="22"/>
  <c r="K31" i="22"/>
  <c r="B31" i="22"/>
  <c r="I19" i="22"/>
  <c r="B19" i="22"/>
  <c r="J19" i="22"/>
  <c r="K19" i="22"/>
  <c r="I13" i="22"/>
  <c r="K13" i="22"/>
  <c r="B13" i="22"/>
  <c r="I7" i="22"/>
  <c r="J7" i="22"/>
  <c r="K7" i="22"/>
  <c r="I70" i="22"/>
  <c r="I16" i="22"/>
  <c r="I2" i="22"/>
  <c r="J2" i="22"/>
  <c r="B2" i="22"/>
  <c r="K2" i="22"/>
  <c r="I73" i="22"/>
  <c r="J73" i="22"/>
  <c r="K73" i="22"/>
  <c r="B73" i="22"/>
  <c r="K74" i="22"/>
  <c r="B74" i="22"/>
  <c r="I74" i="22"/>
  <c r="J71" i="22"/>
  <c r="J65" i="22"/>
  <c r="I65" i="22"/>
  <c r="K65" i="22"/>
  <c r="J62" i="22"/>
  <c r="B62" i="22"/>
  <c r="J59" i="22"/>
  <c r="K59" i="22"/>
  <c r="I59" i="22"/>
  <c r="J53" i="22"/>
  <c r="K53" i="22"/>
  <c r="B53" i="22"/>
  <c r="I50" i="22"/>
  <c r="K50" i="22"/>
  <c r="J50" i="22"/>
  <c r="J41" i="22"/>
  <c r="K41" i="22"/>
  <c r="B41" i="22"/>
  <c r="I41" i="22"/>
  <c r="J29" i="22"/>
  <c r="I29" i="22"/>
  <c r="K29" i="22"/>
  <c r="J26" i="22"/>
  <c r="B26" i="22"/>
  <c r="J23" i="22"/>
  <c r="K23" i="22"/>
  <c r="I23" i="22"/>
  <c r="K20" i="22"/>
  <c r="B20" i="22"/>
  <c r="I20" i="22"/>
  <c r="J17" i="22"/>
  <c r="K17" i="22"/>
  <c r="B17" i="22"/>
  <c r="I14" i="22"/>
  <c r="K14" i="22"/>
  <c r="J14" i="22"/>
  <c r="J11" i="22"/>
  <c r="I11" i="22"/>
  <c r="B11" i="22"/>
  <c r="K11" i="22"/>
  <c r="I26" i="22"/>
  <c r="J49" i="22"/>
  <c r="K26" i="22"/>
  <c r="K58" i="22"/>
  <c r="B58" i="22"/>
  <c r="J58" i="22"/>
  <c r="I58" i="22"/>
  <c r="K52" i="22"/>
  <c r="B52" i="22"/>
  <c r="J52" i="22"/>
  <c r="J77" i="22"/>
  <c r="K77" i="22"/>
  <c r="I77" i="22"/>
  <c r="B68" i="22"/>
  <c r="I68" i="22"/>
  <c r="K68" i="22"/>
  <c r="J68" i="22"/>
  <c r="K56" i="22"/>
  <c r="B56" i="22"/>
  <c r="I56" i="22"/>
  <c r="J47" i="22"/>
  <c r="I47" i="22"/>
  <c r="B47" i="22"/>
  <c r="K47" i="22"/>
  <c r="J44" i="22"/>
  <c r="K38" i="22"/>
  <c r="I38" i="22"/>
  <c r="B38" i="22"/>
  <c r="J35" i="22"/>
  <c r="B35" i="22"/>
  <c r="K35" i="22"/>
  <c r="B32" i="22"/>
  <c r="I32" i="22"/>
  <c r="K32" i="22"/>
  <c r="J32" i="22"/>
  <c r="B71" i="22"/>
  <c r="B50" i="22"/>
  <c r="B29" i="22"/>
  <c r="I71" i="22"/>
  <c r="I17" i="22"/>
  <c r="J74" i="22"/>
  <c r="J20" i="22"/>
  <c r="K71" i="22"/>
  <c r="I6" i="22"/>
  <c r="B60" i="22"/>
  <c r="B24" i="22"/>
  <c r="B9" i="22"/>
  <c r="J6" i="22"/>
  <c r="I78" i="22"/>
  <c r="K75" i="22"/>
  <c r="I72" i="22"/>
  <c r="K69" i="22"/>
  <c r="I66" i="22"/>
  <c r="K63" i="22"/>
  <c r="I60" i="22"/>
  <c r="K57" i="22"/>
  <c r="I54" i="22"/>
  <c r="K51" i="22"/>
  <c r="I48" i="22"/>
  <c r="K45" i="22"/>
  <c r="I42" i="22"/>
  <c r="K39" i="22"/>
  <c r="I36" i="22"/>
  <c r="K33" i="22"/>
  <c r="I30" i="22"/>
  <c r="K27" i="22"/>
  <c r="I24" i="22"/>
  <c r="K21" i="22"/>
  <c r="I18" i="22"/>
  <c r="K15" i="22"/>
  <c r="I12" i="22"/>
  <c r="K9" i="22"/>
  <c r="K3" i="22"/>
  <c r="J3" i="22"/>
  <c r="B63" i="22"/>
  <c r="B42" i="22"/>
  <c r="B27" i="22"/>
  <c r="B4" i="22"/>
  <c r="I69" i="22"/>
  <c r="I51" i="22"/>
  <c r="I33" i="22"/>
  <c r="I15" i="22"/>
  <c r="J63" i="22"/>
  <c r="J45" i="22"/>
  <c r="J27" i="22"/>
  <c r="J9" i="22"/>
  <c r="K78" i="22"/>
  <c r="K60" i="22"/>
  <c r="K42" i="22"/>
  <c r="K24" i="22"/>
  <c r="K6" i="22"/>
  <c r="J4" i="22"/>
  <c r="B75" i="22"/>
  <c r="B69" i="22"/>
  <c r="B48" i="22"/>
  <c r="B33" i="22"/>
  <c r="J72" i="22"/>
  <c r="J54" i="22"/>
  <c r="J36" i="22"/>
  <c r="J18" i="22"/>
  <c r="J8" i="22"/>
  <c r="K4" i="22"/>
  <c r="B54" i="22"/>
  <c r="B39" i="22"/>
  <c r="B18" i="22"/>
  <c r="I75" i="22"/>
  <c r="I57" i="22"/>
  <c r="I39" i="22"/>
  <c r="I21" i="22"/>
  <c r="J69" i="22"/>
  <c r="J51" i="22"/>
  <c r="J33" i="22"/>
  <c r="J15" i="22"/>
  <c r="K66" i="22"/>
  <c r="K48" i="22"/>
  <c r="K30" i="22"/>
  <c r="K12" i="22"/>
  <c r="B5" i="22"/>
  <c r="B6" i="22"/>
  <c r="J5" i="22"/>
  <c r="I5" i="22"/>
  <c r="K5" i="22"/>
  <c r="C6" i="22" l="1"/>
  <c r="C5" i="22"/>
  <c r="C4" i="22"/>
  <c r="BY9" i="22"/>
  <c r="BY10" i="22"/>
  <c r="BY11" i="22"/>
  <c r="BW12" i="22"/>
  <c r="BY12" i="22"/>
  <c r="BW13" i="22"/>
  <c r="BY13" i="22"/>
  <c r="BW14" i="22"/>
  <c r="BY14" i="22"/>
  <c r="BW15" i="22"/>
  <c r="BY15" i="22"/>
  <c r="BW16" i="22"/>
  <c r="BY16" i="22"/>
  <c r="BW17" i="22"/>
  <c r="BY17" i="22"/>
  <c r="BW18" i="22"/>
  <c r="BY18" i="22"/>
  <c r="BW19" i="22"/>
  <c r="BY19" i="22"/>
  <c r="BW20" i="22"/>
  <c r="BY20" i="22"/>
  <c r="BW21" i="22"/>
  <c r="BY21" i="22"/>
  <c r="BW22" i="22"/>
  <c r="BY22" i="22"/>
  <c r="BW23" i="22"/>
  <c r="BY23" i="22"/>
  <c r="BW24" i="22"/>
  <c r="BY24" i="22"/>
  <c r="BW25" i="22"/>
  <c r="BY25" i="22"/>
  <c r="BW26" i="22"/>
  <c r="BY26" i="22"/>
  <c r="BW27" i="22"/>
  <c r="BY27" i="22"/>
  <c r="BW28" i="22"/>
  <c r="BY28" i="22"/>
  <c r="BW29" i="22"/>
  <c r="BY29" i="22"/>
  <c r="BW30" i="22"/>
  <c r="BY30" i="22"/>
  <c r="BW31" i="22"/>
  <c r="BY31" i="22"/>
  <c r="BW32" i="22"/>
  <c r="BY32" i="22"/>
  <c r="BW33" i="22"/>
  <c r="BY33" i="22"/>
  <c r="BW34" i="22"/>
  <c r="BY34" i="22"/>
  <c r="BW35" i="22"/>
  <c r="BY35" i="22"/>
  <c r="BW36" i="22"/>
  <c r="BY36" i="22"/>
  <c r="BW37" i="22"/>
  <c r="BY37" i="22"/>
  <c r="BW38" i="22"/>
  <c r="BY38" i="22"/>
  <c r="BW39" i="22"/>
  <c r="BY39" i="22"/>
  <c r="BW40" i="22"/>
  <c r="BY40" i="22"/>
  <c r="BW41" i="22"/>
  <c r="BY41" i="22"/>
  <c r="BW42" i="22"/>
  <c r="BY42" i="22"/>
  <c r="BW43" i="22"/>
  <c r="BY43" i="22"/>
  <c r="BW44" i="22"/>
  <c r="BY44" i="22"/>
  <c r="BW45" i="22"/>
  <c r="BY45" i="22"/>
  <c r="BW46" i="22"/>
  <c r="BY46" i="22"/>
  <c r="BW47" i="22"/>
  <c r="BY47" i="22"/>
  <c r="BW48" i="22"/>
  <c r="BY48" i="22"/>
  <c r="BW49" i="22"/>
  <c r="BY49" i="22"/>
  <c r="BW50" i="22"/>
  <c r="BY50" i="22"/>
  <c r="BW51" i="22"/>
  <c r="BY51" i="22"/>
  <c r="BW52" i="22"/>
  <c r="BY52" i="22"/>
  <c r="BW53" i="22"/>
  <c r="BY53" i="22"/>
  <c r="BW54" i="22"/>
  <c r="BY54" i="22"/>
  <c r="BW55" i="22"/>
  <c r="BY55" i="22"/>
  <c r="BW56" i="22"/>
  <c r="BY56" i="22"/>
  <c r="BW57" i="22"/>
  <c r="BY57" i="22"/>
  <c r="BW58" i="22"/>
  <c r="BY58" i="22"/>
  <c r="BW59" i="22"/>
  <c r="BY59" i="22"/>
  <c r="BW60" i="22"/>
  <c r="BY60" i="22"/>
  <c r="BW61" i="22"/>
  <c r="BY61" i="22"/>
  <c r="BW62" i="22"/>
  <c r="BY62" i="22"/>
  <c r="BW63" i="22"/>
  <c r="BY63" i="22"/>
  <c r="BW64" i="22"/>
  <c r="BY64" i="22"/>
  <c r="BW65" i="22"/>
  <c r="BY65" i="22"/>
  <c r="BW66" i="22"/>
  <c r="BY66" i="22"/>
  <c r="BW67" i="22"/>
  <c r="BY67" i="22"/>
  <c r="BW68" i="22"/>
  <c r="BY68" i="22"/>
  <c r="BW69" i="22"/>
  <c r="BY69" i="22"/>
  <c r="BW70" i="22"/>
  <c r="BY70" i="22"/>
  <c r="BW71" i="22"/>
  <c r="BY71" i="22"/>
  <c r="BW72" i="22"/>
  <c r="BY72" i="22"/>
  <c r="BW73" i="22"/>
  <c r="BY73" i="22"/>
  <c r="BW74" i="22"/>
  <c r="BY74" i="22"/>
  <c r="BW75" i="22"/>
  <c r="BY75" i="22"/>
  <c r="BW76" i="22"/>
  <c r="BY76" i="22"/>
  <c r="BW77" i="22"/>
  <c r="BY77" i="22"/>
  <c r="BW78" i="22"/>
  <c r="BY78" i="22"/>
  <c r="BT9" i="22"/>
  <c r="BT10" i="22"/>
  <c r="BT11" i="22"/>
  <c r="BT12" i="22"/>
  <c r="BT13" i="22"/>
  <c r="BT14" i="22"/>
  <c r="BT15" i="22"/>
  <c r="BT16" i="22"/>
  <c r="BT17" i="22"/>
  <c r="BT18" i="22"/>
  <c r="BT19" i="22"/>
  <c r="BT20" i="22"/>
  <c r="BT21" i="22"/>
  <c r="BT22" i="22"/>
  <c r="BT23" i="22"/>
  <c r="BT24" i="22"/>
  <c r="BT25" i="22"/>
  <c r="BT26" i="22"/>
  <c r="BT27" i="22"/>
  <c r="BT28" i="22"/>
  <c r="BT29" i="22"/>
  <c r="BT30" i="22"/>
  <c r="BT31" i="22"/>
  <c r="BT32" i="22"/>
  <c r="BT33" i="22"/>
  <c r="BT34" i="22"/>
  <c r="BT35" i="22"/>
  <c r="BT36" i="22"/>
  <c r="BT37" i="22"/>
  <c r="BT38" i="22"/>
  <c r="BT39" i="22"/>
  <c r="BT40" i="22"/>
  <c r="BT41" i="22"/>
  <c r="BT42" i="22"/>
  <c r="BT43" i="22"/>
  <c r="BT44" i="22"/>
  <c r="BT45" i="22"/>
  <c r="BT46" i="22"/>
  <c r="BT47" i="22"/>
  <c r="BT48" i="22"/>
  <c r="BT49" i="22"/>
  <c r="BT50" i="22"/>
  <c r="BT51" i="22"/>
  <c r="BT52" i="22"/>
  <c r="BT53" i="22"/>
  <c r="BT54" i="22"/>
  <c r="BT55" i="22"/>
  <c r="BT56" i="22"/>
  <c r="BT57" i="22"/>
  <c r="BT58" i="22"/>
  <c r="BT59" i="22"/>
  <c r="BT60" i="22"/>
  <c r="BT61" i="22"/>
  <c r="BT62" i="22"/>
  <c r="BT63" i="22"/>
  <c r="BT64" i="22"/>
  <c r="BT65" i="22"/>
  <c r="BT66" i="22"/>
  <c r="BT67" i="22"/>
  <c r="BT68" i="22"/>
  <c r="BT69" i="22"/>
  <c r="BT70" i="22"/>
  <c r="BT71" i="22"/>
  <c r="BT72" i="22"/>
  <c r="BT73" i="22"/>
  <c r="BT74" i="22"/>
  <c r="BT75" i="22"/>
  <c r="BT76" i="22"/>
  <c r="BT77" i="22"/>
  <c r="BT78" i="22"/>
  <c r="BQ9" i="22"/>
  <c r="BQ10" i="22"/>
  <c r="BQ11" i="22"/>
  <c r="BQ12" i="22"/>
  <c r="BQ13" i="22"/>
  <c r="BQ14" i="22"/>
  <c r="BQ15" i="22"/>
  <c r="BQ16" i="22"/>
  <c r="BQ17" i="22"/>
  <c r="BQ18" i="22"/>
  <c r="BQ19" i="22"/>
  <c r="BQ20" i="22"/>
  <c r="BQ21" i="22"/>
  <c r="BQ22" i="22"/>
  <c r="BQ23" i="22"/>
  <c r="BQ24" i="22"/>
  <c r="BQ25" i="22"/>
  <c r="BQ26" i="22"/>
  <c r="BQ27" i="22"/>
  <c r="BQ28" i="22"/>
  <c r="BQ29" i="22"/>
  <c r="BQ30" i="22"/>
  <c r="BQ31" i="22"/>
  <c r="BQ32" i="22"/>
  <c r="BQ33" i="22"/>
  <c r="BQ34" i="22"/>
  <c r="BQ35" i="22"/>
  <c r="BQ36" i="22"/>
  <c r="BQ37" i="22"/>
  <c r="BQ38" i="22"/>
  <c r="BQ39" i="22"/>
  <c r="BQ40" i="22"/>
  <c r="BQ41" i="22"/>
  <c r="BQ42" i="22"/>
  <c r="BQ43" i="22"/>
  <c r="BQ44" i="22"/>
  <c r="BQ45" i="22"/>
  <c r="BQ46" i="22"/>
  <c r="BQ47" i="22"/>
  <c r="BQ48" i="22"/>
  <c r="BQ49" i="22"/>
  <c r="BQ50" i="22"/>
  <c r="BQ51" i="22"/>
  <c r="BQ52" i="22"/>
  <c r="BQ53" i="22"/>
  <c r="BQ54" i="22"/>
  <c r="BQ55" i="22"/>
  <c r="BQ56" i="22"/>
  <c r="BQ57" i="22"/>
  <c r="BQ58" i="22"/>
  <c r="BQ59" i="22"/>
  <c r="BQ60" i="22"/>
  <c r="BQ61" i="22"/>
  <c r="BQ62" i="22"/>
  <c r="BQ63" i="22"/>
  <c r="BQ64" i="22"/>
  <c r="BQ65" i="22"/>
  <c r="BQ66" i="22"/>
  <c r="BQ67" i="22"/>
  <c r="BQ68" i="22"/>
  <c r="BQ69" i="22"/>
  <c r="BQ70" i="22"/>
  <c r="BQ71" i="22"/>
  <c r="BQ72" i="22"/>
  <c r="BQ73" i="22"/>
  <c r="BQ74" i="22"/>
  <c r="BQ75" i="22"/>
  <c r="BQ76" i="22"/>
  <c r="BQ77" i="22"/>
  <c r="BQ78" i="22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14" i="10"/>
  <c r="AQ15" i="1"/>
  <c r="AQ16" i="1"/>
  <c r="AQ17" i="1"/>
  <c r="M12" i="22" s="1"/>
  <c r="AQ18" i="1"/>
  <c r="AQ19" i="1"/>
  <c r="AQ20" i="1"/>
  <c r="AQ21" i="1"/>
  <c r="AQ22" i="1"/>
  <c r="AQ23" i="1"/>
  <c r="AQ24" i="1"/>
  <c r="AQ25" i="1"/>
  <c r="AQ26" i="1"/>
  <c r="AQ27" i="1"/>
  <c r="AQ28" i="1"/>
  <c r="AQ29" i="1"/>
  <c r="AQ30" i="1"/>
  <c r="AQ31" i="1"/>
  <c r="AQ32" i="1"/>
  <c r="AQ33" i="1"/>
  <c r="AQ34" i="1"/>
  <c r="AQ35" i="1"/>
  <c r="AQ36" i="1"/>
  <c r="AQ37" i="1"/>
  <c r="AQ38" i="1"/>
  <c r="AQ39" i="1"/>
  <c r="AQ40" i="1"/>
  <c r="AQ41" i="1"/>
  <c r="AQ42" i="1"/>
  <c r="AQ43" i="1"/>
  <c r="AQ44" i="1"/>
  <c r="AQ45" i="1"/>
  <c r="AQ46" i="1"/>
  <c r="AQ47" i="1"/>
  <c r="AQ48" i="1"/>
  <c r="AQ49" i="1"/>
  <c r="AQ50" i="1"/>
  <c r="AQ51" i="1"/>
  <c r="AQ52" i="1"/>
  <c r="AQ53" i="1"/>
  <c r="AQ54" i="1"/>
  <c r="AQ55" i="1"/>
  <c r="AQ56" i="1"/>
  <c r="AQ57" i="1"/>
  <c r="AQ58" i="1"/>
  <c r="AQ14" i="1"/>
  <c r="BY8" i="22" l="1"/>
  <c r="BW7" i="22"/>
  <c r="BY7" i="22"/>
  <c r="BW11" i="22"/>
  <c r="BW10" i="22"/>
  <c r="BW9" i="22"/>
  <c r="BW5" i="22"/>
  <c r="BW8" i="22"/>
  <c r="BZ3" i="22"/>
  <c r="BY3" i="22"/>
  <c r="BY6" i="22"/>
  <c r="BW6" i="22"/>
  <c r="BY5" i="22"/>
  <c r="BX7" i="22"/>
  <c r="BX13" i="22"/>
  <c r="BX19" i="22"/>
  <c r="BX25" i="22"/>
  <c r="BX31" i="22"/>
  <c r="BX37" i="22"/>
  <c r="BX43" i="22"/>
  <c r="BX49" i="22"/>
  <c r="BX55" i="22"/>
  <c r="BX61" i="22"/>
  <c r="BX67" i="22"/>
  <c r="BX73" i="22"/>
  <c r="BX2" i="22"/>
  <c r="BX14" i="22"/>
  <c r="BX26" i="22"/>
  <c r="BX38" i="22"/>
  <c r="BX50" i="22"/>
  <c r="BX62" i="22"/>
  <c r="BX68" i="22"/>
  <c r="BX6" i="22"/>
  <c r="BX42" i="22"/>
  <c r="BX72" i="22"/>
  <c r="BX8" i="22"/>
  <c r="BX20" i="22"/>
  <c r="BX32" i="22"/>
  <c r="BX44" i="22"/>
  <c r="BX56" i="22"/>
  <c r="BX74" i="22"/>
  <c r="BX24" i="22"/>
  <c r="BX66" i="22"/>
  <c r="BX9" i="22"/>
  <c r="BX15" i="22"/>
  <c r="BX21" i="22"/>
  <c r="BX27" i="22"/>
  <c r="BX33" i="22"/>
  <c r="BX39" i="22"/>
  <c r="BX45" i="22"/>
  <c r="BX51" i="22"/>
  <c r="BX57" i="22"/>
  <c r="BX63" i="22"/>
  <c r="BX69" i="22"/>
  <c r="BX75" i="22"/>
  <c r="BX18" i="22"/>
  <c r="BX54" i="22"/>
  <c r="BX3" i="22"/>
  <c r="BX10" i="22"/>
  <c r="BX16" i="22"/>
  <c r="BX22" i="22"/>
  <c r="BX28" i="22"/>
  <c r="BX34" i="22"/>
  <c r="BX40" i="22"/>
  <c r="BX46" i="22"/>
  <c r="BX52" i="22"/>
  <c r="BX58" i="22"/>
  <c r="BX64" i="22"/>
  <c r="BX70" i="22"/>
  <c r="BX76" i="22"/>
  <c r="BX30" i="22"/>
  <c r="BX48" i="22"/>
  <c r="BX78" i="22"/>
  <c r="BX5" i="22"/>
  <c r="BX11" i="22"/>
  <c r="BX17" i="22"/>
  <c r="BX23" i="22"/>
  <c r="BX29" i="22"/>
  <c r="BX35" i="22"/>
  <c r="BX41" i="22"/>
  <c r="BX47" i="22"/>
  <c r="BX53" i="22"/>
  <c r="BX59" i="22"/>
  <c r="BX65" i="22"/>
  <c r="BX71" i="22"/>
  <c r="BX77" i="22"/>
  <c r="BX12" i="22"/>
  <c r="BX36" i="22"/>
  <c r="BX60" i="22"/>
  <c r="BX4" i="22"/>
  <c r="BZ47" i="22"/>
  <c r="BZ75" i="22"/>
  <c r="BZ66" i="22"/>
  <c r="BZ57" i="22"/>
  <c r="BZ48" i="22"/>
  <c r="BZ39" i="22"/>
  <c r="BZ30" i="22"/>
  <c r="BZ18" i="22"/>
  <c r="BZ77" i="22"/>
  <c r="BZ71" i="22"/>
  <c r="BZ65" i="22"/>
  <c r="BZ56" i="22"/>
  <c r="BZ76" i="22"/>
  <c r="BZ73" i="22"/>
  <c r="BZ70" i="22"/>
  <c r="BZ67" i="22"/>
  <c r="BZ64" i="22"/>
  <c r="BZ61" i="22"/>
  <c r="BZ58" i="22"/>
  <c r="BZ55" i="22"/>
  <c r="BZ52" i="22"/>
  <c r="BZ49" i="22"/>
  <c r="BZ46" i="22"/>
  <c r="BZ43" i="22"/>
  <c r="BZ40" i="22"/>
  <c r="BZ37" i="22"/>
  <c r="BZ34" i="22"/>
  <c r="BZ31" i="22"/>
  <c r="BZ28" i="22"/>
  <c r="BZ25" i="22"/>
  <c r="BZ22" i="22"/>
  <c r="BZ19" i="22"/>
  <c r="BZ16" i="22"/>
  <c r="BZ13" i="22"/>
  <c r="BZ10" i="22"/>
  <c r="BZ72" i="22"/>
  <c r="BZ63" i="22"/>
  <c r="BZ54" i="22"/>
  <c r="BZ45" i="22"/>
  <c r="BZ36" i="22"/>
  <c r="BZ27" i="22"/>
  <c r="BZ24" i="22"/>
  <c r="BZ15" i="22"/>
  <c r="BZ12" i="22"/>
  <c r="BZ9" i="22"/>
  <c r="BZ78" i="22"/>
  <c r="BZ69" i="22"/>
  <c r="BZ60" i="22"/>
  <c r="BZ51" i="22"/>
  <c r="BZ42" i="22"/>
  <c r="BZ33" i="22"/>
  <c r="BZ21" i="22"/>
  <c r="BZ74" i="22"/>
  <c r="BZ68" i="22"/>
  <c r="BZ62" i="22"/>
  <c r="BZ59" i="22"/>
  <c r="BZ53" i="22"/>
  <c r="BZ50" i="22"/>
  <c r="BZ44" i="22"/>
  <c r="BZ38" i="22"/>
  <c r="BZ29" i="22"/>
  <c r="BZ20" i="22"/>
  <c r="BZ8" i="22"/>
  <c r="BZ41" i="22"/>
  <c r="BZ35" i="22"/>
  <c r="BZ32" i="22"/>
  <c r="BZ26" i="22"/>
  <c r="BZ23" i="22"/>
  <c r="BZ17" i="22"/>
  <c r="BZ14" i="22"/>
  <c r="BZ11" i="22"/>
  <c r="BW3" i="22"/>
  <c r="BW4" i="22"/>
  <c r="BW2" i="22"/>
  <c r="BV61" i="22"/>
  <c r="BZ7" i="22" l="1"/>
  <c r="BT7" i="22"/>
  <c r="BT8" i="22"/>
  <c r="BV42" i="22"/>
  <c r="BV26" i="22"/>
  <c r="BZ6" i="22"/>
  <c r="BT6" i="22"/>
  <c r="BT5" i="22"/>
  <c r="BV77" i="22"/>
  <c r="BZ5" i="22"/>
  <c r="BV78" i="22"/>
  <c r="BV75" i="22"/>
  <c r="BV53" i="22"/>
  <c r="BZ2" i="22"/>
  <c r="BY2" i="22"/>
  <c r="BV32" i="22"/>
  <c r="BV73" i="22"/>
  <c r="BV31" i="22"/>
  <c r="BV62" i="22"/>
  <c r="BZ4" i="22"/>
  <c r="BY4" i="22"/>
  <c r="BV22" i="22"/>
  <c r="BV68" i="22"/>
  <c r="BV39" i="22"/>
  <c r="BV58" i="22"/>
  <c r="BV33" i="22"/>
  <c r="BU25" i="22"/>
  <c r="BU70" i="22"/>
  <c r="BV60" i="22"/>
  <c r="BV69" i="22"/>
  <c r="BV17" i="22"/>
  <c r="BV54" i="22"/>
  <c r="BV28" i="22"/>
  <c r="BV23" i="22"/>
  <c r="BV38" i="22"/>
  <c r="BV9" i="22"/>
  <c r="BV66" i="22"/>
  <c r="BU65" i="22"/>
  <c r="BV20" i="22"/>
  <c r="BV56" i="22"/>
  <c r="BV48" i="22"/>
  <c r="BV43" i="22"/>
  <c r="BV27" i="22"/>
  <c r="BV63" i="22"/>
  <c r="BV30" i="22"/>
  <c r="BV19" i="22"/>
  <c r="BV16" i="22"/>
  <c r="BV52" i="22"/>
  <c r="BV11" i="22"/>
  <c r="BV47" i="22"/>
  <c r="BV74" i="22"/>
  <c r="BV45" i="22"/>
  <c r="BV55" i="22"/>
  <c r="BV34" i="22"/>
  <c r="BV70" i="22"/>
  <c r="BV29" i="22"/>
  <c r="BV65" i="22"/>
  <c r="BV44" i="22"/>
  <c r="BV24" i="22"/>
  <c r="BV25" i="22"/>
  <c r="BV15" i="22"/>
  <c r="BV51" i="22"/>
  <c r="BV12" i="22"/>
  <c r="BV72" i="22"/>
  <c r="BV67" i="22"/>
  <c r="BV40" i="22"/>
  <c r="BV76" i="22"/>
  <c r="BV35" i="22"/>
  <c r="BV71" i="22"/>
  <c r="BV49" i="22"/>
  <c r="BV64" i="22"/>
  <c r="BV59" i="22"/>
  <c r="BV13" i="22"/>
  <c r="BV14" i="22"/>
  <c r="BV50" i="22"/>
  <c r="BV36" i="22"/>
  <c r="BV37" i="22"/>
  <c r="BV21" i="22"/>
  <c r="BV57" i="22"/>
  <c r="BV18" i="22"/>
  <c r="BV10" i="22"/>
  <c r="BV46" i="22"/>
  <c r="BV41" i="22"/>
  <c r="BU32" i="22"/>
  <c r="BU23" i="22"/>
  <c r="BU20" i="22"/>
  <c r="BU62" i="22"/>
  <c r="BU18" i="22"/>
  <c r="BU21" i="22"/>
  <c r="BU63" i="22"/>
  <c r="BU24" i="22"/>
  <c r="BU22" i="22"/>
  <c r="BU58" i="22"/>
  <c r="BU12" i="22"/>
  <c r="BU19" i="22"/>
  <c r="BU55" i="22"/>
  <c r="BU57" i="22"/>
  <c r="BU36" i="22"/>
  <c r="BU69" i="22"/>
  <c r="BU64" i="22"/>
  <c r="BU30" i="22"/>
  <c r="BU75" i="22"/>
  <c r="BU76" i="22"/>
  <c r="BU33" i="22"/>
  <c r="BU60" i="22"/>
  <c r="BU31" i="22"/>
  <c r="BU67" i="22"/>
  <c r="BU38" i="22"/>
  <c r="BU66" i="22"/>
  <c r="BU39" i="22"/>
  <c r="BU41" i="22"/>
  <c r="BU78" i="22"/>
  <c r="BU40" i="22"/>
  <c r="BU47" i="22"/>
  <c r="BU72" i="22"/>
  <c r="BU37" i="22"/>
  <c r="BU73" i="22"/>
  <c r="BU11" i="22"/>
  <c r="BU26" i="22"/>
  <c r="BU27" i="22"/>
  <c r="BU28" i="22"/>
  <c r="BU61" i="22"/>
  <c r="BU54" i="22"/>
  <c r="BU17" i="22"/>
  <c r="BU34" i="22"/>
  <c r="BU48" i="22"/>
  <c r="BU44" i="22"/>
  <c r="BU29" i="22"/>
  <c r="BU9" i="22"/>
  <c r="BU45" i="22"/>
  <c r="BU71" i="22"/>
  <c r="BU10" i="22"/>
  <c r="BU46" i="22"/>
  <c r="BU59" i="22"/>
  <c r="BU43" i="22"/>
  <c r="BU56" i="22"/>
  <c r="BU35" i="22"/>
  <c r="BU68" i="22"/>
  <c r="BU42" i="22"/>
  <c r="BU14" i="22"/>
  <c r="BU50" i="22"/>
  <c r="BU53" i="22"/>
  <c r="BU15" i="22"/>
  <c r="BU51" i="22"/>
  <c r="BU16" i="22"/>
  <c r="BU52" i="22"/>
  <c r="BU77" i="22"/>
  <c r="BU13" i="22"/>
  <c r="BU49" i="22"/>
  <c r="BU74" i="22"/>
  <c r="BT4" i="22"/>
  <c r="BT3" i="22"/>
  <c r="BM74" i="22" l="1"/>
  <c r="N86" i="6"/>
  <c r="BM56" i="22"/>
  <c r="N68" i="6"/>
  <c r="BM38" i="22"/>
  <c r="N50" i="6"/>
  <c r="BM14" i="22"/>
  <c r="N26" i="6"/>
  <c r="BM73" i="22"/>
  <c r="N85" i="6"/>
  <c r="BM49" i="22"/>
  <c r="N61" i="6"/>
  <c r="BM43" i="22"/>
  <c r="N55" i="6"/>
  <c r="BM37" i="22"/>
  <c r="N49" i="6"/>
  <c r="BM31" i="22"/>
  <c r="N43" i="6"/>
  <c r="BM25" i="22"/>
  <c r="N37" i="6"/>
  <c r="BM19" i="22"/>
  <c r="N31" i="6"/>
  <c r="BM13" i="22"/>
  <c r="N25" i="6"/>
  <c r="BM78" i="22"/>
  <c r="N90" i="6"/>
  <c r="BM72" i="22"/>
  <c r="N84" i="6"/>
  <c r="BM66" i="22"/>
  <c r="N78" i="6"/>
  <c r="BM60" i="22"/>
  <c r="N72" i="6"/>
  <c r="BM54" i="22"/>
  <c r="N66" i="6"/>
  <c r="BM48" i="22"/>
  <c r="N60" i="6"/>
  <c r="BM42" i="22"/>
  <c r="N54" i="6"/>
  <c r="BM36" i="22"/>
  <c r="N48" i="6"/>
  <c r="BM30" i="22"/>
  <c r="N42" i="6"/>
  <c r="BM24" i="22"/>
  <c r="N36" i="6"/>
  <c r="BM18" i="22"/>
  <c r="N30" i="6"/>
  <c r="BM12" i="22"/>
  <c r="N24" i="6"/>
  <c r="BM68" i="22"/>
  <c r="N80" i="6"/>
  <c r="BM50" i="22"/>
  <c r="N62" i="6"/>
  <c r="BM26" i="22"/>
  <c r="N38" i="6"/>
  <c r="BM67" i="22"/>
  <c r="N79" i="6"/>
  <c r="BM77" i="22"/>
  <c r="N89" i="6"/>
  <c r="BM65" i="22"/>
  <c r="N77" i="6"/>
  <c r="BM47" i="22"/>
  <c r="N59" i="6"/>
  <c r="BM35" i="22"/>
  <c r="N47" i="6"/>
  <c r="BM23" i="22"/>
  <c r="N35" i="6"/>
  <c r="BM17" i="22"/>
  <c r="N29" i="6"/>
  <c r="BM76" i="22"/>
  <c r="N88" i="6"/>
  <c r="BM70" i="22"/>
  <c r="N82" i="6"/>
  <c r="BM64" i="22"/>
  <c r="N76" i="6"/>
  <c r="BM58" i="22"/>
  <c r="N70" i="6"/>
  <c r="BM52" i="22"/>
  <c r="N64" i="6"/>
  <c r="BM46" i="22"/>
  <c r="N58" i="6"/>
  <c r="BM40" i="22"/>
  <c r="N52" i="6"/>
  <c r="BM34" i="22"/>
  <c r="N46" i="6"/>
  <c r="BM28" i="22"/>
  <c r="N40" i="6"/>
  <c r="BM22" i="22"/>
  <c r="N34" i="6"/>
  <c r="BM16" i="22"/>
  <c r="N28" i="6"/>
  <c r="BM62" i="22"/>
  <c r="N74" i="6"/>
  <c r="BM44" i="22"/>
  <c r="N56" i="6"/>
  <c r="BM20" i="22"/>
  <c r="N32" i="6"/>
  <c r="BM61" i="22"/>
  <c r="N73" i="6"/>
  <c r="BM71" i="22"/>
  <c r="N83" i="6"/>
  <c r="BM59" i="22"/>
  <c r="N71" i="6"/>
  <c r="BM53" i="22"/>
  <c r="N65" i="6"/>
  <c r="BM41" i="22"/>
  <c r="N53" i="6"/>
  <c r="BM29" i="22"/>
  <c r="N41" i="6"/>
  <c r="BM75" i="22"/>
  <c r="N87" i="6"/>
  <c r="BM69" i="22"/>
  <c r="N81" i="6"/>
  <c r="BM63" i="22"/>
  <c r="N75" i="6"/>
  <c r="BM57" i="22"/>
  <c r="N69" i="6"/>
  <c r="BM51" i="22"/>
  <c r="N63" i="6"/>
  <c r="BM45" i="22"/>
  <c r="N57" i="6"/>
  <c r="BM39" i="22"/>
  <c r="N51" i="6"/>
  <c r="BM33" i="22"/>
  <c r="N45" i="6"/>
  <c r="BM27" i="22"/>
  <c r="N39" i="6"/>
  <c r="BM21" i="22"/>
  <c r="N33" i="6"/>
  <c r="BM15" i="22"/>
  <c r="N27" i="6"/>
  <c r="BM32" i="22"/>
  <c r="N44" i="6"/>
  <c r="BM55" i="22"/>
  <c r="N67" i="6"/>
  <c r="BU7" i="22"/>
  <c r="BM11" i="22"/>
  <c r="N23" i="6"/>
  <c r="BU8" i="22"/>
  <c r="BV8" i="22"/>
  <c r="BZ79" i="22"/>
  <c r="BV7" i="22"/>
  <c r="BQ7" i="22"/>
  <c r="BQ8" i="22"/>
  <c r="BV6" i="22"/>
  <c r="BU6" i="22"/>
  <c r="BV5" i="22"/>
  <c r="BU5" i="22"/>
  <c r="BS5" i="22"/>
  <c r="BS11" i="22"/>
  <c r="BS17" i="22"/>
  <c r="BS23" i="22"/>
  <c r="BS29" i="22"/>
  <c r="BS35" i="22"/>
  <c r="BS41" i="22"/>
  <c r="BS47" i="22"/>
  <c r="BS53" i="22"/>
  <c r="BS59" i="22"/>
  <c r="BS65" i="22"/>
  <c r="BS71" i="22"/>
  <c r="BS77" i="22"/>
  <c r="BS19" i="22"/>
  <c r="BS25" i="22"/>
  <c r="BS43" i="22"/>
  <c r="BS61" i="22"/>
  <c r="BS8" i="22"/>
  <c r="BS26" i="22"/>
  <c r="BS44" i="22"/>
  <c r="BS62" i="22"/>
  <c r="BS15" i="22"/>
  <c r="BS33" i="22"/>
  <c r="BS57" i="22"/>
  <c r="BS75" i="22"/>
  <c r="BS6" i="22"/>
  <c r="BS12" i="22"/>
  <c r="BS18" i="22"/>
  <c r="BS24" i="22"/>
  <c r="BS30" i="22"/>
  <c r="BS36" i="22"/>
  <c r="BS42" i="22"/>
  <c r="BS48" i="22"/>
  <c r="BS54" i="22"/>
  <c r="BS60" i="22"/>
  <c r="BS66" i="22"/>
  <c r="BS72" i="22"/>
  <c r="BS78" i="22"/>
  <c r="BS7" i="22"/>
  <c r="BS31" i="22"/>
  <c r="BS49" i="22"/>
  <c r="BS73" i="22"/>
  <c r="BS20" i="22"/>
  <c r="BS32" i="22"/>
  <c r="BS56" i="22"/>
  <c r="BS74" i="22"/>
  <c r="BS9" i="22"/>
  <c r="BS39" i="22"/>
  <c r="BS69" i="22"/>
  <c r="BS27" i="22"/>
  <c r="BS51" i="22"/>
  <c r="BS10" i="22"/>
  <c r="BS16" i="22"/>
  <c r="BS22" i="22"/>
  <c r="BS28" i="22"/>
  <c r="BS34" i="22"/>
  <c r="BS40" i="22"/>
  <c r="BS46" i="22"/>
  <c r="BS52" i="22"/>
  <c r="BS58" i="22"/>
  <c r="BS64" i="22"/>
  <c r="BS70" i="22"/>
  <c r="BS76" i="22"/>
  <c r="BS13" i="22"/>
  <c r="BS37" i="22"/>
  <c r="BS55" i="22"/>
  <c r="BS67" i="22"/>
  <c r="BS14" i="22"/>
  <c r="BS38" i="22"/>
  <c r="BS50" i="22"/>
  <c r="BS68" i="22"/>
  <c r="BS21" i="22"/>
  <c r="BS45" i="22"/>
  <c r="BS63" i="22"/>
  <c r="BQ6" i="22"/>
  <c r="BQ5" i="22"/>
  <c r="BU2" i="22"/>
  <c r="BT2" i="22"/>
  <c r="BU4" i="22"/>
  <c r="BV4" i="22"/>
  <c r="BU3" i="22"/>
  <c r="BV3" i="22"/>
  <c r="BV2" i="22"/>
  <c r="BS4" i="22"/>
  <c r="BS3" i="22"/>
  <c r="BS2" i="22"/>
  <c r="BR2" i="22"/>
  <c r="BR45" i="22"/>
  <c r="BR52" i="22"/>
  <c r="BR70" i="22"/>
  <c r="BR43" i="22"/>
  <c r="BR55" i="22"/>
  <c r="BR4" i="22"/>
  <c r="BR10" i="22"/>
  <c r="BR16" i="22"/>
  <c r="BR28" i="22"/>
  <c r="BR40" i="22"/>
  <c r="BR58" i="22"/>
  <c r="BR76" i="22"/>
  <c r="BR49" i="22"/>
  <c r="BR73" i="22"/>
  <c r="BR5" i="22"/>
  <c r="BR11" i="22"/>
  <c r="BR17" i="22"/>
  <c r="BR23" i="22"/>
  <c r="BR29" i="22"/>
  <c r="BR35" i="22"/>
  <c r="BR41" i="22"/>
  <c r="BR47" i="22"/>
  <c r="BR53" i="22"/>
  <c r="BR59" i="22"/>
  <c r="BR65" i="22"/>
  <c r="BR71" i="22"/>
  <c r="BR77" i="22"/>
  <c r="BR6" i="22"/>
  <c r="BR12" i="22"/>
  <c r="BR18" i="22"/>
  <c r="BR24" i="22"/>
  <c r="BR30" i="22"/>
  <c r="BR36" i="22"/>
  <c r="BR42" i="22"/>
  <c r="BR48" i="22"/>
  <c r="BR54" i="22"/>
  <c r="BR60" i="22"/>
  <c r="BR66" i="22"/>
  <c r="BR72" i="22"/>
  <c r="BR78" i="22"/>
  <c r="BR7" i="22"/>
  <c r="BR13" i="22"/>
  <c r="BR19" i="22"/>
  <c r="BR25" i="22"/>
  <c r="BR37" i="22"/>
  <c r="BR67" i="22"/>
  <c r="BR8" i="22"/>
  <c r="BR14" i="22"/>
  <c r="BR20" i="22"/>
  <c r="BR26" i="22"/>
  <c r="BR32" i="22"/>
  <c r="BR38" i="22"/>
  <c r="BR44" i="22"/>
  <c r="BR50" i="22"/>
  <c r="BR56" i="22"/>
  <c r="BR62" i="22"/>
  <c r="BR68" i="22"/>
  <c r="BR74" i="22"/>
  <c r="BR3" i="22"/>
  <c r="BR9" i="22"/>
  <c r="BR15" i="22"/>
  <c r="BR21" i="22"/>
  <c r="BR27" i="22"/>
  <c r="BR33" i="22"/>
  <c r="BR39" i="22"/>
  <c r="BR51" i="22"/>
  <c r="BR57" i="22"/>
  <c r="BR63" i="22"/>
  <c r="BR69" i="22"/>
  <c r="BR75" i="22"/>
  <c r="BR22" i="22"/>
  <c r="BR34" i="22"/>
  <c r="BR46" i="22"/>
  <c r="BR64" i="22"/>
  <c r="BR31" i="22"/>
  <c r="BR61" i="22"/>
  <c r="BQ4" i="22"/>
  <c r="BQ2" i="22"/>
  <c r="BQ3" i="22"/>
  <c r="AE3" i="10" l="1"/>
  <c r="BP2" i="22" l="1"/>
  <c r="BO2" i="22"/>
  <c r="BO3" i="22"/>
  <c r="BO4" i="22"/>
  <c r="BO5" i="22"/>
  <c r="BO11" i="22"/>
  <c r="BO17" i="22"/>
  <c r="BO23" i="22"/>
  <c r="BO29" i="22"/>
  <c r="BO35" i="22"/>
  <c r="BO41" i="22"/>
  <c r="BO47" i="22"/>
  <c r="BO53" i="22"/>
  <c r="BO59" i="22"/>
  <c r="BO65" i="22"/>
  <c r="BO71" i="22"/>
  <c r="BO77" i="22"/>
  <c r="BO72" i="22"/>
  <c r="BO6" i="22"/>
  <c r="BO12" i="22"/>
  <c r="BO18" i="22"/>
  <c r="BO24" i="22"/>
  <c r="BO30" i="22"/>
  <c r="BO36" i="22"/>
  <c r="BO42" i="22"/>
  <c r="BO48" i="22"/>
  <c r="BO54" i="22"/>
  <c r="BO60" i="22"/>
  <c r="BO66" i="22"/>
  <c r="BO78" i="22"/>
  <c r="BO7" i="22"/>
  <c r="BO13" i="22"/>
  <c r="BO19" i="22"/>
  <c r="BO25" i="22"/>
  <c r="BO31" i="22"/>
  <c r="BO37" i="22"/>
  <c r="BO43" i="22"/>
  <c r="BO49" i="22"/>
  <c r="BO55" i="22"/>
  <c r="BO61" i="22"/>
  <c r="BO67" i="22"/>
  <c r="BO73" i="22"/>
  <c r="BO8" i="22"/>
  <c r="BO14" i="22"/>
  <c r="BO20" i="22"/>
  <c r="BO26" i="22"/>
  <c r="BO32" i="22"/>
  <c r="BO38" i="22"/>
  <c r="BO44" i="22"/>
  <c r="BO50" i="22"/>
  <c r="BO56" i="22"/>
  <c r="BO62" i="22"/>
  <c r="BO68" i="22"/>
  <c r="BO74" i="22"/>
  <c r="BO76" i="22"/>
  <c r="BO9" i="22"/>
  <c r="BO15" i="22"/>
  <c r="BO21" i="22"/>
  <c r="BO27" i="22"/>
  <c r="BO33" i="22"/>
  <c r="BO39" i="22"/>
  <c r="BO45" i="22"/>
  <c r="BO51" i="22"/>
  <c r="BO57" i="22"/>
  <c r="BO63" i="22"/>
  <c r="BO69" i="22"/>
  <c r="BO75" i="22"/>
  <c r="BO10" i="22"/>
  <c r="BO16" i="22"/>
  <c r="BO22" i="22"/>
  <c r="BO28" i="22"/>
  <c r="BO34" i="22"/>
  <c r="BO40" i="22"/>
  <c r="BO46" i="22"/>
  <c r="BO52" i="22"/>
  <c r="BO58" i="22"/>
  <c r="BO64" i="22"/>
  <c r="BO70" i="22"/>
  <c r="AH21" i="22"/>
  <c r="AH27" i="22"/>
  <c r="AH57" i="22"/>
  <c r="L20" i="6"/>
  <c r="AH9" i="22"/>
  <c r="G12" i="15"/>
  <c r="AH11" i="22"/>
  <c r="AH12" i="22"/>
  <c r="L25" i="6"/>
  <c r="L26" i="6"/>
  <c r="AH15" i="22"/>
  <c r="AH16" i="22"/>
  <c r="AH17" i="22"/>
  <c r="G20" i="15"/>
  <c r="AH19" i="22"/>
  <c r="AH20" i="22"/>
  <c r="L33" i="6"/>
  <c r="L34" i="6"/>
  <c r="AH23" i="22"/>
  <c r="AH24" i="22"/>
  <c r="AH25" i="22"/>
  <c r="G28" i="15"/>
  <c r="AH28" i="22"/>
  <c r="L41" i="6"/>
  <c r="L42" i="6"/>
  <c r="AH31" i="22"/>
  <c r="AH32" i="22"/>
  <c r="AH33" i="22"/>
  <c r="G36" i="15"/>
  <c r="AH35" i="22"/>
  <c r="AH36" i="22"/>
  <c r="L49" i="6"/>
  <c r="L50" i="6"/>
  <c r="AH39" i="22"/>
  <c r="L52" i="6"/>
  <c r="L53" i="6"/>
  <c r="AH42" i="22"/>
  <c r="AH43" i="22"/>
  <c r="AH44" i="22"/>
  <c r="L57" i="6"/>
  <c r="L58" i="6"/>
  <c r="L59" i="6"/>
  <c r="AH48" i="22"/>
  <c r="AH49" i="22"/>
  <c r="AH50" i="22"/>
  <c r="AH51" i="22"/>
  <c r="AH52" i="22"/>
  <c r="L65" i="6"/>
  <c r="L66" i="6"/>
  <c r="AH55" i="22"/>
  <c r="AH56" i="22"/>
  <c r="AH58" i="22"/>
  <c r="AH59" i="22"/>
  <c r="AH60" i="22"/>
  <c r="L73" i="6"/>
  <c r="L74" i="6"/>
  <c r="AH63" i="22"/>
  <c r="AH64" i="22"/>
  <c r="AH65" i="22"/>
  <c r="AH66" i="22"/>
  <c r="AH67" i="22"/>
  <c r="AH68" i="22"/>
  <c r="L81" i="6"/>
  <c r="L82" i="6"/>
  <c r="AH71" i="22"/>
  <c r="AH72" i="22"/>
  <c r="AH73" i="22"/>
  <c r="AH74" i="22"/>
  <c r="AH75" i="22"/>
  <c r="AH76" i="22"/>
  <c r="L89" i="6"/>
  <c r="L90" i="6"/>
  <c r="AB2" i="22"/>
  <c r="L21" i="6"/>
  <c r="L32" i="6"/>
  <c r="L44" i="6"/>
  <c r="L45" i="6"/>
  <c r="L56" i="6"/>
  <c r="L68" i="6"/>
  <c r="L69" i="6"/>
  <c r="L80" i="6"/>
  <c r="L27" i="6"/>
  <c r="L38" i="6"/>
  <c r="L39" i="6"/>
  <c r="L51" i="6"/>
  <c r="L54" i="6"/>
  <c r="L55" i="6"/>
  <c r="L63" i="6"/>
  <c r="L75" i="6"/>
  <c r="L87" i="6"/>
  <c r="C5" i="15"/>
  <c r="F5" i="15"/>
  <c r="I5" i="15"/>
  <c r="J5" i="15"/>
  <c r="K5" i="15"/>
  <c r="L5" i="15"/>
  <c r="M5" i="15"/>
  <c r="N5" i="15"/>
  <c r="O5" i="15"/>
  <c r="P5" i="15"/>
  <c r="Q5" i="15"/>
  <c r="R5" i="15"/>
  <c r="S5" i="15"/>
  <c r="T5" i="15"/>
  <c r="U5" i="15"/>
  <c r="V5" i="15"/>
  <c r="W5" i="15"/>
  <c r="X5" i="15"/>
  <c r="Y5" i="15"/>
  <c r="Z5" i="15"/>
  <c r="AA5" i="15"/>
  <c r="AB5" i="15"/>
  <c r="AC5" i="15"/>
  <c r="AD5" i="15"/>
  <c r="AE5" i="15"/>
  <c r="AF5" i="15"/>
  <c r="AG5" i="15"/>
  <c r="AH5" i="15"/>
  <c r="AI5" i="15"/>
  <c r="AJ5" i="15"/>
  <c r="AK5" i="15"/>
  <c r="AL5" i="15"/>
  <c r="C6" i="15"/>
  <c r="F6" i="15"/>
  <c r="I6" i="15"/>
  <c r="J6" i="15"/>
  <c r="K6" i="15"/>
  <c r="L6" i="15"/>
  <c r="M6" i="15"/>
  <c r="N6" i="15"/>
  <c r="O6" i="15"/>
  <c r="P6" i="15"/>
  <c r="Q6" i="15"/>
  <c r="R6" i="15"/>
  <c r="S6" i="15"/>
  <c r="T6" i="15"/>
  <c r="U6" i="15"/>
  <c r="V6" i="15"/>
  <c r="W6" i="15"/>
  <c r="X6" i="15"/>
  <c r="Y6" i="15"/>
  <c r="Z6" i="15"/>
  <c r="AA6" i="15"/>
  <c r="AB6" i="15"/>
  <c r="AC6" i="15"/>
  <c r="AD6" i="15"/>
  <c r="AE6" i="15"/>
  <c r="AF6" i="15"/>
  <c r="AG6" i="15"/>
  <c r="AH6" i="15"/>
  <c r="AI6" i="15"/>
  <c r="AJ6" i="15"/>
  <c r="AK6" i="15"/>
  <c r="AL6" i="15"/>
  <c r="C7" i="15"/>
  <c r="F7" i="15"/>
  <c r="I7" i="15"/>
  <c r="J7" i="15"/>
  <c r="K7" i="15"/>
  <c r="L7" i="15"/>
  <c r="M7" i="15"/>
  <c r="N7" i="15"/>
  <c r="O7" i="15"/>
  <c r="P7" i="15"/>
  <c r="Q7" i="15"/>
  <c r="R7" i="15"/>
  <c r="S7" i="15"/>
  <c r="T7" i="15"/>
  <c r="U7" i="15"/>
  <c r="V7" i="15"/>
  <c r="W7" i="15"/>
  <c r="X7" i="15"/>
  <c r="Y7" i="15"/>
  <c r="Z7" i="15"/>
  <c r="AA7" i="15"/>
  <c r="AB7" i="15"/>
  <c r="AC7" i="15"/>
  <c r="AD7" i="15"/>
  <c r="AE7" i="15"/>
  <c r="AF7" i="15"/>
  <c r="AG7" i="15"/>
  <c r="AH7" i="15"/>
  <c r="AI7" i="15"/>
  <c r="AJ7" i="15"/>
  <c r="AK7" i="15"/>
  <c r="AL7" i="15"/>
  <c r="C8" i="15"/>
  <c r="F8" i="15"/>
  <c r="I8" i="15"/>
  <c r="J8" i="15"/>
  <c r="K8" i="15"/>
  <c r="L8" i="15"/>
  <c r="M8" i="15"/>
  <c r="N8" i="15"/>
  <c r="O8" i="15"/>
  <c r="P8" i="15"/>
  <c r="Q8" i="15"/>
  <c r="R8" i="15"/>
  <c r="S8" i="15"/>
  <c r="T8" i="15"/>
  <c r="U8" i="15"/>
  <c r="V8" i="15"/>
  <c r="W8" i="15"/>
  <c r="X8" i="15"/>
  <c r="Y8" i="15"/>
  <c r="Z8" i="15"/>
  <c r="AA8" i="15"/>
  <c r="AB8" i="15"/>
  <c r="AC8" i="15"/>
  <c r="AD8" i="15"/>
  <c r="AE8" i="15"/>
  <c r="AF8" i="15"/>
  <c r="AG8" i="15"/>
  <c r="AH8" i="15"/>
  <c r="AI8" i="15"/>
  <c r="AJ8" i="15"/>
  <c r="AK8" i="15"/>
  <c r="AL8" i="15"/>
  <c r="C9" i="15"/>
  <c r="F9" i="15"/>
  <c r="I9" i="15"/>
  <c r="J9" i="15"/>
  <c r="K9" i="15"/>
  <c r="L9" i="15"/>
  <c r="M9" i="15"/>
  <c r="N9" i="15"/>
  <c r="O9" i="15"/>
  <c r="P9" i="15"/>
  <c r="Q9" i="15"/>
  <c r="R9" i="15"/>
  <c r="S9" i="15"/>
  <c r="T9" i="15"/>
  <c r="U9" i="15"/>
  <c r="V9" i="15"/>
  <c r="W9" i="15"/>
  <c r="X9" i="15"/>
  <c r="Y9" i="15"/>
  <c r="Z9" i="15"/>
  <c r="AA9" i="15"/>
  <c r="AB9" i="15"/>
  <c r="AC9" i="15"/>
  <c r="AD9" i="15"/>
  <c r="AE9" i="15"/>
  <c r="AF9" i="15"/>
  <c r="AG9" i="15"/>
  <c r="AH9" i="15"/>
  <c r="AI9" i="15"/>
  <c r="AJ9" i="15"/>
  <c r="AK9" i="15"/>
  <c r="AL9" i="15"/>
  <c r="C10" i="15"/>
  <c r="F10" i="15"/>
  <c r="I10" i="15"/>
  <c r="J10" i="15"/>
  <c r="K10" i="15"/>
  <c r="L10" i="15"/>
  <c r="M10" i="15"/>
  <c r="N10" i="15"/>
  <c r="O10" i="15"/>
  <c r="P10" i="15"/>
  <c r="Q10" i="15"/>
  <c r="R10" i="15"/>
  <c r="S10" i="15"/>
  <c r="T10" i="15"/>
  <c r="U10" i="15"/>
  <c r="V10" i="15"/>
  <c r="W10" i="15"/>
  <c r="X10" i="15"/>
  <c r="Y10" i="15"/>
  <c r="Z10" i="15"/>
  <c r="AA10" i="15"/>
  <c r="AB10" i="15"/>
  <c r="AC10" i="15"/>
  <c r="AD10" i="15"/>
  <c r="AE10" i="15"/>
  <c r="AF10" i="15"/>
  <c r="AG10" i="15"/>
  <c r="AH10" i="15"/>
  <c r="AI10" i="15"/>
  <c r="AJ10" i="15"/>
  <c r="AK10" i="15"/>
  <c r="AL10" i="15"/>
  <c r="C11" i="15"/>
  <c r="F11" i="15"/>
  <c r="I11" i="15"/>
  <c r="J11" i="15"/>
  <c r="K11" i="15"/>
  <c r="L11" i="15"/>
  <c r="M11" i="15"/>
  <c r="N11" i="15"/>
  <c r="O11" i="15"/>
  <c r="P11" i="15"/>
  <c r="Q11" i="15"/>
  <c r="R11" i="15"/>
  <c r="S11" i="15"/>
  <c r="T11" i="15"/>
  <c r="U11" i="15"/>
  <c r="V11" i="15"/>
  <c r="W11" i="15"/>
  <c r="X11" i="15"/>
  <c r="Y11" i="15"/>
  <c r="Z11" i="15"/>
  <c r="AA11" i="15"/>
  <c r="AB11" i="15"/>
  <c r="AC11" i="15"/>
  <c r="AD11" i="15"/>
  <c r="AE11" i="15"/>
  <c r="AF11" i="15"/>
  <c r="AG11" i="15"/>
  <c r="AH11" i="15"/>
  <c r="AI11" i="15"/>
  <c r="AJ11" i="15"/>
  <c r="AK11" i="15"/>
  <c r="AL11" i="15"/>
  <c r="C12" i="15"/>
  <c r="F12" i="15"/>
  <c r="I12" i="15"/>
  <c r="J12" i="15"/>
  <c r="K12" i="15"/>
  <c r="L12" i="15"/>
  <c r="M12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Z12" i="15"/>
  <c r="AA12" i="15"/>
  <c r="AB12" i="15"/>
  <c r="AC12" i="15"/>
  <c r="AD12" i="15"/>
  <c r="AE12" i="15"/>
  <c r="AF12" i="15"/>
  <c r="AG12" i="15"/>
  <c r="AH12" i="15"/>
  <c r="AI12" i="15"/>
  <c r="AJ12" i="15"/>
  <c r="AK12" i="15"/>
  <c r="AL12" i="15"/>
  <c r="C13" i="15"/>
  <c r="F13" i="15"/>
  <c r="I13" i="15"/>
  <c r="J13" i="15"/>
  <c r="K13" i="15"/>
  <c r="L13" i="15"/>
  <c r="M13" i="15"/>
  <c r="N13" i="15"/>
  <c r="O13" i="15"/>
  <c r="P13" i="15"/>
  <c r="Q13" i="15"/>
  <c r="R13" i="15"/>
  <c r="S13" i="15"/>
  <c r="T13" i="15"/>
  <c r="U13" i="15"/>
  <c r="V13" i="15"/>
  <c r="W13" i="15"/>
  <c r="X13" i="15"/>
  <c r="Y13" i="15"/>
  <c r="Z13" i="15"/>
  <c r="AA13" i="15"/>
  <c r="AB13" i="15"/>
  <c r="AC13" i="15"/>
  <c r="AD13" i="15"/>
  <c r="AE13" i="15"/>
  <c r="AF13" i="15"/>
  <c r="AG13" i="15"/>
  <c r="AH13" i="15"/>
  <c r="AI13" i="15"/>
  <c r="AJ13" i="15"/>
  <c r="AK13" i="15"/>
  <c r="AL13" i="15"/>
  <c r="C14" i="15"/>
  <c r="F14" i="15"/>
  <c r="I14" i="15"/>
  <c r="J14" i="15"/>
  <c r="K14" i="15"/>
  <c r="L14" i="15"/>
  <c r="M14" i="15"/>
  <c r="N14" i="15"/>
  <c r="O14" i="15"/>
  <c r="P14" i="15"/>
  <c r="Q14" i="15"/>
  <c r="R14" i="15"/>
  <c r="S14" i="15"/>
  <c r="T14" i="15"/>
  <c r="U14" i="15"/>
  <c r="V14" i="15"/>
  <c r="W14" i="15"/>
  <c r="X14" i="15"/>
  <c r="Y14" i="15"/>
  <c r="Z14" i="15"/>
  <c r="AA14" i="15"/>
  <c r="AB14" i="15"/>
  <c r="AC14" i="15"/>
  <c r="AD14" i="15"/>
  <c r="AE14" i="15"/>
  <c r="AF14" i="15"/>
  <c r="AG14" i="15"/>
  <c r="AH14" i="15"/>
  <c r="AI14" i="15"/>
  <c r="AJ14" i="15"/>
  <c r="AK14" i="15"/>
  <c r="AL14" i="15"/>
  <c r="C15" i="15"/>
  <c r="F15" i="15"/>
  <c r="I15" i="15"/>
  <c r="J15" i="15"/>
  <c r="K15" i="15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AC15" i="15"/>
  <c r="AD15" i="15"/>
  <c r="AE15" i="15"/>
  <c r="AF15" i="15"/>
  <c r="AG15" i="15"/>
  <c r="AH15" i="15"/>
  <c r="AI15" i="15"/>
  <c r="AJ15" i="15"/>
  <c r="AK15" i="15"/>
  <c r="AL15" i="15"/>
  <c r="C16" i="15"/>
  <c r="F16" i="15"/>
  <c r="G16" i="15"/>
  <c r="I16" i="15"/>
  <c r="J16" i="15"/>
  <c r="K16" i="15"/>
  <c r="L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AB16" i="15"/>
  <c r="AC16" i="15"/>
  <c r="AD16" i="15"/>
  <c r="AE16" i="15"/>
  <c r="AF16" i="15"/>
  <c r="AG16" i="15"/>
  <c r="AH16" i="15"/>
  <c r="AI16" i="15"/>
  <c r="AJ16" i="15"/>
  <c r="AK16" i="15"/>
  <c r="AL16" i="15"/>
  <c r="C17" i="15"/>
  <c r="F17" i="15"/>
  <c r="G17" i="15"/>
  <c r="I17" i="15"/>
  <c r="J17" i="15"/>
  <c r="K17" i="15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AG17" i="15"/>
  <c r="AH17" i="15"/>
  <c r="AI17" i="15"/>
  <c r="AJ17" i="15"/>
  <c r="AK17" i="15"/>
  <c r="AL17" i="15"/>
  <c r="C18" i="15"/>
  <c r="F18" i="15"/>
  <c r="I18" i="15"/>
  <c r="J18" i="15"/>
  <c r="K18" i="15"/>
  <c r="L18" i="15"/>
  <c r="M18" i="15"/>
  <c r="N18" i="15"/>
  <c r="O18" i="15"/>
  <c r="P18" i="15"/>
  <c r="Q18" i="15"/>
  <c r="R18" i="15"/>
  <c r="S18" i="15"/>
  <c r="T18" i="15"/>
  <c r="U18" i="15"/>
  <c r="V18" i="15"/>
  <c r="W18" i="15"/>
  <c r="X18" i="15"/>
  <c r="Y18" i="15"/>
  <c r="Z18" i="15"/>
  <c r="AA18" i="15"/>
  <c r="AB18" i="15"/>
  <c r="AC18" i="15"/>
  <c r="AD18" i="15"/>
  <c r="AE18" i="15"/>
  <c r="AF18" i="15"/>
  <c r="AG18" i="15"/>
  <c r="AH18" i="15"/>
  <c r="AI18" i="15"/>
  <c r="AJ18" i="15"/>
  <c r="AK18" i="15"/>
  <c r="AL18" i="15"/>
  <c r="C19" i="15"/>
  <c r="F19" i="15"/>
  <c r="I19" i="15"/>
  <c r="J19" i="15"/>
  <c r="K19" i="15"/>
  <c r="L19" i="15"/>
  <c r="M19" i="15"/>
  <c r="N19" i="15"/>
  <c r="O19" i="15"/>
  <c r="P19" i="15"/>
  <c r="Q19" i="15"/>
  <c r="R19" i="15"/>
  <c r="S19" i="15"/>
  <c r="T19" i="15"/>
  <c r="U19" i="15"/>
  <c r="V19" i="15"/>
  <c r="W19" i="15"/>
  <c r="X19" i="15"/>
  <c r="Y19" i="15"/>
  <c r="Z19" i="15"/>
  <c r="AA19" i="15"/>
  <c r="AB19" i="15"/>
  <c r="AC19" i="15"/>
  <c r="AD19" i="15"/>
  <c r="AE19" i="15"/>
  <c r="AF19" i="15"/>
  <c r="AG19" i="15"/>
  <c r="AH19" i="15"/>
  <c r="AI19" i="15"/>
  <c r="AJ19" i="15"/>
  <c r="AK19" i="15"/>
  <c r="AL19" i="15"/>
  <c r="C20" i="15"/>
  <c r="F20" i="15"/>
  <c r="I20" i="15"/>
  <c r="J20" i="15"/>
  <c r="K20" i="15"/>
  <c r="L20" i="15"/>
  <c r="M20" i="15"/>
  <c r="N20" i="15"/>
  <c r="O20" i="15"/>
  <c r="P20" i="15"/>
  <c r="Q20" i="15"/>
  <c r="R20" i="15"/>
  <c r="S20" i="15"/>
  <c r="T20" i="15"/>
  <c r="U20" i="15"/>
  <c r="V20" i="15"/>
  <c r="W20" i="15"/>
  <c r="X20" i="15"/>
  <c r="Y20" i="15"/>
  <c r="Z20" i="15"/>
  <c r="AA20" i="15"/>
  <c r="AB20" i="15"/>
  <c r="AC20" i="15"/>
  <c r="AD20" i="15"/>
  <c r="AE20" i="15"/>
  <c r="AF20" i="15"/>
  <c r="AG20" i="15"/>
  <c r="AH20" i="15"/>
  <c r="AI20" i="15"/>
  <c r="AJ20" i="15"/>
  <c r="AK20" i="15"/>
  <c r="AL20" i="15"/>
  <c r="C21" i="15"/>
  <c r="F21" i="15"/>
  <c r="I21" i="15"/>
  <c r="J21" i="15"/>
  <c r="K21" i="15"/>
  <c r="L21" i="15"/>
  <c r="M21" i="15"/>
  <c r="N21" i="15"/>
  <c r="O21" i="15"/>
  <c r="P21" i="15"/>
  <c r="Q21" i="15"/>
  <c r="R21" i="15"/>
  <c r="S21" i="15"/>
  <c r="T21" i="15"/>
  <c r="U21" i="15"/>
  <c r="V21" i="15"/>
  <c r="W21" i="15"/>
  <c r="X21" i="15"/>
  <c r="Y21" i="15"/>
  <c r="Z21" i="15"/>
  <c r="AA21" i="15"/>
  <c r="AB21" i="15"/>
  <c r="AC21" i="15"/>
  <c r="AD21" i="15"/>
  <c r="AE21" i="15"/>
  <c r="AF21" i="15"/>
  <c r="AG21" i="15"/>
  <c r="AH21" i="15"/>
  <c r="AI21" i="15"/>
  <c r="AJ21" i="15"/>
  <c r="AK21" i="15"/>
  <c r="AL21" i="15"/>
  <c r="C22" i="15"/>
  <c r="F22" i="15"/>
  <c r="I22" i="15"/>
  <c r="J22" i="15"/>
  <c r="K22" i="15"/>
  <c r="L22" i="15"/>
  <c r="M22" i="15"/>
  <c r="N22" i="15"/>
  <c r="O22" i="15"/>
  <c r="P22" i="15"/>
  <c r="Q22" i="15"/>
  <c r="R22" i="15"/>
  <c r="S22" i="15"/>
  <c r="T22" i="15"/>
  <c r="U22" i="15"/>
  <c r="V22" i="15"/>
  <c r="W22" i="15"/>
  <c r="X22" i="15"/>
  <c r="Y22" i="15"/>
  <c r="Z22" i="15"/>
  <c r="AA22" i="15"/>
  <c r="AB22" i="15"/>
  <c r="AC22" i="15"/>
  <c r="AD22" i="15"/>
  <c r="AE22" i="15"/>
  <c r="AF22" i="15"/>
  <c r="AG22" i="15"/>
  <c r="AH22" i="15"/>
  <c r="AI22" i="15"/>
  <c r="AJ22" i="15"/>
  <c r="AK22" i="15"/>
  <c r="AL22" i="15"/>
  <c r="C23" i="15"/>
  <c r="F23" i="15"/>
  <c r="I23" i="15"/>
  <c r="J23" i="15"/>
  <c r="K23" i="15"/>
  <c r="L23" i="15"/>
  <c r="M23" i="15"/>
  <c r="N23" i="15"/>
  <c r="O23" i="15"/>
  <c r="P23" i="15"/>
  <c r="Q23" i="15"/>
  <c r="R23" i="15"/>
  <c r="S23" i="15"/>
  <c r="T23" i="15"/>
  <c r="U23" i="15"/>
  <c r="V23" i="15"/>
  <c r="W23" i="15"/>
  <c r="X23" i="15"/>
  <c r="Y23" i="15"/>
  <c r="Z23" i="15"/>
  <c r="AA23" i="15"/>
  <c r="AB23" i="15"/>
  <c r="AC23" i="15"/>
  <c r="AD23" i="15"/>
  <c r="AE23" i="15"/>
  <c r="AF23" i="15"/>
  <c r="AG23" i="15"/>
  <c r="AH23" i="15"/>
  <c r="AI23" i="15"/>
  <c r="AJ23" i="15"/>
  <c r="AK23" i="15"/>
  <c r="AL23" i="15"/>
  <c r="C24" i="15"/>
  <c r="F24" i="15"/>
  <c r="I24" i="15"/>
  <c r="J24" i="15"/>
  <c r="K24" i="15"/>
  <c r="L24" i="15"/>
  <c r="M24" i="15"/>
  <c r="N24" i="15"/>
  <c r="O24" i="15"/>
  <c r="P24" i="15"/>
  <c r="Q24" i="15"/>
  <c r="R24" i="15"/>
  <c r="S24" i="15"/>
  <c r="T24" i="15"/>
  <c r="U24" i="15"/>
  <c r="V24" i="15"/>
  <c r="W24" i="15"/>
  <c r="X24" i="15"/>
  <c r="Y24" i="15"/>
  <c r="Z24" i="15"/>
  <c r="AA24" i="15"/>
  <c r="AB24" i="15"/>
  <c r="AC24" i="15"/>
  <c r="AD24" i="15"/>
  <c r="AE24" i="15"/>
  <c r="AF24" i="15"/>
  <c r="AG24" i="15"/>
  <c r="AH24" i="15"/>
  <c r="AI24" i="15"/>
  <c r="AJ24" i="15"/>
  <c r="AK24" i="15"/>
  <c r="AL24" i="15"/>
  <c r="C25" i="15"/>
  <c r="F25" i="15"/>
  <c r="I25" i="15"/>
  <c r="J25" i="15"/>
  <c r="K25" i="15"/>
  <c r="L25" i="15"/>
  <c r="M25" i="15"/>
  <c r="N25" i="15"/>
  <c r="O25" i="15"/>
  <c r="P25" i="15"/>
  <c r="Q25" i="15"/>
  <c r="R25" i="15"/>
  <c r="S25" i="15"/>
  <c r="T25" i="15"/>
  <c r="U25" i="15"/>
  <c r="V25" i="15"/>
  <c r="W25" i="15"/>
  <c r="X25" i="15"/>
  <c r="Y25" i="15"/>
  <c r="Z25" i="15"/>
  <c r="AA25" i="15"/>
  <c r="AB25" i="15"/>
  <c r="AC25" i="15"/>
  <c r="AD25" i="15"/>
  <c r="AE25" i="15"/>
  <c r="AF25" i="15"/>
  <c r="AG25" i="15"/>
  <c r="AH25" i="15"/>
  <c r="AI25" i="15"/>
  <c r="AJ25" i="15"/>
  <c r="AK25" i="15"/>
  <c r="AL25" i="15"/>
  <c r="C26" i="15"/>
  <c r="F26" i="15"/>
  <c r="I26" i="15"/>
  <c r="J26" i="15"/>
  <c r="K26" i="15"/>
  <c r="L26" i="15"/>
  <c r="M26" i="15"/>
  <c r="N26" i="15"/>
  <c r="O26" i="15"/>
  <c r="P26" i="15"/>
  <c r="Q26" i="15"/>
  <c r="R26" i="15"/>
  <c r="S26" i="15"/>
  <c r="T26" i="15"/>
  <c r="U26" i="15"/>
  <c r="V26" i="15"/>
  <c r="W26" i="15"/>
  <c r="X26" i="15"/>
  <c r="Y26" i="15"/>
  <c r="Z26" i="15"/>
  <c r="AA26" i="15"/>
  <c r="AB26" i="15"/>
  <c r="AC26" i="15"/>
  <c r="AD26" i="15"/>
  <c r="AE26" i="15"/>
  <c r="AF26" i="15"/>
  <c r="AG26" i="15"/>
  <c r="AH26" i="15"/>
  <c r="AI26" i="15"/>
  <c r="AJ26" i="15"/>
  <c r="AK26" i="15"/>
  <c r="AL26" i="15"/>
  <c r="C27" i="15"/>
  <c r="F27" i="15"/>
  <c r="I27" i="15"/>
  <c r="J27" i="15"/>
  <c r="K27" i="15"/>
  <c r="L27" i="15"/>
  <c r="M27" i="15"/>
  <c r="N27" i="15"/>
  <c r="O27" i="15"/>
  <c r="P27" i="15"/>
  <c r="Q27" i="15"/>
  <c r="R27" i="15"/>
  <c r="S27" i="15"/>
  <c r="T27" i="15"/>
  <c r="U27" i="15"/>
  <c r="V27" i="15"/>
  <c r="W27" i="15"/>
  <c r="X27" i="15"/>
  <c r="Y27" i="15"/>
  <c r="Z27" i="15"/>
  <c r="AA27" i="15"/>
  <c r="AB27" i="15"/>
  <c r="AC27" i="15"/>
  <c r="AD27" i="15"/>
  <c r="AE27" i="15"/>
  <c r="AF27" i="15"/>
  <c r="AG27" i="15"/>
  <c r="AH27" i="15"/>
  <c r="AI27" i="15"/>
  <c r="AJ27" i="15"/>
  <c r="AK27" i="15"/>
  <c r="AL27" i="15"/>
  <c r="C28" i="15"/>
  <c r="F28" i="15"/>
  <c r="I28" i="15"/>
  <c r="J28" i="15"/>
  <c r="K28" i="15"/>
  <c r="L28" i="15"/>
  <c r="M28" i="15"/>
  <c r="N28" i="15"/>
  <c r="O28" i="15"/>
  <c r="P28" i="15"/>
  <c r="Q28" i="15"/>
  <c r="R28" i="15"/>
  <c r="S28" i="15"/>
  <c r="T28" i="15"/>
  <c r="U28" i="15"/>
  <c r="V28" i="15"/>
  <c r="W28" i="15"/>
  <c r="X28" i="15"/>
  <c r="Y28" i="15"/>
  <c r="Z28" i="15"/>
  <c r="AA28" i="15"/>
  <c r="AB28" i="15"/>
  <c r="AC28" i="15"/>
  <c r="AD28" i="15"/>
  <c r="AE28" i="15"/>
  <c r="AF28" i="15"/>
  <c r="AG28" i="15"/>
  <c r="AH28" i="15"/>
  <c r="AI28" i="15"/>
  <c r="AJ28" i="15"/>
  <c r="AK28" i="15"/>
  <c r="AL28" i="15"/>
  <c r="C29" i="15"/>
  <c r="F29" i="15"/>
  <c r="G29" i="15"/>
  <c r="I29" i="15"/>
  <c r="J29" i="15"/>
  <c r="K29" i="15"/>
  <c r="L29" i="15"/>
  <c r="M29" i="15"/>
  <c r="N29" i="15"/>
  <c r="O29" i="15"/>
  <c r="P29" i="15"/>
  <c r="Q29" i="15"/>
  <c r="R29" i="15"/>
  <c r="S29" i="15"/>
  <c r="T29" i="15"/>
  <c r="U29" i="15"/>
  <c r="V29" i="15"/>
  <c r="W29" i="15"/>
  <c r="X29" i="15"/>
  <c r="Y29" i="15"/>
  <c r="Z29" i="15"/>
  <c r="AA29" i="15"/>
  <c r="AB29" i="15"/>
  <c r="AC29" i="15"/>
  <c r="AD29" i="15"/>
  <c r="AE29" i="15"/>
  <c r="AF29" i="15"/>
  <c r="AG29" i="15"/>
  <c r="AH29" i="15"/>
  <c r="AI29" i="15"/>
  <c r="AJ29" i="15"/>
  <c r="AK29" i="15"/>
  <c r="AL29" i="15"/>
  <c r="C30" i="15"/>
  <c r="F30" i="15"/>
  <c r="I30" i="15"/>
  <c r="J30" i="15"/>
  <c r="K30" i="15"/>
  <c r="L30" i="15"/>
  <c r="M30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AA30" i="15"/>
  <c r="AB30" i="15"/>
  <c r="AC30" i="15"/>
  <c r="AD30" i="15"/>
  <c r="AE30" i="15"/>
  <c r="AF30" i="15"/>
  <c r="AG30" i="15"/>
  <c r="AH30" i="15"/>
  <c r="AI30" i="15"/>
  <c r="AJ30" i="15"/>
  <c r="AK30" i="15"/>
  <c r="AL30" i="15"/>
  <c r="C31" i="15"/>
  <c r="F31" i="15"/>
  <c r="I31" i="15"/>
  <c r="J31" i="15"/>
  <c r="K31" i="15"/>
  <c r="L31" i="15"/>
  <c r="M31" i="15"/>
  <c r="N31" i="15"/>
  <c r="O31" i="15"/>
  <c r="P31" i="15"/>
  <c r="Q31" i="15"/>
  <c r="R31" i="15"/>
  <c r="S31" i="15"/>
  <c r="T31" i="15"/>
  <c r="U31" i="15"/>
  <c r="V31" i="15"/>
  <c r="W31" i="15"/>
  <c r="X31" i="15"/>
  <c r="Y31" i="15"/>
  <c r="Z31" i="15"/>
  <c r="AA31" i="15"/>
  <c r="AB31" i="15"/>
  <c r="AC31" i="15"/>
  <c r="AD31" i="15"/>
  <c r="AE31" i="15"/>
  <c r="AF31" i="15"/>
  <c r="AG31" i="15"/>
  <c r="AH31" i="15"/>
  <c r="AI31" i="15"/>
  <c r="AJ31" i="15"/>
  <c r="AK31" i="15"/>
  <c r="AL31" i="15"/>
  <c r="C32" i="15"/>
  <c r="F32" i="15"/>
  <c r="I32" i="15"/>
  <c r="J32" i="15"/>
  <c r="K32" i="15"/>
  <c r="L32" i="15"/>
  <c r="M32" i="15"/>
  <c r="N32" i="15"/>
  <c r="O32" i="15"/>
  <c r="P32" i="15"/>
  <c r="Q32" i="15"/>
  <c r="R32" i="15"/>
  <c r="S32" i="15"/>
  <c r="T32" i="15"/>
  <c r="U32" i="15"/>
  <c r="V32" i="15"/>
  <c r="W32" i="15"/>
  <c r="X32" i="15"/>
  <c r="Y32" i="15"/>
  <c r="Z32" i="15"/>
  <c r="AA32" i="15"/>
  <c r="AB32" i="15"/>
  <c r="AC32" i="15"/>
  <c r="AD32" i="15"/>
  <c r="AE32" i="15"/>
  <c r="AF32" i="15"/>
  <c r="AG32" i="15"/>
  <c r="AH32" i="15"/>
  <c r="AI32" i="15"/>
  <c r="AJ32" i="15"/>
  <c r="AK32" i="15"/>
  <c r="AL32" i="15"/>
  <c r="C33" i="15"/>
  <c r="F33" i="15"/>
  <c r="I33" i="15"/>
  <c r="J33" i="15"/>
  <c r="K33" i="15"/>
  <c r="L33" i="15"/>
  <c r="M33" i="15"/>
  <c r="N33" i="15"/>
  <c r="O33" i="15"/>
  <c r="P33" i="15"/>
  <c r="Q33" i="15"/>
  <c r="R33" i="15"/>
  <c r="S33" i="15"/>
  <c r="T33" i="15"/>
  <c r="U33" i="15"/>
  <c r="V33" i="15"/>
  <c r="W33" i="15"/>
  <c r="X33" i="15"/>
  <c r="Y33" i="15"/>
  <c r="Z33" i="15"/>
  <c r="AA33" i="15"/>
  <c r="AB33" i="15"/>
  <c r="AC33" i="15"/>
  <c r="AD33" i="15"/>
  <c r="AE33" i="15"/>
  <c r="AF33" i="15"/>
  <c r="AG33" i="15"/>
  <c r="AH33" i="15"/>
  <c r="AI33" i="15"/>
  <c r="AJ33" i="15"/>
  <c r="AK33" i="15"/>
  <c r="AL33" i="15"/>
  <c r="C34" i="15"/>
  <c r="F34" i="15"/>
  <c r="I34" i="15"/>
  <c r="J34" i="15"/>
  <c r="K34" i="15"/>
  <c r="L34" i="15"/>
  <c r="M34" i="15"/>
  <c r="N34" i="15"/>
  <c r="O34" i="15"/>
  <c r="P34" i="15"/>
  <c r="Q34" i="15"/>
  <c r="R34" i="15"/>
  <c r="S34" i="15"/>
  <c r="T34" i="15"/>
  <c r="U34" i="15"/>
  <c r="V34" i="15"/>
  <c r="W34" i="15"/>
  <c r="X34" i="15"/>
  <c r="Y34" i="15"/>
  <c r="Z34" i="15"/>
  <c r="AA34" i="15"/>
  <c r="AB34" i="15"/>
  <c r="AC34" i="15"/>
  <c r="AD34" i="15"/>
  <c r="AE34" i="15"/>
  <c r="AF34" i="15"/>
  <c r="AG34" i="15"/>
  <c r="AH34" i="15"/>
  <c r="AI34" i="15"/>
  <c r="AJ34" i="15"/>
  <c r="AK34" i="15"/>
  <c r="AL34" i="15"/>
  <c r="C35" i="15"/>
  <c r="F35" i="15"/>
  <c r="I35" i="15"/>
  <c r="J35" i="15"/>
  <c r="K35" i="15"/>
  <c r="L35" i="15"/>
  <c r="M35" i="15"/>
  <c r="N35" i="15"/>
  <c r="O35" i="15"/>
  <c r="P35" i="15"/>
  <c r="Q35" i="15"/>
  <c r="R35" i="15"/>
  <c r="S35" i="15"/>
  <c r="T35" i="15"/>
  <c r="U35" i="15"/>
  <c r="V35" i="15"/>
  <c r="W35" i="15"/>
  <c r="X35" i="15"/>
  <c r="Y35" i="15"/>
  <c r="Z35" i="15"/>
  <c r="AA35" i="15"/>
  <c r="AB35" i="15"/>
  <c r="AC35" i="15"/>
  <c r="AD35" i="15"/>
  <c r="AE35" i="15"/>
  <c r="AF35" i="15"/>
  <c r="AG35" i="15"/>
  <c r="AH35" i="15"/>
  <c r="AI35" i="15"/>
  <c r="AJ35" i="15"/>
  <c r="AK35" i="15"/>
  <c r="AL35" i="15"/>
  <c r="C36" i="15"/>
  <c r="F36" i="15"/>
  <c r="I36" i="15"/>
  <c r="J36" i="15"/>
  <c r="K36" i="15"/>
  <c r="L36" i="15"/>
  <c r="M36" i="15"/>
  <c r="N36" i="15"/>
  <c r="O36" i="15"/>
  <c r="P36" i="15"/>
  <c r="Q36" i="15"/>
  <c r="R36" i="15"/>
  <c r="S36" i="15"/>
  <c r="T36" i="15"/>
  <c r="U36" i="15"/>
  <c r="V36" i="15"/>
  <c r="W36" i="15"/>
  <c r="X36" i="15"/>
  <c r="Y36" i="15"/>
  <c r="Z36" i="15"/>
  <c r="AA36" i="15"/>
  <c r="AB36" i="15"/>
  <c r="AC36" i="15"/>
  <c r="AD36" i="15"/>
  <c r="AE36" i="15"/>
  <c r="AF36" i="15"/>
  <c r="AG36" i="15"/>
  <c r="AH36" i="15"/>
  <c r="AI36" i="15"/>
  <c r="AJ36" i="15"/>
  <c r="AK36" i="15"/>
  <c r="AL36" i="15"/>
  <c r="C37" i="15"/>
  <c r="F37" i="15"/>
  <c r="I37" i="15"/>
  <c r="J37" i="15"/>
  <c r="K37" i="15"/>
  <c r="L37" i="15"/>
  <c r="M37" i="15"/>
  <c r="N37" i="15"/>
  <c r="O37" i="15"/>
  <c r="P37" i="15"/>
  <c r="Q37" i="15"/>
  <c r="R37" i="15"/>
  <c r="S37" i="15"/>
  <c r="T37" i="15"/>
  <c r="U37" i="15"/>
  <c r="V37" i="15"/>
  <c r="W37" i="15"/>
  <c r="X37" i="15"/>
  <c r="Y37" i="15"/>
  <c r="Z37" i="15"/>
  <c r="AA37" i="15"/>
  <c r="AB37" i="15"/>
  <c r="AC37" i="15"/>
  <c r="AD37" i="15"/>
  <c r="AE37" i="15"/>
  <c r="AF37" i="15"/>
  <c r="AG37" i="15"/>
  <c r="AH37" i="15"/>
  <c r="AI37" i="15"/>
  <c r="AJ37" i="15"/>
  <c r="AK37" i="15"/>
  <c r="AL37" i="15"/>
  <c r="C38" i="15"/>
  <c r="F38" i="15"/>
  <c r="I38" i="15"/>
  <c r="J38" i="15"/>
  <c r="K38" i="15"/>
  <c r="L38" i="15"/>
  <c r="M38" i="15"/>
  <c r="N38" i="15"/>
  <c r="O38" i="15"/>
  <c r="P38" i="15"/>
  <c r="Q38" i="15"/>
  <c r="R38" i="15"/>
  <c r="S38" i="15"/>
  <c r="T38" i="15"/>
  <c r="U38" i="15"/>
  <c r="V38" i="15"/>
  <c r="W38" i="15"/>
  <c r="X38" i="15"/>
  <c r="Y38" i="15"/>
  <c r="Z38" i="15"/>
  <c r="AA38" i="15"/>
  <c r="AB38" i="15"/>
  <c r="AC38" i="15"/>
  <c r="AD38" i="15"/>
  <c r="AE38" i="15"/>
  <c r="AF38" i="15"/>
  <c r="AG38" i="15"/>
  <c r="AH38" i="15"/>
  <c r="AI38" i="15"/>
  <c r="AJ38" i="15"/>
  <c r="AK38" i="15"/>
  <c r="AL38" i="15"/>
  <c r="C39" i="15"/>
  <c r="F39" i="15"/>
  <c r="I39" i="15"/>
  <c r="J39" i="15"/>
  <c r="K39" i="15"/>
  <c r="L39" i="15"/>
  <c r="M39" i="15"/>
  <c r="N39" i="15"/>
  <c r="O39" i="15"/>
  <c r="P39" i="15"/>
  <c r="Q39" i="15"/>
  <c r="R39" i="15"/>
  <c r="S39" i="15"/>
  <c r="T39" i="15"/>
  <c r="U39" i="15"/>
  <c r="V39" i="15"/>
  <c r="W39" i="15"/>
  <c r="X39" i="15"/>
  <c r="Y39" i="15"/>
  <c r="Z39" i="15"/>
  <c r="AA39" i="15"/>
  <c r="AB39" i="15"/>
  <c r="AC39" i="15"/>
  <c r="AD39" i="15"/>
  <c r="AE39" i="15"/>
  <c r="AF39" i="15"/>
  <c r="AG39" i="15"/>
  <c r="AH39" i="15"/>
  <c r="AI39" i="15"/>
  <c r="AJ39" i="15"/>
  <c r="AK39" i="15"/>
  <c r="AL39" i="15"/>
  <c r="C40" i="15"/>
  <c r="F40" i="15"/>
  <c r="G40" i="15"/>
  <c r="I40" i="15"/>
  <c r="J40" i="15"/>
  <c r="K40" i="15"/>
  <c r="L40" i="15"/>
  <c r="M40" i="15"/>
  <c r="N40" i="15"/>
  <c r="O40" i="15"/>
  <c r="P40" i="15"/>
  <c r="Q40" i="15"/>
  <c r="R40" i="15"/>
  <c r="S40" i="15"/>
  <c r="T40" i="15"/>
  <c r="U40" i="15"/>
  <c r="V40" i="15"/>
  <c r="W40" i="15"/>
  <c r="X40" i="15"/>
  <c r="Y40" i="15"/>
  <c r="Z40" i="15"/>
  <c r="AA40" i="15"/>
  <c r="AB40" i="15"/>
  <c r="AC40" i="15"/>
  <c r="AD40" i="15"/>
  <c r="AE40" i="15"/>
  <c r="AF40" i="15"/>
  <c r="AG40" i="15"/>
  <c r="AH40" i="15"/>
  <c r="AI40" i="15"/>
  <c r="AJ40" i="15"/>
  <c r="AK40" i="15"/>
  <c r="AL40" i="15"/>
  <c r="C41" i="15"/>
  <c r="F41" i="15"/>
  <c r="G41" i="15"/>
  <c r="I41" i="15"/>
  <c r="J41" i="15"/>
  <c r="K41" i="15"/>
  <c r="L41" i="15"/>
  <c r="M41" i="15"/>
  <c r="N41" i="15"/>
  <c r="O41" i="15"/>
  <c r="P41" i="15"/>
  <c r="Q41" i="15"/>
  <c r="R41" i="15"/>
  <c r="S41" i="15"/>
  <c r="T41" i="15"/>
  <c r="U41" i="15"/>
  <c r="V41" i="15"/>
  <c r="W41" i="15"/>
  <c r="X41" i="15"/>
  <c r="Y41" i="15"/>
  <c r="Z41" i="15"/>
  <c r="AA41" i="15"/>
  <c r="AB41" i="15"/>
  <c r="AC41" i="15"/>
  <c r="AD41" i="15"/>
  <c r="AE41" i="15"/>
  <c r="AF41" i="15"/>
  <c r="AG41" i="15"/>
  <c r="AH41" i="15"/>
  <c r="AI41" i="15"/>
  <c r="AJ41" i="15"/>
  <c r="AK41" i="15"/>
  <c r="AL41" i="15"/>
  <c r="C42" i="15"/>
  <c r="F42" i="15"/>
  <c r="I42" i="15"/>
  <c r="J42" i="15"/>
  <c r="K42" i="15"/>
  <c r="L42" i="15"/>
  <c r="M42" i="15"/>
  <c r="N42" i="15"/>
  <c r="O42" i="15"/>
  <c r="P42" i="15"/>
  <c r="Q42" i="15"/>
  <c r="R42" i="15"/>
  <c r="S42" i="15"/>
  <c r="T42" i="15"/>
  <c r="U42" i="15"/>
  <c r="V42" i="15"/>
  <c r="W42" i="15"/>
  <c r="X42" i="15"/>
  <c r="Y42" i="15"/>
  <c r="Z42" i="15"/>
  <c r="AA42" i="15"/>
  <c r="AB42" i="15"/>
  <c r="AC42" i="15"/>
  <c r="AD42" i="15"/>
  <c r="AE42" i="15"/>
  <c r="AF42" i="15"/>
  <c r="AG42" i="15"/>
  <c r="AH42" i="15"/>
  <c r="AI42" i="15"/>
  <c r="AJ42" i="15"/>
  <c r="AK42" i="15"/>
  <c r="AL42" i="15"/>
  <c r="C43" i="15"/>
  <c r="F43" i="15"/>
  <c r="I43" i="15"/>
  <c r="J43" i="15"/>
  <c r="K43" i="15"/>
  <c r="L43" i="15"/>
  <c r="M43" i="15"/>
  <c r="N43" i="15"/>
  <c r="O43" i="15"/>
  <c r="P43" i="15"/>
  <c r="Q43" i="15"/>
  <c r="R43" i="15"/>
  <c r="S43" i="15"/>
  <c r="T43" i="15"/>
  <c r="U43" i="15"/>
  <c r="V43" i="15"/>
  <c r="W43" i="15"/>
  <c r="X43" i="15"/>
  <c r="Y43" i="15"/>
  <c r="Z43" i="15"/>
  <c r="AA43" i="15"/>
  <c r="AB43" i="15"/>
  <c r="AC43" i="15"/>
  <c r="AD43" i="15"/>
  <c r="AE43" i="15"/>
  <c r="AF43" i="15"/>
  <c r="AG43" i="15"/>
  <c r="AH43" i="15"/>
  <c r="AI43" i="15"/>
  <c r="AJ43" i="15"/>
  <c r="AK43" i="15"/>
  <c r="AL43" i="15"/>
  <c r="B5" i="15"/>
  <c r="B6" i="15"/>
  <c r="B7" i="15"/>
  <c r="B8" i="15"/>
  <c r="B9" i="15"/>
  <c r="B10" i="15"/>
  <c r="B11" i="15"/>
  <c r="B12" i="15"/>
  <c r="B13" i="15"/>
  <c r="B14" i="15"/>
  <c r="B15" i="15"/>
  <c r="B16" i="15"/>
  <c r="B17" i="15"/>
  <c r="B18" i="15"/>
  <c r="B19" i="15"/>
  <c r="B20" i="15"/>
  <c r="B21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C4" i="15"/>
  <c r="F4" i="15"/>
  <c r="I4" i="15"/>
  <c r="J4" i="15"/>
  <c r="K4" i="15"/>
  <c r="L4" i="15"/>
  <c r="M4" i="15"/>
  <c r="N4" i="15"/>
  <c r="O4" i="15"/>
  <c r="P4" i="15"/>
  <c r="Q4" i="15"/>
  <c r="R4" i="15"/>
  <c r="S4" i="15"/>
  <c r="T4" i="15"/>
  <c r="U4" i="15"/>
  <c r="V4" i="15"/>
  <c r="W4" i="15"/>
  <c r="X4" i="15"/>
  <c r="Y4" i="15"/>
  <c r="Z4" i="15"/>
  <c r="AA4" i="15"/>
  <c r="AB4" i="15"/>
  <c r="AC4" i="15"/>
  <c r="AD4" i="15"/>
  <c r="AE4" i="15"/>
  <c r="AF4" i="15"/>
  <c r="AG4" i="15"/>
  <c r="AH4" i="15"/>
  <c r="AI4" i="15"/>
  <c r="AJ4" i="15"/>
  <c r="AK4" i="15"/>
  <c r="AL4" i="15"/>
  <c r="B4" i="15"/>
  <c r="F91" i="6"/>
  <c r="G10" i="24" l="1"/>
  <c r="G9" i="24"/>
  <c r="G8" i="24"/>
  <c r="N22" i="6"/>
  <c r="BM10" i="22"/>
  <c r="BM9" i="22"/>
  <c r="N21" i="6"/>
  <c r="BM4" i="22"/>
  <c r="N16" i="6"/>
  <c r="BM3" i="22"/>
  <c r="N15" i="6"/>
  <c r="BM5" i="22"/>
  <c r="N17" i="6"/>
  <c r="BM6" i="22"/>
  <c r="N18" i="6"/>
  <c r="BM2" i="22"/>
  <c r="N14" i="6"/>
  <c r="BM7" i="22"/>
  <c r="N19" i="6"/>
  <c r="BM8" i="22"/>
  <c r="N20" i="6"/>
  <c r="AH8" i="22"/>
  <c r="AB8" i="22"/>
  <c r="AH7" i="22"/>
  <c r="AB7" i="22"/>
  <c r="R4" i="6"/>
  <c r="L16" i="6"/>
  <c r="AB4" i="22"/>
  <c r="AH6" i="22"/>
  <c r="AB6" i="22"/>
  <c r="AH5" i="22"/>
  <c r="AB5" i="22"/>
  <c r="L15" i="6"/>
  <c r="AB3" i="22"/>
  <c r="G32" i="15"/>
  <c r="L29" i="6"/>
  <c r="L24" i="6"/>
  <c r="L30" i="6"/>
  <c r="L48" i="6"/>
  <c r="AH2" i="22"/>
  <c r="L14" i="6"/>
  <c r="L83" i="6"/>
  <c r="L35" i="6"/>
  <c r="L88" i="6"/>
  <c r="AH69" i="22"/>
  <c r="G37" i="15"/>
  <c r="G13" i="15"/>
  <c r="L71" i="6"/>
  <c r="L77" i="6"/>
  <c r="L70" i="6"/>
  <c r="L47" i="6"/>
  <c r="L23" i="6"/>
  <c r="L22" i="6"/>
  <c r="L40" i="6"/>
  <c r="AH45" i="22"/>
  <c r="AH13" i="22"/>
  <c r="G25" i="15"/>
  <c r="G9" i="15"/>
  <c r="L86" i="6"/>
  <c r="L62" i="6"/>
  <c r="L19" i="6"/>
  <c r="L64" i="6"/>
  <c r="L36" i="6"/>
  <c r="G8" i="15"/>
  <c r="AH77" i="22"/>
  <c r="AH53" i="22"/>
  <c r="AH47" i="22"/>
  <c r="AH41" i="22"/>
  <c r="AH29" i="22"/>
  <c r="L61" i="6"/>
  <c r="G24" i="15"/>
  <c r="L67" i="6"/>
  <c r="L76" i="6"/>
  <c r="L60" i="6"/>
  <c r="G18" i="15"/>
  <c r="AH70" i="22"/>
  <c r="AH46" i="22"/>
  <c r="AH40" i="22"/>
  <c r="AH34" i="22"/>
  <c r="AH22" i="22"/>
  <c r="AH10" i="22"/>
  <c r="L31" i="6"/>
  <c r="G33" i="15"/>
  <c r="L78" i="6"/>
  <c r="L46" i="6"/>
  <c r="L85" i="6"/>
  <c r="L37" i="6"/>
  <c r="AH62" i="22"/>
  <c r="AH38" i="22"/>
  <c r="AH26" i="22"/>
  <c r="AH14" i="22"/>
  <c r="G21" i="15"/>
  <c r="L79" i="6"/>
  <c r="L72" i="6"/>
  <c r="L43" i="6"/>
  <c r="L84" i="6"/>
  <c r="AH61" i="22"/>
  <c r="AH37" i="22"/>
  <c r="AH78" i="22"/>
  <c r="AH54" i="22"/>
  <c r="AH30" i="22"/>
  <c r="AH18" i="22"/>
  <c r="AH3" i="22"/>
  <c r="L17" i="6"/>
  <c r="AH4" i="22"/>
  <c r="L18" i="6"/>
  <c r="G42" i="15"/>
  <c r="G34" i="15"/>
  <c r="G30" i="15"/>
  <c r="G26" i="15"/>
  <c r="G22" i="15"/>
  <c r="G14" i="15"/>
  <c r="L28" i="6"/>
  <c r="G43" i="15"/>
  <c r="G39" i="15"/>
  <c r="G35" i="15"/>
  <c r="G31" i="15"/>
  <c r="G27" i="15"/>
  <c r="G23" i="15"/>
  <c r="G19" i="15"/>
  <c r="G15" i="15"/>
  <c r="G11" i="15"/>
  <c r="G38" i="15"/>
  <c r="AX5" i="13"/>
  <c r="AN5" i="13"/>
  <c r="AM5" i="13"/>
  <c r="AL5" i="13"/>
  <c r="AK5" i="13"/>
  <c r="AJ5" i="13"/>
  <c r="AI5" i="13"/>
  <c r="AH5" i="13"/>
  <c r="AG5" i="13"/>
  <c r="AF5" i="13"/>
  <c r="AE5" i="13"/>
  <c r="AD5" i="13"/>
  <c r="AC5" i="13"/>
  <c r="Z5" i="13"/>
  <c r="Y5" i="13"/>
  <c r="X5" i="13"/>
  <c r="W5" i="13"/>
  <c r="V5" i="13"/>
  <c r="U5" i="13"/>
  <c r="T6" i="13" l="1"/>
  <c r="T7" i="13"/>
  <c r="T8" i="13"/>
  <c r="S6" i="13"/>
  <c r="S7" i="13"/>
  <c r="S8" i="13"/>
  <c r="S5" i="13"/>
  <c r="O8" i="13" l="1"/>
  <c r="F8" i="13" s="1"/>
  <c r="O7" i="13"/>
  <c r="F7" i="13" s="1"/>
  <c r="O6" i="13"/>
  <c r="F6" i="13" s="1"/>
  <c r="N8" i="13"/>
  <c r="N7" i="13"/>
  <c r="N6" i="13"/>
  <c r="N5" i="13"/>
  <c r="L8" i="13"/>
  <c r="L7" i="13"/>
  <c r="L6" i="13"/>
  <c r="C8" i="13"/>
  <c r="C7" i="13"/>
  <c r="C6" i="13"/>
  <c r="M8" i="13"/>
  <c r="M7" i="13"/>
  <c r="M6" i="13"/>
  <c r="M5" i="13"/>
  <c r="G6" i="13" l="1"/>
  <c r="E6" i="13"/>
  <c r="E7" i="13"/>
  <c r="G7" i="13"/>
  <c r="G8" i="13"/>
  <c r="E8" i="13"/>
  <c r="C14" i="8"/>
  <c r="C15" i="8"/>
  <c r="C16" i="8"/>
  <c r="D17" i="8"/>
  <c r="C18" i="8"/>
  <c r="C19" i="8"/>
  <c r="C20" i="8"/>
  <c r="C17" i="8" l="1"/>
  <c r="D18" i="8"/>
  <c r="D20" i="8"/>
  <c r="D16" i="8"/>
  <c r="D19" i="8"/>
  <c r="D15" i="8"/>
  <c r="C12" i="8"/>
  <c r="AR12" i="6"/>
  <c r="AR11" i="6" s="1"/>
  <c r="AQ12" i="6"/>
  <c r="AQ11" i="6" s="1"/>
  <c r="AP12" i="6"/>
  <c r="AO12" i="6"/>
  <c r="AO11" i="6" s="1"/>
  <c r="AN12" i="6"/>
  <c r="AN11" i="6" s="1"/>
  <c r="AM12" i="6"/>
  <c r="AM11" i="6" s="1"/>
  <c r="AL12" i="6"/>
  <c r="AL11" i="6" s="1"/>
  <c r="AK12" i="6"/>
  <c r="AK11" i="6" s="1"/>
  <c r="AJ12" i="6"/>
  <c r="AJ11" i="6" s="1"/>
  <c r="AI12" i="6"/>
  <c r="AI11" i="6" s="1"/>
  <c r="G5" i="15"/>
  <c r="G6" i="15"/>
  <c r="G7" i="15"/>
  <c r="G10" i="15"/>
  <c r="G4" i="15"/>
  <c r="N20" i="12"/>
  <c r="L5" i="13" s="1"/>
  <c r="G20" i="12"/>
  <c r="D20" i="12"/>
  <c r="D5" i="13" s="1"/>
  <c r="B20" i="12"/>
  <c r="K12" i="12"/>
  <c r="B12" i="12"/>
  <c r="X48" i="12"/>
  <c r="W48" i="12"/>
  <c r="V48" i="12"/>
  <c r="AZ29" i="12"/>
  <c r="AV8" i="13" s="1"/>
  <c r="AX29" i="12"/>
  <c r="AV7" i="13" s="1"/>
  <c r="AV29" i="12"/>
  <c r="AV6" i="13" s="1"/>
  <c r="S23" i="12"/>
  <c r="R8" i="13" s="1"/>
  <c r="P23" i="12"/>
  <c r="S22" i="12"/>
  <c r="R7" i="13" s="1"/>
  <c r="P22" i="12"/>
  <c r="S21" i="12"/>
  <c r="R6" i="13" s="1"/>
  <c r="P21" i="12"/>
  <c r="O5" i="13"/>
  <c r="E5" i="13" l="1"/>
  <c r="F5" i="13"/>
  <c r="G5" i="13"/>
  <c r="AW8" i="12"/>
  <c r="AZ5" i="13"/>
  <c r="K91" i="6"/>
  <c r="I7" i="13"/>
  <c r="I5" i="13"/>
  <c r="I8" i="13"/>
  <c r="I6" i="13"/>
  <c r="J8" i="13"/>
  <c r="J5" i="13"/>
  <c r="J6" i="13"/>
  <c r="J7" i="13"/>
  <c r="K7" i="13"/>
  <c r="K8" i="13"/>
  <c r="K6" i="13"/>
  <c r="K5" i="13"/>
  <c r="H6" i="13"/>
  <c r="H7" i="13"/>
  <c r="H8" i="13"/>
  <c r="H5" i="13"/>
  <c r="U48" i="12"/>
  <c r="C5" i="13"/>
  <c r="S20" i="12"/>
  <c r="R5" i="13" s="1"/>
  <c r="P20" i="12"/>
  <c r="AT29" i="12"/>
  <c r="AV5" i="13" s="1"/>
  <c r="AQ58" i="10" l="1"/>
  <c r="AQ18" i="10"/>
  <c r="AQ19" i="10"/>
  <c r="AQ20" i="10"/>
  <c r="AQ21" i="10"/>
  <c r="AQ22" i="10"/>
  <c r="AQ23" i="10"/>
  <c r="AQ24" i="10"/>
  <c r="AQ25" i="10"/>
  <c r="AQ26" i="10"/>
  <c r="AQ27" i="10"/>
  <c r="AQ28" i="10"/>
  <c r="AQ29" i="10"/>
  <c r="AQ30" i="10"/>
  <c r="AQ31" i="10"/>
  <c r="AQ32" i="10"/>
  <c r="AQ33" i="10"/>
  <c r="AQ34" i="10"/>
  <c r="AQ35" i="10"/>
  <c r="AQ37" i="10"/>
  <c r="AQ38" i="10"/>
  <c r="AQ39" i="10"/>
  <c r="AQ40" i="10"/>
  <c r="AQ42" i="10"/>
  <c r="AQ43" i="10"/>
  <c r="AQ44" i="10"/>
  <c r="AQ45" i="10"/>
  <c r="AQ46" i="10"/>
  <c r="AQ47" i="10"/>
  <c r="AQ48" i="10"/>
  <c r="AQ49" i="10"/>
  <c r="AQ50" i="10"/>
  <c r="AQ51" i="10"/>
  <c r="AQ52" i="10"/>
  <c r="AQ53" i="10"/>
  <c r="AQ54" i="10"/>
  <c r="AQ55" i="10"/>
  <c r="AQ56" i="10"/>
  <c r="AQ57" i="10"/>
  <c r="AQ15" i="10"/>
  <c r="AQ16" i="10"/>
  <c r="AQ17" i="10"/>
  <c r="AQ14" i="10"/>
  <c r="M9" i="22"/>
  <c r="AQ41" i="10"/>
  <c r="AQ36" i="10"/>
  <c r="X68" i="10"/>
  <c r="AM1" i="1"/>
  <c r="AJ1" i="1" s="1"/>
  <c r="BE15" i="1"/>
  <c r="AV15" i="1" s="1"/>
  <c r="BE16" i="1"/>
  <c r="BF16" i="1"/>
  <c r="BE17" i="1"/>
  <c r="AV17" i="1" s="1"/>
  <c r="BF17" i="1"/>
  <c r="BE18" i="1"/>
  <c r="AV18" i="1" s="1"/>
  <c r="BF18" i="1"/>
  <c r="BG18" i="1"/>
  <c r="BE19" i="1"/>
  <c r="AV19" i="1" s="1"/>
  <c r="BE20" i="1"/>
  <c r="BE21" i="1"/>
  <c r="AV21" i="1" s="1"/>
  <c r="BE22" i="1"/>
  <c r="BF22" i="1"/>
  <c r="BG22" i="1"/>
  <c r="BE23" i="1"/>
  <c r="AV23" i="1" s="1"/>
  <c r="BF23" i="1"/>
  <c r="BG23" i="1"/>
  <c r="BE24" i="1"/>
  <c r="AV24" i="1" s="1"/>
  <c r="BF24" i="1"/>
  <c r="BG24" i="1"/>
  <c r="BE25" i="1"/>
  <c r="AV25" i="1" s="1"/>
  <c r="BF25" i="1"/>
  <c r="BG25" i="1"/>
  <c r="H26" i="24" s="1"/>
  <c r="BE26" i="1"/>
  <c r="BF26" i="1"/>
  <c r="BG26" i="1"/>
  <c r="BE27" i="1"/>
  <c r="BF27" i="1"/>
  <c r="BG27" i="1"/>
  <c r="BE28" i="1"/>
  <c r="BF28" i="1"/>
  <c r="BG28" i="1"/>
  <c r="BE29" i="1"/>
  <c r="BF29" i="1"/>
  <c r="BG29" i="1"/>
  <c r="BE30" i="1"/>
  <c r="BF30" i="1"/>
  <c r="BG30" i="1"/>
  <c r="BE31" i="1"/>
  <c r="BF31" i="1"/>
  <c r="BG31" i="1"/>
  <c r="H32" i="24" s="1"/>
  <c r="BE32" i="1"/>
  <c r="BF32" i="1"/>
  <c r="BG32" i="1"/>
  <c r="H33" i="24" s="1"/>
  <c r="BE33" i="1"/>
  <c r="BF33" i="1"/>
  <c r="BG33" i="1"/>
  <c r="BE34" i="1"/>
  <c r="BF34" i="1"/>
  <c r="BG34" i="1"/>
  <c r="BE35" i="1"/>
  <c r="BF35" i="1"/>
  <c r="BG35" i="1"/>
  <c r="BE36" i="1"/>
  <c r="BF36" i="1"/>
  <c r="BG36" i="1"/>
  <c r="BE37" i="1"/>
  <c r="BF37" i="1"/>
  <c r="BG37" i="1"/>
  <c r="H38" i="24" s="1"/>
  <c r="BE38" i="1"/>
  <c r="BF38" i="1"/>
  <c r="BG38" i="1"/>
  <c r="BE39" i="1"/>
  <c r="BF39" i="1"/>
  <c r="BG39" i="1"/>
  <c r="BE40" i="1"/>
  <c r="BF40" i="1"/>
  <c r="BG40" i="1"/>
  <c r="BE41" i="1"/>
  <c r="BF41" i="1"/>
  <c r="BG41" i="1"/>
  <c r="H42" i="24" s="1"/>
  <c r="BE42" i="1"/>
  <c r="BF42" i="1"/>
  <c r="BG42" i="1"/>
  <c r="H43" i="24" s="1"/>
  <c r="BE43" i="1"/>
  <c r="BF43" i="1"/>
  <c r="BG43" i="1"/>
  <c r="H44" i="24" s="1"/>
  <c r="BE44" i="1"/>
  <c r="BF44" i="1"/>
  <c r="BG44" i="1"/>
  <c r="BE45" i="1"/>
  <c r="BF45" i="1"/>
  <c r="BG45" i="1"/>
  <c r="BE46" i="1"/>
  <c r="BF46" i="1"/>
  <c r="BG46" i="1"/>
  <c r="BE47" i="1"/>
  <c r="BF47" i="1"/>
  <c r="BG47" i="1"/>
  <c r="BE48" i="1"/>
  <c r="BF48" i="1"/>
  <c r="BG48" i="1"/>
  <c r="H49" i="24" s="1"/>
  <c r="BE49" i="1"/>
  <c r="BF49" i="1"/>
  <c r="BG49" i="1"/>
  <c r="BE50" i="1"/>
  <c r="BF50" i="1"/>
  <c r="BG50" i="1"/>
  <c r="BE51" i="1"/>
  <c r="BF51" i="1"/>
  <c r="BG51" i="1"/>
  <c r="BE52" i="1"/>
  <c r="BF52" i="1"/>
  <c r="BG52" i="1"/>
  <c r="BE53" i="1"/>
  <c r="BF53" i="1"/>
  <c r="BG53" i="1"/>
  <c r="H62" i="24" s="1"/>
  <c r="BE54" i="1"/>
  <c r="BF54" i="1"/>
  <c r="BG54" i="1"/>
  <c r="H63" i="24" s="1"/>
  <c r="BE55" i="1"/>
  <c r="BF55" i="1"/>
  <c r="BG55" i="1"/>
  <c r="BE56" i="1"/>
  <c r="BF56" i="1"/>
  <c r="BG56" i="1"/>
  <c r="BE57" i="1"/>
  <c r="BF57" i="1"/>
  <c r="BG57" i="1"/>
  <c r="H66" i="24" s="1"/>
  <c r="BE58" i="1"/>
  <c r="BF58" i="1"/>
  <c r="BG58" i="1"/>
  <c r="BE14" i="1"/>
  <c r="BG21" i="10"/>
  <c r="BG22" i="10"/>
  <c r="BG23" i="10"/>
  <c r="H77" i="24" s="1"/>
  <c r="BG24" i="10"/>
  <c r="H78" i="24" s="1"/>
  <c r="BG25" i="10"/>
  <c r="BG26" i="10"/>
  <c r="BG27" i="10"/>
  <c r="BG28" i="10"/>
  <c r="H82" i="24" s="1"/>
  <c r="BG29" i="10"/>
  <c r="BG30" i="10"/>
  <c r="BG31" i="10"/>
  <c r="H85" i="24" s="1"/>
  <c r="BG32" i="10"/>
  <c r="H86" i="24" s="1"/>
  <c r="BG33" i="10"/>
  <c r="BG34" i="10"/>
  <c r="BG35" i="10"/>
  <c r="H89" i="24" s="1"/>
  <c r="BG36" i="10"/>
  <c r="H90" i="24" s="1"/>
  <c r="BG37" i="10"/>
  <c r="BG38" i="10"/>
  <c r="BG39" i="10"/>
  <c r="BG40" i="10"/>
  <c r="H94" i="24" s="1"/>
  <c r="BG41" i="10"/>
  <c r="BG42" i="10"/>
  <c r="BG43" i="10"/>
  <c r="BG44" i="10"/>
  <c r="H98" i="24" s="1"/>
  <c r="BG45" i="10"/>
  <c r="H99" i="24" s="1"/>
  <c r="BG46" i="10"/>
  <c r="BG47" i="10"/>
  <c r="H109" i="24" s="1"/>
  <c r="BG48" i="10"/>
  <c r="BG49" i="10"/>
  <c r="H111" i="24" s="1"/>
  <c r="BG50" i="10"/>
  <c r="BG51" i="10"/>
  <c r="H113" i="24" s="1"/>
  <c r="BG52" i="10"/>
  <c r="H114" i="24" s="1"/>
  <c r="BG53" i="10"/>
  <c r="H115" i="24" s="1"/>
  <c r="BG54" i="10"/>
  <c r="BG55" i="10"/>
  <c r="H117" i="24" s="1"/>
  <c r="BG56" i="10"/>
  <c r="BG57" i="10"/>
  <c r="H119" i="24" s="1"/>
  <c r="BG58" i="10"/>
  <c r="BF21" i="10"/>
  <c r="G75" i="24" s="1"/>
  <c r="BF22" i="10"/>
  <c r="G76" i="24" s="1"/>
  <c r="BF23" i="10"/>
  <c r="G77" i="24" s="1"/>
  <c r="BF24" i="10"/>
  <c r="G78" i="24" s="1"/>
  <c r="BF25" i="10"/>
  <c r="G79" i="24" s="1"/>
  <c r="BF26" i="10"/>
  <c r="G80" i="24" s="1"/>
  <c r="BF27" i="10"/>
  <c r="G81" i="24" s="1"/>
  <c r="BF28" i="10"/>
  <c r="G82" i="24" s="1"/>
  <c r="BF29" i="10"/>
  <c r="G83" i="24" s="1"/>
  <c r="BF30" i="10"/>
  <c r="G84" i="24" s="1"/>
  <c r="BF31" i="10"/>
  <c r="G85" i="24" s="1"/>
  <c r="BF32" i="10"/>
  <c r="G86" i="24" s="1"/>
  <c r="BF33" i="10"/>
  <c r="G87" i="24" s="1"/>
  <c r="BF34" i="10"/>
  <c r="G88" i="24" s="1"/>
  <c r="BF35" i="10"/>
  <c r="G89" i="24" s="1"/>
  <c r="BF36" i="10"/>
  <c r="G90" i="24" s="1"/>
  <c r="BF37" i="10"/>
  <c r="G91" i="24" s="1"/>
  <c r="BF38" i="10"/>
  <c r="G92" i="24" s="1"/>
  <c r="BF39" i="10"/>
  <c r="G93" i="24" s="1"/>
  <c r="BF40" i="10"/>
  <c r="G94" i="24" s="1"/>
  <c r="BF41" i="10"/>
  <c r="G95" i="24" s="1"/>
  <c r="BF42" i="10"/>
  <c r="G96" i="24" s="1"/>
  <c r="BF43" i="10"/>
  <c r="G97" i="24" s="1"/>
  <c r="BF44" i="10"/>
  <c r="G98" i="24" s="1"/>
  <c r="BF45" i="10"/>
  <c r="G99" i="24" s="1"/>
  <c r="BF46" i="10"/>
  <c r="G100" i="24" s="1"/>
  <c r="BF47" i="10"/>
  <c r="G109" i="24" s="1"/>
  <c r="BF48" i="10"/>
  <c r="G110" i="24" s="1"/>
  <c r="BF49" i="10"/>
  <c r="G111" i="24" s="1"/>
  <c r="BF50" i="10"/>
  <c r="G112" i="24" s="1"/>
  <c r="BF51" i="10"/>
  <c r="G113" i="24" s="1"/>
  <c r="BF52" i="10"/>
  <c r="G114" i="24" s="1"/>
  <c r="BF53" i="10"/>
  <c r="G115" i="24" s="1"/>
  <c r="BF54" i="10"/>
  <c r="G116" i="24" s="1"/>
  <c r="BF55" i="10"/>
  <c r="G117" i="24" s="1"/>
  <c r="BF56" i="10"/>
  <c r="G118" i="24" s="1"/>
  <c r="BF57" i="10"/>
  <c r="G119" i="24" s="1"/>
  <c r="BF58" i="10"/>
  <c r="G120" i="24" s="1"/>
  <c r="BE15" i="10"/>
  <c r="BE16" i="10"/>
  <c r="AV16" i="10" s="1"/>
  <c r="BE17" i="10"/>
  <c r="BE18" i="10"/>
  <c r="BE19" i="10"/>
  <c r="BE20" i="10"/>
  <c r="BE21" i="10"/>
  <c r="BE22" i="10"/>
  <c r="BE23" i="10"/>
  <c r="BE24" i="10"/>
  <c r="BE25" i="10"/>
  <c r="BE26" i="10"/>
  <c r="BE27" i="10"/>
  <c r="BE28" i="10"/>
  <c r="BE29" i="10"/>
  <c r="BE30" i="10"/>
  <c r="BE31" i="10"/>
  <c r="BE32" i="10"/>
  <c r="BE33" i="10"/>
  <c r="BE34" i="10"/>
  <c r="BE35" i="10"/>
  <c r="BE36" i="10"/>
  <c r="BE37" i="10"/>
  <c r="BE38" i="10"/>
  <c r="BE39" i="10"/>
  <c r="BE40" i="10"/>
  <c r="BE41" i="10"/>
  <c r="BE42" i="10"/>
  <c r="BE43" i="10"/>
  <c r="BE44" i="10"/>
  <c r="BE45" i="10"/>
  <c r="BE46" i="10"/>
  <c r="BE47" i="10"/>
  <c r="BE48" i="10"/>
  <c r="BE49" i="10"/>
  <c r="BE50" i="10"/>
  <c r="BE51" i="10"/>
  <c r="BE52" i="10"/>
  <c r="BE53" i="10"/>
  <c r="BE54" i="10"/>
  <c r="BE55" i="10"/>
  <c r="BE56" i="10"/>
  <c r="BE57" i="10"/>
  <c r="BE58" i="10"/>
  <c r="BE14" i="10"/>
  <c r="D29" i="6"/>
  <c r="D32" i="6"/>
  <c r="D33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V42" i="22" s="1"/>
  <c r="D55" i="6"/>
  <c r="V43" i="22" s="1"/>
  <c r="D56" i="6"/>
  <c r="V44" i="22" s="1"/>
  <c r="D57" i="6"/>
  <c r="V45" i="22" s="1"/>
  <c r="D58" i="6"/>
  <c r="V46" i="22" s="1"/>
  <c r="D59" i="6"/>
  <c r="V47" i="22" s="1"/>
  <c r="D60" i="6"/>
  <c r="V48" i="22" s="1"/>
  <c r="D61" i="6"/>
  <c r="V49" i="22" s="1"/>
  <c r="D62" i="6"/>
  <c r="V50" i="22" s="1"/>
  <c r="D63" i="6"/>
  <c r="V51" i="22" s="1"/>
  <c r="D64" i="6"/>
  <c r="V52" i="22" s="1"/>
  <c r="D65" i="6"/>
  <c r="V53" i="22" s="1"/>
  <c r="D66" i="6"/>
  <c r="V54" i="22" s="1"/>
  <c r="D67" i="6"/>
  <c r="V55" i="22" s="1"/>
  <c r="D68" i="6"/>
  <c r="V56" i="22" s="1"/>
  <c r="D69" i="6"/>
  <c r="V57" i="22" s="1"/>
  <c r="D70" i="6"/>
  <c r="V58" i="22" s="1"/>
  <c r="D71" i="6"/>
  <c r="V59" i="22" s="1"/>
  <c r="D72" i="6"/>
  <c r="V60" i="22" s="1"/>
  <c r="D73" i="6"/>
  <c r="V61" i="22" s="1"/>
  <c r="D74" i="6"/>
  <c r="V62" i="22" s="1"/>
  <c r="D75" i="6"/>
  <c r="V63" i="22" s="1"/>
  <c r="D76" i="6"/>
  <c r="V64" i="22" s="1"/>
  <c r="D77" i="6"/>
  <c r="V65" i="22" s="1"/>
  <c r="D78" i="6"/>
  <c r="V66" i="22" s="1"/>
  <c r="D79" i="6"/>
  <c r="V67" i="22" s="1"/>
  <c r="D80" i="6"/>
  <c r="V68" i="22" s="1"/>
  <c r="D81" i="6"/>
  <c r="V69" i="22" s="1"/>
  <c r="D82" i="6"/>
  <c r="V70" i="22" s="1"/>
  <c r="D83" i="6"/>
  <c r="V71" i="22" s="1"/>
  <c r="D84" i="6"/>
  <c r="V72" i="22" s="1"/>
  <c r="D85" i="6"/>
  <c r="V73" i="22" s="1"/>
  <c r="D86" i="6"/>
  <c r="V74" i="22" s="1"/>
  <c r="D87" i="6"/>
  <c r="V75" i="22" s="1"/>
  <c r="D88" i="6"/>
  <c r="V76" i="22" s="1"/>
  <c r="D89" i="6"/>
  <c r="V77" i="22" s="1"/>
  <c r="D90" i="6"/>
  <c r="V78" i="22" s="1"/>
  <c r="E28" i="6"/>
  <c r="E30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W42" i="22" s="1"/>
  <c r="E55" i="6"/>
  <c r="W43" i="22" s="1"/>
  <c r="E56" i="6"/>
  <c r="W44" i="22" s="1"/>
  <c r="E57" i="6"/>
  <c r="W45" i="22" s="1"/>
  <c r="E58" i="6"/>
  <c r="W46" i="22" s="1"/>
  <c r="E59" i="6"/>
  <c r="W47" i="22" s="1"/>
  <c r="E60" i="6"/>
  <c r="W48" i="22" s="1"/>
  <c r="E61" i="6"/>
  <c r="W49" i="22" s="1"/>
  <c r="E62" i="6"/>
  <c r="W50" i="22" s="1"/>
  <c r="E63" i="6"/>
  <c r="W51" i="22" s="1"/>
  <c r="E64" i="6"/>
  <c r="W52" i="22" s="1"/>
  <c r="E65" i="6"/>
  <c r="W53" i="22" s="1"/>
  <c r="E66" i="6"/>
  <c r="W54" i="22" s="1"/>
  <c r="E67" i="6"/>
  <c r="W55" i="22" s="1"/>
  <c r="E68" i="6"/>
  <c r="W56" i="22" s="1"/>
  <c r="E69" i="6"/>
  <c r="W57" i="22" s="1"/>
  <c r="E70" i="6"/>
  <c r="W58" i="22" s="1"/>
  <c r="E71" i="6"/>
  <c r="W59" i="22" s="1"/>
  <c r="E72" i="6"/>
  <c r="W60" i="22" s="1"/>
  <c r="E73" i="6"/>
  <c r="W61" i="22" s="1"/>
  <c r="E74" i="6"/>
  <c r="W62" i="22" s="1"/>
  <c r="E75" i="6"/>
  <c r="W63" i="22" s="1"/>
  <c r="E76" i="6"/>
  <c r="W64" i="22" s="1"/>
  <c r="E77" i="6"/>
  <c r="W65" i="22" s="1"/>
  <c r="E78" i="6"/>
  <c r="W66" i="22" s="1"/>
  <c r="E79" i="6"/>
  <c r="W67" i="22" s="1"/>
  <c r="E80" i="6"/>
  <c r="W68" i="22" s="1"/>
  <c r="E81" i="6"/>
  <c r="W69" i="22" s="1"/>
  <c r="E82" i="6"/>
  <c r="W70" i="22" s="1"/>
  <c r="E83" i="6"/>
  <c r="W71" i="22" s="1"/>
  <c r="E84" i="6"/>
  <c r="W72" i="22" s="1"/>
  <c r="E85" i="6"/>
  <c r="W73" i="22" s="1"/>
  <c r="E86" i="6"/>
  <c r="W74" i="22" s="1"/>
  <c r="E87" i="6"/>
  <c r="W75" i="22" s="1"/>
  <c r="E88" i="6"/>
  <c r="W76" i="22" s="1"/>
  <c r="E89" i="6"/>
  <c r="W77" i="22" s="1"/>
  <c r="E90" i="6"/>
  <c r="W78" i="22" s="1"/>
  <c r="AV58" i="10"/>
  <c r="AP58" i="10"/>
  <c r="AO58" i="10"/>
  <c r="AN58" i="10"/>
  <c r="AV57" i="10"/>
  <c r="AP57" i="10"/>
  <c r="AO57" i="10"/>
  <c r="AN57" i="10"/>
  <c r="AV56" i="10"/>
  <c r="AP56" i="10"/>
  <c r="AO56" i="10"/>
  <c r="C118" i="24" s="1"/>
  <c r="AN56" i="10"/>
  <c r="AV55" i="10"/>
  <c r="AP55" i="10"/>
  <c r="AO55" i="10"/>
  <c r="AN55" i="10"/>
  <c r="AV54" i="10"/>
  <c r="AP54" i="10"/>
  <c r="AO54" i="10"/>
  <c r="AN54" i="10"/>
  <c r="AV53" i="10"/>
  <c r="AP53" i="10"/>
  <c r="AO53" i="10"/>
  <c r="C115" i="24" s="1"/>
  <c r="AN53" i="10"/>
  <c r="AV52" i="10"/>
  <c r="AP52" i="10"/>
  <c r="AO52" i="10"/>
  <c r="C114" i="24" s="1"/>
  <c r="AN52" i="10"/>
  <c r="AV51" i="10"/>
  <c r="AP51" i="10"/>
  <c r="AO51" i="10"/>
  <c r="AN51" i="10"/>
  <c r="AV50" i="10"/>
  <c r="AP50" i="10"/>
  <c r="AO50" i="10"/>
  <c r="AN50" i="10"/>
  <c r="AV49" i="10"/>
  <c r="AP49" i="10"/>
  <c r="AO49" i="10"/>
  <c r="AN49" i="10"/>
  <c r="AV48" i="10"/>
  <c r="AP48" i="10"/>
  <c r="AO48" i="10"/>
  <c r="C110" i="24" s="1"/>
  <c r="AN48" i="10"/>
  <c r="AV47" i="10"/>
  <c r="AP47" i="10"/>
  <c r="L10" i="22" s="1"/>
  <c r="AO47" i="10"/>
  <c r="AN47" i="10"/>
  <c r="AV46" i="10"/>
  <c r="AP46" i="10"/>
  <c r="AO46" i="10"/>
  <c r="C100" i="24" s="1"/>
  <c r="AN46" i="10"/>
  <c r="AV45" i="10"/>
  <c r="AP45" i="10"/>
  <c r="AO45" i="10"/>
  <c r="AN45" i="10"/>
  <c r="AV44" i="10"/>
  <c r="AP44" i="10"/>
  <c r="AO44" i="10"/>
  <c r="C98" i="24" s="1"/>
  <c r="AN44" i="10"/>
  <c r="AV43" i="10"/>
  <c r="AP43" i="10"/>
  <c r="AO43" i="10"/>
  <c r="AN43" i="10"/>
  <c r="AV42" i="10"/>
  <c r="AP42" i="10"/>
  <c r="AO42" i="10"/>
  <c r="AN42" i="10"/>
  <c r="AV41" i="10"/>
  <c r="AP41" i="10"/>
  <c r="AO41" i="10"/>
  <c r="C95" i="24" s="1"/>
  <c r="AN41" i="10"/>
  <c r="AV40" i="10"/>
  <c r="AP40" i="10"/>
  <c r="AO40" i="10"/>
  <c r="C94" i="24" s="1"/>
  <c r="AN40" i="10"/>
  <c r="AV39" i="10"/>
  <c r="AP39" i="10"/>
  <c r="AO39" i="10"/>
  <c r="AN39" i="10"/>
  <c r="AV38" i="10"/>
  <c r="AP38" i="10"/>
  <c r="AO38" i="10"/>
  <c r="AN38" i="10"/>
  <c r="AV37" i="10"/>
  <c r="AP37" i="10"/>
  <c r="AO37" i="10"/>
  <c r="AN37" i="10"/>
  <c r="AV36" i="10"/>
  <c r="AP36" i="10"/>
  <c r="AO36" i="10"/>
  <c r="C90" i="24" s="1"/>
  <c r="AN36" i="10"/>
  <c r="AV35" i="10"/>
  <c r="AP35" i="10"/>
  <c r="AO35" i="10"/>
  <c r="AN35" i="10"/>
  <c r="AV34" i="10"/>
  <c r="AP34" i="10"/>
  <c r="AO34" i="10"/>
  <c r="AN34" i="10"/>
  <c r="AV33" i="10"/>
  <c r="AP33" i="10"/>
  <c r="AO33" i="10"/>
  <c r="AN33" i="10"/>
  <c r="AV32" i="10"/>
  <c r="AP32" i="10"/>
  <c r="AO32" i="10"/>
  <c r="C86" i="24" s="1"/>
  <c r="AN32" i="10"/>
  <c r="AV31" i="10"/>
  <c r="AP31" i="10"/>
  <c r="AO31" i="10"/>
  <c r="AN31" i="10"/>
  <c r="AV30" i="10"/>
  <c r="AP30" i="10"/>
  <c r="AO30" i="10"/>
  <c r="AN30" i="10"/>
  <c r="AV29" i="10"/>
  <c r="AP29" i="10"/>
  <c r="AO29" i="10"/>
  <c r="C83" i="24" s="1"/>
  <c r="AN29" i="10"/>
  <c r="AV28" i="10"/>
  <c r="AP28" i="10"/>
  <c r="AO28" i="10"/>
  <c r="AN28" i="10"/>
  <c r="AV27" i="10"/>
  <c r="AP27" i="10"/>
  <c r="AO27" i="10"/>
  <c r="C81" i="24" s="1"/>
  <c r="AN27" i="10"/>
  <c r="AV26" i="10"/>
  <c r="AP26" i="10"/>
  <c r="AO26" i="10"/>
  <c r="AN26" i="10"/>
  <c r="AV25" i="10"/>
  <c r="AP25" i="10"/>
  <c r="AO25" i="10"/>
  <c r="AN25" i="10"/>
  <c r="BK25" i="10" s="1"/>
  <c r="AV24" i="10"/>
  <c r="AP24" i="10"/>
  <c r="AO24" i="10"/>
  <c r="AN24" i="10"/>
  <c r="AV23" i="10"/>
  <c r="AP23" i="10"/>
  <c r="AO23" i="10"/>
  <c r="C77" i="24" s="1"/>
  <c r="AN23" i="10"/>
  <c r="AV22" i="10"/>
  <c r="AP22" i="10"/>
  <c r="AO22" i="10"/>
  <c r="AN22" i="10"/>
  <c r="AV21" i="10"/>
  <c r="AP21" i="10"/>
  <c r="AO21" i="10"/>
  <c r="AN21" i="10"/>
  <c r="BK21" i="10" s="1"/>
  <c r="AV20" i="10"/>
  <c r="AP20" i="10"/>
  <c r="AO20" i="10"/>
  <c r="C74" i="24" s="1"/>
  <c r="AN20" i="10"/>
  <c r="AV19" i="10"/>
  <c r="AP19" i="10"/>
  <c r="AO19" i="10"/>
  <c r="AN19" i="10"/>
  <c r="AV18" i="10"/>
  <c r="AP18" i="10"/>
  <c r="AO18" i="10"/>
  <c r="AN18" i="10"/>
  <c r="BK18" i="10" s="1"/>
  <c r="AV17" i="10"/>
  <c r="AP17" i="10"/>
  <c r="AO17" i="10"/>
  <c r="C71" i="24" s="1"/>
  <c r="AN17" i="10"/>
  <c r="AP16" i="10"/>
  <c r="AO16" i="10"/>
  <c r="AN16" i="10"/>
  <c r="AP15" i="10"/>
  <c r="AO15" i="10"/>
  <c r="AN15" i="10"/>
  <c r="BK14" i="10"/>
  <c r="AP14" i="10"/>
  <c r="AO14" i="10"/>
  <c r="AN14" i="10"/>
  <c r="AG14" i="10" s="1"/>
  <c r="E31" i="6"/>
  <c r="D34" i="6"/>
  <c r="D30" i="6"/>
  <c r="E33" i="6"/>
  <c r="E29" i="6"/>
  <c r="E32" i="6"/>
  <c r="D31" i="6"/>
  <c r="E23" i="6"/>
  <c r="D25" i="6"/>
  <c r="E25" i="6"/>
  <c r="AN54" i="1"/>
  <c r="AN55" i="1"/>
  <c r="AN56" i="1"/>
  <c r="AN57" i="1"/>
  <c r="AN58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49" i="1"/>
  <c r="AV50" i="1"/>
  <c r="AV51" i="1"/>
  <c r="AV52" i="1"/>
  <c r="AV53" i="1"/>
  <c r="AV54" i="1"/>
  <c r="AV55" i="1"/>
  <c r="AV56" i="1"/>
  <c r="AV57" i="1"/>
  <c r="AV58" i="1"/>
  <c r="AV27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O14" i="1"/>
  <c r="D23" i="6" s="1"/>
  <c r="AO15" i="1"/>
  <c r="C16" i="24" s="1"/>
  <c r="AO16" i="1"/>
  <c r="AO17" i="1"/>
  <c r="D24" i="6" s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C13" i="8" s="1"/>
  <c r="AO50" i="1"/>
  <c r="AO51" i="1"/>
  <c r="AO52" i="1"/>
  <c r="AO53" i="1"/>
  <c r="AO54" i="1"/>
  <c r="AO55" i="1"/>
  <c r="AO56" i="1"/>
  <c r="AO57" i="1"/>
  <c r="AO58" i="1"/>
  <c r="H5" i="15"/>
  <c r="BF15" i="1"/>
  <c r="BF19" i="1"/>
  <c r="H11" i="15"/>
  <c r="BF20" i="1"/>
  <c r="H14" i="15"/>
  <c r="H15" i="15"/>
  <c r="H17" i="15"/>
  <c r="H25" i="15"/>
  <c r="H26" i="15"/>
  <c r="H27" i="15"/>
  <c r="H28" i="15"/>
  <c r="H29" i="15"/>
  <c r="H30" i="15"/>
  <c r="H31" i="15"/>
  <c r="H32" i="15"/>
  <c r="H33" i="15"/>
  <c r="H34" i="15"/>
  <c r="H35" i="15"/>
  <c r="H36" i="15"/>
  <c r="H37" i="15"/>
  <c r="H38" i="15"/>
  <c r="H39" i="15"/>
  <c r="H40" i="15"/>
  <c r="H41" i="15"/>
  <c r="H42" i="15"/>
  <c r="H43" i="15"/>
  <c r="AH12" i="6"/>
  <c r="AH11" i="6" s="1"/>
  <c r="AG12" i="6"/>
  <c r="AG11" i="6" s="1"/>
  <c r="AF12" i="6"/>
  <c r="AF11" i="6" s="1"/>
  <c r="AE12" i="6"/>
  <c r="AE11" i="6" s="1"/>
  <c r="AD12" i="6"/>
  <c r="AD11" i="6" s="1"/>
  <c r="AC12" i="6"/>
  <c r="AC11" i="6" s="1"/>
  <c r="AB12" i="6"/>
  <c r="AB11" i="6" s="1"/>
  <c r="AA12" i="6"/>
  <c r="AA11" i="6" s="1"/>
  <c r="Z12" i="6"/>
  <c r="Z11" i="6" s="1"/>
  <c r="Y12" i="6"/>
  <c r="Y11" i="6" s="1"/>
  <c r="X12" i="6"/>
  <c r="X11" i="6" s="1"/>
  <c r="W12" i="6"/>
  <c r="W11" i="6" s="1"/>
  <c r="V12" i="6"/>
  <c r="V11" i="6" s="1"/>
  <c r="U12" i="6"/>
  <c r="U11" i="6" s="1"/>
  <c r="T12" i="6"/>
  <c r="T11" i="6" s="1"/>
  <c r="S12" i="6"/>
  <c r="S11" i="6" s="1"/>
  <c r="R12" i="6"/>
  <c r="R11" i="6" s="1"/>
  <c r="Q12" i="6"/>
  <c r="Q11" i="6" s="1"/>
  <c r="P12" i="6"/>
  <c r="P11" i="6" s="1"/>
  <c r="O12" i="6"/>
  <c r="O11" i="6" s="1"/>
  <c r="D22" i="6"/>
  <c r="BF21" i="1"/>
  <c r="H24" i="15"/>
  <c r="BG20" i="10"/>
  <c r="H74" i="24" s="1"/>
  <c r="BF20" i="10"/>
  <c r="G74" i="24" s="1"/>
  <c r="H23" i="15"/>
  <c r="BG19" i="10"/>
  <c r="H73" i="24" s="1"/>
  <c r="BF19" i="10"/>
  <c r="G73" i="24" s="1"/>
  <c r="H22" i="15"/>
  <c r="BG18" i="10"/>
  <c r="H72" i="24" s="1"/>
  <c r="BF18" i="10"/>
  <c r="G72" i="24" s="1"/>
  <c r="H21" i="15"/>
  <c r="BG17" i="10"/>
  <c r="H71" i="24" s="1"/>
  <c r="BF17" i="10"/>
  <c r="G71" i="24" s="1"/>
  <c r="H20" i="15"/>
  <c r="BG16" i="10"/>
  <c r="H70" i="24" s="1"/>
  <c r="BF16" i="10"/>
  <c r="G70" i="24" s="1"/>
  <c r="H19" i="15"/>
  <c r="BG15" i="10"/>
  <c r="BF15" i="10"/>
  <c r="G69" i="24" s="1"/>
  <c r="H18" i="15"/>
  <c r="BG19" i="1"/>
  <c r="H16" i="15"/>
  <c r="H12" i="15"/>
  <c r="BG20" i="1"/>
  <c r="D28" i="6"/>
  <c r="D27" i="6"/>
  <c r="D26" i="6"/>
  <c r="H13" i="15"/>
  <c r="H9" i="15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D13" i="8" s="1"/>
  <c r="AN50" i="1"/>
  <c r="AN51" i="1"/>
  <c r="AN52" i="1"/>
  <c r="AN53" i="1"/>
  <c r="BL14" i="1"/>
  <c r="BG21" i="1"/>
  <c r="H22" i="24" s="1"/>
  <c r="AN16" i="1"/>
  <c r="AN17" i="1"/>
  <c r="E21" i="6" s="1"/>
  <c r="AN18" i="1"/>
  <c r="AN19" i="1"/>
  <c r="AN20" i="1"/>
  <c r="AN21" i="1"/>
  <c r="D22" i="24" s="1"/>
  <c r="O22" i="24" s="1"/>
  <c r="AN22" i="1"/>
  <c r="E22" i="6" s="1"/>
  <c r="AN23" i="1"/>
  <c r="AN24" i="1"/>
  <c r="AN25" i="1"/>
  <c r="AN26" i="1"/>
  <c r="AN27" i="1"/>
  <c r="AN28" i="1"/>
  <c r="AN29" i="1"/>
  <c r="AN30" i="1"/>
  <c r="AN15" i="1"/>
  <c r="AN14" i="1"/>
  <c r="E27" i="6"/>
  <c r="E26" i="6"/>
  <c r="X68" i="1"/>
  <c r="Q6" i="1"/>
  <c r="D10" i="24" s="1"/>
  <c r="L9" i="22" l="1"/>
  <c r="L12" i="22"/>
  <c r="D21" i="6"/>
  <c r="E24" i="6"/>
  <c r="E14" i="15" s="1"/>
  <c r="N75" i="22"/>
  <c r="O75" i="22"/>
  <c r="N69" i="22"/>
  <c r="O69" i="22"/>
  <c r="N63" i="22"/>
  <c r="O63" i="22"/>
  <c r="N57" i="22"/>
  <c r="O57" i="22"/>
  <c r="N51" i="22"/>
  <c r="O51" i="22"/>
  <c r="N45" i="22"/>
  <c r="O45" i="22"/>
  <c r="N74" i="22"/>
  <c r="O74" i="22"/>
  <c r="N68" i="22"/>
  <c r="O68" i="22"/>
  <c r="N62" i="22"/>
  <c r="O62" i="22"/>
  <c r="N56" i="22"/>
  <c r="O56" i="22"/>
  <c r="N50" i="22"/>
  <c r="O50" i="22"/>
  <c r="N44" i="22"/>
  <c r="O44" i="22"/>
  <c r="N73" i="22"/>
  <c r="O73" i="22"/>
  <c r="N67" i="22"/>
  <c r="O67" i="22"/>
  <c r="N61" i="22"/>
  <c r="O61" i="22"/>
  <c r="N55" i="22"/>
  <c r="O55" i="22"/>
  <c r="N49" i="22"/>
  <c r="O49" i="22"/>
  <c r="N43" i="22"/>
  <c r="O43" i="22"/>
  <c r="N78" i="22"/>
  <c r="O78" i="22"/>
  <c r="N72" i="22"/>
  <c r="O72" i="22"/>
  <c r="N66" i="22"/>
  <c r="O66" i="22"/>
  <c r="N60" i="22"/>
  <c r="O60" i="22"/>
  <c r="N54" i="22"/>
  <c r="O54" i="22"/>
  <c r="N48" i="22"/>
  <c r="O48" i="22"/>
  <c r="N42" i="22"/>
  <c r="O42" i="22"/>
  <c r="N77" i="22"/>
  <c r="O77" i="22"/>
  <c r="N71" i="22"/>
  <c r="O71" i="22"/>
  <c r="N65" i="22"/>
  <c r="O65" i="22"/>
  <c r="N59" i="22"/>
  <c r="O59" i="22"/>
  <c r="N53" i="22"/>
  <c r="O53" i="22"/>
  <c r="N47" i="22"/>
  <c r="O47" i="22"/>
  <c r="N76" i="22"/>
  <c r="O76" i="22"/>
  <c r="N70" i="22"/>
  <c r="O70" i="22"/>
  <c r="N64" i="22"/>
  <c r="O64" i="22"/>
  <c r="N58" i="22"/>
  <c r="O58" i="22"/>
  <c r="N52" i="22"/>
  <c r="O52" i="22"/>
  <c r="N46" i="22"/>
  <c r="O46" i="22"/>
  <c r="D19" i="6"/>
  <c r="V7" i="22" s="1"/>
  <c r="D20" i="6"/>
  <c r="D10" i="15" s="1"/>
  <c r="E20" i="6"/>
  <c r="W8" i="22" s="1"/>
  <c r="D109" i="24"/>
  <c r="O109" i="24" s="1"/>
  <c r="D14" i="8"/>
  <c r="M11" i="22"/>
  <c r="M10" i="22"/>
  <c r="L11" i="22"/>
  <c r="G17" i="24"/>
  <c r="AU16" i="1"/>
  <c r="L17" i="24" s="1"/>
  <c r="G16" i="24"/>
  <c r="AU15" i="1"/>
  <c r="L16" i="24" s="1"/>
  <c r="G22" i="24"/>
  <c r="AU21" i="1"/>
  <c r="L22" i="24" s="1"/>
  <c r="G67" i="24"/>
  <c r="AU58" i="1"/>
  <c r="L67" i="24" s="1"/>
  <c r="G63" i="24"/>
  <c r="AU54" i="1"/>
  <c r="L63" i="24" s="1"/>
  <c r="G49" i="24"/>
  <c r="AU48" i="1"/>
  <c r="L49" i="24" s="1"/>
  <c r="G45" i="24"/>
  <c r="AU44" i="1"/>
  <c r="L45" i="24" s="1"/>
  <c r="G41" i="24"/>
  <c r="AU40" i="1"/>
  <c r="L41" i="24" s="1"/>
  <c r="G37" i="24"/>
  <c r="AU36" i="1"/>
  <c r="L37" i="24" s="1"/>
  <c r="G33" i="24"/>
  <c r="AU32" i="1"/>
  <c r="L33" i="24" s="1"/>
  <c r="G29" i="24"/>
  <c r="AU28" i="1"/>
  <c r="L29" i="24" s="1"/>
  <c r="G25" i="24"/>
  <c r="AU24" i="1"/>
  <c r="L25" i="24" s="1"/>
  <c r="G23" i="24"/>
  <c r="AU22" i="1"/>
  <c r="L23" i="24" s="1"/>
  <c r="G18" i="24"/>
  <c r="AU17" i="1"/>
  <c r="L18" i="24" s="1"/>
  <c r="G20" i="24"/>
  <c r="AU19" i="1"/>
  <c r="L20" i="24" s="1"/>
  <c r="G65" i="24"/>
  <c r="AU56" i="1"/>
  <c r="L65" i="24" s="1"/>
  <c r="G61" i="24"/>
  <c r="AU52" i="1"/>
  <c r="L61" i="24" s="1"/>
  <c r="G59" i="24"/>
  <c r="AU50" i="1"/>
  <c r="L59" i="24" s="1"/>
  <c r="G47" i="24"/>
  <c r="AU46" i="1"/>
  <c r="L47" i="24" s="1"/>
  <c r="G43" i="24"/>
  <c r="AU42" i="1"/>
  <c r="L43" i="24" s="1"/>
  <c r="G39" i="24"/>
  <c r="AU38" i="1"/>
  <c r="L39" i="24" s="1"/>
  <c r="G35" i="24"/>
  <c r="AU34" i="1"/>
  <c r="L35" i="24" s="1"/>
  <c r="G31" i="24"/>
  <c r="AU30" i="1"/>
  <c r="L31" i="24" s="1"/>
  <c r="G27" i="24"/>
  <c r="AU26" i="1"/>
  <c r="L27" i="24" s="1"/>
  <c r="G19" i="24"/>
  <c r="AU18" i="1"/>
  <c r="L19" i="24" s="1"/>
  <c r="G21" i="24"/>
  <c r="AU20" i="1"/>
  <c r="L21" i="24" s="1"/>
  <c r="G66" i="24"/>
  <c r="AU57" i="1"/>
  <c r="L66" i="24" s="1"/>
  <c r="G64" i="24"/>
  <c r="AU55" i="1"/>
  <c r="L64" i="24" s="1"/>
  <c r="G62" i="24"/>
  <c r="AU53" i="1"/>
  <c r="L62" i="24" s="1"/>
  <c r="G60" i="24"/>
  <c r="AU51" i="1"/>
  <c r="L60" i="24" s="1"/>
  <c r="G58" i="24"/>
  <c r="AU49" i="1"/>
  <c r="L58" i="24" s="1"/>
  <c r="G48" i="24"/>
  <c r="AU47" i="1"/>
  <c r="L48" i="24" s="1"/>
  <c r="G46" i="24"/>
  <c r="AU45" i="1"/>
  <c r="L46" i="24" s="1"/>
  <c r="G44" i="24"/>
  <c r="AU43" i="1"/>
  <c r="L44" i="24" s="1"/>
  <c r="G42" i="24"/>
  <c r="AU41" i="1"/>
  <c r="L42" i="24" s="1"/>
  <c r="G40" i="24"/>
  <c r="AU39" i="1"/>
  <c r="L40" i="24" s="1"/>
  <c r="G38" i="24"/>
  <c r="AU37" i="1"/>
  <c r="L38" i="24" s="1"/>
  <c r="G36" i="24"/>
  <c r="AU35" i="1"/>
  <c r="L36" i="24" s="1"/>
  <c r="G34" i="24"/>
  <c r="AU33" i="1"/>
  <c r="L34" i="24" s="1"/>
  <c r="G32" i="24"/>
  <c r="AU31" i="1"/>
  <c r="L32" i="24" s="1"/>
  <c r="G30" i="24"/>
  <c r="AU29" i="1"/>
  <c r="L30" i="24" s="1"/>
  <c r="G28" i="24"/>
  <c r="AU27" i="1"/>
  <c r="L28" i="24" s="1"/>
  <c r="G26" i="24"/>
  <c r="AU25" i="1"/>
  <c r="L26" i="24" s="1"/>
  <c r="G24" i="24"/>
  <c r="AU23" i="1"/>
  <c r="L24" i="24" s="1"/>
  <c r="M7" i="22"/>
  <c r="D17" i="6"/>
  <c r="D7" i="15" s="1"/>
  <c r="L3" i="22"/>
  <c r="L7" i="22"/>
  <c r="E19" i="6"/>
  <c r="L5" i="22"/>
  <c r="M5" i="22"/>
  <c r="M3" i="22"/>
  <c r="D18" i="6"/>
  <c r="D8" i="15" s="1"/>
  <c r="L4" i="22"/>
  <c r="L8" i="22"/>
  <c r="M8" i="22"/>
  <c r="M4" i="22"/>
  <c r="M6" i="22"/>
  <c r="M2" i="22"/>
  <c r="L2" i="22"/>
  <c r="L6" i="22"/>
  <c r="C93" i="24"/>
  <c r="C109" i="24"/>
  <c r="C72" i="24"/>
  <c r="AI22" i="10"/>
  <c r="D76" i="24"/>
  <c r="BK27" i="10"/>
  <c r="AI27" i="10"/>
  <c r="D81" i="24"/>
  <c r="AI28" i="10"/>
  <c r="D82" i="24"/>
  <c r="AI32" i="10"/>
  <c r="D86" i="24"/>
  <c r="C87" i="24"/>
  <c r="AI39" i="10"/>
  <c r="D93" i="24"/>
  <c r="AI47" i="10"/>
  <c r="N109" i="24"/>
  <c r="C111" i="24"/>
  <c r="AI54" i="10"/>
  <c r="D116" i="24"/>
  <c r="C70" i="24"/>
  <c r="BK20" i="10"/>
  <c r="AI20" i="10"/>
  <c r="D74" i="24"/>
  <c r="AI21" i="10"/>
  <c r="D75" i="24"/>
  <c r="C80" i="24"/>
  <c r="AI31" i="10"/>
  <c r="D85" i="24"/>
  <c r="AI36" i="10"/>
  <c r="D90" i="24"/>
  <c r="AI37" i="10"/>
  <c r="D91" i="24"/>
  <c r="C92" i="24"/>
  <c r="AI44" i="10"/>
  <c r="D98" i="24"/>
  <c r="AI45" i="10"/>
  <c r="D99" i="24"/>
  <c r="AI51" i="10"/>
  <c r="D113" i="24"/>
  <c r="AI58" i="10"/>
  <c r="D120" i="24"/>
  <c r="AI19" i="10"/>
  <c r="D73" i="24"/>
  <c r="C75" i="24"/>
  <c r="AI25" i="10"/>
  <c r="D79" i="24"/>
  <c r="AI30" i="10"/>
  <c r="D84" i="24"/>
  <c r="C85" i="24"/>
  <c r="AI35" i="10"/>
  <c r="D89" i="24"/>
  <c r="C91" i="24"/>
  <c r="AI43" i="10"/>
  <c r="D97" i="24"/>
  <c r="C99" i="24"/>
  <c r="C113" i="24"/>
  <c r="AI56" i="10"/>
  <c r="D118" i="24"/>
  <c r="AI57" i="10"/>
  <c r="D119" i="24"/>
  <c r="C120" i="24"/>
  <c r="C76" i="24"/>
  <c r="C82" i="24"/>
  <c r="AI38" i="10"/>
  <c r="D92" i="24"/>
  <c r="AI53" i="10"/>
  <c r="D115" i="24"/>
  <c r="C116" i="24"/>
  <c r="C69" i="24"/>
  <c r="C73" i="24"/>
  <c r="BK24" i="10"/>
  <c r="AI24" i="10"/>
  <c r="D78" i="24"/>
  <c r="C79" i="24"/>
  <c r="BK29" i="10"/>
  <c r="AI29" i="10"/>
  <c r="D83" i="24"/>
  <c r="C84" i="24"/>
  <c r="AI34" i="10"/>
  <c r="D88" i="24"/>
  <c r="C89" i="24"/>
  <c r="AI42" i="10"/>
  <c r="D96" i="24"/>
  <c r="C97" i="24"/>
  <c r="AI50" i="10"/>
  <c r="D112" i="24"/>
  <c r="AI55" i="10"/>
  <c r="D117" i="24"/>
  <c r="C119" i="24"/>
  <c r="AI26" i="10"/>
  <c r="D80" i="24"/>
  <c r="AI46" i="10"/>
  <c r="D100" i="24"/>
  <c r="AI52" i="10"/>
  <c r="D114" i="24"/>
  <c r="D68" i="24"/>
  <c r="AI14" i="10"/>
  <c r="BK17" i="10"/>
  <c r="AI17" i="10"/>
  <c r="D71" i="24"/>
  <c r="AI18" i="10"/>
  <c r="D72" i="24"/>
  <c r="AI23" i="10"/>
  <c r="D77" i="24"/>
  <c r="C78" i="24"/>
  <c r="BK28" i="10"/>
  <c r="AI33" i="10"/>
  <c r="D87" i="24"/>
  <c r="C88" i="24"/>
  <c r="AI40" i="10"/>
  <c r="D94" i="24"/>
  <c r="AI41" i="10"/>
  <c r="D95" i="24"/>
  <c r="C96" i="24"/>
  <c r="AI48" i="10"/>
  <c r="D110" i="24"/>
  <c r="AI49" i="10"/>
  <c r="D111" i="24"/>
  <c r="C112" i="24"/>
  <c r="C117" i="24"/>
  <c r="AI51" i="1"/>
  <c r="AI33" i="1"/>
  <c r="AI27" i="1"/>
  <c r="AI25" i="1"/>
  <c r="AI19" i="1"/>
  <c r="AI42" i="1"/>
  <c r="AI36" i="1"/>
  <c r="AI29" i="1"/>
  <c r="AI23" i="1"/>
  <c r="AI52" i="1"/>
  <c r="AI46" i="1"/>
  <c r="AI40" i="1"/>
  <c r="AI34" i="1"/>
  <c r="AI21" i="1"/>
  <c r="AI44" i="1"/>
  <c r="AI38" i="1"/>
  <c r="AI22" i="1"/>
  <c r="AI50" i="1"/>
  <c r="AI32" i="1"/>
  <c r="AI14" i="1"/>
  <c r="AI26" i="1"/>
  <c r="AI20" i="1"/>
  <c r="AI49" i="1"/>
  <c r="AI43" i="1"/>
  <c r="AI37" i="1"/>
  <c r="AI31" i="1"/>
  <c r="AI39" i="1"/>
  <c r="AI48" i="1"/>
  <c r="AI28" i="1"/>
  <c r="AI45" i="1"/>
  <c r="AI30" i="1"/>
  <c r="AI24" i="1"/>
  <c r="AI53" i="1"/>
  <c r="AI47" i="1"/>
  <c r="AI41" i="1"/>
  <c r="AI35" i="1"/>
  <c r="AI16" i="1"/>
  <c r="AG16" i="1"/>
  <c r="AI16" i="10"/>
  <c r="D70" i="24"/>
  <c r="AI18" i="1"/>
  <c r="AI17" i="1"/>
  <c r="AG17" i="1"/>
  <c r="BK15" i="10"/>
  <c r="AI15" i="10"/>
  <c r="D69" i="24"/>
  <c r="D67" i="24"/>
  <c r="AI58" i="1"/>
  <c r="D16" i="24"/>
  <c r="AI15" i="1"/>
  <c r="D66" i="24"/>
  <c r="AI57" i="1"/>
  <c r="D65" i="24"/>
  <c r="AI56" i="1"/>
  <c r="D64" i="24"/>
  <c r="AI55" i="1"/>
  <c r="D63" i="24"/>
  <c r="AI54" i="1"/>
  <c r="D15" i="24"/>
  <c r="O15" i="24" s="1"/>
  <c r="D27" i="24"/>
  <c r="D21" i="24"/>
  <c r="D58" i="24"/>
  <c r="O58" i="24" s="1"/>
  <c r="D44" i="24"/>
  <c r="D38" i="24"/>
  <c r="D32" i="24"/>
  <c r="C65" i="24"/>
  <c r="C59" i="24"/>
  <c r="C45" i="24"/>
  <c r="C39" i="24"/>
  <c r="C33" i="24"/>
  <c r="C27" i="24"/>
  <c r="C21" i="24"/>
  <c r="D26" i="24"/>
  <c r="D20" i="24"/>
  <c r="D49" i="24"/>
  <c r="D43" i="24"/>
  <c r="D37" i="24"/>
  <c r="C64" i="24"/>
  <c r="C58" i="24"/>
  <c r="C44" i="24"/>
  <c r="C38" i="24"/>
  <c r="C32" i="24"/>
  <c r="C26" i="24"/>
  <c r="C20" i="24"/>
  <c r="D31" i="24"/>
  <c r="D25" i="24"/>
  <c r="D62" i="24"/>
  <c r="D48" i="24"/>
  <c r="D42" i="24"/>
  <c r="D36" i="24"/>
  <c r="C63" i="24"/>
  <c r="C49" i="24"/>
  <c r="C43" i="24"/>
  <c r="C37" i="24"/>
  <c r="C31" i="24"/>
  <c r="C25" i="24"/>
  <c r="D30" i="24"/>
  <c r="D24" i="24"/>
  <c r="D19" i="24"/>
  <c r="D61" i="24"/>
  <c r="D47" i="24"/>
  <c r="D41" i="24"/>
  <c r="D35" i="24"/>
  <c r="C62" i="24"/>
  <c r="C48" i="24"/>
  <c r="C42" i="24"/>
  <c r="C36" i="24"/>
  <c r="C30" i="24"/>
  <c r="C24" i="24"/>
  <c r="C19" i="24"/>
  <c r="D29" i="24"/>
  <c r="D23" i="24"/>
  <c r="BL17" i="1"/>
  <c r="D18" i="24"/>
  <c r="D60" i="24"/>
  <c r="D46" i="24"/>
  <c r="D40" i="24"/>
  <c r="D34" i="24"/>
  <c r="C67" i="24"/>
  <c r="C61" i="24"/>
  <c r="C47" i="24"/>
  <c r="C41" i="24"/>
  <c r="C35" i="24"/>
  <c r="C29" i="24"/>
  <c r="C23" i="24"/>
  <c r="C18" i="24"/>
  <c r="E18" i="6"/>
  <c r="D28" i="24"/>
  <c r="N22" i="24"/>
  <c r="D59" i="24"/>
  <c r="D45" i="24"/>
  <c r="D39" i="24"/>
  <c r="D33" i="24"/>
  <c r="C66" i="24"/>
  <c r="C60" i="24"/>
  <c r="C46" i="24"/>
  <c r="C40" i="24"/>
  <c r="C34" i="24"/>
  <c r="C28" i="24"/>
  <c r="C22" i="24"/>
  <c r="C17" i="24"/>
  <c r="BL16" i="1"/>
  <c r="D17" i="24"/>
  <c r="AP11" i="6"/>
  <c r="Q6" i="10"/>
  <c r="C68" i="24"/>
  <c r="H97" i="24"/>
  <c r="H91" i="24"/>
  <c r="H79" i="24"/>
  <c r="F85" i="24"/>
  <c r="F86" i="24"/>
  <c r="F87" i="24"/>
  <c r="F88" i="24"/>
  <c r="F89" i="24"/>
  <c r="F90" i="24"/>
  <c r="H116" i="24"/>
  <c r="H110" i="24"/>
  <c r="H96" i="24"/>
  <c r="H84" i="24"/>
  <c r="F78" i="24"/>
  <c r="F79" i="24"/>
  <c r="F80" i="24"/>
  <c r="F81" i="24"/>
  <c r="F82" i="24"/>
  <c r="F83" i="24"/>
  <c r="F84" i="24"/>
  <c r="F91" i="24"/>
  <c r="F92" i="24"/>
  <c r="F93" i="24"/>
  <c r="F94" i="24"/>
  <c r="H95" i="24"/>
  <c r="H83" i="24"/>
  <c r="F70" i="24"/>
  <c r="F71" i="24"/>
  <c r="F72" i="24"/>
  <c r="F73" i="24"/>
  <c r="F74" i="24"/>
  <c r="F75" i="24"/>
  <c r="F76" i="24"/>
  <c r="F77" i="24"/>
  <c r="F95" i="24"/>
  <c r="F96" i="24"/>
  <c r="F97" i="24"/>
  <c r="F98" i="24"/>
  <c r="H120" i="24"/>
  <c r="H100" i="24"/>
  <c r="H88" i="24"/>
  <c r="H76" i="24"/>
  <c r="F99" i="24"/>
  <c r="F100" i="24"/>
  <c r="F109" i="24"/>
  <c r="F110" i="24"/>
  <c r="F112" i="24"/>
  <c r="F113" i="24"/>
  <c r="F114" i="24"/>
  <c r="F116" i="24"/>
  <c r="F117" i="24"/>
  <c r="F118" i="24"/>
  <c r="F120" i="24"/>
  <c r="H93" i="24"/>
  <c r="H87" i="24"/>
  <c r="H81" i="24"/>
  <c r="H75" i="24"/>
  <c r="H69" i="24"/>
  <c r="F111" i="24"/>
  <c r="F115" i="24"/>
  <c r="F119" i="24"/>
  <c r="H118" i="24"/>
  <c r="H112" i="24"/>
  <c r="H92" i="24"/>
  <c r="H80" i="24"/>
  <c r="F28" i="24"/>
  <c r="M28" i="24" s="1"/>
  <c r="F67" i="24"/>
  <c r="M67" i="24" s="1"/>
  <c r="F61" i="24"/>
  <c r="M61" i="24" s="1"/>
  <c r="F47" i="24"/>
  <c r="M47" i="24" s="1"/>
  <c r="F41" i="24"/>
  <c r="M41" i="24" s="1"/>
  <c r="F35" i="24"/>
  <c r="M35" i="24" s="1"/>
  <c r="F29" i="24"/>
  <c r="M29" i="24" s="1"/>
  <c r="F16" i="24"/>
  <c r="M16" i="24" s="1"/>
  <c r="F66" i="24"/>
  <c r="M66" i="24" s="1"/>
  <c r="F46" i="24"/>
  <c r="M46" i="24" s="1"/>
  <c r="F40" i="24"/>
  <c r="M40" i="24" s="1"/>
  <c r="F34" i="24"/>
  <c r="M34" i="24" s="1"/>
  <c r="F65" i="24"/>
  <c r="M65" i="24" s="1"/>
  <c r="F59" i="24"/>
  <c r="M59" i="24" s="1"/>
  <c r="F45" i="24"/>
  <c r="M45" i="24" s="1"/>
  <c r="F39" i="24"/>
  <c r="M39" i="24" s="1"/>
  <c r="F33" i="24"/>
  <c r="M33" i="24" s="1"/>
  <c r="F25" i="24"/>
  <c r="M25" i="24" s="1"/>
  <c r="F19" i="24"/>
  <c r="M19" i="24" s="1"/>
  <c r="F60" i="24"/>
  <c r="M60" i="24" s="1"/>
  <c r="F64" i="24"/>
  <c r="M64" i="24" s="1"/>
  <c r="F58" i="24"/>
  <c r="M58" i="24" s="1"/>
  <c r="F44" i="24"/>
  <c r="M44" i="24" s="1"/>
  <c r="F38" i="24"/>
  <c r="M38" i="24" s="1"/>
  <c r="F32" i="24"/>
  <c r="M32" i="24" s="1"/>
  <c r="F22" i="24"/>
  <c r="M22" i="24" s="1"/>
  <c r="F63" i="24"/>
  <c r="M63" i="24" s="1"/>
  <c r="F49" i="24"/>
  <c r="M49" i="24" s="1"/>
  <c r="F43" i="24"/>
  <c r="M43" i="24" s="1"/>
  <c r="F37" i="24"/>
  <c r="M37" i="24" s="1"/>
  <c r="F31" i="24"/>
  <c r="M31" i="24" s="1"/>
  <c r="F18" i="24"/>
  <c r="M18" i="24" s="1"/>
  <c r="F62" i="24"/>
  <c r="M62" i="24" s="1"/>
  <c r="F48" i="24"/>
  <c r="M48" i="24" s="1"/>
  <c r="F42" i="24"/>
  <c r="M42" i="24" s="1"/>
  <c r="F36" i="24"/>
  <c r="M36" i="24" s="1"/>
  <c r="F30" i="24"/>
  <c r="M30" i="24" s="1"/>
  <c r="F26" i="24"/>
  <c r="M26" i="24" s="1"/>
  <c r="F24" i="24"/>
  <c r="M24" i="24" s="1"/>
  <c r="F20" i="24"/>
  <c r="M20" i="24" s="1"/>
  <c r="H67" i="24"/>
  <c r="H65" i="24"/>
  <c r="H61" i="24"/>
  <c r="H59" i="24"/>
  <c r="H47" i="24"/>
  <c r="H45" i="24"/>
  <c r="H41" i="24"/>
  <c r="H39" i="24"/>
  <c r="H37" i="24"/>
  <c r="H35" i="24"/>
  <c r="H31" i="24"/>
  <c r="H29" i="24"/>
  <c r="H27" i="24"/>
  <c r="H25" i="24"/>
  <c r="H23" i="24"/>
  <c r="H19" i="24"/>
  <c r="H20" i="24"/>
  <c r="H64" i="24"/>
  <c r="H60" i="24"/>
  <c r="H48" i="24"/>
  <c r="H46" i="24"/>
  <c r="H40" i="24"/>
  <c r="H36" i="24"/>
  <c r="H34" i="24"/>
  <c r="H30" i="24"/>
  <c r="H28" i="24"/>
  <c r="H24" i="24"/>
  <c r="H21" i="24"/>
  <c r="C15" i="24"/>
  <c r="E16" i="15"/>
  <c r="W14" i="22"/>
  <c r="D12" i="15"/>
  <c r="V10" i="22"/>
  <c r="E13" i="15"/>
  <c r="W11" i="22"/>
  <c r="E43" i="15"/>
  <c r="W41" i="22"/>
  <c r="E37" i="15"/>
  <c r="W35" i="22"/>
  <c r="E31" i="15"/>
  <c r="W29" i="22"/>
  <c r="E25" i="15"/>
  <c r="W23" i="22"/>
  <c r="D42" i="15"/>
  <c r="V40" i="22"/>
  <c r="D36" i="15"/>
  <c r="V34" i="22"/>
  <c r="D30" i="15"/>
  <c r="V28" i="22"/>
  <c r="D23" i="15"/>
  <c r="V21" i="22"/>
  <c r="E15" i="15"/>
  <c r="W13" i="22"/>
  <c r="D20" i="15"/>
  <c r="V18" i="22"/>
  <c r="E42" i="15"/>
  <c r="W40" i="22"/>
  <c r="E36" i="15"/>
  <c r="W34" i="22"/>
  <c r="E30" i="15"/>
  <c r="W28" i="22"/>
  <c r="E24" i="15"/>
  <c r="W22" i="22"/>
  <c r="D41" i="15"/>
  <c r="V39" i="22"/>
  <c r="D35" i="15"/>
  <c r="V33" i="22"/>
  <c r="D29" i="15"/>
  <c r="V27" i="22"/>
  <c r="D22" i="15"/>
  <c r="V20" i="22"/>
  <c r="E17" i="15"/>
  <c r="W15" i="22"/>
  <c r="D16" i="15"/>
  <c r="V14" i="22"/>
  <c r="E12" i="15"/>
  <c r="W10" i="22"/>
  <c r="D17" i="15"/>
  <c r="V15" i="22"/>
  <c r="D13" i="15"/>
  <c r="V11" i="22"/>
  <c r="D21" i="15"/>
  <c r="V19" i="22"/>
  <c r="D24" i="15"/>
  <c r="V22" i="22"/>
  <c r="E41" i="15"/>
  <c r="W39" i="22"/>
  <c r="E35" i="15"/>
  <c r="W33" i="22"/>
  <c r="E29" i="15"/>
  <c r="W27" i="22"/>
  <c r="E20" i="15"/>
  <c r="W18" i="22"/>
  <c r="D40" i="15"/>
  <c r="V38" i="22"/>
  <c r="D34" i="15"/>
  <c r="V32" i="22"/>
  <c r="D28" i="15"/>
  <c r="V26" i="22"/>
  <c r="D19" i="15"/>
  <c r="V17" i="22"/>
  <c r="D15" i="15"/>
  <c r="V13" i="22"/>
  <c r="E22" i="15"/>
  <c r="W20" i="22"/>
  <c r="E21" i="15"/>
  <c r="W19" i="22"/>
  <c r="E40" i="15"/>
  <c r="W38" i="22"/>
  <c r="E34" i="15"/>
  <c r="W32" i="22"/>
  <c r="E28" i="15"/>
  <c r="W26" i="22"/>
  <c r="E18" i="15"/>
  <c r="W16" i="22"/>
  <c r="D39" i="15"/>
  <c r="V37" i="22"/>
  <c r="D33" i="15"/>
  <c r="V31" i="22"/>
  <c r="D27" i="15"/>
  <c r="V25" i="22"/>
  <c r="D14" i="15"/>
  <c r="V12" i="22"/>
  <c r="E19" i="15"/>
  <c r="W17" i="22"/>
  <c r="E39" i="15"/>
  <c r="W37" i="22"/>
  <c r="E33" i="15"/>
  <c r="W31" i="22"/>
  <c r="E27" i="15"/>
  <c r="W25" i="22"/>
  <c r="D38" i="15"/>
  <c r="V36" i="22"/>
  <c r="D32" i="15"/>
  <c r="V30" i="22"/>
  <c r="D26" i="15"/>
  <c r="V24" i="22"/>
  <c r="D18" i="15"/>
  <c r="V16" i="22"/>
  <c r="E11" i="15"/>
  <c r="W9" i="22"/>
  <c r="D11" i="15"/>
  <c r="V9" i="22"/>
  <c r="E23" i="15"/>
  <c r="W21" i="22"/>
  <c r="E38" i="15"/>
  <c r="W36" i="22"/>
  <c r="E32" i="15"/>
  <c r="W30" i="22"/>
  <c r="E26" i="15"/>
  <c r="W24" i="22"/>
  <c r="D43" i="15"/>
  <c r="V41" i="22"/>
  <c r="D37" i="15"/>
  <c r="V35" i="22"/>
  <c r="D31" i="15"/>
  <c r="V29" i="22"/>
  <c r="D25" i="15"/>
  <c r="V23" i="22"/>
  <c r="E16" i="6"/>
  <c r="BK19" i="10"/>
  <c r="BK22" i="10"/>
  <c r="BK26" i="10"/>
  <c r="BK30" i="10"/>
  <c r="BK23" i="10"/>
  <c r="BG17" i="1"/>
  <c r="H8" i="15"/>
  <c r="BG16" i="1"/>
  <c r="H7" i="15"/>
  <c r="BK16" i="10"/>
  <c r="D11" i="8"/>
  <c r="D10" i="8"/>
  <c r="D9" i="8"/>
  <c r="C11" i="8"/>
  <c r="C10" i="8"/>
  <c r="D15" i="6"/>
  <c r="C9" i="8"/>
  <c r="D16" i="6"/>
  <c r="D12" i="8"/>
  <c r="E17" i="6"/>
  <c r="W8" i="1"/>
  <c r="BF14" i="10"/>
  <c r="G68" i="24" s="1"/>
  <c r="E14" i="6"/>
  <c r="AI11" i="12" s="1"/>
  <c r="E15" i="6"/>
  <c r="AI12" i="12" s="1"/>
  <c r="D14" i="6"/>
  <c r="BF14" i="1"/>
  <c r="AV20" i="1"/>
  <c r="H6" i="15"/>
  <c r="H4" i="15"/>
  <c r="AV14" i="10"/>
  <c r="AV22" i="1"/>
  <c r="D9" i="15" l="1"/>
  <c r="W12" i="22"/>
  <c r="O12" i="22" s="1"/>
  <c r="E10" i="15"/>
  <c r="N94" i="24"/>
  <c r="O94" i="24"/>
  <c r="N100" i="24"/>
  <c r="O100" i="24"/>
  <c r="N89" i="24"/>
  <c r="O89" i="24"/>
  <c r="N113" i="24"/>
  <c r="O113" i="24"/>
  <c r="N82" i="24"/>
  <c r="O82" i="24"/>
  <c r="N112" i="24"/>
  <c r="O112" i="24"/>
  <c r="N93" i="24"/>
  <c r="O93" i="24"/>
  <c r="N70" i="24"/>
  <c r="O70" i="24"/>
  <c r="N117" i="24"/>
  <c r="O117" i="24"/>
  <c r="N85" i="24"/>
  <c r="O85" i="24"/>
  <c r="N110" i="24"/>
  <c r="O110" i="24"/>
  <c r="N77" i="24"/>
  <c r="O77" i="24"/>
  <c r="N88" i="24"/>
  <c r="O88" i="24"/>
  <c r="N91" i="24"/>
  <c r="O91" i="24"/>
  <c r="N80" i="24"/>
  <c r="O80" i="24"/>
  <c r="N78" i="24"/>
  <c r="O78" i="24"/>
  <c r="N115" i="24"/>
  <c r="O115" i="24"/>
  <c r="N73" i="24"/>
  <c r="O73" i="24"/>
  <c r="N99" i="24"/>
  <c r="O99" i="24"/>
  <c r="N75" i="24"/>
  <c r="O75" i="24"/>
  <c r="N116" i="24"/>
  <c r="O116" i="24"/>
  <c r="N81" i="24"/>
  <c r="O81" i="24"/>
  <c r="N69" i="24"/>
  <c r="O69" i="24"/>
  <c r="N111" i="24"/>
  <c r="O111" i="24"/>
  <c r="N71" i="24"/>
  <c r="O71" i="24"/>
  <c r="N118" i="24"/>
  <c r="O118" i="24"/>
  <c r="N79" i="24"/>
  <c r="O79" i="24"/>
  <c r="N76" i="24"/>
  <c r="O76" i="24"/>
  <c r="N72" i="24"/>
  <c r="O72" i="24"/>
  <c r="N119" i="24"/>
  <c r="O119" i="24"/>
  <c r="N84" i="24"/>
  <c r="O84" i="24"/>
  <c r="N87" i="24"/>
  <c r="O87" i="24"/>
  <c r="N68" i="24"/>
  <c r="O68" i="24"/>
  <c r="N97" i="24"/>
  <c r="O97" i="24"/>
  <c r="N90" i="24"/>
  <c r="O90" i="24"/>
  <c r="N95" i="24"/>
  <c r="O95" i="24"/>
  <c r="N114" i="24"/>
  <c r="O114" i="24"/>
  <c r="N96" i="24"/>
  <c r="O96" i="24"/>
  <c r="N83" i="24"/>
  <c r="O83" i="24"/>
  <c r="N92" i="24"/>
  <c r="O92" i="24"/>
  <c r="N120" i="24"/>
  <c r="O120" i="24"/>
  <c r="N98" i="24"/>
  <c r="O98" i="24"/>
  <c r="N74" i="24"/>
  <c r="O74" i="24"/>
  <c r="N86" i="24"/>
  <c r="O86" i="24"/>
  <c r="N40" i="24"/>
  <c r="O40" i="24"/>
  <c r="N29" i="24"/>
  <c r="O29" i="24"/>
  <c r="N19" i="24"/>
  <c r="O19" i="24"/>
  <c r="N62" i="24"/>
  <c r="O62" i="24"/>
  <c r="N49" i="24"/>
  <c r="O49" i="24"/>
  <c r="N44" i="24"/>
  <c r="O44" i="24"/>
  <c r="N12" i="22"/>
  <c r="N31" i="22"/>
  <c r="O31" i="22"/>
  <c r="N63" i="24"/>
  <c r="O63" i="24"/>
  <c r="N66" i="24"/>
  <c r="O66" i="24"/>
  <c r="N8" i="22"/>
  <c r="O8" i="22"/>
  <c r="N16" i="22"/>
  <c r="O16" i="22"/>
  <c r="N27" i="22"/>
  <c r="O27" i="22"/>
  <c r="N24" i="24"/>
  <c r="O24" i="24"/>
  <c r="N25" i="24"/>
  <c r="O25" i="24"/>
  <c r="N26" i="22"/>
  <c r="O26" i="22"/>
  <c r="N34" i="22"/>
  <c r="O34" i="22"/>
  <c r="N14" i="22"/>
  <c r="O14" i="22"/>
  <c r="N33" i="24"/>
  <c r="O33" i="24"/>
  <c r="N35" i="24"/>
  <c r="O35" i="24"/>
  <c r="N38" i="22"/>
  <c r="O38" i="22"/>
  <c r="N15" i="22"/>
  <c r="O15" i="22"/>
  <c r="N28" i="24"/>
  <c r="O28" i="24"/>
  <c r="N46" i="24"/>
  <c r="O46" i="24"/>
  <c r="N20" i="24"/>
  <c r="O20" i="24"/>
  <c r="N19" i="22"/>
  <c r="O19" i="22"/>
  <c r="N33" i="22"/>
  <c r="O33" i="22"/>
  <c r="N10" i="22"/>
  <c r="O10" i="22"/>
  <c r="N23" i="22"/>
  <c r="O23" i="22"/>
  <c r="N41" i="22"/>
  <c r="O41" i="22"/>
  <c r="N60" i="24"/>
  <c r="O60" i="24"/>
  <c r="N30" i="24"/>
  <c r="O30" i="24"/>
  <c r="N31" i="24"/>
  <c r="O31" i="24"/>
  <c r="N26" i="24"/>
  <c r="O26" i="24"/>
  <c r="N21" i="24"/>
  <c r="O21" i="24"/>
  <c r="N24" i="22"/>
  <c r="O24" i="22"/>
  <c r="N21" i="22"/>
  <c r="O21" i="22"/>
  <c r="N37" i="22"/>
  <c r="O37" i="22"/>
  <c r="N39" i="24"/>
  <c r="O39" i="24"/>
  <c r="N18" i="24"/>
  <c r="O18" i="24"/>
  <c r="N41" i="24"/>
  <c r="O41" i="24"/>
  <c r="N36" i="24"/>
  <c r="O36" i="24"/>
  <c r="N27" i="24"/>
  <c r="O27" i="24"/>
  <c r="N64" i="24"/>
  <c r="O64" i="24"/>
  <c r="N16" i="24"/>
  <c r="O16" i="24"/>
  <c r="N9" i="22"/>
  <c r="O9" i="22"/>
  <c r="N20" i="22"/>
  <c r="O20" i="22"/>
  <c r="N18" i="22"/>
  <c r="O18" i="22"/>
  <c r="N40" i="22"/>
  <c r="O40" i="22"/>
  <c r="N11" i="22"/>
  <c r="O11" i="22"/>
  <c r="N45" i="24"/>
  <c r="O45" i="24"/>
  <c r="N47" i="24"/>
  <c r="O47" i="24"/>
  <c r="N37" i="24"/>
  <c r="O37" i="24"/>
  <c r="N32" i="24"/>
  <c r="O32" i="24"/>
  <c r="N28" i="22"/>
  <c r="O28" i="22"/>
  <c r="N35" i="22"/>
  <c r="O35" i="22"/>
  <c r="N36" i="22"/>
  <c r="O36" i="22"/>
  <c r="N32" i="22"/>
  <c r="O32" i="22"/>
  <c r="N39" i="22"/>
  <c r="O39" i="22"/>
  <c r="N22" i="22"/>
  <c r="O22" i="22"/>
  <c r="N13" i="22"/>
  <c r="O13" i="22"/>
  <c r="N29" i="22"/>
  <c r="O29" i="22"/>
  <c r="N17" i="24"/>
  <c r="O17" i="24"/>
  <c r="N42" i="24"/>
  <c r="O42" i="24"/>
  <c r="N30" i="22"/>
  <c r="O30" i="22"/>
  <c r="N25" i="22"/>
  <c r="O25" i="22"/>
  <c r="N17" i="22"/>
  <c r="O17" i="22"/>
  <c r="N59" i="24"/>
  <c r="O59" i="24"/>
  <c r="N34" i="24"/>
  <c r="O34" i="24"/>
  <c r="N23" i="24"/>
  <c r="O23" i="24"/>
  <c r="N61" i="24"/>
  <c r="O61" i="24"/>
  <c r="N48" i="24"/>
  <c r="O48" i="24"/>
  <c r="N43" i="24"/>
  <c r="O43" i="24"/>
  <c r="N38" i="24"/>
  <c r="O38" i="24"/>
  <c r="N65" i="24"/>
  <c r="O65" i="24"/>
  <c r="N67" i="24"/>
  <c r="O67" i="24"/>
  <c r="V8" i="22"/>
  <c r="N15" i="24"/>
  <c r="N58" i="24"/>
  <c r="G15" i="24"/>
  <c r="AU14" i="1"/>
  <c r="I11" i="24" s="1"/>
  <c r="V5" i="22"/>
  <c r="V6" i="22"/>
  <c r="E9" i="15"/>
  <c r="W7" i="22"/>
  <c r="W6" i="22"/>
  <c r="AI59" i="1"/>
  <c r="AI59" i="10"/>
  <c r="AV15" i="10"/>
  <c r="AV59" i="10" s="1"/>
  <c r="E8" i="15"/>
  <c r="AV14" i="1"/>
  <c r="F15" i="24" s="1"/>
  <c r="M15" i="24" s="1"/>
  <c r="AR59" i="1"/>
  <c r="F68" i="24"/>
  <c r="F23" i="24"/>
  <c r="M23" i="24" s="1"/>
  <c r="F21" i="24"/>
  <c r="M21" i="24" s="1"/>
  <c r="H17" i="24"/>
  <c r="E7" i="15"/>
  <c r="W5" i="22"/>
  <c r="D4" i="15"/>
  <c r="V2" i="22"/>
  <c r="D5" i="15"/>
  <c r="V3" i="22"/>
  <c r="E4" i="15"/>
  <c r="W2" i="22"/>
  <c r="E6" i="15"/>
  <c r="W4" i="22"/>
  <c r="E5" i="15"/>
  <c r="W3" i="22"/>
  <c r="D6" i="15"/>
  <c r="V4" i="22"/>
  <c r="BG14" i="10"/>
  <c r="H10" i="15"/>
  <c r="BG15" i="1"/>
  <c r="G91" i="6"/>
  <c r="R8" i="6" s="1"/>
  <c r="AS59" i="10"/>
  <c r="AS59" i="1"/>
  <c r="AV26" i="1"/>
  <c r="AV16" i="1"/>
  <c r="N7" i="22" l="1"/>
  <c r="O7" i="22"/>
  <c r="N3" i="22"/>
  <c r="O3" i="22"/>
  <c r="N4" i="22"/>
  <c r="O4" i="22"/>
  <c r="N2" i="22"/>
  <c r="O2" i="22"/>
  <c r="N5" i="22"/>
  <c r="O5" i="22"/>
  <c r="N6" i="22"/>
  <c r="O6" i="22"/>
  <c r="Y20" i="12"/>
  <c r="L15" i="24"/>
  <c r="AO2" i="1"/>
  <c r="AH8" i="1" s="1"/>
  <c r="F69" i="24"/>
  <c r="AT59" i="1"/>
  <c r="L10" i="24" s="1"/>
  <c r="AV59" i="1"/>
  <c r="L9" i="24" s="1"/>
  <c r="G11" i="24" s="1"/>
  <c r="AU59" i="1"/>
  <c r="H68" i="24"/>
  <c r="F17" i="24"/>
  <c r="M17" i="24" s="1"/>
  <c r="F27" i="24"/>
  <c r="M27" i="24" s="1"/>
  <c r="H16" i="24"/>
  <c r="H15" i="24"/>
  <c r="Q6" i="6"/>
  <c r="S6" i="6" s="1"/>
  <c r="D11" i="24" l="1"/>
  <c r="L11" i="24"/>
  <c r="AH9" i="1"/>
  <c r="T5" i="13"/>
  <c r="AG15" i="1" l="1"/>
  <c r="AG52" i="10"/>
  <c r="AG50" i="1"/>
  <c r="AG41" i="10"/>
  <c r="AG49" i="1"/>
  <c r="AG44" i="10"/>
  <c r="BL26" i="1"/>
  <c r="AG48" i="1"/>
  <c r="AG36" i="10"/>
  <c r="AG34" i="10"/>
  <c r="BL28" i="1"/>
  <c r="AG26" i="10"/>
  <c r="AG16" i="10"/>
  <c r="AG31" i="10"/>
  <c r="BL25" i="1"/>
  <c r="BL24" i="1"/>
  <c r="BL18" i="1"/>
  <c r="AG35" i="1"/>
  <c r="AG51" i="1"/>
  <c r="AG35" i="10"/>
  <c r="AG34" i="1"/>
  <c r="AG47" i="1"/>
  <c r="AG25" i="10"/>
  <c r="AG28" i="10"/>
  <c r="AG17" i="10"/>
  <c r="AG43" i="1"/>
  <c r="AG36" i="1"/>
  <c r="AG41" i="1"/>
  <c r="AG43" i="10"/>
  <c r="AG42" i="10"/>
  <c r="AG21" i="1"/>
  <c r="AG19" i="10"/>
  <c r="AG50" i="10"/>
  <c r="AG56" i="1"/>
  <c r="AG33" i="1"/>
  <c r="BL21" i="1"/>
  <c r="AG45" i="10"/>
  <c r="AG44" i="1"/>
  <c r="AG33" i="10"/>
  <c r="AG24" i="1"/>
  <c r="AG54" i="1"/>
  <c r="AG27" i="10"/>
  <c r="AG32" i="10"/>
  <c r="AG24" i="10"/>
  <c r="AG22" i="10"/>
  <c r="AG49" i="10"/>
  <c r="AG39" i="10"/>
  <c r="AG27" i="1"/>
  <c r="AG45" i="1"/>
  <c r="AG38" i="1"/>
  <c r="BL27" i="1"/>
  <c r="AG57" i="10"/>
  <c r="AG18" i="10"/>
  <c r="AG28" i="1"/>
  <c r="AG57" i="1"/>
  <c r="AG55" i="10"/>
  <c r="AG58" i="10"/>
  <c r="AG19" i="1"/>
  <c r="AG55" i="1"/>
  <c r="AG51" i="10"/>
  <c r="AG26" i="1"/>
  <c r="AG25" i="1"/>
  <c r="BL19" i="1"/>
  <c r="AG37" i="10"/>
  <c r="AG37" i="1"/>
  <c r="BL20" i="1"/>
  <c r="AG29" i="1"/>
  <c r="BL30" i="1"/>
  <c r="AG58" i="1"/>
  <c r="AG47" i="10"/>
  <c r="AG53" i="1"/>
  <c r="AG42" i="1"/>
  <c r="AG38" i="10"/>
  <c r="AG23" i="10"/>
  <c r="AG40" i="10"/>
  <c r="AG23" i="1"/>
  <c r="AG52" i="1"/>
  <c r="AG56" i="10"/>
  <c r="AG48" i="10"/>
  <c r="AG20" i="1"/>
  <c r="AG29" i="10"/>
  <c r="AG40" i="1"/>
  <c r="AG46" i="10"/>
  <c r="AG46" i="1"/>
  <c r="AG21" i="10"/>
  <c r="BL15" i="1"/>
  <c r="AG32" i="1"/>
  <c r="AG54" i="10"/>
  <c r="AG30" i="10"/>
  <c r="BL29" i="1"/>
  <c r="AG53" i="10"/>
  <c r="AG31" i="1"/>
  <c r="AG20" i="10"/>
  <c r="BL22" i="1"/>
  <c r="AG18" i="1"/>
  <c r="AG30" i="1"/>
  <c r="AG39" i="1"/>
  <c r="BL23" i="1"/>
  <c r="AG22" i="1"/>
  <c r="AG15" i="10"/>
  <c r="AG14" i="1"/>
  <c r="AG59" i="10" l="1"/>
  <c r="AG59" i="1"/>
  <c r="AO1" i="1" l="1"/>
  <c r="AE8" i="1" s="1"/>
  <c r="AE9" i="1" l="1"/>
  <c r="C2" i="22" l="1"/>
  <c r="C3" i="2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Pablo Silva</author>
  </authors>
  <commentList>
    <comment ref="J1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Sernapesca:</t>
        </r>
        <r>
          <rPr>
            <sz val="9"/>
            <color indexed="81"/>
            <rFont val="Tahoma"/>
            <family val="2"/>
          </rPr>
          <t xml:space="preserve">
Seleccione de lista desplegable la Categoría al que pertenece la especie a declarar.</t>
        </r>
      </text>
    </comment>
    <comment ref="R1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Sernapesca:</t>
        </r>
        <r>
          <rPr>
            <sz val="9"/>
            <color indexed="81"/>
            <rFont val="Tahoma"/>
            <family val="2"/>
          </rPr>
          <t xml:space="preserve">
Primero debe seleccionar la Categoría de la especie a declarar. Luego seleccione género o especie que figuran como autorizada en Resolución Exenta vigente de Subsecretaría de Pesca.</t>
        </r>
      </text>
    </comment>
    <comment ref="Y13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Sernapesca:</t>
        </r>
        <r>
          <rPr>
            <sz val="9"/>
            <color indexed="81"/>
            <rFont val="Tahoma"/>
            <family val="2"/>
          </rPr>
          <t xml:space="preserve">
Seleccione especie sólo cuando figura sólo el género en columna anterior (ej. Para categorías Pez o Cnidaria)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Pablo Silva Landeros</author>
    <author>SILVA LANDEROS, PABLO ANDRES</author>
    <author>Pablo Silva</author>
  </authors>
  <commentList>
    <comment ref="LF2" authorId="0" shapeId="0" xr:uid="{DB3E2340-98C8-4B47-97D1-C9021BB0B698}">
      <text>
        <r>
          <rPr>
            <b/>
            <sz val="10"/>
            <color indexed="81"/>
            <rFont val="Tahoma"/>
            <charset val="1"/>
          </rPr>
          <t>Pablo Silva Landeros:</t>
        </r>
        <r>
          <rPr>
            <sz val="10"/>
            <color indexed="81"/>
            <rFont val="Tahoma"/>
            <charset val="1"/>
          </rPr>
          <t xml:space="preserve">
Sinónimo de Microdevario kubotai</t>
        </r>
      </text>
    </comment>
    <comment ref="IL3" authorId="0" shapeId="0" xr:uid="{6C08F19A-2B1E-44A3-B489-9BEE8C7B2504}">
      <text>
        <r>
          <rPr>
            <b/>
            <sz val="10"/>
            <color indexed="81"/>
            <rFont val="Tahoma"/>
            <charset val="1"/>
          </rPr>
          <t>Pablo Silva Landeros:</t>
        </r>
        <r>
          <rPr>
            <sz val="10"/>
            <color indexed="81"/>
            <rFont val="Tahoma"/>
            <charset val="1"/>
          </rPr>
          <t xml:space="preserve">
Sinónimo de Mesoheros festae</t>
        </r>
      </text>
    </comment>
    <comment ref="MY5" authorId="0" shapeId="0" xr:uid="{35D1286F-9C08-4AD4-8D9F-B973B61B5562}">
      <text>
        <r>
          <rPr>
            <b/>
            <sz val="10"/>
            <color indexed="81"/>
            <rFont val="Tahoma"/>
            <charset val="1"/>
          </rPr>
          <t>Pablo Silva Landeros:</t>
        </r>
        <r>
          <rPr>
            <sz val="10"/>
            <color indexed="81"/>
            <rFont val="Tahoma"/>
            <charset val="1"/>
          </rPr>
          <t xml:space="preserve">
Sinínomo de Scleropages jardinii</t>
        </r>
      </text>
    </comment>
    <comment ref="IO6" authorId="1" shapeId="0" xr:uid="{00000000-0006-0000-0100-000001000000}">
      <text>
        <r>
          <rPr>
            <b/>
            <sz val="9"/>
            <color indexed="81"/>
            <rFont val="Tahoma"/>
            <family val="2"/>
          </rPr>
          <t>SILVA LANDEROS, PABLO ANDRES:</t>
        </r>
        <r>
          <rPr>
            <sz val="9"/>
            <color indexed="81"/>
            <rFont val="Tahoma"/>
            <family val="2"/>
          </rPr>
          <t xml:space="preserve">
Sininimo de Geniacanthus lamarck</t>
        </r>
      </text>
    </comment>
    <comment ref="T7" authorId="1" shapeId="0" xr:uid="{00000000-0006-0000-0100-000002000000}">
      <text>
        <r>
          <rPr>
            <b/>
            <sz val="9"/>
            <color indexed="81"/>
            <rFont val="Tahoma"/>
            <family val="2"/>
          </rPr>
          <t>SILVA LANDEROS, PABLO ANDRES:</t>
        </r>
        <r>
          <rPr>
            <sz val="9"/>
            <color indexed="81"/>
            <rFont val="Tahoma"/>
            <family val="2"/>
          </rPr>
          <t xml:space="preserve">
Sinonimo de Koumansetta hectori</t>
        </r>
      </text>
    </comment>
    <comment ref="BL7" authorId="0" shapeId="0" xr:uid="{0FD6E959-0BF8-4EF7-9BB5-51A43CD92862}">
      <text>
        <r>
          <rPr>
            <b/>
            <sz val="10"/>
            <color indexed="81"/>
            <rFont val="Tahoma"/>
            <charset val="1"/>
          </rPr>
          <t>Pablo Silva Landeros:</t>
        </r>
        <r>
          <rPr>
            <sz val="10"/>
            <color indexed="81"/>
            <rFont val="Tahoma"/>
            <charset val="1"/>
          </rPr>
          <t xml:space="preserve">
Sinónimo de Acreichthys tomentosus</t>
        </r>
      </text>
    </comment>
    <comment ref="EC7" authorId="0" shapeId="0" xr:uid="{0F4F4A73-A315-436D-B773-1EDD77D9B607}">
      <text>
        <r>
          <rPr>
            <b/>
            <sz val="10"/>
            <color indexed="81"/>
            <rFont val="Tahoma"/>
            <family val="2"/>
          </rPr>
          <t>Pablo Silva Landeros:</t>
        </r>
        <r>
          <rPr>
            <sz val="10"/>
            <color indexed="81"/>
            <rFont val="Tahoma"/>
            <family val="2"/>
          </rPr>
          <t xml:space="preserve">
Sinónimo de Mesoheros festae</t>
        </r>
      </text>
    </comment>
    <comment ref="SC7" authorId="0" shapeId="0" xr:uid="{24BC7A93-2A45-4420-8C5D-C534AD75FF00}">
      <text>
        <r>
          <rPr>
            <b/>
            <sz val="10"/>
            <color indexed="81"/>
            <rFont val="Tahoma"/>
            <charset val="1"/>
          </rPr>
          <t>Pablo Silva Landeros:</t>
        </r>
        <r>
          <rPr>
            <sz val="10"/>
            <color indexed="81"/>
            <rFont val="Tahoma"/>
            <charset val="1"/>
          </rPr>
          <t xml:space="preserve">
Sinónimo de Marosatherina ladigesi</t>
        </r>
      </text>
    </comment>
    <comment ref="SG8" authorId="0" shapeId="0" xr:uid="{D46F2ED4-F981-4CE9-8A5D-044B7972334F}">
      <text>
        <r>
          <rPr>
            <b/>
            <sz val="10"/>
            <color indexed="81"/>
            <rFont val="Tahoma"/>
            <charset val="1"/>
          </rPr>
          <t>Pablo Silva Landeros:</t>
        </r>
        <r>
          <rPr>
            <sz val="10"/>
            <color indexed="81"/>
            <rFont val="Tahoma"/>
            <charset val="1"/>
          </rPr>
          <t xml:space="preserve">
Sinónimo de Dichotomyctere nigroviridis</t>
        </r>
      </text>
    </comment>
    <comment ref="BZ9" authorId="0" shapeId="0" xr:uid="{41B2EB90-C3E9-4940-9E04-21462AD283A7}">
      <text>
        <r>
          <rPr>
            <b/>
            <sz val="10"/>
            <color indexed="81"/>
            <rFont val="Tahoma"/>
            <charset val="1"/>
          </rPr>
          <t>Pablo Silva Landeros:</t>
        </r>
        <r>
          <rPr>
            <sz val="10"/>
            <color indexed="81"/>
            <rFont val="Tahoma"/>
            <charset val="1"/>
          </rPr>
          <t xml:space="preserve">
Sinónimo de Chromobotia macracantha</t>
        </r>
      </text>
    </comment>
    <comment ref="BQ11" authorId="1" shapeId="0" xr:uid="{00000000-0006-0000-0100-000003000000}">
      <text>
        <r>
          <rPr>
            <b/>
            <sz val="9"/>
            <color indexed="81"/>
            <rFont val="Tahoma"/>
            <family val="2"/>
          </rPr>
          <t>SILVA LANDEROS, PABLO ANDRES:</t>
        </r>
        <r>
          <rPr>
            <sz val="9"/>
            <color indexed="81"/>
            <rFont val="Tahoma"/>
            <family val="2"/>
          </rPr>
          <t xml:space="preserve">
Sinonimo de Pethia conchonius</t>
        </r>
      </text>
    </comment>
    <comment ref="SG11" authorId="0" shapeId="0" xr:uid="{485C244B-F67E-40BB-A895-F469C2B154C6}">
      <text>
        <r>
          <rPr>
            <b/>
            <sz val="10"/>
            <color indexed="81"/>
            <rFont val="Tahoma"/>
            <charset val="1"/>
          </rPr>
          <t>Pablo Silva Landeros:</t>
        </r>
        <r>
          <rPr>
            <sz val="10"/>
            <color indexed="81"/>
            <rFont val="Tahoma"/>
            <charset val="1"/>
          </rPr>
          <t xml:space="preserve">
Sinónimo de Carinotetraodon travancoricus</t>
        </r>
      </text>
    </comment>
    <comment ref="QC12" authorId="1" shapeId="0" xr:uid="{00000000-0006-0000-0100-000004000000}">
      <text>
        <r>
          <rPr>
            <b/>
            <sz val="9"/>
            <color indexed="81"/>
            <rFont val="Tahoma"/>
            <family val="2"/>
          </rPr>
          <t>SILVA LANDEROS, PABLO ANDRES:</t>
        </r>
        <r>
          <rPr>
            <sz val="9"/>
            <color indexed="81"/>
            <rFont val="Tahoma"/>
            <family val="2"/>
          </rPr>
          <t xml:space="preserve">
Sinónimo de Pethia conchonius</t>
        </r>
      </text>
    </comment>
    <comment ref="L14" authorId="0" shapeId="0" xr:uid="{5879C489-28C3-4859-8582-A120B2027850}">
      <text>
        <r>
          <rPr>
            <b/>
            <sz val="10"/>
            <color indexed="81"/>
            <rFont val="Tahoma"/>
            <family val="2"/>
          </rPr>
          <t>Pablo Silva Landeros:</t>
        </r>
        <r>
          <rPr>
            <sz val="10"/>
            <color indexed="81"/>
            <rFont val="Tahoma"/>
            <family val="2"/>
          </rPr>
          <t xml:space="preserve">
Sinónimo de Andinoacara pulcher</t>
        </r>
      </text>
    </comment>
    <comment ref="L15" authorId="0" shapeId="0" xr:uid="{6F15948A-D6D7-4DD6-ABEF-6D62679A5D5C}">
      <text>
        <r>
          <rPr>
            <b/>
            <sz val="10"/>
            <color indexed="81"/>
            <rFont val="Tahoma"/>
            <family val="2"/>
          </rPr>
          <t>Pablo Silva Landeros:</t>
        </r>
        <r>
          <rPr>
            <sz val="10"/>
            <color indexed="81"/>
            <rFont val="Tahoma"/>
            <family val="2"/>
          </rPr>
          <t xml:space="preserve">
Sinónimo de Andinoacara rivulatus</t>
        </r>
      </text>
    </comment>
    <comment ref="CU31" authorId="2" shapeId="0" xr:uid="{00000000-0006-0000-0100-000005000000}">
      <text>
        <r>
          <rPr>
            <b/>
            <sz val="9"/>
            <color indexed="81"/>
            <rFont val="Tahoma"/>
            <family val="2"/>
          </rPr>
          <t>Pablo Silva:</t>
        </r>
        <r>
          <rPr>
            <sz val="9"/>
            <color indexed="81"/>
            <rFont val="Tahoma"/>
            <family val="2"/>
          </rPr>
          <t xml:space="preserve">
Nombre valido es Puntigrus tetrazona. Género no incluido en nómina.</t>
        </r>
      </text>
    </comment>
    <comment ref="BQ32" authorId="1" shapeId="0" xr:uid="{00000000-0006-0000-0100-000006000000}">
      <text>
        <r>
          <rPr>
            <b/>
            <sz val="9"/>
            <color indexed="81"/>
            <rFont val="Tahoma"/>
            <family val="2"/>
          </rPr>
          <t>SILVA LANDEROS, PABLO ANDRES:</t>
        </r>
        <r>
          <rPr>
            <sz val="9"/>
            <color indexed="81"/>
            <rFont val="Tahoma"/>
            <family val="2"/>
          </rPr>
          <t xml:space="preserve">
Sinonimo de Desmopuntius rhomboocellatus</t>
        </r>
      </text>
    </comment>
    <comment ref="QC32" authorId="1" shapeId="0" xr:uid="{00000000-0006-0000-0100-000007000000}">
      <text>
        <r>
          <rPr>
            <b/>
            <sz val="9"/>
            <color indexed="81"/>
            <rFont val="Tahoma"/>
            <family val="2"/>
          </rPr>
          <t>SILVA LANDEROS, PABLO ANDRES:</t>
        </r>
        <r>
          <rPr>
            <sz val="9"/>
            <color indexed="81"/>
            <rFont val="Tahoma"/>
            <family val="2"/>
          </rPr>
          <t xml:space="preserve">
Sinonimo de Pethia nigrofasciata</t>
        </r>
      </text>
    </comment>
    <comment ref="QC40" authorId="1" shapeId="0" xr:uid="{00000000-0006-0000-0100-000008000000}">
      <text>
        <r>
          <rPr>
            <b/>
            <sz val="9"/>
            <color indexed="81"/>
            <rFont val="Tahoma"/>
            <family val="2"/>
          </rPr>
          <t>SILVA LANDEROS, PABLO ANDRES:</t>
        </r>
        <r>
          <rPr>
            <sz val="9"/>
            <color indexed="81"/>
            <rFont val="Tahoma"/>
            <family val="2"/>
          </rPr>
          <t xml:space="preserve">
Sinonimo de Desmopuntius rhomboocellatus</t>
        </r>
      </text>
    </comment>
    <comment ref="QC51" authorId="2" shapeId="0" xr:uid="{00000000-0006-0000-0100-000009000000}">
      <text>
        <r>
          <rPr>
            <b/>
            <sz val="9"/>
            <color indexed="81"/>
            <rFont val="Tahoma"/>
            <family val="2"/>
          </rPr>
          <t>Pablo Silva:</t>
        </r>
        <r>
          <rPr>
            <sz val="9"/>
            <color indexed="81"/>
            <rFont val="Tahoma"/>
            <family val="2"/>
          </rPr>
          <t xml:space="preserve">
Nombre valido es Puntigrus tetrazona. Género no incluido en nómina.</t>
        </r>
      </text>
    </comment>
    <comment ref="IT72" authorId="0" shapeId="0" xr:uid="{DF198B24-FE79-4A89-BBDF-4A3541D5779B}">
      <text>
        <r>
          <rPr>
            <b/>
            <sz val="10"/>
            <color indexed="81"/>
            <rFont val="Tahoma"/>
            <charset val="1"/>
          </rPr>
          <t>Pablo Silva Landeros:</t>
        </r>
        <r>
          <rPr>
            <sz val="10"/>
            <color indexed="81"/>
            <rFont val="Tahoma"/>
            <charset val="1"/>
          </rPr>
          <t xml:space="preserve">
Sinónimo de Megalamphodus megalopterus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Pablo Silva Landeros</author>
    <author>Pablo Silva</author>
  </authors>
  <commentList>
    <comment ref="N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Sernapesca</t>
        </r>
        <r>
          <rPr>
            <sz val="9"/>
            <color indexed="81"/>
            <rFont val="Tahoma"/>
            <family val="2"/>
          </rPr>
          <t xml:space="preserve">
Sólo para importación de especies ornamentales.</t>
        </r>
      </text>
    </comment>
    <comment ref="J12" authorId="1" shapeId="0" xr:uid="{00000000-0006-0000-0400-000002000000}">
      <text>
        <r>
          <rPr>
            <b/>
            <sz val="9"/>
            <color indexed="81"/>
            <rFont val="Tahoma"/>
            <family val="2"/>
          </rPr>
          <t>Sernapesca:</t>
        </r>
        <r>
          <rPr>
            <sz val="9"/>
            <color indexed="81"/>
            <rFont val="Tahoma"/>
            <family val="2"/>
          </rPr>
          <t xml:space="preserve">
Seleccione de lista desplegable la Categoría a la que pertenece la especie a declarar.</t>
        </r>
      </text>
    </comment>
    <comment ref="R13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Sernapesca:</t>
        </r>
        <r>
          <rPr>
            <sz val="9"/>
            <color indexed="81"/>
            <rFont val="Tahoma"/>
            <family val="2"/>
          </rPr>
          <t xml:space="preserve">
Primero debe seleccionar la Categoría de la especie a declarar. Luego seleccione género o especie que figuran como autorizada en Resolución Exenta vigente de Subsecretaría de Pesca.</t>
        </r>
      </text>
    </comment>
    <comment ref="Y13" authorId="1" shapeId="0" xr:uid="{00000000-0006-0000-0400-000004000000}">
      <text>
        <r>
          <rPr>
            <b/>
            <sz val="9"/>
            <color indexed="81"/>
            <rFont val="Tahoma"/>
            <family val="2"/>
          </rPr>
          <t>Sernapesca:</t>
        </r>
        <r>
          <rPr>
            <sz val="9"/>
            <color indexed="81"/>
            <rFont val="Tahoma"/>
            <family val="2"/>
          </rPr>
          <t xml:space="preserve">
Seleccione especie sólo cuando figura sólo el género en columna anterior (ej. Para categorías Pez o Cnidaria)</t>
        </r>
      </text>
    </comment>
  </commentList>
</comments>
</file>

<file path=xl/sharedStrings.xml><?xml version="1.0" encoding="utf-8"?>
<sst xmlns="http://schemas.openxmlformats.org/spreadsheetml/2006/main" count="19050" uniqueCount="10352">
  <si>
    <t>N° Acta de Internación asociada</t>
  </si>
  <si>
    <t>ORDEN DE CUARENTENA</t>
  </si>
  <si>
    <t>Inicio cuarentena</t>
  </si>
  <si>
    <t>Día 15:</t>
  </si>
  <si>
    <t>Total declarado</t>
  </si>
  <si>
    <t>RESUMEN DE CUARENTENA</t>
  </si>
  <si>
    <t>Titular  Est.  Cuarentena</t>
  </si>
  <si>
    <t>RUT:</t>
  </si>
  <si>
    <t>Total arribado</t>
  </si>
  <si>
    <t>Dirección</t>
  </si>
  <si>
    <t>Mortalidad</t>
  </si>
  <si>
    <t>Nombre del Proveedor</t>
  </si>
  <si>
    <t>Saldo final</t>
  </si>
  <si>
    <t>Información declarada para solicitar autorización de Acta de Internación</t>
  </si>
  <si>
    <t>Item</t>
  </si>
  <si>
    <t>Cantidad Declarada</t>
  </si>
  <si>
    <t>AUTORIZACIÓN DE INICIO DE CUARENTENA</t>
  </si>
  <si>
    <t>Solicitud de Levantamiento de Cuarentena</t>
  </si>
  <si>
    <t xml:space="preserve">A partir del </t>
  </si>
  <si>
    <t>Nombre y firma de Funcionario</t>
  </si>
  <si>
    <t>Timbre Control Interno</t>
  </si>
  <si>
    <t>se podrá enviar  correo de solicitud</t>
  </si>
  <si>
    <t>Ambiente</t>
  </si>
  <si>
    <t>Abramites</t>
  </si>
  <si>
    <t>Abudefduf</t>
  </si>
  <si>
    <t>Acanthicus</t>
  </si>
  <si>
    <t>Acanthodoras</t>
  </si>
  <si>
    <t>Acanthostracion</t>
  </si>
  <si>
    <t>Acanthurus</t>
  </si>
  <si>
    <t>Acantopsis</t>
  </si>
  <si>
    <t>Acarichthys</t>
  </si>
  <si>
    <t>Acaronia</t>
  </si>
  <si>
    <t>Acestrorhynchus</t>
  </si>
  <si>
    <t>Achirus</t>
  </si>
  <si>
    <t>Acropora</t>
  </si>
  <si>
    <t>Aequidens</t>
  </si>
  <si>
    <t>Agamyxis</t>
  </si>
  <si>
    <t>Aguarunichthys</t>
  </si>
  <si>
    <t>Alectis</t>
  </si>
  <si>
    <t>Alestopetersius</t>
  </si>
  <si>
    <t>Altolamprologus</t>
  </si>
  <si>
    <t>Amblydoras</t>
  </si>
  <si>
    <t>Amblyeleotris</t>
  </si>
  <si>
    <t>Amblygobius</t>
  </si>
  <si>
    <t>Amphilophus</t>
  </si>
  <si>
    <t>Amphiprion</t>
  </si>
  <si>
    <t>Anabas</t>
  </si>
  <si>
    <t>Anableps</t>
  </si>
  <si>
    <t>Anadoras</t>
  </si>
  <si>
    <t>Anampses</t>
  </si>
  <si>
    <t>Ancistrus</t>
  </si>
  <si>
    <t>Anisotremus</t>
  </si>
  <si>
    <t>Anomalops</t>
  </si>
  <si>
    <t>Anostomus</t>
  </si>
  <si>
    <t>Antennarius</t>
  </si>
  <si>
    <t>Aphyocharax</t>
  </si>
  <si>
    <t>Aphyosemion</t>
  </si>
  <si>
    <t>Apistogramma</t>
  </si>
  <si>
    <t>Apistogrammoides</t>
  </si>
  <si>
    <t>Aplocheilus</t>
  </si>
  <si>
    <t>Apogon</t>
  </si>
  <si>
    <t>Apolemichthys</t>
  </si>
  <si>
    <t>Apteronotus</t>
  </si>
  <si>
    <t>Arapaima</t>
  </si>
  <si>
    <t>CITES</t>
  </si>
  <si>
    <t>Archocentrus</t>
  </si>
  <si>
    <t>Archoplites</t>
  </si>
  <si>
    <t>Aristochromis</t>
  </si>
  <si>
    <t>Arius</t>
  </si>
  <si>
    <t>Arothron</t>
  </si>
  <si>
    <t>Aspidoras</t>
  </si>
  <si>
    <t>Assessor</t>
  </si>
  <si>
    <t>Astatotilapia</t>
  </si>
  <si>
    <t>Astrodoras</t>
  </si>
  <si>
    <t>Astronotus</t>
  </si>
  <si>
    <t>Astyanax</t>
  </si>
  <si>
    <t>Atractosteus</t>
  </si>
  <si>
    <t>Auchenipterichthys</t>
  </si>
  <si>
    <t>Aulonocara</t>
  </si>
  <si>
    <t>Aulonocranus</t>
  </si>
  <si>
    <t>Austrofundulus</t>
  </si>
  <si>
    <t>Austrolebias</t>
  </si>
  <si>
    <t>Axelrodia</t>
  </si>
  <si>
    <t>Badis</t>
  </si>
  <si>
    <t>Bagarius</t>
  </si>
  <si>
    <t>Balantiocheilos</t>
  </si>
  <si>
    <t>Balistapus</t>
  </si>
  <si>
    <t>Balistes</t>
  </si>
  <si>
    <t>Balistoides</t>
  </si>
  <si>
    <t>Barbichthys</t>
  </si>
  <si>
    <t>Barbodes</t>
  </si>
  <si>
    <t>Barbonymus</t>
  </si>
  <si>
    <t>Barbus</t>
  </si>
  <si>
    <t>Bedotia</t>
  </si>
  <si>
    <t>Belontia</t>
  </si>
  <si>
    <t>Benthochromis</t>
  </si>
  <si>
    <t>Betta</t>
  </si>
  <si>
    <t>Biotodoma</t>
  </si>
  <si>
    <t>Bodianus</t>
  </si>
  <si>
    <t>Boehlkea</t>
  </si>
  <si>
    <t>Boraras</t>
  </si>
  <si>
    <t>Botia</t>
  </si>
  <si>
    <t>Boulengerella</t>
  </si>
  <si>
    <t>Boulengerochromis</t>
  </si>
  <si>
    <t>Brachychalcinus</t>
  </si>
  <si>
    <t>Brachygobius</t>
  </si>
  <si>
    <t>Brachyhypopomus</t>
  </si>
  <si>
    <t>Brachyplatystoma</t>
  </si>
  <si>
    <t>Brochis</t>
  </si>
  <si>
    <t>Brycinus</t>
  </si>
  <si>
    <t>Brycon</t>
  </si>
  <si>
    <t>Buccochromis</t>
  </si>
  <si>
    <t>Bunocephalichthys</t>
  </si>
  <si>
    <t>Bunocephalus</t>
  </si>
  <si>
    <t>Butis</t>
  </si>
  <si>
    <t>Caenotropus</t>
  </si>
  <si>
    <t>Callichthys</t>
  </si>
  <si>
    <t>Callochromis</t>
  </si>
  <si>
    <t>Calloplesiops</t>
  </si>
  <si>
    <t>Calophysus</t>
  </si>
  <si>
    <t>Campylomormyrus</t>
  </si>
  <si>
    <t>Canthigaster</t>
  </si>
  <si>
    <t>Capoeta</t>
  </si>
  <si>
    <t>Caquetaia</t>
  </si>
  <si>
    <t>Carassius</t>
  </si>
  <si>
    <t>Carcharhinus</t>
  </si>
  <si>
    <t>Carnegiella</t>
  </si>
  <si>
    <t>Centropyge</t>
  </si>
  <si>
    <t>Cephalopholis</t>
  </si>
  <si>
    <t>Cetopsis</t>
  </si>
  <si>
    <t>Chaca</t>
  </si>
  <si>
    <t>Chaetodermis</t>
  </si>
  <si>
    <t>Chaetodipterus</t>
  </si>
  <si>
    <t>Chaetodon</t>
  </si>
  <si>
    <t>Chaetodontoplus</t>
  </si>
  <si>
    <t>Chaetostoma</t>
  </si>
  <si>
    <t>Chalceus</t>
  </si>
  <si>
    <t>Chalinochromis</t>
  </si>
  <si>
    <t>Champsochromis</t>
  </si>
  <si>
    <t>Chanda</t>
  </si>
  <si>
    <t>Channa</t>
  </si>
  <si>
    <t>Characidium</t>
  </si>
  <si>
    <t>Charax</t>
  </si>
  <si>
    <t>Cheilochromis</t>
  </si>
  <si>
    <t>Chela</t>
  </si>
  <si>
    <t>Chelmon</t>
  </si>
  <si>
    <t>Chelmonops</t>
  </si>
  <si>
    <t>Chilodus</t>
  </si>
  <si>
    <t>Chilomycterus</t>
  </si>
  <si>
    <t>Chiloscyllium</t>
  </si>
  <si>
    <t>Chilotilapia</t>
  </si>
  <si>
    <t>Chitala</t>
  </si>
  <si>
    <t>Chromileptes</t>
  </si>
  <si>
    <t>Chromis</t>
  </si>
  <si>
    <t>Chrysiptera</t>
  </si>
  <si>
    <t>Cichla</t>
  </si>
  <si>
    <t>Cichlasoma</t>
  </si>
  <si>
    <t>Cirrhilabrus</t>
  </si>
  <si>
    <t>Cirrhitichthys</t>
  </si>
  <si>
    <t>Cirrhitops</t>
  </si>
  <si>
    <t>Cirrhitus</t>
  </si>
  <si>
    <t>Cleithracara</t>
  </si>
  <si>
    <t>Cobitis</t>
  </si>
  <si>
    <t>Colomesus</t>
  </si>
  <si>
    <t>Colossoma</t>
  </si>
  <si>
    <t>Copadichromis</t>
  </si>
  <si>
    <t>Copeina</t>
  </si>
  <si>
    <t>Copella</t>
  </si>
  <si>
    <t>Coradion</t>
  </si>
  <si>
    <t>Coris</t>
  </si>
  <si>
    <t>Corydoras</t>
  </si>
  <si>
    <t>Corynopoma</t>
  </si>
  <si>
    <t>Coryphopterus</t>
  </si>
  <si>
    <t>Crenicara</t>
  </si>
  <si>
    <t>Crenicichla</t>
  </si>
  <si>
    <t>Crenuchus</t>
  </si>
  <si>
    <t>Cromileptes</t>
  </si>
  <si>
    <t>Crossocheilus</t>
  </si>
  <si>
    <t>Cryptocentrus</t>
  </si>
  <si>
    <t>Ctenobrycon</t>
  </si>
  <si>
    <t>Ctenochaetus</t>
  </si>
  <si>
    <t>Ctenogobiops</t>
  </si>
  <si>
    <t>Ctenolucius</t>
  </si>
  <si>
    <t>Ctenopharyngodon</t>
  </si>
  <si>
    <t>Ctenopis</t>
  </si>
  <si>
    <t>Ctenopoma</t>
  </si>
  <si>
    <t>Cyathopharynx</t>
  </si>
  <si>
    <t>Cynolebias</t>
  </si>
  <si>
    <t>Cynotilapia</t>
  </si>
  <si>
    <t>Cyphotilapia</t>
  </si>
  <si>
    <t>Cyprichromis</t>
  </si>
  <si>
    <t>Cyprinocirrhites</t>
  </si>
  <si>
    <t>Cyprinus</t>
  </si>
  <si>
    <t>Cyrtocara</t>
  </si>
  <si>
    <t>Dactyloptena</t>
  </si>
  <si>
    <t>Danio</t>
  </si>
  <si>
    <t>Dascyllus</t>
  </si>
  <si>
    <t>Datnioides</t>
  </si>
  <si>
    <t>Dekeyseria</t>
  </si>
  <si>
    <t>Dendrochirus</t>
  </si>
  <si>
    <t>Dermogenys</t>
  </si>
  <si>
    <t>Devario</t>
  </si>
  <si>
    <t>Dianema</t>
  </si>
  <si>
    <t>Dicrossus</t>
  </si>
  <si>
    <t>Dimidiochromis</t>
  </si>
  <si>
    <t>Diodon</t>
  </si>
  <si>
    <t>Distichodus</t>
  </si>
  <si>
    <t>Echeneis</t>
  </si>
  <si>
    <t>Echidna</t>
  </si>
  <si>
    <t>Ecsenius</t>
  </si>
  <si>
    <t>Eigenmannia</t>
  </si>
  <si>
    <t>Elacatinus</t>
  </si>
  <si>
    <t>Electrophorus</t>
  </si>
  <si>
    <t>Emblemaria</t>
  </si>
  <si>
    <t>Enchelycore</t>
  </si>
  <si>
    <t>Enneacampus</t>
  </si>
  <si>
    <t>Enneacanthus</t>
  </si>
  <si>
    <t>Epalzeorhynchos</t>
  </si>
  <si>
    <t>Epibulus</t>
  </si>
  <si>
    <t>Epinephelus</t>
  </si>
  <si>
    <t>Epiplatys</t>
  </si>
  <si>
    <t>Equetus</t>
  </si>
  <si>
    <t>Eremophilus</t>
  </si>
  <si>
    <t>Eretmodus</t>
  </si>
  <si>
    <t>Erpetoichthys</t>
  </si>
  <si>
    <t>Etroplus</t>
  </si>
  <si>
    <t>Eurypegasus</t>
  </si>
  <si>
    <t>Exallias</t>
  </si>
  <si>
    <t>Exodon</t>
  </si>
  <si>
    <t>Farlowella</t>
  </si>
  <si>
    <t>Forcipiger</t>
  </si>
  <si>
    <t>Fossorochromis</t>
  </si>
  <si>
    <t>Fundulopanchax</t>
  </si>
  <si>
    <t>Garra</t>
  </si>
  <si>
    <t>Gasteropelecus</t>
  </si>
  <si>
    <t>Gasterosteus</t>
  </si>
  <si>
    <t>Geophagus</t>
  </si>
  <si>
    <t>Gephyrocharax</t>
  </si>
  <si>
    <t>Ginglymostoma</t>
  </si>
  <si>
    <t>Glossolepis</t>
  </si>
  <si>
    <t>Gnathochromis</t>
  </si>
  <si>
    <t>Gnathonemus</t>
  </si>
  <si>
    <t>Gobiodon</t>
  </si>
  <si>
    <t>Gobiosoma</t>
  </si>
  <si>
    <t>Gomphosus</t>
  </si>
  <si>
    <t>Gramma</t>
  </si>
  <si>
    <t>Grammistes</t>
  </si>
  <si>
    <t>Greenwoodochromis</t>
  </si>
  <si>
    <t>Gymnocorymbus</t>
  </si>
  <si>
    <t>Gymnogeophagus</t>
  </si>
  <si>
    <t>Gymnomuraena</t>
  </si>
  <si>
    <t>Gymnothorax</t>
  </si>
  <si>
    <t>Gymnotus</t>
  </si>
  <si>
    <t>Gyrinocheilus</t>
  </si>
  <si>
    <t>Halichoeres</t>
  </si>
  <si>
    <t>Hampala</t>
  </si>
  <si>
    <t>Haplochromis</t>
  </si>
  <si>
    <t>Hasemania</t>
  </si>
  <si>
    <t>Helostoma</t>
  </si>
  <si>
    <t>Hemibagrus</t>
  </si>
  <si>
    <t>Hemichromis</t>
  </si>
  <si>
    <t>Hemigrammus</t>
  </si>
  <si>
    <t>Hemiodontichthys</t>
  </si>
  <si>
    <t>Hemiodus</t>
  </si>
  <si>
    <t>Hemisorubim</t>
  </si>
  <si>
    <t>Hemitaurichthys</t>
  </si>
  <si>
    <t>Heniochus</t>
  </si>
  <si>
    <t>Heros</t>
  </si>
  <si>
    <t>Hippocampus</t>
  </si>
  <si>
    <t>Histrio</t>
  </si>
  <si>
    <t>Holacanthus</t>
  </si>
  <si>
    <t>Homaloptera</t>
  </si>
  <si>
    <t>Hoplosternum</t>
  </si>
  <si>
    <t>Horabagrus</t>
  </si>
  <si>
    <t>Hydrolycus</t>
  </si>
  <si>
    <t>Hyphessobrycon</t>
  </si>
  <si>
    <t>Hypoclinemus</t>
  </si>
  <si>
    <t>Hypoplectrus</t>
  </si>
  <si>
    <t>Hypoptopoma</t>
  </si>
  <si>
    <t>Hypostomus</t>
  </si>
  <si>
    <t>Hypselecara</t>
  </si>
  <si>
    <t>Iguanodectes</t>
  </si>
  <si>
    <t>Indostomus</t>
  </si>
  <si>
    <t>Inpaichthys</t>
  </si>
  <si>
    <t>Iodotropheus</t>
  </si>
  <si>
    <t>Iriatherina</t>
  </si>
  <si>
    <t>Istiblennius</t>
  </si>
  <si>
    <t>Jordanella</t>
  </si>
  <si>
    <t>Julidochromis</t>
  </si>
  <si>
    <t>Kryptopterus</t>
  </si>
  <si>
    <t>Labeo</t>
  </si>
  <si>
    <t>Labeotropheus</t>
  </si>
  <si>
    <t>Labidochromis</t>
  </si>
  <si>
    <t>Labrichthys</t>
  </si>
  <si>
    <t>Labroides</t>
  </si>
  <si>
    <t>Lactophrys</t>
  </si>
  <si>
    <t>Lactoria</t>
  </si>
  <si>
    <t>Laetacara</t>
  </si>
  <si>
    <t>Lamontichthys</t>
  </si>
  <si>
    <t>Lamprologus</t>
  </si>
  <si>
    <t>Leiarius</t>
  </si>
  <si>
    <t>Lepidiolamprologus</t>
  </si>
  <si>
    <t>Lepidosiren</t>
  </si>
  <si>
    <t>Lepisosteus</t>
  </si>
  <si>
    <t>Lepomis</t>
  </si>
  <si>
    <t>Leporacanthicus</t>
  </si>
  <si>
    <t>Leporinus</t>
  </si>
  <si>
    <t>Leptobarbus</t>
  </si>
  <si>
    <t>Leptobotia</t>
  </si>
  <si>
    <t>Lethrinops</t>
  </si>
  <si>
    <t>Limia</t>
  </si>
  <si>
    <t>Liopropoma</t>
  </si>
  <si>
    <t>Liosomadoras</t>
  </si>
  <si>
    <t>Lipophrys</t>
  </si>
  <si>
    <t>Lobochilotes</t>
  </si>
  <si>
    <t>Luciocephalus</t>
  </si>
  <si>
    <t>Luciosoma</t>
  </si>
  <si>
    <t>Lutjanus</t>
  </si>
  <si>
    <t>Lythrypnus</t>
  </si>
  <si>
    <t>Macrognathus</t>
  </si>
  <si>
    <t>Macropharyngodon</t>
  </si>
  <si>
    <t>Macropodus</t>
  </si>
  <si>
    <t>Malacoctenus</t>
  </si>
  <si>
    <t>Marosatherina</t>
  </si>
  <si>
    <t>Mastacembelus</t>
  </si>
  <si>
    <t>Maylandia</t>
  </si>
  <si>
    <t>Meiacanthus</t>
  </si>
  <si>
    <t>Melanocharacidium</t>
  </si>
  <si>
    <t>Melanochromis</t>
  </si>
  <si>
    <t>Melanotaenia</t>
  </si>
  <si>
    <t>Melichthys</t>
  </si>
  <si>
    <t>Mesonauta</t>
  </si>
  <si>
    <t>Mesonoemacheilus</t>
  </si>
  <si>
    <t>Metynnis</t>
  </si>
  <si>
    <t>Microctenopoma</t>
  </si>
  <si>
    <t>Microglanis</t>
  </si>
  <si>
    <t>Microrasbora</t>
  </si>
  <si>
    <t>Microspathodon</t>
  </si>
  <si>
    <t>Mikrogeophagus</t>
  </si>
  <si>
    <t>Misgurnus</t>
  </si>
  <si>
    <t>Moenkhausia</t>
  </si>
  <si>
    <t>Monacanthus</t>
  </si>
  <si>
    <t>Monocirrhus</t>
  </si>
  <si>
    <t>Monodactylus</t>
  </si>
  <si>
    <t>Monopterus</t>
  </si>
  <si>
    <t>Myleus</t>
  </si>
  <si>
    <t>Myloplus</t>
  </si>
  <si>
    <t>Mylossoma</t>
  </si>
  <si>
    <t>Myrichthys</t>
  </si>
  <si>
    <t>Mystus</t>
  </si>
  <si>
    <t>Nandopsis</t>
  </si>
  <si>
    <t>Nandus</t>
  </si>
  <si>
    <t>Nannacara</t>
  </si>
  <si>
    <t>Nannostomus</t>
  </si>
  <si>
    <t>Nanochromis</t>
  </si>
  <si>
    <t>Narcine</t>
  </si>
  <si>
    <t>Naso</t>
  </si>
  <si>
    <t>Negaprion</t>
  </si>
  <si>
    <t>Nemacheilus</t>
  </si>
  <si>
    <t>Nemadoras</t>
  </si>
  <si>
    <t>Nemateleotris</t>
  </si>
  <si>
    <t>Nematobrycon</t>
  </si>
  <si>
    <t>Nematolebias</t>
  </si>
  <si>
    <t>Neocirrhites</t>
  </si>
  <si>
    <t>Neoglyphidodon</t>
  </si>
  <si>
    <t>Neolamprologus</t>
  </si>
  <si>
    <t>Neoniphon</t>
  </si>
  <si>
    <t>Neosynchiropus</t>
  </si>
  <si>
    <t>Nimbochromis</t>
  </si>
  <si>
    <t>Nomorhamphus</t>
  </si>
  <si>
    <t>Notesthes</t>
  </si>
  <si>
    <t>Nothobranchius</t>
  </si>
  <si>
    <t>Notopterus</t>
  </si>
  <si>
    <t>Novaculichthys</t>
  </si>
  <si>
    <t>Odonus</t>
  </si>
  <si>
    <t>Ompok</t>
  </si>
  <si>
    <t>Ophthalmotilapia</t>
  </si>
  <si>
    <t>Opistognathus</t>
  </si>
  <si>
    <t>Oryzias</t>
  </si>
  <si>
    <t>Osphronemus</t>
  </si>
  <si>
    <t>Osteochilus</t>
  </si>
  <si>
    <t>Osteoglossum</t>
  </si>
  <si>
    <t>Ostracion</t>
  </si>
  <si>
    <t>Otocinclus</t>
  </si>
  <si>
    <t>Otopharynx</t>
  </si>
  <si>
    <t>Oxycirrhites</t>
  </si>
  <si>
    <t>Oxyeleotris</t>
  </si>
  <si>
    <t>Oxymonacanthus</t>
  </si>
  <si>
    <t>Panaque</t>
  </si>
  <si>
    <t>Pangasius</t>
  </si>
  <si>
    <t>Pangio</t>
  </si>
  <si>
    <t>Pantodon</t>
  </si>
  <si>
    <t>Parablennius</t>
  </si>
  <si>
    <t>Paracanthurus</t>
  </si>
  <si>
    <t>Paracheilinus</t>
  </si>
  <si>
    <t>Paracheirodon</t>
  </si>
  <si>
    <t>Parachromis</t>
  </si>
  <si>
    <t>Paracirrhites</t>
  </si>
  <si>
    <t>Paracyprichromis</t>
  </si>
  <si>
    <t>Paragobiodon</t>
  </si>
  <si>
    <t>Parambassis</t>
  </si>
  <si>
    <t>Parasphaerichthys</t>
  </si>
  <si>
    <t>Paratilapia</t>
  </si>
  <si>
    <t>Paratrygon</t>
  </si>
  <si>
    <t>Pareques</t>
  </si>
  <si>
    <t>Parosphromenus</t>
  </si>
  <si>
    <t>Peckoltia</t>
  </si>
  <si>
    <t>Pelmatochromis</t>
  </si>
  <si>
    <t>Pelvicachromis</t>
  </si>
  <si>
    <t>Periophthalmus</t>
  </si>
  <si>
    <t>Perrunichthys</t>
  </si>
  <si>
    <t>Pervagor</t>
  </si>
  <si>
    <t>Petitella</t>
  </si>
  <si>
    <t>Petrochromis</t>
  </si>
  <si>
    <t>Petrotilapia</t>
  </si>
  <si>
    <t>Phenacogaster</t>
  </si>
  <si>
    <t>Phenacogrammus</t>
  </si>
  <si>
    <t>Pholidichthys</t>
  </si>
  <si>
    <t>Phractocephalus</t>
  </si>
  <si>
    <t>Piabucina</t>
  </si>
  <si>
    <t>Piabucus</t>
  </si>
  <si>
    <t>Piaractus</t>
  </si>
  <si>
    <t>Pimelodella</t>
  </si>
  <si>
    <t>Pimelodus</t>
  </si>
  <si>
    <t>Placidochromis</t>
  </si>
  <si>
    <t>Platax</t>
  </si>
  <si>
    <t>Platydoras</t>
  </si>
  <si>
    <t>Platynematichthys</t>
  </si>
  <si>
    <t>Platysilurus</t>
  </si>
  <si>
    <t>Platystomatichthys</t>
  </si>
  <si>
    <t>Plesiotrygon</t>
  </si>
  <si>
    <t>Plotosus</t>
  </si>
  <si>
    <t>Poecilia</t>
  </si>
  <si>
    <t>Polycentrus</t>
  </si>
  <si>
    <t>Polypterus</t>
  </si>
  <si>
    <t>Pomacanthus</t>
  </si>
  <si>
    <t>Pomacentrus</t>
  </si>
  <si>
    <t>Poptella</t>
  </si>
  <si>
    <t>Potamotrygon</t>
  </si>
  <si>
    <t>Premnas</t>
  </si>
  <si>
    <t>Prionobrama</t>
  </si>
  <si>
    <t>Pristella</t>
  </si>
  <si>
    <t>Procatopus</t>
  </si>
  <si>
    <t>Protomelas</t>
  </si>
  <si>
    <t>Protopterus</t>
  </si>
  <si>
    <t>Pseudambassis</t>
  </si>
  <si>
    <t>Pseudanos</t>
  </si>
  <si>
    <t>Pseudanthias</t>
  </si>
  <si>
    <t>Pseudocheilinus</t>
  </si>
  <si>
    <t>Pseudochromis</t>
  </si>
  <si>
    <t>Pseudogastromyzon</t>
  </si>
  <si>
    <t>Pseudohemiodon</t>
  </si>
  <si>
    <t>Pseudomystus</t>
  </si>
  <si>
    <t>Pseudopimelodus</t>
  </si>
  <si>
    <t>Pseudoplatystoma</t>
  </si>
  <si>
    <t>Pseudotropheus</t>
  </si>
  <si>
    <t>Pterapogon</t>
  </si>
  <si>
    <t>Ptereleotris</t>
  </si>
  <si>
    <t>Pterois</t>
  </si>
  <si>
    <t>Pterophyllum</t>
  </si>
  <si>
    <t>Puntius</t>
  </si>
  <si>
    <t>Pygoplites</t>
  </si>
  <si>
    <t>Pyrrhulina</t>
  </si>
  <si>
    <t>Rasbora</t>
  </si>
  <si>
    <t>Reganochromis</t>
  </si>
  <si>
    <t>Rhamphichthys</t>
  </si>
  <si>
    <t>Rhinecanthus</t>
  </si>
  <si>
    <t>Rhinomuraena</t>
  </si>
  <si>
    <t>Rineloricaria</t>
  </si>
  <si>
    <t>Rivulus</t>
  </si>
  <si>
    <t>Salarias</t>
  </si>
  <si>
    <t>Sargocentron</t>
  </si>
  <si>
    <t>Satanoperca</t>
  </si>
  <si>
    <t>Scartella</t>
  </si>
  <si>
    <t>Scarus</t>
  </si>
  <si>
    <t>Scatophagus</t>
  </si>
  <si>
    <t>Sciaenochromis</t>
  </si>
  <si>
    <t>Selene</t>
  </si>
  <si>
    <t>Selenotoca</t>
  </si>
  <si>
    <t>Semaprochilodus</t>
  </si>
  <si>
    <t>Serranus</t>
  </si>
  <si>
    <t>Siganus</t>
  </si>
  <si>
    <t>Signigobius</t>
  </si>
  <si>
    <t>Silurichthys</t>
  </si>
  <si>
    <t>Simochromis</t>
  </si>
  <si>
    <t>Simpsonichthys</t>
  </si>
  <si>
    <t>Sorubim</t>
  </si>
  <si>
    <t>Sparisoma</t>
  </si>
  <si>
    <t>Spatuloricaria</t>
  </si>
  <si>
    <t>Sphaeramia</t>
  </si>
  <si>
    <t>Sphaerichthys</t>
  </si>
  <si>
    <t>Sphoeroides</t>
  </si>
  <si>
    <t>Sphyrna</t>
  </si>
  <si>
    <t>Steatocranus</t>
  </si>
  <si>
    <t>Steatogenys</t>
  </si>
  <si>
    <t>Stegastes</t>
  </si>
  <si>
    <t>Sternopygus</t>
  </si>
  <si>
    <t>Stonogobiops</t>
  </si>
  <si>
    <t>Sturisomatichthys</t>
  </si>
  <si>
    <t>Sufflamen</t>
  </si>
  <si>
    <t>Sundadanio</t>
  </si>
  <si>
    <t>Symphysodon</t>
  </si>
  <si>
    <t>Synbranchus</t>
  </si>
  <si>
    <t>Synchiropus</t>
  </si>
  <si>
    <t>Syncrossus</t>
  </si>
  <si>
    <t>Synodontis</t>
  </si>
  <si>
    <t>Taeniacara</t>
  </si>
  <si>
    <t>Taenianotus</t>
  </si>
  <si>
    <t>Taeniura</t>
  </si>
  <si>
    <t>Tanganicodus</t>
  </si>
  <si>
    <t>Tanichthys</t>
  </si>
  <si>
    <t>Tatia</t>
  </si>
  <si>
    <t>Telmatherina</t>
  </si>
  <si>
    <t>Telmatochromis</t>
  </si>
  <si>
    <t>Terapon</t>
  </si>
  <si>
    <t>Tetragonopterus</t>
  </si>
  <si>
    <t>Tetraodon</t>
  </si>
  <si>
    <t>Thalassoma</t>
  </si>
  <si>
    <t>Thayeria</t>
  </si>
  <si>
    <t>Thoracocharax</t>
  </si>
  <si>
    <t>Thorichthys</t>
  </si>
  <si>
    <t>Tilapia</t>
  </si>
  <si>
    <t>Toxotes</t>
  </si>
  <si>
    <t>Triaenodon</t>
  </si>
  <si>
    <t>Trichogaster</t>
  </si>
  <si>
    <t>Trichopsis</t>
  </si>
  <si>
    <t>Triglachromis</t>
  </si>
  <si>
    <t>Trigonostigma</t>
  </si>
  <si>
    <t>Trinectes</t>
  </si>
  <si>
    <t>Triportheus</t>
  </si>
  <si>
    <t>Tropheus</t>
  </si>
  <si>
    <t>Tylochromis</t>
  </si>
  <si>
    <t>Tyrannochromis</t>
  </si>
  <si>
    <t>Uaru</t>
  </si>
  <si>
    <t>Urobatis</t>
  </si>
  <si>
    <t>Valenciennea</t>
  </si>
  <si>
    <t>Variabilichromis</t>
  </si>
  <si>
    <t>Vieja</t>
  </si>
  <si>
    <t>Wallago</t>
  </si>
  <si>
    <t>Xanthichthys</t>
  </si>
  <si>
    <t>Xenentodon</t>
  </si>
  <si>
    <t>Xenotilapia</t>
  </si>
  <si>
    <t>Xiphophorus</t>
  </si>
  <si>
    <t>Xyrichtys</t>
  </si>
  <si>
    <t>Yasuhikotakia</t>
  </si>
  <si>
    <t>Zanclus</t>
  </si>
  <si>
    <t>Zebrasoma</t>
  </si>
  <si>
    <t>Zungaro</t>
  </si>
  <si>
    <t>Acanthastrea</t>
  </si>
  <si>
    <t>Acanthella</t>
  </si>
  <si>
    <t>Actinodiscus</t>
  </si>
  <si>
    <t>Actinoporus</t>
  </si>
  <si>
    <t>Alcyonium</t>
  </si>
  <si>
    <t>Alveopora</t>
  </si>
  <si>
    <t>Anthelia</t>
  </si>
  <si>
    <t>Bartholomea</t>
  </si>
  <si>
    <t>Blastomussa</t>
  </si>
  <si>
    <t>Briareum</t>
  </si>
  <si>
    <t>Catalaphyllia</t>
  </si>
  <si>
    <t>Cerianthus</t>
  </si>
  <si>
    <t>Cladiella</t>
  </si>
  <si>
    <t>Clavularia</t>
  </si>
  <si>
    <t>Cliona</t>
  </si>
  <si>
    <t>Condylactis</t>
  </si>
  <si>
    <t>Corynactis</t>
  </si>
  <si>
    <t>Cynarina</t>
  </si>
  <si>
    <t>Dendronephthya</t>
  </si>
  <si>
    <t>Diodogorgia</t>
  </si>
  <si>
    <t>Discosoma</t>
  </si>
  <si>
    <t>Duncanopsammia</t>
  </si>
  <si>
    <t>Entacmaea</t>
  </si>
  <si>
    <t>Euphyllia</t>
  </si>
  <si>
    <t>Favia</t>
  </si>
  <si>
    <t>Favites</t>
  </si>
  <si>
    <t>Fungia</t>
  </si>
  <si>
    <t>Galaxea</t>
  </si>
  <si>
    <t>Goniopora</t>
  </si>
  <si>
    <t>Gorgonia</t>
  </si>
  <si>
    <t>Heliofungia</t>
  </si>
  <si>
    <t>Heliopora</t>
  </si>
  <si>
    <t>Herpolitha</t>
  </si>
  <si>
    <t>Heteractis</t>
  </si>
  <si>
    <t>Hydnophora</t>
  </si>
  <si>
    <t>Lemnalia</t>
  </si>
  <si>
    <t>Leptoria</t>
  </si>
  <si>
    <t>Litophyton</t>
  </si>
  <si>
    <t>Lobophyllia</t>
  </si>
  <si>
    <t>Lobophytum</t>
  </si>
  <si>
    <t>Merulina</t>
  </si>
  <si>
    <t>Millepora</t>
  </si>
  <si>
    <t>Montipora</t>
  </si>
  <si>
    <t>Muricea</t>
  </si>
  <si>
    <t>Mycedium</t>
  </si>
  <si>
    <t>Nemenzophyllia</t>
  </si>
  <si>
    <t>Oulophyllia</t>
  </si>
  <si>
    <t>Palythoa</t>
  </si>
  <si>
    <t>Pavona</t>
  </si>
  <si>
    <t>Pectinia</t>
  </si>
  <si>
    <t>Phymanthus</t>
  </si>
  <si>
    <t>Physogyra</t>
  </si>
  <si>
    <t>Plerogyra</t>
  </si>
  <si>
    <t>Plexaura</t>
  </si>
  <si>
    <t>Pocillopora</t>
  </si>
  <si>
    <t>Porites</t>
  </si>
  <si>
    <t>Pseudoplexaura</t>
  </si>
  <si>
    <t>Pseudopterogorgia</t>
  </si>
  <si>
    <t>Pterogorgia</t>
  </si>
  <si>
    <t>Ricordea</t>
  </si>
  <si>
    <t>Sarcophyton</t>
  </si>
  <si>
    <t>Scolymia</t>
  </si>
  <si>
    <t>Seriatopora</t>
  </si>
  <si>
    <t>Sinularia</t>
  </si>
  <si>
    <t>Stichodactyla</t>
  </si>
  <si>
    <t>Stylophora</t>
  </si>
  <si>
    <t>Symphyllia</t>
  </si>
  <si>
    <t>Trachyphyllia</t>
  </si>
  <si>
    <t>Tubipora</t>
  </si>
  <si>
    <t>Turbinaria</t>
  </si>
  <si>
    <t>Xenia</t>
  </si>
  <si>
    <t>Zoanthus</t>
  </si>
  <si>
    <t>Chaetomorpha linum</t>
  </si>
  <si>
    <t>Halimeda discoidea</t>
  </si>
  <si>
    <t>Halimeda goreaui</t>
  </si>
  <si>
    <t xml:space="preserve">Penicillus capitatus </t>
  </si>
  <si>
    <t>Udotea conglutinata</t>
  </si>
  <si>
    <t>Alpheus armatus</t>
  </si>
  <si>
    <t>Artemia salina</t>
  </si>
  <si>
    <t>Atyopsis moluccensis</t>
  </si>
  <si>
    <t>Atyopsis spinipes</t>
  </si>
  <si>
    <t>Calcinus tibicen</t>
  </si>
  <si>
    <t>Caridina gracilirostris</t>
  </si>
  <si>
    <t>Caridina multidentata</t>
  </si>
  <si>
    <t>Clibanarius tricolor</t>
  </si>
  <si>
    <t xml:space="preserve">Dardanus pedunculatus </t>
  </si>
  <si>
    <t>Hymenocera picta</t>
  </si>
  <si>
    <t>Limulus polyphemus</t>
  </si>
  <si>
    <t>Lysmata amboinensis</t>
  </si>
  <si>
    <t>Lysmata debelius</t>
  </si>
  <si>
    <t>Lysmata wurdemanni</t>
  </si>
  <si>
    <t>Macrobrachium assamense</t>
  </si>
  <si>
    <t>Macrobrachium carcinus</t>
  </si>
  <si>
    <t>Macrobrachium rosenbergii</t>
  </si>
  <si>
    <t>Neocaridina heteropoda</t>
  </si>
  <si>
    <t>Paguristes anomalus</t>
  </si>
  <si>
    <t>Periclimenes brevicarpalis</t>
  </si>
  <si>
    <t>Periclimenes yucatanicus</t>
  </si>
  <si>
    <t xml:space="preserve">Saron marmoratus </t>
  </si>
  <si>
    <t>Stenopus scutellatus</t>
  </si>
  <si>
    <t>Stenopus zanzibaricus</t>
  </si>
  <si>
    <t>Stenorhynchus seticornis</t>
  </si>
  <si>
    <t>Thor amboinensis</t>
  </si>
  <si>
    <t>Uca pugnax</t>
  </si>
  <si>
    <t>Protula bispiralis</t>
  </si>
  <si>
    <t>Sabella penicillus</t>
  </si>
  <si>
    <t>Sabellastarte magnifica</t>
  </si>
  <si>
    <t>Spirobranchus giganteus</t>
  </si>
  <si>
    <t>Ampullaria cuprina</t>
  </si>
  <si>
    <t>Aplysia dactylomela</t>
  </si>
  <si>
    <t>Cerithium litteratum</t>
  </si>
  <si>
    <t>Lima scabra</t>
  </si>
  <si>
    <t>Marisa cornuarietis</t>
  </si>
  <si>
    <t>Octopus bimaculoides</t>
  </si>
  <si>
    <t>Octopus vulgaris</t>
  </si>
  <si>
    <t>Tridacna crocea</t>
  </si>
  <si>
    <t>Tridacna derasa</t>
  </si>
  <si>
    <t>Tridacna maxima</t>
  </si>
  <si>
    <t>Tridacna squamosa</t>
  </si>
  <si>
    <t>Anubias barteri</t>
  </si>
  <si>
    <t>Aponogeton rigidifolius</t>
  </si>
  <si>
    <t>Aponogeton ulvaceus</t>
  </si>
  <si>
    <t>Aponogeton undulatus</t>
  </si>
  <si>
    <t>Barclaya longifolia</t>
  </si>
  <si>
    <t>Barclaya motleyi</t>
  </si>
  <si>
    <t>Bolbitis heudelotii</t>
  </si>
  <si>
    <t>Cabomba aquatica</t>
  </si>
  <si>
    <t>Cabomba furcata</t>
  </si>
  <si>
    <t>Cabomba piauhyensis</t>
  </si>
  <si>
    <t>Ceratopteris thalictroides</t>
  </si>
  <si>
    <t>Crinum calamistratum</t>
  </si>
  <si>
    <t>Crinum natans</t>
  </si>
  <si>
    <t>Cryptocoryne affinis</t>
  </si>
  <si>
    <t>Cryptocoryne albida</t>
  </si>
  <si>
    <t>Cryptocoryne ciliata</t>
  </si>
  <si>
    <t>Cryptocoryne cordata</t>
  </si>
  <si>
    <t>Cryptocoryne crispatula</t>
  </si>
  <si>
    <t>Cryptocoryne parva</t>
  </si>
  <si>
    <t>Cryptocoryne pontederiifolia</t>
  </si>
  <si>
    <t>Cryptocoryne undulata</t>
  </si>
  <si>
    <t>Cryptocoryne walkeri</t>
  </si>
  <si>
    <t>Cryptocoryne wendtii</t>
  </si>
  <si>
    <t>Cryptocoryne willisii</t>
  </si>
  <si>
    <t>Cyperus helferi</t>
  </si>
  <si>
    <t>Didiplis diandra</t>
  </si>
  <si>
    <t>Echinodorus amazonicus</t>
  </si>
  <si>
    <t>Echinodorus angustifolius</t>
  </si>
  <si>
    <t>Echinodorus bleheri</t>
  </si>
  <si>
    <t>Echinodorus cordifolius</t>
  </si>
  <si>
    <t>Echinodorus horizontalis</t>
  </si>
  <si>
    <t>Echinodorus macrophyllus</t>
  </si>
  <si>
    <t>Echinodorus oriental</t>
  </si>
  <si>
    <t>Echinodorus paleofolius</t>
  </si>
  <si>
    <t>Echinodorus parviflorus</t>
  </si>
  <si>
    <t>Echinodorus quadricostatus</t>
  </si>
  <si>
    <t>Echinodorus schlueteri</t>
  </si>
  <si>
    <t>Echinodorus tenellus</t>
  </si>
  <si>
    <t>Eusteralis stellata</t>
  </si>
  <si>
    <t>Hemianthus micranthemoides</t>
  </si>
  <si>
    <t>Hygrophila corymbosa</t>
  </si>
  <si>
    <t>Hygrophila difformis</t>
  </si>
  <si>
    <t>Hygrophila guianensis</t>
  </si>
  <si>
    <t>Hygroryza aristata</t>
  </si>
  <si>
    <t>Limnophila aquatica</t>
  </si>
  <si>
    <t>Limnophila aromatica</t>
  </si>
  <si>
    <t>Ludwigia inclinata</t>
  </si>
  <si>
    <t>Micranthemum umbrosum</t>
  </si>
  <si>
    <t>Myriophyllum aquaticum</t>
  </si>
  <si>
    <t>Myriophyllum matogrossense</t>
  </si>
  <si>
    <t>Nesaea crassicaulis</t>
  </si>
  <si>
    <t>Nymphaea lotus</t>
  </si>
  <si>
    <t>Nymphaea mexicana</t>
  </si>
  <si>
    <t>Nymphaea pubescens</t>
  </si>
  <si>
    <t>Nymphaea rubra</t>
  </si>
  <si>
    <t>Nymphaea stellata</t>
  </si>
  <si>
    <t>Nymphaea zenkeri</t>
  </si>
  <si>
    <t>Phyllanthus fluitans</t>
  </si>
  <si>
    <t>Rhizophora mangle</t>
  </si>
  <si>
    <t>Rotala macrandra</t>
  </si>
  <si>
    <t>Sagittaria graminea</t>
  </si>
  <si>
    <t>Sagittaria subulata</t>
  </si>
  <si>
    <t>Sagittaria teres</t>
  </si>
  <si>
    <t>Vallisneria americana</t>
  </si>
  <si>
    <t>Vallisneria spiralis</t>
  </si>
  <si>
    <t>Diadema setosum</t>
  </si>
  <si>
    <t>Echinometra mathaei</t>
  </si>
  <si>
    <t>Echinometra viridis</t>
  </si>
  <si>
    <t>Eucidaris tribuloides</t>
  </si>
  <si>
    <t>Lytechinus variegatus</t>
  </si>
  <si>
    <t>Ophioderma brevicaudum</t>
  </si>
  <si>
    <t>Oreaster reticulatus</t>
  </si>
  <si>
    <t>Tripneustes ventricosus</t>
  </si>
  <si>
    <t>Agelas sceptrum</t>
  </si>
  <si>
    <t>Ectyoplasia ferox</t>
  </si>
  <si>
    <t>armatus</t>
  </si>
  <si>
    <t>moluccensis</t>
  </si>
  <si>
    <t>tibicen</t>
  </si>
  <si>
    <t>japonica</t>
  </si>
  <si>
    <t>strigatus</t>
  </si>
  <si>
    <t>tricolor</t>
  </si>
  <si>
    <t>picta</t>
  </si>
  <si>
    <t>amboinensis</t>
  </si>
  <si>
    <t>debelius</t>
  </si>
  <si>
    <t>rosenbergii</t>
  </si>
  <si>
    <t>anomalus</t>
  </si>
  <si>
    <t>cadenati</t>
  </si>
  <si>
    <t>marmoratus</t>
  </si>
  <si>
    <t>hispidus</t>
  </si>
  <si>
    <t>zanzibaricus</t>
  </si>
  <si>
    <t>pugnax</t>
  </si>
  <si>
    <t>magnifica</t>
  </si>
  <si>
    <t>scabra</t>
  </si>
  <si>
    <t>vulgaris</t>
  </si>
  <si>
    <t>maxima</t>
  </si>
  <si>
    <t>undulatus</t>
  </si>
  <si>
    <t>caroliniana</t>
  </si>
  <si>
    <t>furcata</t>
  </si>
  <si>
    <t>affinis</t>
  </si>
  <si>
    <t>albida</t>
  </si>
  <si>
    <t>longicauda</t>
  </si>
  <si>
    <t>parva</t>
  </si>
  <si>
    <t>undulata</t>
  </si>
  <si>
    <t>walkeri</t>
  </si>
  <si>
    <t>amazonicus</t>
  </si>
  <si>
    <t>bleheri</t>
  </si>
  <si>
    <t>peruensis</t>
  </si>
  <si>
    <t>stellata</t>
  </si>
  <si>
    <t>corymbosa</t>
  </si>
  <si>
    <t>guianensis</t>
  </si>
  <si>
    <t>repens</t>
  </si>
  <si>
    <t>crassicaulis</t>
  </si>
  <si>
    <t>mexicana</t>
  </si>
  <si>
    <t>rubra</t>
  </si>
  <si>
    <t>subulata</t>
  </si>
  <si>
    <t>teres</t>
  </si>
  <si>
    <t>fluviatilis</t>
  </si>
  <si>
    <t>americana</t>
  </si>
  <si>
    <t>viridis</t>
  </si>
  <si>
    <t>variegatus</t>
  </si>
  <si>
    <t>reticulatus</t>
  </si>
  <si>
    <t>ferox</t>
  </si>
  <si>
    <t>Pez</t>
  </si>
  <si>
    <t>Alga</t>
  </si>
  <si>
    <t>Planta</t>
  </si>
  <si>
    <t>Dulceacuícola</t>
  </si>
  <si>
    <t>Marino</t>
  </si>
  <si>
    <t>Cites</t>
  </si>
  <si>
    <t>Concatenado</t>
  </si>
  <si>
    <r>
      <t xml:space="preserve">Género o especie </t>
    </r>
    <r>
      <rPr>
        <sz val="8"/>
        <rFont val="Verdana"/>
        <family val="2"/>
      </rPr>
      <t>(Autorizada)</t>
    </r>
  </si>
  <si>
    <t>SI</t>
  </si>
  <si>
    <t>SituacionCITES</t>
  </si>
  <si>
    <t>Species</t>
  </si>
  <si>
    <t>bifrons</t>
  </si>
  <si>
    <t>conspicua</t>
  </si>
  <si>
    <t>crater</t>
  </si>
  <si>
    <t>frondens</t>
  </si>
  <si>
    <t>heronensis</t>
  </si>
  <si>
    <t>irregularis</t>
  </si>
  <si>
    <t>mesenterina</t>
  </si>
  <si>
    <t>mollis</t>
  </si>
  <si>
    <t>ornata</t>
  </si>
  <si>
    <t>patula</t>
  </si>
  <si>
    <t>peltata</t>
  </si>
  <si>
    <t>radicalis</t>
  </si>
  <si>
    <t>reniformis</t>
  </si>
  <si>
    <t>stellulata</t>
  </si>
  <si>
    <t>alderi</t>
  </si>
  <si>
    <t>kealakekuaensis</t>
  </si>
  <si>
    <t>pacificus</t>
  </si>
  <si>
    <t>pulchellus</t>
  </si>
  <si>
    <t>sociatus</t>
  </si>
  <si>
    <t>sp.</t>
  </si>
  <si>
    <t>spp.</t>
  </si>
  <si>
    <t>musica</t>
  </si>
  <si>
    <t>Tubastraea</t>
  </si>
  <si>
    <t xml:space="preserve">	</t>
  </si>
  <si>
    <t>aurea</t>
  </si>
  <si>
    <t>(Quoy</t>
  </si>
  <si>
    <t>Gaimard,</t>
  </si>
  <si>
    <t>coccinea</t>
  </si>
  <si>
    <t>Lesson,</t>
  </si>
  <si>
    <t>diaphana</t>
  </si>
  <si>
    <t>faulkneri</t>
  </si>
  <si>
    <t>floreana</t>
  </si>
  <si>
    <t>micranthus</t>
  </si>
  <si>
    <t>tagusensis</t>
  </si>
  <si>
    <t xml:space="preserve">	Trachyphyllia</t>
  </si>
  <si>
    <t>geoffroyi</t>
  </si>
  <si>
    <t>agaricia</t>
  </si>
  <si>
    <t>erythraea</t>
  </si>
  <si>
    <t>hassi</t>
  </si>
  <si>
    <t>radians</t>
  </si>
  <si>
    <t>recta</t>
  </si>
  <si>
    <t>valenciennesii</t>
  </si>
  <si>
    <t>wilsoni</t>
  </si>
  <si>
    <t>kuehlmanni</t>
  </si>
  <si>
    <t>mamillata</t>
  </si>
  <si>
    <t>mordax</t>
  </si>
  <si>
    <t>pistillata</t>
  </si>
  <si>
    <t>wellsi</t>
  </si>
  <si>
    <t>duerdeni</t>
  </si>
  <si>
    <t>gigantea</t>
  </si>
  <si>
    <t>haddoni</t>
  </si>
  <si>
    <t>helianthus</t>
  </si>
  <si>
    <t>mertensii</t>
  </si>
  <si>
    <t>tapetum</t>
  </si>
  <si>
    <t>brassica</t>
  </si>
  <si>
    <t>hystrix</t>
  </si>
  <si>
    <t>caliendrum</t>
  </si>
  <si>
    <t>australis</t>
  </si>
  <si>
    <t>cubensis</t>
  </si>
  <si>
    <t>lacera</t>
  </si>
  <si>
    <t>vitiensis</t>
  </si>
  <si>
    <t>wellsii</t>
  </si>
  <si>
    <t xml:space="preserve"> Scolymia</t>
  </si>
  <si>
    <t>aalbersbergi</t>
  </si>
  <si>
    <t>&amp;</t>
  </si>
  <si>
    <t>acutum</t>
  </si>
  <si>
    <t>Tixier-Durivault,</t>
  </si>
  <si>
    <t>agaricum</t>
  </si>
  <si>
    <t>aldersladei</t>
  </si>
  <si>
    <t>alexanderi</t>
  </si>
  <si>
    <t>auritum</t>
  </si>
  <si>
    <t>birkelandi</t>
  </si>
  <si>
    <t>Verseveldt,</t>
  </si>
  <si>
    <t>boettgeri</t>
  </si>
  <si>
    <t>Schenk,</t>
  </si>
  <si>
    <t>boletiforme</t>
  </si>
  <si>
    <t>buitendijki</t>
  </si>
  <si>
    <t>cherbonnieri</t>
  </si>
  <si>
    <t>cinereum</t>
  </si>
  <si>
    <t>cornispiculatum</t>
  </si>
  <si>
    <t>crassocaule</t>
  </si>
  <si>
    <t>Moser,</t>
  </si>
  <si>
    <t>crassum</t>
  </si>
  <si>
    <t>digitatum</t>
  </si>
  <si>
    <t>ehrenbergi</t>
  </si>
  <si>
    <t>von</t>
  </si>
  <si>
    <t>Marenzeller,</t>
  </si>
  <si>
    <t>elegans</t>
  </si>
  <si>
    <t>expandum</t>
  </si>
  <si>
    <t>flexuosum</t>
  </si>
  <si>
    <t>furcatum</t>
  </si>
  <si>
    <t>gemmatum</t>
  </si>
  <si>
    <t>glaucum</t>
  </si>
  <si>
    <t>1833)</t>
  </si>
  <si>
    <t>globoverruccatum</t>
  </si>
  <si>
    <t>griffini</t>
  </si>
  <si>
    <t>infundibuliforme</t>
  </si>
  <si>
    <t>latum</t>
  </si>
  <si>
    <t>mililatensis</t>
  </si>
  <si>
    <t>minusculum</t>
  </si>
  <si>
    <t>nanwanensis</t>
  </si>
  <si>
    <t>nigrum</t>
  </si>
  <si>
    <t>pauciplicatum</t>
  </si>
  <si>
    <t>portentosum</t>
  </si>
  <si>
    <t>pulchellum</t>
  </si>
  <si>
    <t>(Tixier-Durivault,</t>
  </si>
  <si>
    <t>regulare</t>
  </si>
  <si>
    <t>roseum</t>
  </si>
  <si>
    <t>Pratt,</t>
  </si>
  <si>
    <t>serenei</t>
  </si>
  <si>
    <t>skeltoni</t>
  </si>
  <si>
    <t>soapiae</t>
  </si>
  <si>
    <t>solidum</t>
  </si>
  <si>
    <t>spinospiculatum</t>
  </si>
  <si>
    <t>spongiosum</t>
  </si>
  <si>
    <t>Thomson</t>
  </si>
  <si>
    <t>Dean,</t>
  </si>
  <si>
    <t>stellatum</t>
  </si>
  <si>
    <t>stolidotum</t>
  </si>
  <si>
    <t>subviride</t>
  </si>
  <si>
    <t>tenuispiculatum</t>
  </si>
  <si>
    <t>tortuosum</t>
  </si>
  <si>
    <t>trocheliophorum</t>
  </si>
  <si>
    <t>tumulosum</t>
  </si>
  <si>
    <t>turschi</t>
  </si>
  <si>
    <t>atlanticum</t>
  </si>
  <si>
    <t>Wright</t>
  </si>
  <si>
    <t>Studer,</t>
  </si>
  <si>
    <t>(taxon</t>
  </si>
  <si>
    <t>inquirendum)</t>
  </si>
  <si>
    <t>tersum</t>
  </si>
  <si>
    <t>Roxas,</t>
  </si>
  <si>
    <t>aberrans</t>
  </si>
  <si>
    <t>Henderson,</t>
  </si>
  <si>
    <t>accepted</t>
  </si>
  <si>
    <t>as</t>
  </si>
  <si>
    <t>Anthomastus</t>
  </si>
  <si>
    <t>(Thomson</t>
  </si>
  <si>
    <t>1906)</t>
  </si>
  <si>
    <t>(original</t>
  </si>
  <si>
    <t>combination)</t>
  </si>
  <si>
    <t>acutangulum</t>
  </si>
  <si>
    <t>(synonym)</t>
  </si>
  <si>
    <t>agaricoides</t>
  </si>
  <si>
    <t>auricularis</t>
  </si>
  <si>
    <t>depressum</t>
  </si>
  <si>
    <t>bicolor</t>
  </si>
  <si>
    <t>certum</t>
  </si>
  <si>
    <t>Tixier-Durivalt,</t>
  </si>
  <si>
    <t>contortum</t>
  </si>
  <si>
    <t>Sarcophytum</t>
  </si>
  <si>
    <t>convolutum</t>
  </si>
  <si>
    <t>decaryi</t>
  </si>
  <si>
    <t>dispersum</t>
  </si>
  <si>
    <t>fungiforme</t>
  </si>
  <si>
    <t>globosum</t>
  </si>
  <si>
    <t>gracile</t>
  </si>
  <si>
    <t>Burchardt,</t>
  </si>
  <si>
    <t>implanum</t>
  </si>
  <si>
    <t>lobulatum</t>
  </si>
  <si>
    <t>manifestum</t>
  </si>
  <si>
    <t>molle</t>
  </si>
  <si>
    <t>moseri</t>
  </si>
  <si>
    <t>pallidum</t>
  </si>
  <si>
    <t>Cohn,</t>
  </si>
  <si>
    <t>plicatum</t>
  </si>
  <si>
    <t>poculiforme</t>
  </si>
  <si>
    <t>proprium</t>
  </si>
  <si>
    <t>1970)</t>
  </si>
  <si>
    <t>puerto-galerae</t>
  </si>
  <si>
    <t>purpureum</t>
  </si>
  <si>
    <t>Koren</t>
  </si>
  <si>
    <t>Danielssen,</t>
  </si>
  <si>
    <t>purpureus</t>
  </si>
  <si>
    <t>(Koren</t>
  </si>
  <si>
    <t>1883)</t>
  </si>
  <si>
    <t>reichenbachi</t>
  </si>
  <si>
    <t>tenuis</t>
  </si>
  <si>
    <t>trochiforme</t>
  </si>
  <si>
    <t>Hickson,</t>
  </si>
  <si>
    <t>trochiformis</t>
  </si>
  <si>
    <t>(Hickson,</t>
  </si>
  <si>
    <t>1900)</t>
  </si>
  <si>
    <t>Verseveldtia</t>
  </si>
  <si>
    <t>florida</t>
  </si>
  <si>
    <t>anceps</t>
  </si>
  <si>
    <t>antillarum</t>
  </si>
  <si>
    <t>bipinnata</t>
  </si>
  <si>
    <t>citrina</t>
  </si>
  <si>
    <t>guadalupensis</t>
  </si>
  <si>
    <t>laxa</t>
  </si>
  <si>
    <t>leucostoma</t>
  </si>
  <si>
    <t>lutescens</t>
  </si>
  <si>
    <t>ochrostoma</t>
  </si>
  <si>
    <t>pinnata</t>
  </si>
  <si>
    <t>serrata</t>
  </si>
  <si>
    <t>turgida</t>
  </si>
  <si>
    <t>acerosa</t>
  </si>
  <si>
    <t>blanquillensis</t>
  </si>
  <si>
    <t>elisabethae</t>
  </si>
  <si>
    <t>hummelincki</t>
  </si>
  <si>
    <t>kallos</t>
  </si>
  <si>
    <t>navia</t>
  </si>
  <si>
    <t>rigida</t>
  </si>
  <si>
    <t xml:space="preserve"> Pseudopterogorgia</t>
  </si>
  <si>
    <t>crucis</t>
  </si>
  <si>
    <t>flagellosa</t>
  </si>
  <si>
    <t>porosa</t>
  </si>
  <si>
    <t>wagenaari</t>
  </si>
  <si>
    <t>arabica</t>
  </si>
  <si>
    <t>purpurea</t>
  </si>
  <si>
    <t>verrucosa</t>
  </si>
  <si>
    <t>annae</t>
  </si>
  <si>
    <t>aranetai</t>
  </si>
  <si>
    <t>astreoides</t>
  </si>
  <si>
    <t>attenuata</t>
  </si>
  <si>
    <t>australiensis</t>
  </si>
  <si>
    <t>baueri</t>
  </si>
  <si>
    <t>branneri</t>
  </si>
  <si>
    <t>colonensis</t>
  </si>
  <si>
    <t>compressa</t>
  </si>
  <si>
    <t>cumulatus</t>
  </si>
  <si>
    <t>cylindrica</t>
  </si>
  <si>
    <t>deformis</t>
  </si>
  <si>
    <t>densa</t>
  </si>
  <si>
    <t>divaricata</t>
  </si>
  <si>
    <t>echinulata</t>
  </si>
  <si>
    <t>eridani</t>
  </si>
  <si>
    <t>evermanni</t>
  </si>
  <si>
    <t>favosa</t>
  </si>
  <si>
    <t>gabonensis</t>
  </si>
  <si>
    <t>horizontalata</t>
  </si>
  <si>
    <t>iwayamaensis</t>
  </si>
  <si>
    <t>latistella</t>
  </si>
  <si>
    <t>lichen</t>
  </si>
  <si>
    <t>lobata</t>
  </si>
  <si>
    <t>lutea</t>
  </si>
  <si>
    <t>matthaii</t>
  </si>
  <si>
    <t>mayeri</t>
  </si>
  <si>
    <t>murrayensis</t>
  </si>
  <si>
    <t>myrmidonensis</t>
  </si>
  <si>
    <t>negrosensis</t>
  </si>
  <si>
    <t>nigrescens</t>
  </si>
  <si>
    <t>nodifera</t>
  </si>
  <si>
    <t>okinawensis</t>
  </si>
  <si>
    <t>panamensis</t>
  </si>
  <si>
    <t>porites</t>
  </si>
  <si>
    <t>rus</t>
  </si>
  <si>
    <t>sillimaniani</t>
  </si>
  <si>
    <t>solida</t>
  </si>
  <si>
    <t>somaliensis</t>
  </si>
  <si>
    <t>stephensoni</t>
  </si>
  <si>
    <t>sverdrupi</t>
  </si>
  <si>
    <t>vaughani</t>
  </si>
  <si>
    <t>capitata</t>
  </si>
  <si>
    <t>damicornis</t>
  </si>
  <si>
    <t>eydouxi</t>
  </si>
  <si>
    <t>meandrina</t>
  </si>
  <si>
    <t>woodjonesi</t>
  </si>
  <si>
    <t>flexosa</t>
  </si>
  <si>
    <t>flexuosa</t>
  </si>
  <si>
    <t>homomalla</t>
  </si>
  <si>
    <t>nina</t>
  </si>
  <si>
    <t>eyrysepta</t>
  </si>
  <si>
    <t>simplex</t>
  </si>
  <si>
    <t>sinuosa</t>
  </si>
  <si>
    <t>turbida</t>
  </si>
  <si>
    <t>exerta</t>
  </si>
  <si>
    <t>lichtensteini</t>
  </si>
  <si>
    <t>coeruleus</t>
  </si>
  <si>
    <t>crucifer</t>
  </si>
  <si>
    <t>laevis</t>
  </si>
  <si>
    <t>loligo</t>
  </si>
  <si>
    <t>muscosus</t>
  </si>
  <si>
    <t>pinnulatum</t>
  </si>
  <si>
    <t>pulcher</t>
  </si>
  <si>
    <t>rhizophorae</t>
  </si>
  <si>
    <t>sansibaricus</t>
  </si>
  <si>
    <t>strandesi</t>
  </si>
  <si>
    <t>alcicornis</t>
  </si>
  <si>
    <t>elongata</t>
  </si>
  <si>
    <t>lactuca</t>
  </si>
  <si>
    <t>paeonia</t>
  </si>
  <si>
    <t>bipartita</t>
  </si>
  <si>
    <t>cactus</t>
  </si>
  <si>
    <t>clavus</t>
  </si>
  <si>
    <t>danai</t>
  </si>
  <si>
    <t>decussata</t>
  </si>
  <si>
    <t>diffluens</t>
  </si>
  <si>
    <t>explanulata</t>
  </si>
  <si>
    <t>frondifera</t>
  </si>
  <si>
    <t>lata</t>
  </si>
  <si>
    <t>maldivensis</t>
  </si>
  <si>
    <t>minuta</t>
  </si>
  <si>
    <t>varians</t>
  </si>
  <si>
    <t>venosa</t>
  </si>
  <si>
    <t>xarifae</t>
  </si>
  <si>
    <t>caribbea</t>
  </si>
  <si>
    <t>grandis</t>
  </si>
  <si>
    <t>mammillosa</t>
  </si>
  <si>
    <t>nigricans</t>
  </si>
  <si>
    <t>texaensis</t>
  </si>
  <si>
    <t>bennettae</t>
  </si>
  <si>
    <t>crispa</t>
  </si>
  <si>
    <t>erecta</t>
  </si>
  <si>
    <t>elephantotus</t>
  </si>
  <si>
    <t>robokaki</t>
  </si>
  <si>
    <t>appressa</t>
  </si>
  <si>
    <t>atlantica</t>
  </si>
  <si>
    <t>californica</t>
  </si>
  <si>
    <t>fruticosa</t>
  </si>
  <si>
    <t>muricata</t>
  </si>
  <si>
    <t>pendula</t>
  </si>
  <si>
    <t>aequituberculata</t>
  </si>
  <si>
    <t>altasepta</t>
  </si>
  <si>
    <t>angulata</t>
  </si>
  <si>
    <t>calcarea</t>
  </si>
  <si>
    <t>caliculata</t>
  </si>
  <si>
    <t>capricornis</t>
  </si>
  <si>
    <t>cebuensis</t>
  </si>
  <si>
    <t>circumvallata</t>
  </si>
  <si>
    <t>composita</t>
  </si>
  <si>
    <t>confusa</t>
  </si>
  <si>
    <t>corbettensis</t>
  </si>
  <si>
    <t>crassituberculata</t>
  </si>
  <si>
    <t>danae</t>
  </si>
  <si>
    <t>digitata</t>
  </si>
  <si>
    <t>edwardsi</t>
  </si>
  <si>
    <t>efflorescens</t>
  </si>
  <si>
    <t>effusa</t>
  </si>
  <si>
    <t>floweri</t>
  </si>
  <si>
    <t>foliosa</t>
  </si>
  <si>
    <t>foveolata</t>
  </si>
  <si>
    <t>friabilis</t>
  </si>
  <si>
    <t>gaimardi</t>
  </si>
  <si>
    <t>granulosa</t>
  </si>
  <si>
    <t>grisea</t>
  </si>
  <si>
    <t>hirsuta</t>
  </si>
  <si>
    <t>hispida</t>
  </si>
  <si>
    <t>hoffmeisteri</t>
  </si>
  <si>
    <t>incrassata</t>
  </si>
  <si>
    <t>informis</t>
  </si>
  <si>
    <t>levis</t>
  </si>
  <si>
    <t>lobulata</t>
  </si>
  <si>
    <t>mactanensis</t>
  </si>
  <si>
    <t>malampaya</t>
  </si>
  <si>
    <t>millepora</t>
  </si>
  <si>
    <t>monasteriata</t>
  </si>
  <si>
    <t>nodosa</t>
  </si>
  <si>
    <t>orientalis</t>
  </si>
  <si>
    <t>peltiformis</t>
  </si>
  <si>
    <t>ramosa</t>
  </si>
  <si>
    <t>samarensis</t>
  </si>
  <si>
    <t>setosa</t>
  </si>
  <si>
    <t>socialis</t>
  </si>
  <si>
    <t>solanderi</t>
  </si>
  <si>
    <t>spongiosa</t>
  </si>
  <si>
    <t>spongodes</t>
  </si>
  <si>
    <t>spumosa</t>
  </si>
  <si>
    <t>stilosa</t>
  </si>
  <si>
    <t>striata</t>
  </si>
  <si>
    <t>tortuosa</t>
  </si>
  <si>
    <t>tuberculosa</t>
  </si>
  <si>
    <t>turgescens</t>
  </si>
  <si>
    <t>turtlensis</t>
  </si>
  <si>
    <t>undata</t>
  </si>
  <si>
    <t>boschmai</t>
  </si>
  <si>
    <t>braziliensis</t>
  </si>
  <si>
    <t>complanata</t>
  </si>
  <si>
    <t>dichotoma</t>
  </si>
  <si>
    <t>exaesa</t>
  </si>
  <si>
    <t>intricata</t>
  </si>
  <si>
    <t>latifolia</t>
  </si>
  <si>
    <t>moniliformis</t>
  </si>
  <si>
    <t>murrayi</t>
  </si>
  <si>
    <t>nitida</t>
  </si>
  <si>
    <t>platyphylla</t>
  </si>
  <si>
    <t>squarrosa</t>
  </si>
  <si>
    <t>tenella</t>
  </si>
  <si>
    <t>tenera</t>
  </si>
  <si>
    <t>tuberosa</t>
  </si>
  <si>
    <t>xishaensis</t>
  </si>
  <si>
    <t>altum</t>
  </si>
  <si>
    <t>anomolum</t>
  </si>
  <si>
    <t>batarum</t>
  </si>
  <si>
    <t>borbonicum</t>
  </si>
  <si>
    <t>caputospiculatum</t>
  </si>
  <si>
    <t>catalai</t>
  </si>
  <si>
    <t>compactum</t>
  </si>
  <si>
    <t>crassodigitum</t>
  </si>
  <si>
    <t>crassospiculatum</t>
  </si>
  <si>
    <t>crebliplicatum</t>
  </si>
  <si>
    <t>cristagalli</t>
  </si>
  <si>
    <t>cristatum</t>
  </si>
  <si>
    <t>cryptocormum</t>
  </si>
  <si>
    <t>delectum</t>
  </si>
  <si>
    <t>densum</t>
  </si>
  <si>
    <t>denticulatum</t>
  </si>
  <si>
    <t>durum</t>
  </si>
  <si>
    <t>gazellae</t>
  </si>
  <si>
    <t>hapalolobatum</t>
  </si>
  <si>
    <t>hirsutum</t>
  </si>
  <si>
    <t>ignotum</t>
  </si>
  <si>
    <t>irregulare</t>
  </si>
  <si>
    <t>jaeckeli</t>
  </si>
  <si>
    <t>jasparsi</t>
  </si>
  <si>
    <t>laevigatum</t>
  </si>
  <si>
    <t>lamarcki</t>
  </si>
  <si>
    <t>latilobatum</t>
  </si>
  <si>
    <t>legitimum</t>
  </si>
  <si>
    <t>lighti</t>
  </si>
  <si>
    <t>longispiculatum</t>
  </si>
  <si>
    <t>meandriforme</t>
  </si>
  <si>
    <t>michaelae</t>
  </si>
  <si>
    <t>microlobulatum</t>
  </si>
  <si>
    <t>microspiculatum</t>
  </si>
  <si>
    <t>mirabile</t>
  </si>
  <si>
    <t>mortoni</t>
  </si>
  <si>
    <t>oligoverrucum</t>
  </si>
  <si>
    <t>patulum</t>
  </si>
  <si>
    <t>pauciflorum</t>
  </si>
  <si>
    <t>planum</t>
  </si>
  <si>
    <t>prostratum</t>
  </si>
  <si>
    <t>pusillum</t>
  </si>
  <si>
    <t>pygmapedium</t>
  </si>
  <si>
    <t>ransoni</t>
  </si>
  <si>
    <t>rigidum</t>
  </si>
  <si>
    <t>rotundum</t>
  </si>
  <si>
    <t>salvati</t>
  </si>
  <si>
    <t>sarcophytoides</t>
  </si>
  <si>
    <t>schoedei</t>
  </si>
  <si>
    <t>spicodigitum</t>
  </si>
  <si>
    <t>strictum</t>
  </si>
  <si>
    <t>tecticum</t>
  </si>
  <si>
    <t>variatum</t>
  </si>
  <si>
    <t>varium</t>
  </si>
  <si>
    <t>venustum</t>
  </si>
  <si>
    <t>verrucosum</t>
  </si>
  <si>
    <t>verum</t>
  </si>
  <si>
    <t>costata</t>
  </si>
  <si>
    <t>diminuta</t>
  </si>
  <si>
    <t>hataii</t>
  </si>
  <si>
    <t>hemprichii</t>
  </si>
  <si>
    <t>pachysepta</t>
  </si>
  <si>
    <t>robusta</t>
  </si>
  <si>
    <t>blainville</t>
  </si>
  <si>
    <t>acuticonicum</t>
  </si>
  <si>
    <t>amentaceum</t>
  </si>
  <si>
    <t>bayeri</t>
  </si>
  <si>
    <t>berdfordi</t>
  </si>
  <si>
    <t>brassicum</t>
  </si>
  <si>
    <t>bumastum</t>
  </si>
  <si>
    <t>capnelliformis</t>
  </si>
  <si>
    <t>cervispiculosum</t>
  </si>
  <si>
    <t>chabrolii</t>
  </si>
  <si>
    <t>columnaris</t>
  </si>
  <si>
    <t>concinnum</t>
  </si>
  <si>
    <t>corallinum</t>
  </si>
  <si>
    <t>cupressiformis</t>
  </si>
  <si>
    <t>curvum</t>
  </si>
  <si>
    <t>debilis</t>
  </si>
  <si>
    <t>elongatum</t>
  </si>
  <si>
    <t>erectum</t>
  </si>
  <si>
    <t>filamentosum</t>
  </si>
  <si>
    <t>globulosum</t>
  </si>
  <si>
    <t>gracillimum</t>
  </si>
  <si>
    <t>griseum</t>
  </si>
  <si>
    <t>juniperum</t>
  </si>
  <si>
    <t>lanternarium</t>
  </si>
  <si>
    <t>legiopolypum</t>
  </si>
  <si>
    <t>pacificum</t>
  </si>
  <si>
    <t>pyramidalis</t>
  </si>
  <si>
    <t>rubrum</t>
  </si>
  <si>
    <t>savignyi</t>
  </si>
  <si>
    <t>setoensis</t>
  </si>
  <si>
    <t>sibogae</t>
  </si>
  <si>
    <t>simulatum</t>
  </si>
  <si>
    <t>sphaerophorum</t>
  </si>
  <si>
    <t>striatum</t>
  </si>
  <si>
    <t>thujarium</t>
  </si>
  <si>
    <t>tongaensis</t>
  </si>
  <si>
    <t>arboreum</t>
  </si>
  <si>
    <t>carnosum</t>
  </si>
  <si>
    <t>erinaceum</t>
  </si>
  <si>
    <t>formosanum</t>
  </si>
  <si>
    <t>fulvum</t>
  </si>
  <si>
    <t>graeffei</t>
  </si>
  <si>
    <t>liltvedi</t>
  </si>
  <si>
    <t>orientale</t>
  </si>
  <si>
    <t>ramosum</t>
  </si>
  <si>
    <t>ampliata</t>
  </si>
  <si>
    <t>scabricula</t>
  </si>
  <si>
    <t>scheeri</t>
  </si>
  <si>
    <t>phrugia</t>
  </si>
  <si>
    <t>acutispiculata</t>
  </si>
  <si>
    <t>africana</t>
  </si>
  <si>
    <t>amabilis</t>
  </si>
  <si>
    <t>bantayensis</t>
  </si>
  <si>
    <t>benayahui</t>
  </si>
  <si>
    <t>bournei</t>
  </si>
  <si>
    <t>carnosa</t>
  </si>
  <si>
    <t>cervicornis</t>
  </si>
  <si>
    <t>exilis</t>
  </si>
  <si>
    <t>faustinoi</t>
  </si>
  <si>
    <t>flava</t>
  </si>
  <si>
    <t>fragilis</t>
  </si>
  <si>
    <t>gracilis</t>
  </si>
  <si>
    <t>grandispina</t>
  </si>
  <si>
    <t>humesi</t>
  </si>
  <si>
    <t>jukesii</t>
  </si>
  <si>
    <t>longiramus</t>
  </si>
  <si>
    <t>madagascarensis</t>
  </si>
  <si>
    <t>peristyla</t>
  </si>
  <si>
    <t>philippinensis</t>
  </si>
  <si>
    <t>rhabdota</t>
  </si>
  <si>
    <t>scasa</t>
  </si>
  <si>
    <t>squamifera</t>
  </si>
  <si>
    <t>terminalis</t>
  </si>
  <si>
    <t>tixierae</t>
  </si>
  <si>
    <t>umbellata</t>
  </si>
  <si>
    <t>zimmeri</t>
  </si>
  <si>
    <t>bonsai</t>
  </si>
  <si>
    <t>exesa</t>
  </si>
  <si>
    <t>microconos</t>
  </si>
  <si>
    <t>pilosa</t>
  </si>
  <si>
    <t>aurora</t>
  </si>
  <si>
    <t>malu</t>
  </si>
  <si>
    <t>limax</t>
  </si>
  <si>
    <t>webwri</t>
  </si>
  <si>
    <t>coerulea</t>
  </si>
  <si>
    <t>actiniformis</t>
  </si>
  <si>
    <t>arenata</t>
  </si>
  <si>
    <t>cribrum</t>
  </si>
  <si>
    <t>flabellum</t>
  </si>
  <si>
    <t>mariae</t>
  </si>
  <si>
    <t>ventalina</t>
  </si>
  <si>
    <t>bernardi</t>
  </si>
  <si>
    <t>burgosi</t>
  </si>
  <si>
    <t>cellulosa</t>
  </si>
  <si>
    <t>columna</t>
  </si>
  <si>
    <t>djiboutiensis</t>
  </si>
  <si>
    <t>eclipsensis</t>
  </si>
  <si>
    <t>malaccerisis</t>
  </si>
  <si>
    <t>minor</t>
  </si>
  <si>
    <t>norfolkensis</t>
  </si>
  <si>
    <t>palmensis</t>
  </si>
  <si>
    <t>pandoraensis</t>
  </si>
  <si>
    <t>pendulus</t>
  </si>
  <si>
    <t>planulata</t>
  </si>
  <si>
    <t>polyformis</t>
  </si>
  <si>
    <t>stokesi</t>
  </si>
  <si>
    <t>stutchburyi</t>
  </si>
  <si>
    <t>tenuidens</t>
  </si>
  <si>
    <t>alta</t>
  </si>
  <si>
    <t>astreata</t>
  </si>
  <si>
    <t>fascicularis</t>
  </si>
  <si>
    <t>paucisepta</t>
  </si>
  <si>
    <t>concinna</t>
  </si>
  <si>
    <t>corona</t>
  </si>
  <si>
    <t>costulata</t>
  </si>
  <si>
    <t>curvata</t>
  </si>
  <si>
    <t>cyclolites</t>
  </si>
  <si>
    <t>distorta</t>
  </si>
  <si>
    <t>echaensis</t>
  </si>
  <si>
    <t>echinata</t>
  </si>
  <si>
    <t>fralinae</t>
  </si>
  <si>
    <t>fungites</t>
  </si>
  <si>
    <t>gravis</t>
  </si>
  <si>
    <t>hexagonalis</t>
  </si>
  <si>
    <t>horrida</t>
  </si>
  <si>
    <t>klunzingeri</t>
  </si>
  <si>
    <t>paumotensis</t>
  </si>
  <si>
    <t>plana</t>
  </si>
  <si>
    <t>repanda</t>
  </si>
  <si>
    <t>scruposa</t>
  </si>
  <si>
    <t>scutaria</t>
  </si>
  <si>
    <t>seychellensis</t>
  </si>
  <si>
    <t>sinensis</t>
  </si>
  <si>
    <t>somervillei</t>
  </si>
  <si>
    <t>spinifer</t>
  </si>
  <si>
    <t>taiwanensis</t>
  </si>
  <si>
    <t>valida</t>
  </si>
  <si>
    <t>abdita</t>
  </si>
  <si>
    <t>chinensis</t>
  </si>
  <si>
    <t>halicora</t>
  </si>
  <si>
    <t>pentagona</t>
  </si>
  <si>
    <t>peresi</t>
  </si>
  <si>
    <t>rotundata</t>
  </si>
  <si>
    <t>russelli</t>
  </si>
  <si>
    <t>stylifera</t>
  </si>
  <si>
    <t>conferta</t>
  </si>
  <si>
    <t>doreyensis</t>
  </si>
  <si>
    <t>favus</t>
  </si>
  <si>
    <t>fragum</t>
  </si>
  <si>
    <t>gravida</t>
  </si>
  <si>
    <t>helianthoides</t>
  </si>
  <si>
    <t>leptophylla</t>
  </si>
  <si>
    <t>lizardensis</t>
  </si>
  <si>
    <t>maritima</t>
  </si>
  <si>
    <t>pallida</t>
  </si>
  <si>
    <t>rotumana</t>
  </si>
  <si>
    <t>speciosa</t>
  </si>
  <si>
    <t>stelligera</t>
  </si>
  <si>
    <t>veroni</t>
  </si>
  <si>
    <t>wisseli</t>
  </si>
  <si>
    <t>ancora</t>
  </si>
  <si>
    <t>cristata</t>
  </si>
  <si>
    <t>divisa</t>
  </si>
  <si>
    <t>fimbriata</t>
  </si>
  <si>
    <t>glabrescens</t>
  </si>
  <si>
    <t>paradivisa</t>
  </si>
  <si>
    <t>paraencora</t>
  </si>
  <si>
    <t>paraglabrescens</t>
  </si>
  <si>
    <t>yaeyamaensis</t>
  </si>
  <si>
    <t>medusivora</t>
  </si>
  <si>
    <t>quadricolor</t>
  </si>
  <si>
    <t>axifuga</t>
  </si>
  <si>
    <t>carlgreni</t>
  </si>
  <si>
    <t>capensis</t>
  </si>
  <si>
    <t>nodulifera</t>
  </si>
  <si>
    <t>acaulis</t>
  </si>
  <si>
    <t>aculeata</t>
  </si>
  <si>
    <t>alba</t>
  </si>
  <si>
    <t>albogilva</t>
  </si>
  <si>
    <t>alcocki</t>
  </si>
  <si>
    <t>amaebisclera</t>
  </si>
  <si>
    <t>ambigua</t>
  </si>
  <si>
    <t>andamanensis</t>
  </si>
  <si>
    <t>andersoni</t>
  </si>
  <si>
    <t>anguina</t>
  </si>
  <si>
    <t>annectens</t>
  </si>
  <si>
    <t>arakanensis</t>
  </si>
  <si>
    <t>arborea</t>
  </si>
  <si>
    <t>arbuscula</t>
  </si>
  <si>
    <t>argentea</t>
  </si>
  <si>
    <t>armata</t>
  </si>
  <si>
    <t>armifer</t>
  </si>
  <si>
    <t>aruensis</t>
  </si>
  <si>
    <t>aspera</t>
  </si>
  <si>
    <t>aurantiaca</t>
  </si>
  <si>
    <t>biformata</t>
  </si>
  <si>
    <t>binongkoensis</t>
  </si>
  <si>
    <t>boletiformis</t>
  </si>
  <si>
    <t>bonnieri</t>
  </si>
  <si>
    <t>booleyi</t>
  </si>
  <si>
    <t>brachycaulos</t>
  </si>
  <si>
    <t>brevirama</t>
  </si>
  <si>
    <t>bruuni</t>
  </si>
  <si>
    <t>caerula</t>
  </si>
  <si>
    <t>candida</t>
  </si>
  <si>
    <t>carnea</t>
  </si>
  <si>
    <t>castanea</t>
  </si>
  <si>
    <t>cervicornus</t>
  </si>
  <si>
    <t>chimnoi</t>
  </si>
  <si>
    <t>cirsium</t>
  </si>
  <si>
    <t>clara</t>
  </si>
  <si>
    <t>clavata</t>
  </si>
  <si>
    <t>cocosiensis</t>
  </si>
  <si>
    <t>colemani</t>
  </si>
  <si>
    <t>collaris</t>
  </si>
  <si>
    <t>colombiensis</t>
  </si>
  <si>
    <t>conica</t>
  </si>
  <si>
    <t>coronata</t>
  </si>
  <si>
    <t>costatorubra</t>
  </si>
  <si>
    <t>crassa</t>
  </si>
  <si>
    <t>crosslandi</t>
  </si>
  <si>
    <t>crystallina</t>
  </si>
  <si>
    <t>decipiens</t>
  </si>
  <si>
    <t>decussatospinosa</t>
  </si>
  <si>
    <t>delicatissima</t>
  </si>
  <si>
    <t>dendritica</t>
  </si>
  <si>
    <t>dendrophyta</t>
  </si>
  <si>
    <t>depressa</t>
  </si>
  <si>
    <t>devexa</t>
  </si>
  <si>
    <t>disciformis</t>
  </si>
  <si>
    <t>doederleini</t>
  </si>
  <si>
    <t>dofleini</t>
  </si>
  <si>
    <t>dollfusi</t>
  </si>
  <si>
    <t>dromidicola</t>
  </si>
  <si>
    <t>eburnea</t>
  </si>
  <si>
    <t>electa</t>
  </si>
  <si>
    <t>erinacea</t>
  </si>
  <si>
    <t>fallax</t>
  </si>
  <si>
    <t>featherensis</t>
  </si>
  <si>
    <t>filigrana</t>
  </si>
  <si>
    <t>fischeri</t>
  </si>
  <si>
    <t>flabellifera</t>
  </si>
  <si>
    <t>flammea</t>
  </si>
  <si>
    <t>foliata</t>
  </si>
  <si>
    <t>folifera</t>
  </si>
  <si>
    <t>formosa</t>
  </si>
  <si>
    <t>fusca</t>
  </si>
  <si>
    <t>ganjamensis</t>
  </si>
  <si>
    <t>gardineri</t>
  </si>
  <si>
    <t>gilva</t>
  </si>
  <si>
    <t>gloriosa</t>
  </si>
  <si>
    <t>golgotha</t>
  </si>
  <si>
    <t>gracillima</t>
  </si>
  <si>
    <t>grandiflora</t>
  </si>
  <si>
    <t>gravieri</t>
  </si>
  <si>
    <t>gregoriensis</t>
  </si>
  <si>
    <t>guggenheimi</t>
  </si>
  <si>
    <t>habereri</t>
  </si>
  <si>
    <t>hadzii</t>
  </si>
  <si>
    <t>halterosclera</t>
  </si>
  <si>
    <t>harrisoni</t>
  </si>
  <si>
    <t>hartmeyeri</t>
  </si>
  <si>
    <t>hemprichi</t>
  </si>
  <si>
    <t>heterocyathus</t>
  </si>
  <si>
    <t>hicksoni</t>
  </si>
  <si>
    <t>hyalina</t>
  </si>
  <si>
    <t>hystricosa</t>
  </si>
  <si>
    <t>inconfusa</t>
  </si>
  <si>
    <t>inermis</t>
  </si>
  <si>
    <t>inhacaensis</t>
  </si>
  <si>
    <t>investigata</t>
  </si>
  <si>
    <t>involuta</t>
  </si>
  <si>
    <t>jucunda</t>
  </si>
  <si>
    <t>koellikeri</t>
  </si>
  <si>
    <t>kukenthali</t>
  </si>
  <si>
    <t>lanxifera</t>
  </si>
  <si>
    <t>latipes</t>
  </si>
  <si>
    <t>lokobeensis</t>
  </si>
  <si>
    <t>longicaulis</t>
  </si>
  <si>
    <t>longispina</t>
  </si>
  <si>
    <t>macrocaulis</t>
  </si>
  <si>
    <t>macrospina</t>
  </si>
  <si>
    <t>magna</t>
  </si>
  <si>
    <t>magnacantha</t>
  </si>
  <si>
    <t>malabarensis</t>
  </si>
  <si>
    <t>malaya</t>
  </si>
  <si>
    <t>manyanensis</t>
  </si>
  <si>
    <t>marenzelleri</t>
  </si>
  <si>
    <t>masoni</t>
  </si>
  <si>
    <t>mayi</t>
  </si>
  <si>
    <t>merguiensis</t>
  </si>
  <si>
    <t>mertoni</t>
  </si>
  <si>
    <t>michaelseni</t>
  </si>
  <si>
    <t>microspiculata</t>
  </si>
  <si>
    <t>minima</t>
  </si>
  <si>
    <t>mirabilis</t>
  </si>
  <si>
    <t>miriabilis</t>
  </si>
  <si>
    <t>mirifica</t>
  </si>
  <si>
    <t>monticulosa</t>
  </si>
  <si>
    <t>mortenseni</t>
  </si>
  <si>
    <t>mucronata</t>
  </si>
  <si>
    <t>multispinosa</t>
  </si>
  <si>
    <t>mutabilis</t>
  </si>
  <si>
    <t>natalensis</t>
  </si>
  <si>
    <t>nicobarensis</t>
  </si>
  <si>
    <t>nigripes</t>
  </si>
  <si>
    <t>nigrotincta</t>
  </si>
  <si>
    <t>nipponica</t>
  </si>
  <si>
    <t>noumeensis</t>
  </si>
  <si>
    <t>novaezeelandiae</t>
  </si>
  <si>
    <t>obtusa</t>
  </si>
  <si>
    <t>ochracea</t>
  </si>
  <si>
    <t>ovata</t>
  </si>
  <si>
    <t>oviformis</t>
  </si>
  <si>
    <t>padavensis</t>
  </si>
  <si>
    <t>palaoensis</t>
  </si>
  <si>
    <t>palmata</t>
  </si>
  <si>
    <t>parvula</t>
  </si>
  <si>
    <t>pectinata</t>
  </si>
  <si>
    <t>pellucida</t>
  </si>
  <si>
    <t>perezi</t>
  </si>
  <si>
    <t>persica</t>
  </si>
  <si>
    <t>pharonis</t>
  </si>
  <si>
    <t>planoregularis</t>
  </si>
  <si>
    <t>puetteri</t>
  </si>
  <si>
    <t>pulchella</t>
  </si>
  <si>
    <t>pulchra</t>
  </si>
  <si>
    <t>pumilio</t>
  </si>
  <si>
    <t>punctata</t>
  </si>
  <si>
    <t>punicea</t>
  </si>
  <si>
    <t>pustulosa</t>
  </si>
  <si>
    <t>pyriformis</t>
  </si>
  <si>
    <t>quadrata</t>
  </si>
  <si>
    <t>querciformis</t>
  </si>
  <si>
    <t>radiata</t>
  </si>
  <si>
    <t>ramulosa</t>
  </si>
  <si>
    <t>regia</t>
  </si>
  <si>
    <t>reticulata</t>
  </si>
  <si>
    <t>revelata</t>
  </si>
  <si>
    <t>roemeri</t>
  </si>
  <si>
    <t>rosamondae</t>
  </si>
  <si>
    <t>rosea</t>
  </si>
  <si>
    <t>rubeola</t>
  </si>
  <si>
    <t>rubescens</t>
  </si>
  <si>
    <t>semperi</t>
  </si>
  <si>
    <t>sinaiensis</t>
  </si>
  <si>
    <t>snelliusi</t>
  </si>
  <si>
    <t>spinifera</t>
  </si>
  <si>
    <t>spinosa</t>
  </si>
  <si>
    <t>spinulosa</t>
  </si>
  <si>
    <t>spissa</t>
  </si>
  <si>
    <t>staphyloidea</t>
  </si>
  <si>
    <t>stockci</t>
  </si>
  <si>
    <t>stolonifera</t>
  </si>
  <si>
    <t>studeri</t>
  </si>
  <si>
    <t>suensoni</t>
  </si>
  <si>
    <t>suesiana</t>
  </si>
  <si>
    <t>suluensis</t>
  </si>
  <si>
    <t>surugaensis</t>
  </si>
  <si>
    <t>tabaensis</t>
  </si>
  <si>
    <t>thomsoni</t>
  </si>
  <si>
    <t>thuja</t>
  </si>
  <si>
    <t>translucens</t>
  </si>
  <si>
    <t>tripartita</t>
  </si>
  <si>
    <t>tuberculata</t>
  </si>
  <si>
    <t>uliginosa</t>
  </si>
  <si>
    <t>utinomii</t>
  </si>
  <si>
    <t>variata</t>
  </si>
  <si>
    <t>varicolor</t>
  </si>
  <si>
    <t>vervoorti</t>
  </si>
  <si>
    <t>villosa</t>
  </si>
  <si>
    <t>waitei</t>
  </si>
  <si>
    <t>weberi</t>
  </si>
  <si>
    <t>wijsmanae</t>
  </si>
  <si>
    <t>yamamotoi</t>
  </si>
  <si>
    <t>zanzibarensis</t>
  </si>
  <si>
    <t>lacrymalis</t>
  </si>
  <si>
    <t>macassarensis</t>
  </si>
  <si>
    <t>annulata</t>
  </si>
  <si>
    <t>bahamensis</t>
  </si>
  <si>
    <t>chilensis</t>
  </si>
  <si>
    <t>delawarei</t>
  </si>
  <si>
    <t>globulifera</t>
  </si>
  <si>
    <t>hoplites</t>
  </si>
  <si>
    <t>myrcia</t>
  </si>
  <si>
    <t>parvicornis</t>
  </si>
  <si>
    <t>abyssorum</t>
  </si>
  <si>
    <t>argus</t>
  </si>
  <si>
    <t>caribbaea</t>
  </si>
  <si>
    <t>celata</t>
  </si>
  <si>
    <t>delitrix</t>
  </si>
  <si>
    <t>lampa</t>
  </si>
  <si>
    <t>levispira</t>
  </si>
  <si>
    <t>pruvoti</t>
  </si>
  <si>
    <t>schmidti</t>
  </si>
  <si>
    <t>truitti</t>
  </si>
  <si>
    <t>vastifica</t>
  </si>
  <si>
    <t>viriotis</t>
  </si>
  <si>
    <t>arctica</t>
  </si>
  <si>
    <t>modesta</t>
  </si>
  <si>
    <t>morbesbii</t>
  </si>
  <si>
    <t>notanda</t>
  </si>
  <si>
    <t>novaezealandiae</t>
  </si>
  <si>
    <t>thompsoni</t>
  </si>
  <si>
    <t>arbusculoides</t>
  </si>
  <si>
    <t>bottai</t>
  </si>
  <si>
    <t>brachyclados</t>
  </si>
  <si>
    <t>ceylonica</t>
  </si>
  <si>
    <t>conifera</t>
  </si>
  <si>
    <t>daphnae</t>
  </si>
  <si>
    <t>devaneyi</t>
  </si>
  <si>
    <t>digitulatum</t>
  </si>
  <si>
    <t>elegantissima</t>
  </si>
  <si>
    <t>exigua</t>
  </si>
  <si>
    <t>foliacea</t>
  </si>
  <si>
    <t>germaini</t>
  </si>
  <si>
    <t>globuliferoides</t>
  </si>
  <si>
    <t>hartogi</t>
  </si>
  <si>
    <t>kashmani</t>
  </si>
  <si>
    <t>krempfi</t>
  </si>
  <si>
    <t>laciniosa</t>
  </si>
  <si>
    <t>latissima</t>
  </si>
  <si>
    <t>letourneuxi</t>
  </si>
  <si>
    <t>lineata</t>
  </si>
  <si>
    <t>michelini</t>
  </si>
  <si>
    <t>multiloba</t>
  </si>
  <si>
    <t>pachyclados</t>
  </si>
  <si>
    <t>papillosa</t>
  </si>
  <si>
    <t>pauciflora</t>
  </si>
  <si>
    <t>prattae</t>
  </si>
  <si>
    <t>similis</t>
  </si>
  <si>
    <t>sphaerophora</t>
  </si>
  <si>
    <t>steineri</t>
  </si>
  <si>
    <t>subtilis</t>
  </si>
  <si>
    <t>suezensis</t>
  </si>
  <si>
    <t>tualerensis</t>
  </si>
  <si>
    <t>tuberculoides</t>
  </si>
  <si>
    <t>variabilis</t>
  </si>
  <si>
    <t>americanus</t>
  </si>
  <si>
    <t>borealis</t>
  </si>
  <si>
    <t>lloydii</t>
  </si>
  <si>
    <t>Caulastraea</t>
  </si>
  <si>
    <t>tumida</t>
  </si>
  <si>
    <t>jardinei</t>
  </si>
  <si>
    <t>plicata</t>
  </si>
  <si>
    <t>asbestinum</t>
  </si>
  <si>
    <t>cylindrum</t>
  </si>
  <si>
    <t>hamrum</t>
  </si>
  <si>
    <t>palmachristi</t>
  </si>
  <si>
    <t>stechei</t>
  </si>
  <si>
    <t>violaceum</t>
  </si>
  <si>
    <t>loyae</t>
  </si>
  <si>
    <t>merleti</t>
  </si>
  <si>
    <t>omanensis</t>
  </si>
  <si>
    <t>vivida</t>
  </si>
  <si>
    <t>brunnea</t>
  </si>
  <si>
    <t>melanostigma</t>
  </si>
  <si>
    <t>pacifica</t>
  </si>
  <si>
    <t>turneri</t>
  </si>
  <si>
    <t>viola</t>
  </si>
  <si>
    <t>peruviana</t>
  </si>
  <si>
    <t>pseudotagetes</t>
  </si>
  <si>
    <t>werneri</t>
  </si>
  <si>
    <t>fishelsoni</t>
  </si>
  <si>
    <t>glauca</t>
  </si>
  <si>
    <t>mahenensis</t>
  </si>
  <si>
    <t>profunda</t>
  </si>
  <si>
    <t>strumosa</t>
  </si>
  <si>
    <t>ternatana</t>
  </si>
  <si>
    <t>tosana</t>
  </si>
  <si>
    <t>allingi</t>
  </si>
  <si>
    <t>daedalea</t>
  </si>
  <si>
    <t>excelsa</t>
  </si>
  <si>
    <t>fenestrata</t>
  </si>
  <si>
    <t>gigas</t>
  </si>
  <si>
    <t>marionensis</t>
  </si>
  <si>
    <t>ocellata</t>
  </si>
  <si>
    <t>superficialis</t>
  </si>
  <si>
    <t>tizardi</t>
  </si>
  <si>
    <t>verrilliana</t>
  </si>
  <si>
    <t>acaule</t>
  </si>
  <si>
    <t>adriaticum</t>
  </si>
  <si>
    <t>antarcticum</t>
  </si>
  <si>
    <t>aspiculatum</t>
  </si>
  <si>
    <t>aurantiacum</t>
  </si>
  <si>
    <t>bocagei</t>
  </si>
  <si>
    <t>bosphorense</t>
  </si>
  <si>
    <t>brioniense</t>
  </si>
  <si>
    <t>burmedju</t>
  </si>
  <si>
    <t>bursa</t>
  </si>
  <si>
    <t>capitatum</t>
  </si>
  <si>
    <t>ceylonense</t>
  </si>
  <si>
    <t>clavatum</t>
  </si>
  <si>
    <t>compactofestucum</t>
  </si>
  <si>
    <t>confertum</t>
  </si>
  <si>
    <t>coralloides</t>
  </si>
  <si>
    <t>cydonium</t>
  </si>
  <si>
    <t>dendroides</t>
  </si>
  <si>
    <t>dolium</t>
  </si>
  <si>
    <t>echinatum</t>
  </si>
  <si>
    <t>etheridgei</t>
  </si>
  <si>
    <t>faura</t>
  </si>
  <si>
    <t>fauri</t>
  </si>
  <si>
    <t>foliatum</t>
  </si>
  <si>
    <t>glaciophilum</t>
  </si>
  <si>
    <t>glomeratum</t>
  </si>
  <si>
    <t>graniferum</t>
  </si>
  <si>
    <t>hibernicum</t>
  </si>
  <si>
    <t>jorgei</t>
  </si>
  <si>
    <t>luteum</t>
  </si>
  <si>
    <t>manusdiaboli</t>
  </si>
  <si>
    <t>maristenebrosi</t>
  </si>
  <si>
    <t>megasclerum</t>
  </si>
  <si>
    <t>muricatum</t>
  </si>
  <si>
    <t>palmatum</t>
  </si>
  <si>
    <t>patagonicum</t>
  </si>
  <si>
    <t>paucilobulatum</t>
  </si>
  <si>
    <t>profundum</t>
  </si>
  <si>
    <t>reptans</t>
  </si>
  <si>
    <t>robustum</t>
  </si>
  <si>
    <t>rotiferum</t>
  </si>
  <si>
    <t>senegalense</t>
  </si>
  <si>
    <t>sidereum</t>
  </si>
  <si>
    <t>sollasi</t>
  </si>
  <si>
    <t>southgeorgiensis</t>
  </si>
  <si>
    <t>spitzbergense</t>
  </si>
  <si>
    <t>submurale</t>
  </si>
  <si>
    <t>varum</t>
  </si>
  <si>
    <t>verseveldti</t>
  </si>
  <si>
    <t>yepayek</t>
  </si>
  <si>
    <t>elongatus</t>
  </si>
  <si>
    <t>album</t>
  </si>
  <si>
    <t>dawydoffi</t>
  </si>
  <si>
    <t>fowleri</t>
  </si>
  <si>
    <t>neglecta</t>
  </si>
  <si>
    <t>nummiforme</t>
  </si>
  <si>
    <t>rubraoris</t>
  </si>
  <si>
    <t>unguja</t>
  </si>
  <si>
    <t>viridescens</t>
  </si>
  <si>
    <t>yuma</t>
  </si>
  <si>
    <t>abrolhosensis</t>
  </si>
  <si>
    <t>abrotanoides</t>
  </si>
  <si>
    <t>aculeus</t>
  </si>
  <si>
    <t>acuminata</t>
  </si>
  <si>
    <t>akajimensis</t>
  </si>
  <si>
    <t>anthocercis</t>
  </si>
  <si>
    <t>arabensis</t>
  </si>
  <si>
    <t>austera</t>
  </si>
  <si>
    <t>awi</t>
  </si>
  <si>
    <t>azurea</t>
  </si>
  <si>
    <t>batunai</t>
  </si>
  <si>
    <t>branchi</t>
  </si>
  <si>
    <t>brueggemanni</t>
  </si>
  <si>
    <t>bushyensis</t>
  </si>
  <si>
    <t>cardenae</t>
  </si>
  <si>
    <t>carduus</t>
  </si>
  <si>
    <t>cerealis</t>
  </si>
  <si>
    <t>chesterfieldensis</t>
  </si>
  <si>
    <t>clathrata</t>
  </si>
  <si>
    <t>convexa</t>
  </si>
  <si>
    <t>copiosa</t>
  </si>
  <si>
    <t>crateriformis</t>
  </si>
  <si>
    <t>cuneata</t>
  </si>
  <si>
    <t>cymbicyathus</t>
  </si>
  <si>
    <t>cytherea</t>
  </si>
  <si>
    <t>delicatula</t>
  </si>
  <si>
    <t>dendrum</t>
  </si>
  <si>
    <t>derawaensis</t>
  </si>
  <si>
    <t>desalwii</t>
  </si>
  <si>
    <t>digitifera</t>
  </si>
  <si>
    <t>diversa</t>
  </si>
  <si>
    <t>donei</t>
  </si>
  <si>
    <t>elseyi</t>
  </si>
  <si>
    <t>eurystoma</t>
  </si>
  <si>
    <t>exquisita</t>
  </si>
  <si>
    <t>gemmifera</t>
  </si>
  <si>
    <t>halmaherae</t>
  </si>
  <si>
    <t>hoeksemai</t>
  </si>
  <si>
    <t>humilis</t>
  </si>
  <si>
    <t>hyacinthus</t>
  </si>
  <si>
    <t>indiana</t>
  </si>
  <si>
    <t>indonesia</t>
  </si>
  <si>
    <t>insignis</t>
  </si>
  <si>
    <t>intermedia</t>
  </si>
  <si>
    <t>jacquelinae</t>
  </si>
  <si>
    <t>kirstyae</t>
  </si>
  <si>
    <t>kosurini</t>
  </si>
  <si>
    <t>listeri</t>
  </si>
  <si>
    <t>loisetteae</t>
  </si>
  <si>
    <t>lokani</t>
  </si>
  <si>
    <t>longicyathus</t>
  </si>
  <si>
    <t>loripes</t>
  </si>
  <si>
    <t>lovelli</t>
  </si>
  <si>
    <t>lutkeni</t>
  </si>
  <si>
    <t>microclados</t>
  </si>
  <si>
    <t>microphthalma</t>
  </si>
  <si>
    <t>mossambica</t>
  </si>
  <si>
    <t>multiacuta</t>
  </si>
  <si>
    <t>nana</t>
  </si>
  <si>
    <t>nasuta</t>
  </si>
  <si>
    <t>nobilis</t>
  </si>
  <si>
    <t>palifera</t>
  </si>
  <si>
    <t>palmerae</t>
  </si>
  <si>
    <t>paniculata</t>
  </si>
  <si>
    <t>parilis</t>
  </si>
  <si>
    <t>pharaonis</t>
  </si>
  <si>
    <t>plumosa</t>
  </si>
  <si>
    <t>pocilloporina</t>
  </si>
  <si>
    <t>polystoma</t>
  </si>
  <si>
    <t>prolifera</t>
  </si>
  <si>
    <t>pruinosa</t>
  </si>
  <si>
    <t>rambleri</t>
  </si>
  <si>
    <t>rosaria</t>
  </si>
  <si>
    <t>rudis</t>
  </si>
  <si>
    <t>sabulata</t>
  </si>
  <si>
    <t>samoensis</t>
  </si>
  <si>
    <t>sarmentosa</t>
  </si>
  <si>
    <t>schmitti</t>
  </si>
  <si>
    <t>secale</t>
  </si>
  <si>
    <t>sekiseiensis</t>
  </si>
  <si>
    <t>selago</t>
  </si>
  <si>
    <t>solitaryensis</t>
  </si>
  <si>
    <t>sordiensis</t>
  </si>
  <si>
    <t>spicifera</t>
  </si>
  <si>
    <t>splendida</t>
  </si>
  <si>
    <t>stoddarti</t>
  </si>
  <si>
    <t>subglabra</t>
  </si>
  <si>
    <t>suharsonoi</t>
  </si>
  <si>
    <t>sukarnoi</t>
  </si>
  <si>
    <t>surculosa</t>
  </si>
  <si>
    <t>tanegashimensis</t>
  </si>
  <si>
    <t>togianensis</t>
  </si>
  <si>
    <t>torihalimeda</t>
  </si>
  <si>
    <t>turaki</t>
  </si>
  <si>
    <t>valenciennesi</t>
  </si>
  <si>
    <t>verweyi</t>
  </si>
  <si>
    <t>wallacea</t>
  </si>
  <si>
    <t>willisae</t>
  </si>
  <si>
    <t>yongei</t>
  </si>
  <si>
    <t>amakusensis</t>
  </si>
  <si>
    <t>bowerbanki</t>
  </si>
  <si>
    <t>hillae</t>
  </si>
  <si>
    <t>ishigakiensis</t>
  </si>
  <si>
    <t>lordhowensis</t>
  </si>
  <si>
    <t>rotundaflora</t>
  </si>
  <si>
    <t>eques</t>
  </si>
  <si>
    <t>hypselonotus</t>
  </si>
  <si>
    <t>abdominalis</t>
  </si>
  <si>
    <t>bengalensis</t>
  </si>
  <si>
    <t>concolor</t>
  </si>
  <si>
    <t>conformis</t>
  </si>
  <si>
    <t>declivifrons</t>
  </si>
  <si>
    <t>hoefleri</t>
  </si>
  <si>
    <t>lorenzi</t>
  </si>
  <si>
    <t>luridus</t>
  </si>
  <si>
    <t>margariteus</t>
  </si>
  <si>
    <t>notatus</t>
  </si>
  <si>
    <t>saxatilis</t>
  </si>
  <si>
    <t>septemfasciatus</t>
  </si>
  <si>
    <t>sexfasciatus</t>
  </si>
  <si>
    <t>sordidus</t>
  </si>
  <si>
    <t>sparoides</t>
  </si>
  <si>
    <t>taurus</t>
  </si>
  <si>
    <t>troschelii</t>
  </si>
  <si>
    <t>vaigiensis</t>
  </si>
  <si>
    <t>whitleyi</t>
  </si>
  <si>
    <t>jahu</t>
  </si>
  <si>
    <t>zungaro</t>
  </si>
  <si>
    <t>desjardinii</t>
  </si>
  <si>
    <t>flavescens</t>
  </si>
  <si>
    <t>rostratum</t>
  </si>
  <si>
    <t>scopas</t>
  </si>
  <si>
    <t>veliferum</t>
  </si>
  <si>
    <t>xanthurum</t>
  </si>
  <si>
    <t>cornutus</t>
  </si>
  <si>
    <t>caudipunctata</t>
  </si>
  <si>
    <t>eos</t>
  </si>
  <si>
    <t>lecontei</t>
  </si>
  <si>
    <t>longidorsalis</t>
  </si>
  <si>
    <t>morleti</t>
  </si>
  <si>
    <t>blanchardi</t>
  </si>
  <si>
    <t>incandescens</t>
  </si>
  <si>
    <t>javanicus</t>
  </si>
  <si>
    <t>martinicensis</t>
  </si>
  <si>
    <t>mundiceps</t>
  </si>
  <si>
    <t>novacula</t>
  </si>
  <si>
    <t>rajagopalani</t>
  </si>
  <si>
    <t>alvarezi</t>
  </si>
  <si>
    <t>andersi</t>
  </si>
  <si>
    <t>birchmanni</t>
  </si>
  <si>
    <t>clemenciae</t>
  </si>
  <si>
    <t>continens</t>
  </si>
  <si>
    <t>cortezi</t>
  </si>
  <si>
    <t>couchianus</t>
  </si>
  <si>
    <t>evelynae</t>
  </si>
  <si>
    <t>gordoni</t>
  </si>
  <si>
    <t>hellerii</t>
  </si>
  <si>
    <t>kallmani</t>
  </si>
  <si>
    <t>kosszanderi</t>
  </si>
  <si>
    <t>maculatus</t>
  </si>
  <si>
    <t>malinche</t>
  </si>
  <si>
    <t>mayae</t>
  </si>
  <si>
    <t>meyeri</t>
  </si>
  <si>
    <t>milleri</t>
  </si>
  <si>
    <t>mixei</t>
  </si>
  <si>
    <t>montezumae</t>
  </si>
  <si>
    <t>monticolus</t>
  </si>
  <si>
    <t>multilineatus</t>
  </si>
  <si>
    <t>nezahualcoyotl</t>
  </si>
  <si>
    <t>nigrensis</t>
  </si>
  <si>
    <t>pygmaeus</t>
  </si>
  <si>
    <t>roseni</t>
  </si>
  <si>
    <t>signum</t>
  </si>
  <si>
    <t>variatus</t>
  </si>
  <si>
    <t>xiphidium</t>
  </si>
  <si>
    <t>albini</t>
  </si>
  <si>
    <t>bathyphila</t>
  </si>
  <si>
    <t>boulengeri</t>
  </si>
  <si>
    <t>burtoni</t>
  </si>
  <si>
    <t>caudafasciata</t>
  </si>
  <si>
    <t>flavipinnis</t>
  </si>
  <si>
    <t>leptura</t>
  </si>
  <si>
    <t>longispinis</t>
  </si>
  <si>
    <t>melanogenys</t>
  </si>
  <si>
    <t>nasus</t>
  </si>
  <si>
    <t>nigrolabiata</t>
  </si>
  <si>
    <t>ochrogenys</t>
  </si>
  <si>
    <t>ornatipinnis</t>
  </si>
  <si>
    <t>papilio</t>
  </si>
  <si>
    <t>rotundiventralis</t>
  </si>
  <si>
    <t>sima</t>
  </si>
  <si>
    <t>spiloptera</t>
  </si>
  <si>
    <t>tenuidentata</t>
  </si>
  <si>
    <t>cancila</t>
  </si>
  <si>
    <t>canciloides</t>
  </si>
  <si>
    <t>auromarginatus</t>
  </si>
  <si>
    <t>caeruleolineatus</t>
  </si>
  <si>
    <t>lima</t>
  </si>
  <si>
    <t>lineopunctatus</t>
  </si>
  <si>
    <t>mento</t>
  </si>
  <si>
    <t>ringens</t>
  </si>
  <si>
    <t>attu</t>
  </si>
  <si>
    <t>hexanema</t>
  </si>
  <si>
    <t>leerii</t>
  </si>
  <si>
    <t>micropogon</t>
  </si>
  <si>
    <t>bifasciata</t>
  </si>
  <si>
    <t>breidohri</t>
  </si>
  <si>
    <t>guttulata</t>
  </si>
  <si>
    <t>hartwegi</t>
  </si>
  <si>
    <t>maculicauda</t>
  </si>
  <si>
    <t>melanura</t>
  </si>
  <si>
    <t>zonata</t>
  </si>
  <si>
    <t>moorii</t>
  </si>
  <si>
    <t>alleni</t>
  </si>
  <si>
    <t>bella</t>
  </si>
  <si>
    <t>decora</t>
  </si>
  <si>
    <t>helsdingenii</t>
  </si>
  <si>
    <t>immaculata</t>
  </si>
  <si>
    <t>limicola</t>
  </si>
  <si>
    <t>longipinnis</t>
  </si>
  <si>
    <t>muralis</t>
  </si>
  <si>
    <t>puellaris</t>
  </si>
  <si>
    <t>randalli</t>
  </si>
  <si>
    <t>sexguttata</t>
  </si>
  <si>
    <t>strigata</t>
  </si>
  <si>
    <t>wardii</t>
  </si>
  <si>
    <t>concentricus</t>
  </si>
  <si>
    <t>jamaicensis</t>
  </si>
  <si>
    <t>pardalis</t>
  </si>
  <si>
    <t>tumbesensis</t>
  </si>
  <si>
    <t>amphiacanthoides</t>
  </si>
  <si>
    <t>fernandezyepezi</t>
  </si>
  <si>
    <t>macrostoma</t>
  </si>
  <si>
    <t>maculiceps</t>
  </si>
  <si>
    <t>nigriventer</t>
  </si>
  <si>
    <t>polyodon</t>
  </si>
  <si>
    <t>aristoma</t>
  </si>
  <si>
    <t>bangwelensis</t>
  </si>
  <si>
    <t>intermedius</t>
  </si>
  <si>
    <t>jentinki</t>
  </si>
  <si>
    <t>labrodon</t>
  </si>
  <si>
    <t>lateralis</t>
  </si>
  <si>
    <t>leonensis</t>
  </si>
  <si>
    <t>microdon</t>
  </si>
  <si>
    <t>mylodon</t>
  </si>
  <si>
    <t>polylepis</t>
  </si>
  <si>
    <t>praecox</t>
  </si>
  <si>
    <t>regani</t>
  </si>
  <si>
    <t>robertsi</t>
  </si>
  <si>
    <t>sudanensis</t>
  </si>
  <si>
    <t>trewavasae</t>
  </si>
  <si>
    <t>brichardi</t>
  </si>
  <si>
    <t>duboisi</t>
  </si>
  <si>
    <t>kasabae</t>
  </si>
  <si>
    <t>polli</t>
  </si>
  <si>
    <t>albus</t>
  </si>
  <si>
    <t>angulatus</t>
  </si>
  <si>
    <t>auritus</t>
  </si>
  <si>
    <t>brachipomus</t>
  </si>
  <si>
    <t>culter</t>
  </si>
  <si>
    <t>curtus</t>
  </si>
  <si>
    <t>guentheri</t>
  </si>
  <si>
    <t>magdalenae</t>
  </si>
  <si>
    <t>nematurus</t>
  </si>
  <si>
    <t>orinocensis</t>
  </si>
  <si>
    <t>pantanensis</t>
  </si>
  <si>
    <t>paranensis</t>
  </si>
  <si>
    <t>pictus</t>
  </si>
  <si>
    <t>rotundatus</t>
  </si>
  <si>
    <t>signatus</t>
  </si>
  <si>
    <t>trifurcatus</t>
  </si>
  <si>
    <t>venezuelensis</t>
  </si>
  <si>
    <t>fimbriatus</t>
  </si>
  <si>
    <t>fonsecensis</t>
  </si>
  <si>
    <t>hubbsbollinger</t>
  </si>
  <si>
    <t>inscriptus</t>
  </si>
  <si>
    <t>microphthalmus</t>
  </si>
  <si>
    <t>opercularis</t>
  </si>
  <si>
    <t>paulistanus</t>
  </si>
  <si>
    <t>xanthurus</t>
  </si>
  <si>
    <t>espei</t>
  </si>
  <si>
    <t>hengeli</t>
  </si>
  <si>
    <t>heteromorpha</t>
  </si>
  <si>
    <t>somphongsi</t>
  </si>
  <si>
    <t>otostigma</t>
  </si>
  <si>
    <t>pumila</t>
  </si>
  <si>
    <t>schalleri</t>
  </si>
  <si>
    <t>vittata</t>
  </si>
  <si>
    <t>chuna</t>
  </si>
  <si>
    <t>fasciata</t>
  </si>
  <si>
    <t>labiosa</t>
  </si>
  <si>
    <t>lalius</t>
  </si>
  <si>
    <t>blythii</t>
  </si>
  <si>
    <t>chatareus</t>
  </si>
  <si>
    <t>jaculatrix</t>
  </si>
  <si>
    <t>kimberleyensis</t>
  </si>
  <si>
    <t>lorentzi</t>
  </si>
  <si>
    <t>microlepis</t>
  </si>
  <si>
    <t>oligolepis</t>
  </si>
  <si>
    <t>obesus</t>
  </si>
  <si>
    <t>baloni</t>
  </si>
  <si>
    <t>brevimanus</t>
  </si>
  <si>
    <t>busumana</t>
  </si>
  <si>
    <t>guinasana</t>
  </si>
  <si>
    <t>pra</t>
  </si>
  <si>
    <t>ruweti</t>
  </si>
  <si>
    <t>sparrmanii</t>
  </si>
  <si>
    <t>aureus</t>
  </si>
  <si>
    <t>callolepis</t>
  </si>
  <si>
    <t>helleri</t>
  </si>
  <si>
    <t>maculipinnis</t>
  </si>
  <si>
    <t>meeki</t>
  </si>
  <si>
    <t>pasionis</t>
  </si>
  <si>
    <t>socolofi</t>
  </si>
  <si>
    <t>securis</t>
  </si>
  <si>
    <t>stellatus</t>
  </si>
  <si>
    <t>boehlkei</t>
  </si>
  <si>
    <t>ifati</t>
  </si>
  <si>
    <t>obliqua</t>
  </si>
  <si>
    <t>amblycephalum</t>
  </si>
  <si>
    <t>ascensionis</t>
  </si>
  <si>
    <t>ballieui</t>
  </si>
  <si>
    <t>bifasciatum</t>
  </si>
  <si>
    <t>cupido</t>
  </si>
  <si>
    <t>duperrey</t>
  </si>
  <si>
    <t>genivittatum</t>
  </si>
  <si>
    <t>grammaticum</t>
  </si>
  <si>
    <t>hardwicke</t>
  </si>
  <si>
    <t>hebraicum</t>
  </si>
  <si>
    <t>heiseri</t>
  </si>
  <si>
    <t>jansenii</t>
  </si>
  <si>
    <t>loxum</t>
  </si>
  <si>
    <t>lucasanum</t>
  </si>
  <si>
    <t>lunare</t>
  </si>
  <si>
    <t>newtoni</t>
  </si>
  <si>
    <t>nigrofasciatum</t>
  </si>
  <si>
    <t>noronhanum</t>
  </si>
  <si>
    <t>pavo</t>
  </si>
  <si>
    <t>quinquevittatum</t>
  </si>
  <si>
    <t>robertsoni</t>
  </si>
  <si>
    <t>rueppellii</t>
  </si>
  <si>
    <t>sanctaehelenae</t>
  </si>
  <si>
    <t>septemfasciatum</t>
  </si>
  <si>
    <t>trilobatum</t>
  </si>
  <si>
    <t>virens</t>
  </si>
  <si>
    <t>barbatus</t>
  </si>
  <si>
    <t>implutus</t>
  </si>
  <si>
    <t>lineatus</t>
  </si>
  <si>
    <t>mbu</t>
  </si>
  <si>
    <t>miurus</t>
  </si>
  <si>
    <t>pustulatus</t>
  </si>
  <si>
    <t>schoutedeni</t>
  </si>
  <si>
    <t>waandersii</t>
  </si>
  <si>
    <t>akamai</t>
  </si>
  <si>
    <t>anostomus</t>
  </si>
  <si>
    <t>araguaiensis</t>
  </si>
  <si>
    <t>argenteus</t>
  </si>
  <si>
    <t>carvalhoi</t>
  </si>
  <si>
    <t>chalceus</t>
  </si>
  <si>
    <t>denticulatus</t>
  </si>
  <si>
    <t>rarus</t>
  </si>
  <si>
    <t>jarbua</t>
  </si>
  <si>
    <t>puta</t>
  </si>
  <si>
    <t>theraps</t>
  </si>
  <si>
    <t>bifrenatus</t>
  </si>
  <si>
    <t>brachygnathus</t>
  </si>
  <si>
    <t>dhonti</t>
  </si>
  <si>
    <t>temporalis</t>
  </si>
  <si>
    <t>vittatus</t>
  </si>
  <si>
    <t>abendanoni</t>
  </si>
  <si>
    <t>albolabiosus</t>
  </si>
  <si>
    <t>antoniae</t>
  </si>
  <si>
    <t>bonti</t>
  </si>
  <si>
    <t>celebensis</t>
  </si>
  <si>
    <t>obscura</t>
  </si>
  <si>
    <t>opudi</t>
  </si>
  <si>
    <t>prognatha</t>
  </si>
  <si>
    <t>sarasinorum</t>
  </si>
  <si>
    <t>wahjui</t>
  </si>
  <si>
    <t>aulopygia</t>
  </si>
  <si>
    <t>boemia</t>
  </si>
  <si>
    <t>carolae</t>
  </si>
  <si>
    <t>caxiuanensis</t>
  </si>
  <si>
    <t>dunni</t>
  </si>
  <si>
    <t>galaxias</t>
  </si>
  <si>
    <t>gyrina</t>
  </si>
  <si>
    <t>jaracatia</t>
  </si>
  <si>
    <t>marthae</t>
  </si>
  <si>
    <t>meesi</t>
  </si>
  <si>
    <t>melanoleuca</t>
  </si>
  <si>
    <t>musaica</t>
  </si>
  <si>
    <t>neivai</t>
  </si>
  <si>
    <t>nigra</t>
  </si>
  <si>
    <t xml:space="preserve">Seleccione de lista(s) desplegable(s) el nombre científico </t>
  </si>
  <si>
    <t>albonubes</t>
  </si>
  <si>
    <t>micagemmae</t>
  </si>
  <si>
    <t>thacbaensis</t>
  </si>
  <si>
    <t>irsacae</t>
  </si>
  <si>
    <t>grabata</t>
  </si>
  <si>
    <t>lessoni</t>
  </si>
  <si>
    <t>lymma</t>
  </si>
  <si>
    <t>triacanthus</t>
  </si>
  <si>
    <t>candidi</t>
  </si>
  <si>
    <t>acanthomias</t>
  </si>
  <si>
    <t>acanthoperca</t>
  </si>
  <si>
    <t>afrofischeri</t>
  </si>
  <si>
    <t>alberti</t>
  </si>
  <si>
    <t>albolineatus</t>
  </si>
  <si>
    <t>angelicus</t>
  </si>
  <si>
    <t>ansorgii</t>
  </si>
  <si>
    <t>arnoulti</t>
  </si>
  <si>
    <t>aterrimus</t>
  </si>
  <si>
    <t>bastiani</t>
  </si>
  <si>
    <t>batensoda</t>
  </si>
  <si>
    <t>batesii</t>
  </si>
  <si>
    <t>budgetti</t>
  </si>
  <si>
    <t>camelopardalis</t>
  </si>
  <si>
    <t>carineae</t>
  </si>
  <si>
    <t>caudalis</t>
  </si>
  <si>
    <t>caudovittatus</t>
  </si>
  <si>
    <t>centralis</t>
  </si>
  <si>
    <t>clarias</t>
  </si>
  <si>
    <t>comoensis</t>
  </si>
  <si>
    <t>congicus</t>
  </si>
  <si>
    <t>contractus</t>
  </si>
  <si>
    <t>courteti</t>
  </si>
  <si>
    <t>cuangoanus</t>
  </si>
  <si>
    <t>decorus</t>
  </si>
  <si>
    <t>dekimpei</t>
  </si>
  <si>
    <t>depauwi</t>
  </si>
  <si>
    <t>dorsomaculatus</t>
  </si>
  <si>
    <t>eupterus</t>
  </si>
  <si>
    <t>filamentosus</t>
  </si>
  <si>
    <t>flavitaeniatus</t>
  </si>
  <si>
    <t>frontosus</t>
  </si>
  <si>
    <t>fuelleborni</t>
  </si>
  <si>
    <t>geledensis</t>
  </si>
  <si>
    <t>gobroni</t>
  </si>
  <si>
    <t>grandiops</t>
  </si>
  <si>
    <t>granulosus</t>
  </si>
  <si>
    <t>greshoffi</t>
  </si>
  <si>
    <t>guttatus</t>
  </si>
  <si>
    <t>haugi</t>
  </si>
  <si>
    <t>ilebrevis</t>
  </si>
  <si>
    <t>iturii</t>
  </si>
  <si>
    <t>katangae</t>
  </si>
  <si>
    <t>khartoumensis</t>
  </si>
  <si>
    <t>koensis</t>
  </si>
  <si>
    <t>kogonensis</t>
  </si>
  <si>
    <t>laessoei</t>
  </si>
  <si>
    <t>leopardinus</t>
  </si>
  <si>
    <t>leopardus</t>
  </si>
  <si>
    <t>levequei</t>
  </si>
  <si>
    <t>longirostris</t>
  </si>
  <si>
    <t>lucipinnis</t>
  </si>
  <si>
    <t>lufirae</t>
  </si>
  <si>
    <t>macrophthalmus</t>
  </si>
  <si>
    <t>macrops</t>
  </si>
  <si>
    <t>macropunctatus</t>
  </si>
  <si>
    <t>macrostigma</t>
  </si>
  <si>
    <t>manni</t>
  </si>
  <si>
    <t>matthesi</t>
  </si>
  <si>
    <t>melanopterus</t>
  </si>
  <si>
    <t>melanostictus</t>
  </si>
  <si>
    <t>membranaceus</t>
  </si>
  <si>
    <t>multimaculatus</t>
  </si>
  <si>
    <t>multipunctatus</t>
  </si>
  <si>
    <t>nebulosus</t>
  </si>
  <si>
    <t>ngouniensis</t>
  </si>
  <si>
    <t>nigrita</t>
  </si>
  <si>
    <t>nigriventris</t>
  </si>
  <si>
    <t>nigromaculatus</t>
  </si>
  <si>
    <t>njassae</t>
  </si>
  <si>
    <t>nummifer</t>
  </si>
  <si>
    <t>ocellifer</t>
  </si>
  <si>
    <t>omias</t>
  </si>
  <si>
    <t>ornatissimus</t>
  </si>
  <si>
    <t>ouemeensis</t>
  </si>
  <si>
    <t>petricola</t>
  </si>
  <si>
    <t>pleurops</t>
  </si>
  <si>
    <t>polystigma</t>
  </si>
  <si>
    <t>punctifer</t>
  </si>
  <si>
    <t>punctulatus</t>
  </si>
  <si>
    <t>punu</t>
  </si>
  <si>
    <t>rebeli</t>
  </si>
  <si>
    <t>resupinatus</t>
  </si>
  <si>
    <t>ricardoae</t>
  </si>
  <si>
    <t>robbianus</t>
  </si>
  <si>
    <t>ruandae</t>
  </si>
  <si>
    <t>rufigiensis</t>
  </si>
  <si>
    <t>rukwaensis</t>
  </si>
  <si>
    <t>schall</t>
  </si>
  <si>
    <t>serpentis</t>
  </si>
  <si>
    <t>serratus</t>
  </si>
  <si>
    <t>smiti</t>
  </si>
  <si>
    <t>soloni</t>
  </si>
  <si>
    <t>sorex</t>
  </si>
  <si>
    <t>steindachneri</t>
  </si>
  <si>
    <t>tanganyicae</t>
  </si>
  <si>
    <t>tessmanni</t>
  </si>
  <si>
    <t>thamalakanensis</t>
  </si>
  <si>
    <t>thysi</t>
  </si>
  <si>
    <t>tourei</t>
  </si>
  <si>
    <t>unicolor</t>
  </si>
  <si>
    <t>vaillanti</t>
  </si>
  <si>
    <t>vanderwaali</t>
  </si>
  <si>
    <t>velifer</t>
  </si>
  <si>
    <t>vermiculatus</t>
  </si>
  <si>
    <t>victoriae</t>
  </si>
  <si>
    <t>violaceus</t>
  </si>
  <si>
    <t>voltae</t>
  </si>
  <si>
    <t>waterloti</t>
  </si>
  <si>
    <t>woleuensis</t>
  </si>
  <si>
    <t>woosnami</t>
  </si>
  <si>
    <t>xiphias</t>
  </si>
  <si>
    <t>zambezensis</t>
  </si>
  <si>
    <t>beauforti</t>
  </si>
  <si>
    <t>berdmorei</t>
  </si>
  <si>
    <t>helodes</t>
  </si>
  <si>
    <t>hymenophysa</t>
  </si>
  <si>
    <t>reversa</t>
  </si>
  <si>
    <t>altivelis</t>
  </si>
  <si>
    <t>atrilabiatus</t>
  </si>
  <si>
    <t>bartelsi</t>
  </si>
  <si>
    <t>circularis</t>
  </si>
  <si>
    <t>claudiae</t>
  </si>
  <si>
    <t>corallinus</t>
  </si>
  <si>
    <t>delandi</t>
  </si>
  <si>
    <t>goodenbeani</t>
  </si>
  <si>
    <t>grandoculis</t>
  </si>
  <si>
    <t>grinnelli</t>
  </si>
  <si>
    <t>hawaiiensis</t>
  </si>
  <si>
    <t>kanmuensis</t>
  </si>
  <si>
    <t>kinmeiensis</t>
  </si>
  <si>
    <t>kiyoae</t>
  </si>
  <si>
    <t>laddi</t>
  </si>
  <si>
    <t>lineolatus</t>
  </si>
  <si>
    <t>minutulus</t>
  </si>
  <si>
    <t>monacanthus</t>
  </si>
  <si>
    <t>morrisoni</t>
  </si>
  <si>
    <t>moyeri</t>
  </si>
  <si>
    <t>novaecaledoniae</t>
  </si>
  <si>
    <t>orstom</t>
  </si>
  <si>
    <t>phaeton</t>
  </si>
  <si>
    <t>picturatus</t>
  </si>
  <si>
    <t>postulus</t>
  </si>
  <si>
    <t>rameus</t>
  </si>
  <si>
    <t>richeri</t>
  </si>
  <si>
    <t>rosulentus</t>
  </si>
  <si>
    <t>rubrovinctus</t>
  </si>
  <si>
    <t>sechellensis</t>
  </si>
  <si>
    <t>signipinnis</t>
  </si>
  <si>
    <t>splendidus</t>
  </si>
  <si>
    <t>springeri</t>
  </si>
  <si>
    <t>sycorax</t>
  </si>
  <si>
    <t>tudorjonesi</t>
  </si>
  <si>
    <t>valdiviae</t>
  </si>
  <si>
    <t>zamboangana</t>
  </si>
  <si>
    <t>lampreia</t>
  </si>
  <si>
    <t>madeirae</t>
  </si>
  <si>
    <t>mamoratus</t>
  </si>
  <si>
    <t>aequifasciatus</t>
  </si>
  <si>
    <t>discus</t>
  </si>
  <si>
    <t>tarzoo</t>
  </si>
  <si>
    <t>atomus</t>
  </si>
  <si>
    <t>axelrodi</t>
  </si>
  <si>
    <t>echinus</t>
  </si>
  <si>
    <t>gargula</t>
  </si>
  <si>
    <t>goblinus</t>
  </si>
  <si>
    <t>margarition</t>
  </si>
  <si>
    <t>retiarius</t>
  </si>
  <si>
    <t>rubellus</t>
  </si>
  <si>
    <t>albicaudatum</t>
  </si>
  <si>
    <t>chrysopterum</t>
  </si>
  <si>
    <t>fraenatum</t>
  </si>
  <si>
    <t>verres</t>
  </si>
  <si>
    <t>aureum</t>
  </si>
  <si>
    <t>citurensis</t>
  </si>
  <si>
    <t>dariense</t>
  </si>
  <si>
    <t>festivum</t>
  </si>
  <si>
    <t>frenatum</t>
  </si>
  <si>
    <t>kneri</t>
  </si>
  <si>
    <t>leightoni</t>
  </si>
  <si>
    <t>panamense</t>
  </si>
  <si>
    <t>tamanae</t>
  </si>
  <si>
    <t>dracula</t>
  </si>
  <si>
    <t>larsonae</t>
  </si>
  <si>
    <t>medon</t>
  </si>
  <si>
    <t>nematodes</t>
  </si>
  <si>
    <t>pentafasciata</t>
  </si>
  <si>
    <t>xanthorhinica</t>
  </si>
  <si>
    <t>yasha</t>
  </si>
  <si>
    <t>aequilabiatus</t>
  </si>
  <si>
    <t>arenatus</t>
  </si>
  <si>
    <t>astrabes</t>
  </si>
  <si>
    <t>branco</t>
  </si>
  <si>
    <t>castroi</t>
  </si>
  <si>
    <t>macrurus</t>
  </si>
  <si>
    <t>obtusirostris</t>
  </si>
  <si>
    <t>pejeraton</t>
  </si>
  <si>
    <t>xingu</t>
  </si>
  <si>
    <t>acapulcoensis</t>
  </si>
  <si>
    <t>adustus</t>
  </si>
  <si>
    <t>albifasciatus</t>
  </si>
  <si>
    <t>altus</t>
  </si>
  <si>
    <t>apicalis</t>
  </si>
  <si>
    <t>arcifrons</t>
  </si>
  <si>
    <t>baldwini</t>
  </si>
  <si>
    <t>beebei</t>
  </si>
  <si>
    <t>diencaeus</t>
  </si>
  <si>
    <t>emeryi</t>
  </si>
  <si>
    <t>fasciolatus</t>
  </si>
  <si>
    <t>flavilatus</t>
  </si>
  <si>
    <t>fuscus</t>
  </si>
  <si>
    <t>gascoynei</t>
  </si>
  <si>
    <t>imbricatus</t>
  </si>
  <si>
    <t>insularis</t>
  </si>
  <si>
    <t>leucorus</t>
  </si>
  <si>
    <t>leucostictus</t>
  </si>
  <si>
    <t>limbatus</t>
  </si>
  <si>
    <t>lividus</t>
  </si>
  <si>
    <t>lubbocki</t>
  </si>
  <si>
    <t>obreptus</t>
  </si>
  <si>
    <t>otophorus</t>
  </si>
  <si>
    <t>partitus</t>
  </si>
  <si>
    <t>pelicieri</t>
  </si>
  <si>
    <t>planifrons</t>
  </si>
  <si>
    <t>punctatus</t>
  </si>
  <si>
    <t>rectifraenum</t>
  </si>
  <si>
    <t>redemptus</t>
  </si>
  <si>
    <t>rocasensis</t>
  </si>
  <si>
    <t>sanctipauli</t>
  </si>
  <si>
    <t>uenfi</t>
  </si>
  <si>
    <t>duidae</t>
  </si>
  <si>
    <t>ocellatus</t>
  </si>
  <si>
    <t>casuarius</t>
  </si>
  <si>
    <t>gibbiceps</t>
  </si>
  <si>
    <t>glaber</t>
  </si>
  <si>
    <t>irvinei</t>
  </si>
  <si>
    <t>mpozoensis</t>
  </si>
  <si>
    <t>rouxi</t>
  </si>
  <si>
    <t>tinanti</t>
  </si>
  <si>
    <t>ubanguiensis</t>
  </si>
  <si>
    <t>couardi</t>
  </si>
  <si>
    <t>gilberti</t>
  </si>
  <si>
    <t>lewini</t>
  </si>
  <si>
    <t>media</t>
  </si>
  <si>
    <t>mokarran</t>
  </si>
  <si>
    <t>tiburo</t>
  </si>
  <si>
    <t>tudes</t>
  </si>
  <si>
    <t>zygaena</t>
  </si>
  <si>
    <t>andersonianus</t>
  </si>
  <si>
    <t>angusticeps</t>
  </si>
  <si>
    <t>annulatus</t>
  </si>
  <si>
    <t>dorsalis</t>
  </si>
  <si>
    <t>georgemilleri</t>
  </si>
  <si>
    <t>greeleyi</t>
  </si>
  <si>
    <t>kendalli</t>
  </si>
  <si>
    <t>lispus</t>
  </si>
  <si>
    <t>lobatus</t>
  </si>
  <si>
    <t>nephelus</t>
  </si>
  <si>
    <t>nitidus</t>
  </si>
  <si>
    <t>pachygaster</t>
  </si>
  <si>
    <t>parvus</t>
  </si>
  <si>
    <t>rosenblatti</t>
  </si>
  <si>
    <t>sechurae</t>
  </si>
  <si>
    <t>spengleri</t>
  </si>
  <si>
    <t>testudineus</t>
  </si>
  <si>
    <t>trichocephalus</t>
  </si>
  <si>
    <t>tyleri</t>
  </si>
  <si>
    <t>yergeri</t>
  </si>
  <si>
    <t>acrostoma</t>
  </si>
  <si>
    <t>osphromenoides</t>
  </si>
  <si>
    <t>selatanensis</t>
  </si>
  <si>
    <t>nematoptera</t>
  </si>
  <si>
    <t>orbicularis</t>
  </si>
  <si>
    <t>atratoensis</t>
  </si>
  <si>
    <t>caquetae</t>
  </si>
  <si>
    <t>curvispina</t>
  </si>
  <si>
    <t>euacanthagenys</t>
  </si>
  <si>
    <t>evansii</t>
  </si>
  <si>
    <t>gymnogaster</t>
  </si>
  <si>
    <t>lagoichthys</t>
  </si>
  <si>
    <t>nudiventris</t>
  </si>
  <si>
    <t>phelpsi</t>
  </si>
  <si>
    <t>puganensis</t>
  </si>
  <si>
    <t>tuira</t>
  </si>
  <si>
    <t>amplum</t>
  </si>
  <si>
    <t>atomarium</t>
  </si>
  <si>
    <t>aurofrenatum</t>
  </si>
  <si>
    <t>axillare</t>
  </si>
  <si>
    <t>choati</t>
  </si>
  <si>
    <t>cretense</t>
  </si>
  <si>
    <t>frondosum</t>
  </si>
  <si>
    <t>griseorubrum</t>
  </si>
  <si>
    <t>rocha</t>
  </si>
  <si>
    <t>rubripinne</t>
  </si>
  <si>
    <t>strigatum</t>
  </si>
  <si>
    <t>tuiupiranga</t>
  </si>
  <si>
    <t>viride</t>
  </si>
  <si>
    <t>cuspicaudus</t>
  </si>
  <si>
    <t>maniradii</t>
  </si>
  <si>
    <t>trigonocephalus</t>
  </si>
  <si>
    <t>alternatus</t>
  </si>
  <si>
    <t>boitonei</t>
  </si>
  <si>
    <t>bokermanni</t>
  </si>
  <si>
    <t>cholopteryx</t>
  </si>
  <si>
    <t>constanciae</t>
  </si>
  <si>
    <t>delucai</t>
  </si>
  <si>
    <t>fasciatus</t>
  </si>
  <si>
    <t>gibberatus</t>
  </si>
  <si>
    <t>margaritatus</t>
  </si>
  <si>
    <t>marginatus</t>
  </si>
  <si>
    <t>multiradiatus</t>
  </si>
  <si>
    <t>nielseni</t>
  </si>
  <si>
    <t>parallelus</t>
  </si>
  <si>
    <t>perpendicularis</t>
  </si>
  <si>
    <t>rosaceus</t>
  </si>
  <si>
    <t>rufus</t>
  </si>
  <si>
    <t>santanae</t>
  </si>
  <si>
    <t>suzarti</t>
  </si>
  <si>
    <t>trilineatus</t>
  </si>
  <si>
    <t>virgulatus</t>
  </si>
  <si>
    <t>zonatus</t>
  </si>
  <si>
    <t>diagramma</t>
  </si>
  <si>
    <t>citatus</t>
  </si>
  <si>
    <t>hasseltii</t>
  </si>
  <si>
    <t>indragiriensis</t>
  </si>
  <si>
    <t>ligneolus</t>
  </si>
  <si>
    <t>phaiosoma</t>
  </si>
  <si>
    <t>sanguineus</t>
  </si>
  <si>
    <t>schneideri</t>
  </si>
  <si>
    <t>biocellatus</t>
  </si>
  <si>
    <t>canaliculatus</t>
  </si>
  <si>
    <t>doliatus</t>
  </si>
  <si>
    <t>fuscescens</t>
  </si>
  <si>
    <t>insomnis</t>
  </si>
  <si>
    <t>javus</t>
  </si>
  <si>
    <t>labyrinthodes</t>
  </si>
  <si>
    <t>magnificus</t>
  </si>
  <si>
    <t>niger</t>
  </si>
  <si>
    <t>puelloides</t>
  </si>
  <si>
    <t>puellus</t>
  </si>
  <si>
    <t>punctatissimus</t>
  </si>
  <si>
    <t>rivulatus</t>
  </si>
  <si>
    <t>spinus</t>
  </si>
  <si>
    <t>sutor</t>
  </si>
  <si>
    <t>trispilos</t>
  </si>
  <si>
    <t>unimaculatus</t>
  </si>
  <si>
    <t>uspi</t>
  </si>
  <si>
    <t>virgatus</t>
  </si>
  <si>
    <t>vulpinus</t>
  </si>
  <si>
    <t>woodlandi</t>
  </si>
  <si>
    <t>accraensis</t>
  </si>
  <si>
    <t>aequidens</t>
  </si>
  <si>
    <t>africanus</t>
  </si>
  <si>
    <t>aliceae</t>
  </si>
  <si>
    <t>annularis</t>
  </si>
  <si>
    <t>atricauda</t>
  </si>
  <si>
    <t>atrobranchus</t>
  </si>
  <si>
    <t>cabrilla</t>
  </si>
  <si>
    <t>chionaraia</t>
  </si>
  <si>
    <t>flaviventris</t>
  </si>
  <si>
    <t>hepatus</t>
  </si>
  <si>
    <t>heterurus</t>
  </si>
  <si>
    <t>huascarii</t>
  </si>
  <si>
    <t>luciopercanus</t>
  </si>
  <si>
    <t>maytagi</t>
  </si>
  <si>
    <t>notospilus</t>
  </si>
  <si>
    <t>novemcinctus</t>
  </si>
  <si>
    <t>phoebe</t>
  </si>
  <si>
    <t>psittacinus</t>
  </si>
  <si>
    <t>scriba</t>
  </si>
  <si>
    <t>socorroensis</t>
  </si>
  <si>
    <t>stilbostigma</t>
  </si>
  <si>
    <t>subligarius</t>
  </si>
  <si>
    <t>tabacarius</t>
  </si>
  <si>
    <t>tico</t>
  </si>
  <si>
    <t>tigrinus</t>
  </si>
  <si>
    <t>tortugarum</t>
  </si>
  <si>
    <t>brama</t>
  </si>
  <si>
    <t>laticeps</t>
  </si>
  <si>
    <t>taeniurus</t>
  </si>
  <si>
    <t>varii</t>
  </si>
  <si>
    <t>multifasciata</t>
  </si>
  <si>
    <t>papuensis</t>
  </si>
  <si>
    <t>brevoortii</t>
  </si>
  <si>
    <t>brownii</t>
  </si>
  <si>
    <t>orstedii</t>
  </si>
  <si>
    <t>setapinnis</t>
  </si>
  <si>
    <t>spixii</t>
  </si>
  <si>
    <t>vomer</t>
  </si>
  <si>
    <t>ahli</t>
  </si>
  <si>
    <t>benthicola</t>
  </si>
  <si>
    <t>fryeri</t>
  </si>
  <si>
    <t>psammophilus</t>
  </si>
  <si>
    <t>tetracanthus</t>
  </si>
  <si>
    <t>altipinnis</t>
  </si>
  <si>
    <t>arabicus</t>
  </si>
  <si>
    <t>caudofasciatus</t>
  </si>
  <si>
    <t>chameleon</t>
  </si>
  <si>
    <t>coelestinus</t>
  </si>
  <si>
    <t>collana</t>
  </si>
  <si>
    <t>compressus</t>
  </si>
  <si>
    <t>dimidiatus</t>
  </si>
  <si>
    <t>dubius</t>
  </si>
  <si>
    <t>falcipinnis</t>
  </si>
  <si>
    <t>ferrugineus</t>
  </si>
  <si>
    <t>festivus</t>
  </si>
  <si>
    <t>flavipectoralis</t>
  </si>
  <si>
    <t>forsteni</t>
  </si>
  <si>
    <t>frenatus</t>
  </si>
  <si>
    <t>fuscocaudalis</t>
  </si>
  <si>
    <t>fuscopurpureus</t>
  </si>
  <si>
    <t>ghobban</t>
  </si>
  <si>
    <t>globiceps</t>
  </si>
  <si>
    <t>guacamaia</t>
  </si>
  <si>
    <t>hypselopterus</t>
  </si>
  <si>
    <t>iseri</t>
  </si>
  <si>
    <t>koputea</t>
  </si>
  <si>
    <t>maculipinna</t>
  </si>
  <si>
    <t>obishime</t>
  </si>
  <si>
    <t>oviceps</t>
  </si>
  <si>
    <t>ovifrons</t>
  </si>
  <si>
    <t>perrico</t>
  </si>
  <si>
    <t>persicus</t>
  </si>
  <si>
    <t>prasiognathos</t>
  </si>
  <si>
    <t>psittacus</t>
  </si>
  <si>
    <t>quoyi</t>
  </si>
  <si>
    <t>rubroviolaceus</t>
  </si>
  <si>
    <t>russelii</t>
  </si>
  <si>
    <t>scaber</t>
  </si>
  <si>
    <t>schlegeli</t>
  </si>
  <si>
    <t>taeniopterus</t>
  </si>
  <si>
    <t>trispinosus</t>
  </si>
  <si>
    <t>vetula</t>
  </si>
  <si>
    <t>viridifucatus</t>
  </si>
  <si>
    <t>xanthopleura</t>
  </si>
  <si>
    <t>zelindae</t>
  </si>
  <si>
    <t>zufar</t>
  </si>
  <si>
    <t>caboverdiana</t>
  </si>
  <si>
    <t>emarginata</t>
  </si>
  <si>
    <t>itajobi</t>
  </si>
  <si>
    <t>nuchifilis</t>
  </si>
  <si>
    <t>poiti</t>
  </si>
  <si>
    <t>acuticeps</t>
  </si>
  <si>
    <t>daemon</t>
  </si>
  <si>
    <t>jurupari</t>
  </si>
  <si>
    <t>leucosticta</t>
  </si>
  <si>
    <t>lilith</t>
  </si>
  <si>
    <t>mapiritensis</t>
  </si>
  <si>
    <t>pappaterra</t>
  </si>
  <si>
    <t>rhynchitis</t>
  </si>
  <si>
    <t>bullisi</t>
  </si>
  <si>
    <t>caudimaculatum</t>
  </si>
  <si>
    <t>cornutum</t>
  </si>
  <si>
    <t>coruscum</t>
  </si>
  <si>
    <t>diadema</t>
  </si>
  <si>
    <t>dorsomaculatum</t>
  </si>
  <si>
    <t>ensifer</t>
  </si>
  <si>
    <t>hastatum</t>
  </si>
  <si>
    <t>hormion</t>
  </si>
  <si>
    <t>inaequalis</t>
  </si>
  <si>
    <t>iota</t>
  </si>
  <si>
    <t>ittodai</t>
  </si>
  <si>
    <t>lepros</t>
  </si>
  <si>
    <t>macrosquamis</t>
  </si>
  <si>
    <t>marisrubri</t>
  </si>
  <si>
    <t>megalops</t>
  </si>
  <si>
    <t>melanospilos</t>
  </si>
  <si>
    <t>microstoma</t>
  </si>
  <si>
    <t>poco</t>
  </si>
  <si>
    <t>praslin</t>
  </si>
  <si>
    <t>punctatissimum</t>
  </si>
  <si>
    <t>seychellense</t>
  </si>
  <si>
    <t>shimizui</t>
  </si>
  <si>
    <t>spiniferum</t>
  </si>
  <si>
    <t>spinosissimum</t>
  </si>
  <si>
    <t>suborbitale</t>
  </si>
  <si>
    <t>tiere</t>
  </si>
  <si>
    <t>tiereoides</t>
  </si>
  <si>
    <t>vexillarium</t>
  </si>
  <si>
    <t>wilhelmi</t>
  </si>
  <si>
    <t>xantherythrum</t>
  </si>
  <si>
    <t>alboguttatus</t>
  </si>
  <si>
    <t>ceramensis</t>
  </si>
  <si>
    <t>luctuosus</t>
  </si>
  <si>
    <t>nigrocinctus</t>
  </si>
  <si>
    <t>obscurus</t>
  </si>
  <si>
    <t>patzneri</t>
  </si>
  <si>
    <t>ramosus</t>
  </si>
  <si>
    <t>segmentatus</t>
  </si>
  <si>
    <t>sexfilum</t>
  </si>
  <si>
    <t>sibogai</t>
  </si>
  <si>
    <t>sinuosus</t>
  </si>
  <si>
    <t>azurescens</t>
  </si>
  <si>
    <t>berovidesi</t>
  </si>
  <si>
    <t>cylindraceus</t>
  </si>
  <si>
    <t>formosensis</t>
  </si>
  <si>
    <t>insulaepinorum</t>
  </si>
  <si>
    <t>pivijay</t>
  </si>
  <si>
    <t>ribesrubrum</t>
  </si>
  <si>
    <t>roloffi</t>
  </si>
  <si>
    <t>tomasi</t>
  </si>
  <si>
    <t>xi</t>
  </si>
  <si>
    <t>aequalicuspis</t>
  </si>
  <si>
    <t>anhaguapitan</t>
  </si>
  <si>
    <t>anitae</t>
  </si>
  <si>
    <t>aurata</t>
  </si>
  <si>
    <t>baliola</t>
  </si>
  <si>
    <t>beni</t>
  </si>
  <si>
    <t>cacerensis</t>
  </si>
  <si>
    <t>cadeae</t>
  </si>
  <si>
    <t>capitonia</t>
  </si>
  <si>
    <t>caracasensis</t>
  </si>
  <si>
    <t>catamarcensis</t>
  </si>
  <si>
    <t>cubataonis</t>
  </si>
  <si>
    <t>daraha</t>
  </si>
  <si>
    <t>eigenmanni</t>
  </si>
  <si>
    <t>felipponei</t>
  </si>
  <si>
    <t>hasemani</t>
  </si>
  <si>
    <t>henselii</t>
  </si>
  <si>
    <t>heteroptera</t>
  </si>
  <si>
    <t>hoehnei</t>
  </si>
  <si>
    <t>isaaci</t>
  </si>
  <si>
    <t>jaraguensis</t>
  </si>
  <si>
    <t>jubata</t>
  </si>
  <si>
    <t>konopickyi</t>
  </si>
  <si>
    <t>kronei</t>
  </si>
  <si>
    <t>lanceolata</t>
  </si>
  <si>
    <t>langei</t>
  </si>
  <si>
    <t>latirostris</t>
  </si>
  <si>
    <t>maacki</t>
  </si>
  <si>
    <t>malabarbai</t>
  </si>
  <si>
    <t>maquinensis</t>
  </si>
  <si>
    <t>melini</t>
  </si>
  <si>
    <t>microlepidogaster</t>
  </si>
  <si>
    <t>microlepidota</t>
  </si>
  <si>
    <t>misionera</t>
  </si>
  <si>
    <t>morrowi</t>
  </si>
  <si>
    <t>nigricauda</t>
  </si>
  <si>
    <t>osvaldoi</t>
  </si>
  <si>
    <t>pareiacantha</t>
  </si>
  <si>
    <t>pentamaculata</t>
  </si>
  <si>
    <t>phoxocephala</t>
  </si>
  <si>
    <t>platyura</t>
  </si>
  <si>
    <t>quadrensis</t>
  </si>
  <si>
    <t>reisi</t>
  </si>
  <si>
    <t>sanga</t>
  </si>
  <si>
    <t>setepovos</t>
  </si>
  <si>
    <t>sneiderni</t>
  </si>
  <si>
    <t>stewarti</t>
  </si>
  <si>
    <t>strigilata</t>
  </si>
  <si>
    <t>teffeana</t>
  </si>
  <si>
    <t>thrissoceps</t>
  </si>
  <si>
    <t>tropeira</t>
  </si>
  <si>
    <t>wolfei</t>
  </si>
  <si>
    <t>zaina</t>
  </si>
  <si>
    <t>quaesita</t>
  </si>
  <si>
    <t>abyssus</t>
  </si>
  <si>
    <t>aculeatus</t>
  </si>
  <si>
    <t>assasi</t>
  </si>
  <si>
    <t>cinereus</t>
  </si>
  <si>
    <t>lunula</t>
  </si>
  <si>
    <t>rectangulus</t>
  </si>
  <si>
    <t>verrucosus</t>
  </si>
  <si>
    <t>apurensis</t>
  </si>
  <si>
    <t>atlanticus</t>
  </si>
  <si>
    <t>drepanium</t>
  </si>
  <si>
    <t>hahni</t>
  </si>
  <si>
    <t>heleios</t>
  </si>
  <si>
    <t>longior</t>
  </si>
  <si>
    <t>pantherinus</t>
  </si>
  <si>
    <t>rostratus</t>
  </si>
  <si>
    <t>calliurus</t>
  </si>
  <si>
    <t>amplistriga</t>
  </si>
  <si>
    <t>api</t>
  </si>
  <si>
    <t>aprotaenia</t>
  </si>
  <si>
    <t>argyrotaenia</t>
  </si>
  <si>
    <t>armitagei</t>
  </si>
  <si>
    <t>arundinata</t>
  </si>
  <si>
    <t>atranus</t>
  </si>
  <si>
    <t>atridorsalis</t>
  </si>
  <si>
    <t>aurotaenia</t>
  </si>
  <si>
    <t>baliensis</t>
  </si>
  <si>
    <t>bankanensis</t>
  </si>
  <si>
    <t>bindumatoga</t>
  </si>
  <si>
    <t>borapetensis</t>
  </si>
  <si>
    <t>borneensis</t>
  </si>
  <si>
    <t>bunguranensis</t>
  </si>
  <si>
    <t>caudimaculata</t>
  </si>
  <si>
    <t>caverii</t>
  </si>
  <si>
    <t>cephalotaenia</t>
  </si>
  <si>
    <t>chrysotaenia</t>
  </si>
  <si>
    <t>cryptica</t>
  </si>
  <si>
    <t>dandia</t>
  </si>
  <si>
    <t>daniconius</t>
  </si>
  <si>
    <t>dies</t>
  </si>
  <si>
    <t>dorsinotata</t>
  </si>
  <si>
    <t>dusonensis</t>
  </si>
  <si>
    <t>einthovenii</t>
  </si>
  <si>
    <t>ennealepis</t>
  </si>
  <si>
    <t>everetti</t>
  </si>
  <si>
    <t>gerlachi</t>
  </si>
  <si>
    <t>haru</t>
  </si>
  <si>
    <t>hobelmani</t>
  </si>
  <si>
    <t>hosii</t>
  </si>
  <si>
    <t>hubbsi</t>
  </si>
  <si>
    <t>jacobsoni</t>
  </si>
  <si>
    <t>johannae</t>
  </si>
  <si>
    <t>kalbarensis</t>
  </si>
  <si>
    <t>kalochroma</t>
  </si>
  <si>
    <t>kluetensis</t>
  </si>
  <si>
    <t>kobonensis</t>
  </si>
  <si>
    <t>kottelati</t>
  </si>
  <si>
    <t>lacrimula</t>
  </si>
  <si>
    <t>lateristriata</t>
  </si>
  <si>
    <t>laticlavia</t>
  </si>
  <si>
    <t>leptosoma</t>
  </si>
  <si>
    <t>maninjau</t>
  </si>
  <si>
    <t>meinkeni</t>
  </si>
  <si>
    <t>microcephalus</t>
  </si>
  <si>
    <t>myersi</t>
  </si>
  <si>
    <t>naggsi</t>
  </si>
  <si>
    <t>nematotaenia</t>
  </si>
  <si>
    <t>nodulosa</t>
  </si>
  <si>
    <t>notura</t>
  </si>
  <si>
    <t>patrickyapi</t>
  </si>
  <si>
    <t>paucisqualis</t>
  </si>
  <si>
    <t>paviana</t>
  </si>
  <si>
    <t>philippina</t>
  </si>
  <si>
    <t>rasbora</t>
  </si>
  <si>
    <t>rheophila</t>
  </si>
  <si>
    <t>rubrodorsalis</t>
  </si>
  <si>
    <t>rutteni</t>
  </si>
  <si>
    <t>sarawakensis</t>
  </si>
  <si>
    <t>semilineata</t>
  </si>
  <si>
    <t>septentrionalis</t>
  </si>
  <si>
    <t>spilotaenia</t>
  </si>
  <si>
    <t>sumatrana</t>
  </si>
  <si>
    <t>tawarensis</t>
  </si>
  <si>
    <t>taytayensis</t>
  </si>
  <si>
    <t>tobana</t>
  </si>
  <si>
    <t>tornieri</t>
  </si>
  <si>
    <t>trifasciata</t>
  </si>
  <si>
    <t>trilineata</t>
  </si>
  <si>
    <t>truncata</t>
  </si>
  <si>
    <t>tubbi</t>
  </si>
  <si>
    <t>vaillantii</t>
  </si>
  <si>
    <t>vietnamensis</t>
  </si>
  <si>
    <t>volzii</t>
  </si>
  <si>
    <t>vulcanus</t>
  </si>
  <si>
    <t>wilpita</t>
  </si>
  <si>
    <t>brevis</t>
  </si>
  <si>
    <t>eleanorae</t>
  </si>
  <si>
    <t>filamentosa</t>
  </si>
  <si>
    <t>laeta</t>
  </si>
  <si>
    <t>lugubris</t>
  </si>
  <si>
    <t>marilynae</t>
  </si>
  <si>
    <t>melanostoma</t>
  </si>
  <si>
    <t>obermulleri</t>
  </si>
  <si>
    <t>rachoviana</t>
  </si>
  <si>
    <t>semifasciata</t>
  </si>
  <si>
    <t>spilota</t>
  </si>
  <si>
    <t>stoli</t>
  </si>
  <si>
    <t>zigzag</t>
  </si>
  <si>
    <t>diacanthus</t>
  </si>
  <si>
    <t>ambassis</t>
  </si>
  <si>
    <t>amphibius</t>
  </si>
  <si>
    <t>aphya</t>
  </si>
  <si>
    <t>bimaculatus</t>
  </si>
  <si>
    <t>bramoides</t>
  </si>
  <si>
    <t>burmanicus</t>
  </si>
  <si>
    <t>cauveriensis</t>
  </si>
  <si>
    <t>chola</t>
  </si>
  <si>
    <t>crescentus</t>
  </si>
  <si>
    <t>deccanensis</t>
  </si>
  <si>
    <t>dolichopterus</t>
  </si>
  <si>
    <t>fraseri</t>
  </si>
  <si>
    <t>kamalika</t>
  </si>
  <si>
    <t>kelumi</t>
  </si>
  <si>
    <t>khohi</t>
  </si>
  <si>
    <t>layardi</t>
  </si>
  <si>
    <t>madhusoodani</t>
  </si>
  <si>
    <t>mahecola</t>
  </si>
  <si>
    <t>masyai</t>
  </si>
  <si>
    <t>morehensis</t>
  </si>
  <si>
    <t>mudumalaiensis</t>
  </si>
  <si>
    <t>muzaffarpurensis</t>
  </si>
  <si>
    <t>nangalensis</t>
  </si>
  <si>
    <t>nelsoni</t>
  </si>
  <si>
    <t>nigronotus</t>
  </si>
  <si>
    <t>parrah</t>
  </si>
  <si>
    <t>paucimaculatus</t>
  </si>
  <si>
    <t>pinnauratus</t>
  </si>
  <si>
    <t>pugio</t>
  </si>
  <si>
    <t>punjabensis</t>
  </si>
  <si>
    <t>puntio</t>
  </si>
  <si>
    <t>sachsii</t>
  </si>
  <si>
    <t>sahyadriensis</t>
  </si>
  <si>
    <t>sealei</t>
  </si>
  <si>
    <t>sophore</t>
  </si>
  <si>
    <t>sophoroides</t>
  </si>
  <si>
    <t>spilopterus</t>
  </si>
  <si>
    <t>stigma</t>
  </si>
  <si>
    <t>takhoaensis</t>
  </si>
  <si>
    <t>terio</t>
  </si>
  <si>
    <t>tetraspilus</t>
  </si>
  <si>
    <t>thermalis</t>
  </si>
  <si>
    <t>titteya</t>
  </si>
  <si>
    <t>waageni</t>
  </si>
  <si>
    <t>acidens</t>
  </si>
  <si>
    <t>adolphifrederici</t>
  </si>
  <si>
    <t>aelocephalus</t>
  </si>
  <si>
    <t>aeneocolor</t>
  </si>
  <si>
    <t>akika</t>
  </si>
  <si>
    <t>albertianus</t>
  </si>
  <si>
    <t>altigenis</t>
  </si>
  <si>
    <t>ampullarostratus</t>
  </si>
  <si>
    <t>angustifrons</t>
  </si>
  <si>
    <t>annectidens</t>
  </si>
  <si>
    <t>antleter</t>
  </si>
  <si>
    <t>apogonoides</t>
  </si>
  <si>
    <t>arcanus</t>
  </si>
  <si>
    <t>argens</t>
  </si>
  <si>
    <t>artaxerxes</t>
  </si>
  <si>
    <t>astatodon</t>
  </si>
  <si>
    <t>avium</t>
  </si>
  <si>
    <t>azureus</t>
  </si>
  <si>
    <t>barbarae</t>
  </si>
  <si>
    <t>bareli</t>
  </si>
  <si>
    <t>bartoni</t>
  </si>
  <si>
    <t>bayoni</t>
  </si>
  <si>
    <t>beadlei</t>
  </si>
  <si>
    <t>boops</t>
  </si>
  <si>
    <t>brownae</t>
  </si>
  <si>
    <t>bullatus</t>
  </si>
  <si>
    <t>bwathondii</t>
  </si>
  <si>
    <t>cassius</t>
  </si>
  <si>
    <t>cavifrons</t>
  </si>
  <si>
    <t>chilotes</t>
  </si>
  <si>
    <t>chlorochrous</t>
  </si>
  <si>
    <t>chromogynos</t>
  </si>
  <si>
    <t>chrysogynaion</t>
  </si>
  <si>
    <t>cinctus</t>
  </si>
  <si>
    <t>cnester</t>
  </si>
  <si>
    <t>commutabilis</t>
  </si>
  <si>
    <t>coprologus</t>
  </si>
  <si>
    <t>crassilabris</t>
  </si>
  <si>
    <t>crebridens</t>
  </si>
  <si>
    <t>crocopeplus</t>
  </si>
  <si>
    <t>cronus</t>
  </si>
  <si>
    <t>cryptodon</t>
  </si>
  <si>
    <t>cryptogramma</t>
  </si>
  <si>
    <t>cyaneus</t>
  </si>
  <si>
    <t>decticostoma</t>
  </si>
  <si>
    <t>degeni</t>
  </si>
  <si>
    <t>dentex</t>
  </si>
  <si>
    <t>dichrourus</t>
  </si>
  <si>
    <t>diplotaenia</t>
  </si>
  <si>
    <t>dolichorhynchus</t>
  </si>
  <si>
    <t>dolorosus</t>
  </si>
  <si>
    <t>eduardianus</t>
  </si>
  <si>
    <t>eduardii</t>
  </si>
  <si>
    <t>empodisma</t>
  </si>
  <si>
    <t>engystoma</t>
  </si>
  <si>
    <t>erythrocephalus</t>
  </si>
  <si>
    <t>erythromaculatus</t>
  </si>
  <si>
    <t>estor</t>
  </si>
  <si>
    <t>eutaenia</t>
  </si>
  <si>
    <t>exspectatus</t>
  </si>
  <si>
    <t>flavus</t>
  </si>
  <si>
    <t>fusiformis</t>
  </si>
  <si>
    <t>gigliolii</t>
  </si>
  <si>
    <t>goldschmidti</t>
  </si>
  <si>
    <t>gowersii</t>
  </si>
  <si>
    <t>gracilior</t>
  </si>
  <si>
    <t>granti</t>
  </si>
  <si>
    <t>graueri</t>
  </si>
  <si>
    <t>greenwoodi</t>
  </si>
  <si>
    <t>guiarti</t>
  </si>
  <si>
    <t>harpakteridion</t>
  </si>
  <si>
    <t>heusinkveldi</t>
  </si>
  <si>
    <t>hiatus</t>
  </si>
  <si>
    <t>howesi</t>
  </si>
  <si>
    <t>humilior</t>
  </si>
  <si>
    <t>igneopinnis</t>
  </si>
  <si>
    <t>insidiae</t>
  </si>
  <si>
    <t>iris</t>
  </si>
  <si>
    <t>ishmaeli</t>
  </si>
  <si>
    <t>kamiranzovu</t>
  </si>
  <si>
    <t>katavi</t>
  </si>
  <si>
    <t>katonga</t>
  </si>
  <si>
    <t>katunzii</t>
  </si>
  <si>
    <t>kujunjui</t>
  </si>
  <si>
    <t>labiatus</t>
  </si>
  <si>
    <t>labriformis</t>
  </si>
  <si>
    <t>lacrimosus</t>
  </si>
  <si>
    <t>laparogramma</t>
  </si>
  <si>
    <t>latifasciatus</t>
  </si>
  <si>
    <t>loati</t>
  </si>
  <si>
    <t>luteus</t>
  </si>
  <si>
    <t>macconneli</t>
  </si>
  <si>
    <t>macrocephalus</t>
  </si>
  <si>
    <t>macrognathus</t>
  </si>
  <si>
    <t>macropsoides</t>
  </si>
  <si>
    <t>mahagiensis</t>
  </si>
  <si>
    <t>maisomei</t>
  </si>
  <si>
    <t>malacophagus</t>
  </si>
  <si>
    <t>mandibularis</t>
  </si>
  <si>
    <t>martini</t>
  </si>
  <si>
    <t>maxillaris</t>
  </si>
  <si>
    <t>mbipi</t>
  </si>
  <si>
    <t>melanopus</t>
  </si>
  <si>
    <t>melichrous</t>
  </si>
  <si>
    <t>mentatus</t>
  </si>
  <si>
    <t>michaeli</t>
  </si>
  <si>
    <t>microchrysomelas</t>
  </si>
  <si>
    <t>multiocellatus</t>
  </si>
  <si>
    <t>mylergates</t>
  </si>
  <si>
    <t>nanoserranus</t>
  </si>
  <si>
    <t>nigripinnis</t>
  </si>
  <si>
    <t>nigroides</t>
  </si>
  <si>
    <t>niloticus</t>
  </si>
  <si>
    <t>nubilus</t>
  </si>
  <si>
    <t>nuchisquamulatus</t>
  </si>
  <si>
    <t>nyanzae</t>
  </si>
  <si>
    <t>nyererei</t>
  </si>
  <si>
    <t>obliquidens</t>
  </si>
  <si>
    <t>obtusidens</t>
  </si>
  <si>
    <t>occultidens</t>
  </si>
  <si>
    <t>olivaceus</t>
  </si>
  <si>
    <t>omnicaeruleus</t>
  </si>
  <si>
    <t>oregosoma</t>
  </si>
  <si>
    <t>orthostoma</t>
  </si>
  <si>
    <t>pachycephalus</t>
  </si>
  <si>
    <t>pallidus</t>
  </si>
  <si>
    <t>paludinosus</t>
  </si>
  <si>
    <t>pancitrinus</t>
  </si>
  <si>
    <t>pappenheimi</t>
  </si>
  <si>
    <t>paradoxus</t>
  </si>
  <si>
    <t>paraguiarti</t>
  </si>
  <si>
    <t>paraplagiostoma</t>
  </si>
  <si>
    <t>paropius</t>
  </si>
  <si>
    <t>parorthostoma</t>
  </si>
  <si>
    <t>parvidens</t>
  </si>
  <si>
    <t>paucidens</t>
  </si>
  <si>
    <t>pellegrini</t>
  </si>
  <si>
    <t>percoides</t>
  </si>
  <si>
    <t>perrieri</t>
  </si>
  <si>
    <t>petronius</t>
  </si>
  <si>
    <t>pharyngalis</t>
  </si>
  <si>
    <t>pharyngomylus</t>
  </si>
  <si>
    <t>phytophagus</t>
  </si>
  <si>
    <t>piceatus</t>
  </si>
  <si>
    <t>pitmani</t>
  </si>
  <si>
    <t>placodus</t>
  </si>
  <si>
    <t>plagiodon</t>
  </si>
  <si>
    <t>plagiostoma</t>
  </si>
  <si>
    <t>plutonius</t>
  </si>
  <si>
    <t>prodromus</t>
  </si>
  <si>
    <t>prognathus</t>
  </si>
  <si>
    <t>pseudopellegrini</t>
  </si>
  <si>
    <t>ptistes</t>
  </si>
  <si>
    <t>pundamilia</t>
  </si>
  <si>
    <t>pyrrhocephalus</t>
  </si>
  <si>
    <t>pyrrhopteryx</t>
  </si>
  <si>
    <t>retrodens</t>
  </si>
  <si>
    <t>riponianus</t>
  </si>
  <si>
    <t>rubripinnis</t>
  </si>
  <si>
    <t>rudolfianus</t>
  </si>
  <si>
    <t>rufocaudalis</t>
  </si>
  <si>
    <t>sauvagei</t>
  </si>
  <si>
    <t>saxicola</t>
  </si>
  <si>
    <t>scheffersi</t>
  </si>
  <si>
    <t>schubotzi</t>
  </si>
  <si>
    <t>schubotziellus</t>
  </si>
  <si>
    <t>serranus</t>
  </si>
  <si>
    <t>serridens</t>
  </si>
  <si>
    <t>simotes</t>
  </si>
  <si>
    <t>simpsoni</t>
  </si>
  <si>
    <t>smithii</t>
  </si>
  <si>
    <t>snoeksi</t>
  </si>
  <si>
    <t>spekii</t>
  </si>
  <si>
    <t>sphex</t>
  </si>
  <si>
    <t>squamipinnis</t>
  </si>
  <si>
    <t>squamulatus</t>
  </si>
  <si>
    <t>sulphureus</t>
  </si>
  <si>
    <t>tanaos</t>
  </si>
  <si>
    <t>taurinus</t>
  </si>
  <si>
    <t>teegelaari</t>
  </si>
  <si>
    <t>teunisrasi</t>
  </si>
  <si>
    <t>theliodon</t>
  </si>
  <si>
    <t>thereuterion</t>
  </si>
  <si>
    <t>thuragnathus</t>
  </si>
  <si>
    <t>tridens</t>
  </si>
  <si>
    <t>turkanae</t>
  </si>
  <si>
    <t>tyrianthinus</t>
  </si>
  <si>
    <t>ushindi</t>
  </si>
  <si>
    <t>vanheusdeni</t>
  </si>
  <si>
    <t>vanoijeni</t>
  </si>
  <si>
    <t>venator</t>
  </si>
  <si>
    <t>vicarius</t>
  </si>
  <si>
    <t>victorianus</t>
  </si>
  <si>
    <t>vonlinnei</t>
  </si>
  <si>
    <t>welcommei</t>
  </si>
  <si>
    <t>worthingtoni</t>
  </si>
  <si>
    <t>xanthopteryx</t>
  </si>
  <si>
    <t>xenognathus</t>
  </si>
  <si>
    <t>xenostoma</t>
  </si>
  <si>
    <t>leopoldi</t>
  </si>
  <si>
    <t>scalare</t>
  </si>
  <si>
    <t>andover</t>
  </si>
  <si>
    <t>antennata</t>
  </si>
  <si>
    <t>brevipectoralis</t>
  </si>
  <si>
    <t>lunulata</t>
  </si>
  <si>
    <t>miles</t>
  </si>
  <si>
    <t>mombasae</t>
  </si>
  <si>
    <t>paucispinula</t>
  </si>
  <si>
    <t>volitans</t>
  </si>
  <si>
    <t>brachyptera</t>
  </si>
  <si>
    <t>caeruleomarginata</t>
  </si>
  <si>
    <t>calliura</t>
  </si>
  <si>
    <t>carinata</t>
  </si>
  <si>
    <t>crossogenion</t>
  </si>
  <si>
    <t>evides</t>
  </si>
  <si>
    <t>grammica</t>
  </si>
  <si>
    <t>hanae</t>
  </si>
  <si>
    <t>helenae</t>
  </si>
  <si>
    <t>kallista</t>
  </si>
  <si>
    <t>lineopinnis</t>
  </si>
  <si>
    <t>melanopogon</t>
  </si>
  <si>
    <t>monoptera</t>
  </si>
  <si>
    <t>rubristigma</t>
  </si>
  <si>
    <t>uroditaenia</t>
  </si>
  <si>
    <t>zebra</t>
  </si>
  <si>
    <t>kauderni</t>
  </si>
  <si>
    <t>ater</t>
  </si>
  <si>
    <t>benetos</t>
  </si>
  <si>
    <t>crabro</t>
  </si>
  <si>
    <t>cyaneorhabdos</t>
  </si>
  <si>
    <t>demasoni</t>
  </si>
  <si>
    <t>fainzilberi</t>
  </si>
  <si>
    <t>fuscoides</t>
  </si>
  <si>
    <t>galanos</t>
  </si>
  <si>
    <t>interruptus</t>
  </si>
  <si>
    <t>joanjohnsonae</t>
  </si>
  <si>
    <t>johannii</t>
  </si>
  <si>
    <t>minutus</t>
  </si>
  <si>
    <t>perileucos</t>
  </si>
  <si>
    <t>perspicax</t>
  </si>
  <si>
    <t>purpuratus</t>
  </si>
  <si>
    <t>saulosi</t>
  </si>
  <si>
    <t>tursiops</t>
  </si>
  <si>
    <t>williamsi</t>
  </si>
  <si>
    <t>corruscans</t>
  </si>
  <si>
    <t>fasciatum</t>
  </si>
  <si>
    <t>magdaleniatum</t>
  </si>
  <si>
    <t>metaense</t>
  </si>
  <si>
    <t>orinocoense</t>
  </si>
  <si>
    <t>reticulatum</t>
  </si>
  <si>
    <t>tigrinum</t>
  </si>
  <si>
    <t>bufonius</t>
  </si>
  <si>
    <t>charus</t>
  </si>
  <si>
    <t>mangurus</t>
  </si>
  <si>
    <t>schultzi</t>
  </si>
  <si>
    <t>bomboides</t>
  </si>
  <si>
    <t>breviceps</t>
  </si>
  <si>
    <t>carnosus</t>
  </si>
  <si>
    <t>fumosus</t>
  </si>
  <si>
    <t>funebris</t>
  </si>
  <si>
    <t>heokhuii</t>
  </si>
  <si>
    <t>inornatus</t>
  </si>
  <si>
    <t>leiacanthus</t>
  </si>
  <si>
    <t>mahakamensis</t>
  </si>
  <si>
    <t>moeschii</t>
  </si>
  <si>
    <t>robustus</t>
  </si>
  <si>
    <t>rugosus</t>
  </si>
  <si>
    <t>siamensis</t>
  </si>
  <si>
    <t>sobrinus</t>
  </si>
  <si>
    <t>stenogrammus</t>
  </si>
  <si>
    <t>stenomus</t>
  </si>
  <si>
    <t>amazonum</t>
  </si>
  <si>
    <t>apithanos</t>
  </si>
  <si>
    <t>devincenzii</t>
  </si>
  <si>
    <t>lamina</t>
  </si>
  <si>
    <t>platycephalus</t>
  </si>
  <si>
    <t>thorectes</t>
  </si>
  <si>
    <t>buas</t>
  </si>
  <si>
    <t>changtingensis</t>
  </si>
  <si>
    <t>cheni</t>
  </si>
  <si>
    <t>daon</t>
  </si>
  <si>
    <t>fangi</t>
  </si>
  <si>
    <t>lianjiangensis</t>
  </si>
  <si>
    <t>loos</t>
  </si>
  <si>
    <t>meihuashanensis</t>
  </si>
  <si>
    <t>peristictus</t>
  </si>
  <si>
    <t>aldabraensis</t>
  </si>
  <si>
    <t>alticaudex</t>
  </si>
  <si>
    <t>ammeri</t>
  </si>
  <si>
    <t>aureolineatus</t>
  </si>
  <si>
    <t>aurulentus</t>
  </si>
  <si>
    <t>bitaeniatus</t>
  </si>
  <si>
    <t>chrysospilus</t>
  </si>
  <si>
    <t>coccinicauda</t>
  </si>
  <si>
    <t>colei</t>
  </si>
  <si>
    <t>cometes</t>
  </si>
  <si>
    <t>cyanotaenia</t>
  </si>
  <si>
    <t>dilectus</t>
  </si>
  <si>
    <t>dixurus</t>
  </si>
  <si>
    <t>dutoiti</t>
  </si>
  <si>
    <t>eichleri</t>
  </si>
  <si>
    <t>erdmanni</t>
  </si>
  <si>
    <t>flammicauda</t>
  </si>
  <si>
    <t>flavivertex</t>
  </si>
  <si>
    <t>flavopunctatus</t>
  </si>
  <si>
    <t>fridmani</t>
  </si>
  <si>
    <t>fuligifinis</t>
  </si>
  <si>
    <t>howsoni</t>
  </si>
  <si>
    <t>jace</t>
  </si>
  <si>
    <t>jamesi</t>
  </si>
  <si>
    <t>kolythrus</t>
  </si>
  <si>
    <t>kristinae</t>
  </si>
  <si>
    <t>leucorhynchus</t>
  </si>
  <si>
    <t>linda</t>
  </si>
  <si>
    <t>litus</t>
  </si>
  <si>
    <t>madagascariensis</t>
  </si>
  <si>
    <t>marshallensis</t>
  </si>
  <si>
    <t>matahari</t>
  </si>
  <si>
    <t>melanurus</t>
  </si>
  <si>
    <t>melas</t>
  </si>
  <si>
    <t>mooii</t>
  </si>
  <si>
    <t>moorei</t>
  </si>
  <si>
    <t>nigrovittatus</t>
  </si>
  <si>
    <t>oligochrysus</t>
  </si>
  <si>
    <t>perspicillatus</t>
  </si>
  <si>
    <t>pesi</t>
  </si>
  <si>
    <t>pylei</t>
  </si>
  <si>
    <t>quinquedentatus</t>
  </si>
  <si>
    <t>ransonneti</t>
  </si>
  <si>
    <t>rutilus</t>
  </si>
  <si>
    <t>sankeyi</t>
  </si>
  <si>
    <t>socotraensis</t>
  </si>
  <si>
    <t>steenei</t>
  </si>
  <si>
    <t>striatus</t>
  </si>
  <si>
    <t>tapeinosoma</t>
  </si>
  <si>
    <t>tauberae</t>
  </si>
  <si>
    <t>tonozukai</t>
  </si>
  <si>
    <t>citrinus</t>
  </si>
  <si>
    <t>dispilus</t>
  </si>
  <si>
    <t>evanidus</t>
  </si>
  <si>
    <t>hexataenia</t>
  </si>
  <si>
    <t>octotaenia</t>
  </si>
  <si>
    <t>tetrataenia</t>
  </si>
  <si>
    <t>albofasciatus</t>
  </si>
  <si>
    <t>bartlettorum</t>
  </si>
  <si>
    <t>bimarginatus</t>
  </si>
  <si>
    <t>calloura</t>
  </si>
  <si>
    <t>charleneae</t>
  </si>
  <si>
    <t>cichlops</t>
  </si>
  <si>
    <t>connelli</t>
  </si>
  <si>
    <t>conspicuus</t>
  </si>
  <si>
    <t>cooperi</t>
  </si>
  <si>
    <t>dispar</t>
  </si>
  <si>
    <t>engelhardi</t>
  </si>
  <si>
    <t>evansi</t>
  </si>
  <si>
    <t>flavicauda</t>
  </si>
  <si>
    <t>flavoguttatus</t>
  </si>
  <si>
    <t>fucinus</t>
  </si>
  <si>
    <t>georgei</t>
  </si>
  <si>
    <t>heemstrai</t>
  </si>
  <si>
    <t>hiva</t>
  </si>
  <si>
    <t>huchtii</t>
  </si>
  <si>
    <t>hutomoi</t>
  </si>
  <si>
    <t>hypselosoma</t>
  </si>
  <si>
    <t>ignitus</t>
  </si>
  <si>
    <t>leucozonus</t>
  </si>
  <si>
    <t>lori</t>
  </si>
  <si>
    <t>lunulatus</t>
  </si>
  <si>
    <t>luzonensis</t>
  </si>
  <si>
    <t>manadensis</t>
  </si>
  <si>
    <t>marcia</t>
  </si>
  <si>
    <t>mica</t>
  </si>
  <si>
    <t>mooreanus</t>
  </si>
  <si>
    <t>oumati</t>
  </si>
  <si>
    <t>parvirostris</t>
  </si>
  <si>
    <t>pascalus</t>
  </si>
  <si>
    <t>pictilis</t>
  </si>
  <si>
    <t>pleurotaenia</t>
  </si>
  <si>
    <t>privitera</t>
  </si>
  <si>
    <t>pulcherrimus</t>
  </si>
  <si>
    <t>regalis</t>
  </si>
  <si>
    <t>rubrizonatus</t>
  </si>
  <si>
    <t>rubrolineatus</t>
  </si>
  <si>
    <t>sheni</t>
  </si>
  <si>
    <t>smithvanizi</t>
  </si>
  <si>
    <t>taeniatus</t>
  </si>
  <si>
    <t>taira</t>
  </si>
  <si>
    <t>townsendi</t>
  </si>
  <si>
    <t>tuka</t>
  </si>
  <si>
    <t>unimarginatus</t>
  </si>
  <si>
    <t>ventralis</t>
  </si>
  <si>
    <t>vizagensis</t>
  </si>
  <si>
    <t>xanthomaculatus</t>
  </si>
  <si>
    <t>irinae</t>
  </si>
  <si>
    <t>trimaculatus</t>
  </si>
  <si>
    <t>winterbottomi</t>
  </si>
  <si>
    <t>roberti</t>
  </si>
  <si>
    <t>aethiopicus</t>
  </si>
  <si>
    <t>dolloi</t>
  </si>
  <si>
    <t>dejunctus</t>
  </si>
  <si>
    <t>fenestratus</t>
  </si>
  <si>
    <t>kirkii</t>
  </si>
  <si>
    <t>labridens</t>
  </si>
  <si>
    <t>macrodon</t>
  </si>
  <si>
    <t>spilonotus</t>
  </si>
  <si>
    <t>taeniolatus</t>
  </si>
  <si>
    <t>triaenodon</t>
  </si>
  <si>
    <t>nototaenia</t>
  </si>
  <si>
    <t>maxilaris</t>
  </si>
  <si>
    <t>filigera</t>
  </si>
  <si>
    <t>paraguayensis</t>
  </si>
  <si>
    <t>biaculeatus</t>
  </si>
  <si>
    <t>adamastor</t>
  </si>
  <si>
    <t>albimaculata</t>
  </si>
  <si>
    <t>amandae</t>
  </si>
  <si>
    <t>amazona</t>
  </si>
  <si>
    <t>boesemani</t>
  </si>
  <si>
    <t>brachyura</t>
  </si>
  <si>
    <t>constellata</t>
  </si>
  <si>
    <t>falkneri</t>
  </si>
  <si>
    <t>garmani</t>
  </si>
  <si>
    <t>henlei</t>
  </si>
  <si>
    <t>humerosa</t>
  </si>
  <si>
    <t>jabuti</t>
  </si>
  <si>
    <t>limai</t>
  </si>
  <si>
    <t>marinae</t>
  </si>
  <si>
    <t>motoro</t>
  </si>
  <si>
    <t>orbignyi</t>
  </si>
  <si>
    <t>rex</t>
  </si>
  <si>
    <t>schroederi</t>
  </si>
  <si>
    <t>schuhmacheri</t>
  </si>
  <si>
    <t>scobina</t>
  </si>
  <si>
    <t>signata</t>
  </si>
  <si>
    <t>tatianae</t>
  </si>
  <si>
    <t>tigrina</t>
  </si>
  <si>
    <t>wallacei</t>
  </si>
  <si>
    <t>yepezi</t>
  </si>
  <si>
    <t>brevispina</t>
  </si>
  <si>
    <t>adelus</t>
  </si>
  <si>
    <t>agassizii</t>
  </si>
  <si>
    <t>albiaxillaris</t>
  </si>
  <si>
    <t>albicaudatus</t>
  </si>
  <si>
    <t>albimaculus</t>
  </si>
  <si>
    <t>alexanderae</t>
  </si>
  <si>
    <t>aquilus</t>
  </si>
  <si>
    <t>armillatus</t>
  </si>
  <si>
    <t>atriaxillaris</t>
  </si>
  <si>
    <t>aurifrons</t>
  </si>
  <si>
    <t>auriventris</t>
  </si>
  <si>
    <t>azuremaculatus</t>
  </si>
  <si>
    <t>baenschi</t>
  </si>
  <si>
    <t>bintanensis</t>
  </si>
  <si>
    <t>bipunctatus</t>
  </si>
  <si>
    <t>brachialis</t>
  </si>
  <si>
    <t>burroughi</t>
  </si>
  <si>
    <t>caeruleopunctatus</t>
  </si>
  <si>
    <t>caeruleus</t>
  </si>
  <si>
    <t>callainus</t>
  </si>
  <si>
    <t>cheraphilus</t>
  </si>
  <si>
    <t>chrysurus</t>
  </si>
  <si>
    <t>coelestis</t>
  </si>
  <si>
    <t>colini</t>
  </si>
  <si>
    <t>cuneatus</t>
  </si>
  <si>
    <t>emarginatus</t>
  </si>
  <si>
    <t>fakfakensis</t>
  </si>
  <si>
    <t>flavoaxillaris</t>
  </si>
  <si>
    <t>geminospilus</t>
  </si>
  <si>
    <t>grammorhynchus</t>
  </si>
  <si>
    <t>imitator</t>
  </si>
  <si>
    <t>indicus</t>
  </si>
  <si>
    <t>komodoensis</t>
  </si>
  <si>
    <t>lepidogenys</t>
  </si>
  <si>
    <t>leptus</t>
  </si>
  <si>
    <t>limosus</t>
  </si>
  <si>
    <t>littoralis</t>
  </si>
  <si>
    <t>magniseptus</t>
  </si>
  <si>
    <t>melanochir</t>
  </si>
  <si>
    <t>microspilus</t>
  </si>
  <si>
    <t>nagasakiensis</t>
  </si>
  <si>
    <t>nigriradiatus</t>
  </si>
  <si>
    <t>nigromanus</t>
  </si>
  <si>
    <t>nigromarginatus</t>
  </si>
  <si>
    <t>opisthostigma</t>
  </si>
  <si>
    <t>philippinus</t>
  </si>
  <si>
    <t>pikei</t>
  </si>
  <si>
    <t>polyspinus</t>
  </si>
  <si>
    <t>proteus</t>
  </si>
  <si>
    <t>reidi</t>
  </si>
  <si>
    <t>rodriguesensis</t>
  </si>
  <si>
    <t>saksonoi</t>
  </si>
  <si>
    <t>simsiang</t>
  </si>
  <si>
    <t>smithi</t>
  </si>
  <si>
    <t>spilotoceps</t>
  </si>
  <si>
    <t>sulfureus</t>
  </si>
  <si>
    <t>taeniometopon</t>
  </si>
  <si>
    <t>trichrourus</t>
  </si>
  <si>
    <t>tripunctatus</t>
  </si>
  <si>
    <t>vaiuli</t>
  </si>
  <si>
    <t>wardi</t>
  </si>
  <si>
    <t>xanthosternus</t>
  </si>
  <si>
    <t>yoshii</t>
  </si>
  <si>
    <t>arcuatus</t>
  </si>
  <si>
    <t>asfur</t>
  </si>
  <si>
    <t>imperator</t>
  </si>
  <si>
    <t>maculosus</t>
  </si>
  <si>
    <t>navarchus</t>
  </si>
  <si>
    <t>paru</t>
  </si>
  <si>
    <t>rhomboides</t>
  </si>
  <si>
    <t>semicirculatus</t>
  </si>
  <si>
    <t>sexstriatus</t>
  </si>
  <si>
    <t>xanthometopon</t>
  </si>
  <si>
    <t>zonipectus</t>
  </si>
  <si>
    <t>bichir</t>
  </si>
  <si>
    <t>delhezi</t>
  </si>
  <si>
    <t>endlicherii</t>
  </si>
  <si>
    <t>mokelembembe</t>
  </si>
  <si>
    <t>palmas</t>
  </si>
  <si>
    <t>retropinnis</t>
  </si>
  <si>
    <t>senegalus</t>
  </si>
  <si>
    <t>teugelsi</t>
  </si>
  <si>
    <t>weeksii</t>
  </si>
  <si>
    <t>jundia</t>
  </si>
  <si>
    <t>schomburgkii</t>
  </si>
  <si>
    <t>butleri</t>
  </si>
  <si>
    <t>catemaconis</t>
  </si>
  <si>
    <t>caucana</t>
  </si>
  <si>
    <t>caudofasciata</t>
  </si>
  <si>
    <t>chica</t>
  </si>
  <si>
    <t>dauli</t>
  </si>
  <si>
    <t>dominicensis</t>
  </si>
  <si>
    <t>gillii</t>
  </si>
  <si>
    <t>hispaniolana</t>
  </si>
  <si>
    <t>hondurensis</t>
  </si>
  <si>
    <t>kempkesi</t>
  </si>
  <si>
    <t>koperi</t>
  </si>
  <si>
    <t>kykesis</t>
  </si>
  <si>
    <t>latipinna</t>
  </si>
  <si>
    <t>latipunctata</t>
  </si>
  <si>
    <t>marcellinoi</t>
  </si>
  <si>
    <t>maylandi</t>
  </si>
  <si>
    <t>mechthildae</t>
  </si>
  <si>
    <t>nicholsi</t>
  </si>
  <si>
    <t>orri</t>
  </si>
  <si>
    <t>parae</t>
  </si>
  <si>
    <t>petenensis</t>
  </si>
  <si>
    <t>rositae</t>
  </si>
  <si>
    <t>salvatoris</t>
  </si>
  <si>
    <t>sarrafae</t>
  </si>
  <si>
    <t>sphenops</t>
  </si>
  <si>
    <t>sulphuraria</t>
  </si>
  <si>
    <t>teresae</t>
  </si>
  <si>
    <t>vandepolli</t>
  </si>
  <si>
    <t>velifera</t>
  </si>
  <si>
    <t>vivipara</t>
  </si>
  <si>
    <t>waiapi</t>
  </si>
  <si>
    <t>wandae</t>
  </si>
  <si>
    <t>wingei</t>
  </si>
  <si>
    <t>abbreviatus</t>
  </si>
  <si>
    <t>canius</t>
  </si>
  <si>
    <t>fisadoha</t>
  </si>
  <si>
    <t>japonicus</t>
  </si>
  <si>
    <t>nhatrangensis</t>
  </si>
  <si>
    <t>nkunga</t>
  </si>
  <si>
    <t>iwamae</t>
  </si>
  <si>
    <t>sturio</t>
  </si>
  <si>
    <t>malarmo</t>
  </si>
  <si>
    <t>mucosus</t>
  </si>
  <si>
    <t>olallae</t>
  </si>
  <si>
    <t>armatulus</t>
  </si>
  <si>
    <t>brachylecis</t>
  </si>
  <si>
    <t>costatus</t>
  </si>
  <si>
    <t>hancockii</t>
  </si>
  <si>
    <t>batavianus</t>
  </si>
  <si>
    <t>boersii</t>
  </si>
  <si>
    <t>pinnatus</t>
  </si>
  <si>
    <t>teira</t>
  </si>
  <si>
    <t>acutirostris</t>
  </si>
  <si>
    <t>argyrogaster</t>
  </si>
  <si>
    <t>chilolae</t>
  </si>
  <si>
    <t>communis</t>
  </si>
  <si>
    <t>domirae</t>
  </si>
  <si>
    <t>ecclesi</t>
  </si>
  <si>
    <t>electra</t>
  </si>
  <si>
    <t>hennydaviesae</t>
  </si>
  <si>
    <t>johnstoni</t>
  </si>
  <si>
    <t>koningsi</t>
  </si>
  <si>
    <t>longimanus</t>
  </si>
  <si>
    <t>longus</t>
  </si>
  <si>
    <t>lukomae</t>
  </si>
  <si>
    <t>macroceps</t>
  </si>
  <si>
    <t>mbunoides</t>
  </si>
  <si>
    <t>milomo</t>
  </si>
  <si>
    <t>msakae</t>
  </si>
  <si>
    <t>nigribarbis</t>
  </si>
  <si>
    <t>nkhatae</t>
  </si>
  <si>
    <t>nkhotakotae</t>
  </si>
  <si>
    <t>ordinarius</t>
  </si>
  <si>
    <t>orthognathus</t>
  </si>
  <si>
    <t>phenochilus</t>
  </si>
  <si>
    <t>platyrhynchos</t>
  </si>
  <si>
    <t>rotundifrons</t>
  </si>
  <si>
    <t>subocularis</t>
  </si>
  <si>
    <t>absconditus</t>
  </si>
  <si>
    <t>albicans</t>
  </si>
  <si>
    <t>altissimus</t>
  </si>
  <si>
    <t>atrobrunneus</t>
  </si>
  <si>
    <t>blochii</t>
  </si>
  <si>
    <t>britskii</t>
  </si>
  <si>
    <t>coprophagus</t>
  </si>
  <si>
    <t>fur</t>
  </si>
  <si>
    <t>garciabarrigai</t>
  </si>
  <si>
    <t>grosskopfii</t>
  </si>
  <si>
    <t>halisodous</t>
  </si>
  <si>
    <t>jivaro</t>
  </si>
  <si>
    <t>joannis</t>
  </si>
  <si>
    <t>luciae</t>
  </si>
  <si>
    <t>multicratifer</t>
  </si>
  <si>
    <t>mysteriosus</t>
  </si>
  <si>
    <t>navarroi</t>
  </si>
  <si>
    <t>ornatus</t>
  </si>
  <si>
    <t>ortmanni</t>
  </si>
  <si>
    <t>pantaneiro</t>
  </si>
  <si>
    <t>paranaensis</t>
  </si>
  <si>
    <t>pintado</t>
  </si>
  <si>
    <t>platicirris</t>
  </si>
  <si>
    <t>pohli</t>
  </si>
  <si>
    <t>tetramerus</t>
  </si>
  <si>
    <t>avanhandavae</t>
  </si>
  <si>
    <t>boliviana</t>
  </si>
  <si>
    <t>brasiliensis</t>
  </si>
  <si>
    <t>buckleyi</t>
  </si>
  <si>
    <t>chagresi</t>
  </si>
  <si>
    <t>chaparae</t>
  </si>
  <si>
    <t>conquetaensis</t>
  </si>
  <si>
    <t>cruxenti</t>
  </si>
  <si>
    <t>cyanostigma</t>
  </si>
  <si>
    <t>dorseyi</t>
  </si>
  <si>
    <t>eigenmanniorum</t>
  </si>
  <si>
    <t>enochi</t>
  </si>
  <si>
    <t>figueroai</t>
  </si>
  <si>
    <t>geryi</t>
  </si>
  <si>
    <t>harttii</t>
  </si>
  <si>
    <t>hartwelli</t>
  </si>
  <si>
    <t>ignobilis</t>
  </si>
  <si>
    <t>itapicuruensis</t>
  </si>
  <si>
    <t>lateristriga</t>
  </si>
  <si>
    <t>laurenti</t>
  </si>
  <si>
    <t>linami</t>
  </si>
  <si>
    <t>macrocephala</t>
  </si>
  <si>
    <t>macturki</t>
  </si>
  <si>
    <t>martinezi</t>
  </si>
  <si>
    <t>megalura</t>
  </si>
  <si>
    <t>metae</t>
  </si>
  <si>
    <t>modestus</t>
  </si>
  <si>
    <t>montana</t>
  </si>
  <si>
    <t>mucosa</t>
  </si>
  <si>
    <t>nigrofasciata</t>
  </si>
  <si>
    <t>notomelas</t>
  </si>
  <si>
    <t>odynea</t>
  </si>
  <si>
    <t>ophthalmica</t>
  </si>
  <si>
    <t>papariae</t>
  </si>
  <si>
    <t>parnahybae</t>
  </si>
  <si>
    <t>pectinifer</t>
  </si>
  <si>
    <t>peruana</t>
  </si>
  <si>
    <t>procera</t>
  </si>
  <si>
    <t>rendahli</t>
  </si>
  <si>
    <t>reyesi</t>
  </si>
  <si>
    <t>robinsoni</t>
  </si>
  <si>
    <t>roccae</t>
  </si>
  <si>
    <t>rudolphi</t>
  </si>
  <si>
    <t>spelaea</t>
  </si>
  <si>
    <t>taeniophora</t>
  </si>
  <si>
    <t>taenioptera</t>
  </si>
  <si>
    <t>tapatapae</t>
  </si>
  <si>
    <t>transitoria</t>
  </si>
  <si>
    <t>wesselii</t>
  </si>
  <si>
    <t>witmeri</t>
  </si>
  <si>
    <t>wolfi</t>
  </si>
  <si>
    <t>yuncensis</t>
  </si>
  <si>
    <t>brachypomus</t>
  </si>
  <si>
    <t>mesopotamicus</t>
  </si>
  <si>
    <t>caudomaculatus</t>
  </si>
  <si>
    <t>dentatus</t>
  </si>
  <si>
    <t>astrigata</t>
  </si>
  <si>
    <t>aureoguttata</t>
  </si>
  <si>
    <t>boruca</t>
  </si>
  <si>
    <t>erythrinoides</t>
  </si>
  <si>
    <t>festae</t>
  </si>
  <si>
    <t>unitaeniata</t>
  </si>
  <si>
    <t>hemioliopterus</t>
  </si>
  <si>
    <t>anguis</t>
  </si>
  <si>
    <t>leucotaenia</t>
  </si>
  <si>
    <t>aurantiacus</t>
  </si>
  <si>
    <t>deheyni</t>
  </si>
  <si>
    <t>major</t>
  </si>
  <si>
    <t>stigmatura</t>
  </si>
  <si>
    <t>urotaenia</t>
  </si>
  <si>
    <t>apletostigma</t>
  </si>
  <si>
    <t>calverti</t>
  </si>
  <si>
    <t>capitulatus</t>
  </si>
  <si>
    <t>carteri</t>
  </si>
  <si>
    <t>franciscoensis</t>
  </si>
  <si>
    <t>jancupa</t>
  </si>
  <si>
    <t>maculoblongus</t>
  </si>
  <si>
    <t>megalostictus</t>
  </si>
  <si>
    <t>microstictus</t>
  </si>
  <si>
    <t>napoatilis</t>
  </si>
  <si>
    <t>ojitatus</t>
  </si>
  <si>
    <t>pectinatus</t>
  </si>
  <si>
    <t>prolatus</t>
  </si>
  <si>
    <t>retropinnus</t>
  </si>
  <si>
    <t>simulatus</t>
  </si>
  <si>
    <t>suborbitalis</t>
  </si>
  <si>
    <t>tegatus</t>
  </si>
  <si>
    <t>wayampi</t>
  </si>
  <si>
    <t>wayana</t>
  </si>
  <si>
    <t>chrysos</t>
  </si>
  <si>
    <t>genalutea</t>
  </si>
  <si>
    <t>microgalana</t>
  </si>
  <si>
    <t>mumboensis</t>
  </si>
  <si>
    <t>palingnathos</t>
  </si>
  <si>
    <t>pyroscelos</t>
  </si>
  <si>
    <t>tridentiger</t>
  </si>
  <si>
    <t>xanthos</t>
  </si>
  <si>
    <t>ephippium</t>
  </si>
  <si>
    <t>famula</t>
  </si>
  <si>
    <t>horii</t>
  </si>
  <si>
    <t>georgiae</t>
  </si>
  <si>
    <t>alternans</t>
  </si>
  <si>
    <t>aspricaudus</t>
  </si>
  <si>
    <t>janthinosoma</t>
  </si>
  <si>
    <t>marginalis</t>
  </si>
  <si>
    <t>melanocephalus</t>
  </si>
  <si>
    <t>nigrolineatus</t>
  </si>
  <si>
    <t>spilosoma</t>
  </si>
  <si>
    <t>perruno</t>
  </si>
  <si>
    <t>argentilineatus</t>
  </si>
  <si>
    <t>barbarus</t>
  </si>
  <si>
    <t>chrysospilos</t>
  </si>
  <si>
    <t>darwini</t>
  </si>
  <si>
    <t>kalolo</t>
  </si>
  <si>
    <t>magnuspinnatus</t>
  </si>
  <si>
    <t>malaccensis</t>
  </si>
  <si>
    <t>novaeguineaensis</t>
  </si>
  <si>
    <t>novemradiatus</t>
  </si>
  <si>
    <t>pusing</t>
  </si>
  <si>
    <t>spilotus</t>
  </si>
  <si>
    <t>takita</t>
  </si>
  <si>
    <t>walailakae</t>
  </si>
  <si>
    <t>waltoni</t>
  </si>
  <si>
    <t>drachenfelsi</t>
  </si>
  <si>
    <t>kribensis</t>
  </si>
  <si>
    <t>rubrolabiatus</t>
  </si>
  <si>
    <t>silviae</t>
  </si>
  <si>
    <t>subocellatus</t>
  </si>
  <si>
    <t>buettikoferi</t>
  </si>
  <si>
    <t>nigrofasciatus</t>
  </si>
  <si>
    <t>bachi</t>
  </si>
  <si>
    <t>braueri</t>
  </si>
  <si>
    <t>caenosa</t>
  </si>
  <si>
    <t>capitulata</t>
  </si>
  <si>
    <t>cavatica</t>
  </si>
  <si>
    <t>compta</t>
  </si>
  <si>
    <t>ephippiata</t>
  </si>
  <si>
    <t>feldbergae</t>
  </si>
  <si>
    <t>greedoi</t>
  </si>
  <si>
    <t>lineola</t>
  </si>
  <si>
    <t>lujani</t>
  </si>
  <si>
    <t>multispinis</t>
  </si>
  <si>
    <t>oligospila</t>
  </si>
  <si>
    <t>otali</t>
  </si>
  <si>
    <t>pankimpuju</t>
  </si>
  <si>
    <t>simulata</t>
  </si>
  <si>
    <t>vermiculata</t>
  </si>
  <si>
    <t>alfredi</t>
  </si>
  <si>
    <t>allani</t>
  </si>
  <si>
    <t>anjunganensis</t>
  </si>
  <si>
    <t>bintan</t>
  </si>
  <si>
    <t>deissneri</t>
  </si>
  <si>
    <t>gunawani</t>
  </si>
  <si>
    <t>harveyi</t>
  </si>
  <si>
    <t>linkei</t>
  </si>
  <si>
    <t>nagyi</t>
  </si>
  <si>
    <t>opallios</t>
  </si>
  <si>
    <t>ornaticauda</t>
  </si>
  <si>
    <t>pahuensis</t>
  </si>
  <si>
    <t>paludicola</t>
  </si>
  <si>
    <t>parvulus</t>
  </si>
  <si>
    <t>phoenicurus</t>
  </si>
  <si>
    <t>quindecim</t>
  </si>
  <si>
    <t>rubrimontis</t>
  </si>
  <si>
    <t>sumatranus</t>
  </si>
  <si>
    <t>tweediei</t>
  </si>
  <si>
    <t>acuminatus</t>
  </si>
  <si>
    <t>fuscovittatus</t>
  </si>
  <si>
    <t>iwamotoi</t>
  </si>
  <si>
    <t>lanfeari</t>
  </si>
  <si>
    <t>perissa</t>
  </si>
  <si>
    <t>umbrosus</t>
  </si>
  <si>
    <t>aiereba</t>
  </si>
  <si>
    <t>polleni</t>
  </si>
  <si>
    <t>toddi</t>
  </si>
  <si>
    <t>baculis</t>
  </si>
  <si>
    <t>bistigmata</t>
  </si>
  <si>
    <t>confinis</t>
  </si>
  <si>
    <t>dayi</t>
  </si>
  <si>
    <t>gulliveri</t>
  </si>
  <si>
    <t>lala</t>
  </si>
  <si>
    <t>macrolepis</t>
  </si>
  <si>
    <t>pulcinella</t>
  </si>
  <si>
    <t>ranga</t>
  </si>
  <si>
    <t>tenasserimensis</t>
  </si>
  <si>
    <t>thomassi</t>
  </si>
  <si>
    <t>vollmeri</t>
  </si>
  <si>
    <t>waikhomi</t>
  </si>
  <si>
    <t>wolffii</t>
  </si>
  <si>
    <t>echinocephalus</t>
  </si>
  <si>
    <t>kasaii</t>
  </si>
  <si>
    <t>lacunicolus</t>
  </si>
  <si>
    <t>melanosomus</t>
  </si>
  <si>
    <t>xanthosoma</t>
  </si>
  <si>
    <t>brieni</t>
  </si>
  <si>
    <t>arcatus</t>
  </si>
  <si>
    <t>forsteri</t>
  </si>
  <si>
    <t>hemistictus</t>
  </si>
  <si>
    <t>nisus</t>
  </si>
  <si>
    <t>xanthus</t>
  </si>
  <si>
    <t>dovii</t>
  </si>
  <si>
    <t>friedrichsthalii</t>
  </si>
  <si>
    <t>loisellei</t>
  </si>
  <si>
    <t>managuensis</t>
  </si>
  <si>
    <t>motaguensis</t>
  </si>
  <si>
    <t>innesi</t>
  </si>
  <si>
    <t>simulans</t>
  </si>
  <si>
    <t>alfiani</t>
  </si>
  <si>
    <t>attenuatus</t>
  </si>
  <si>
    <t>bellae</t>
  </si>
  <si>
    <t>carpenteri</t>
  </si>
  <si>
    <t>flavianalis</t>
  </si>
  <si>
    <t>hemitaeniatus</t>
  </si>
  <si>
    <t>mccoskeri</t>
  </si>
  <si>
    <t>nursalim</t>
  </si>
  <si>
    <t>piscilineatus</t>
  </si>
  <si>
    <t>rennyae</t>
  </si>
  <si>
    <t>rubricaudalis</t>
  </si>
  <si>
    <t>togeanensis</t>
  </si>
  <si>
    <t>walton</t>
  </si>
  <si>
    <t>cyclops</t>
  </si>
  <si>
    <t>dialloi</t>
  </si>
  <si>
    <t>gattorugine</t>
  </si>
  <si>
    <t>goreensis</t>
  </si>
  <si>
    <t>incognitus</t>
  </si>
  <si>
    <t>laticlavius</t>
  </si>
  <si>
    <t>lodosus</t>
  </si>
  <si>
    <t>marmoreus</t>
  </si>
  <si>
    <t>pilicornis</t>
  </si>
  <si>
    <t>postoculomaculatus</t>
  </si>
  <si>
    <t>ruber</t>
  </si>
  <si>
    <t>salensis</t>
  </si>
  <si>
    <t>sanguinolentus</t>
  </si>
  <si>
    <t>serratolineatus</t>
  </si>
  <si>
    <t>sierraensis</t>
  </si>
  <si>
    <t>tasmanianus</t>
  </si>
  <si>
    <t>tentacularis</t>
  </si>
  <si>
    <t>thysanius</t>
  </si>
  <si>
    <t>verryckeni</t>
  </si>
  <si>
    <t>yatabei</t>
  </si>
  <si>
    <t>zvonimiri</t>
  </si>
  <si>
    <t>buchholzi</t>
  </si>
  <si>
    <t>agma</t>
  </si>
  <si>
    <t>alcoides</t>
  </si>
  <si>
    <t>ammophila</t>
  </si>
  <si>
    <t>anguillaris</t>
  </si>
  <si>
    <t>apoda</t>
  </si>
  <si>
    <t>atactos</t>
  </si>
  <si>
    <t>bitaimac</t>
  </si>
  <si>
    <t>cuneovirgata</t>
  </si>
  <si>
    <t>doriae</t>
  </si>
  <si>
    <t>filinaris</t>
  </si>
  <si>
    <t>goaensis</t>
  </si>
  <si>
    <t>incognito</t>
  </si>
  <si>
    <t>kuhlii</t>
  </si>
  <si>
    <t>lidi</t>
  </si>
  <si>
    <t>lumbriciformis</t>
  </si>
  <si>
    <t>malayana</t>
  </si>
  <si>
    <t>mariarum</t>
  </si>
  <si>
    <t>muraeniformis</t>
  </si>
  <si>
    <t>oblonga</t>
  </si>
  <si>
    <t>pangia</t>
  </si>
  <si>
    <t>piperata</t>
  </si>
  <si>
    <t>pulla</t>
  </si>
  <si>
    <t>robiginosa</t>
  </si>
  <si>
    <t>semicincta</t>
  </si>
  <si>
    <t>shelfordii</t>
  </si>
  <si>
    <t>signicauda</t>
  </si>
  <si>
    <t>superba</t>
  </si>
  <si>
    <t>bocourti</t>
  </si>
  <si>
    <t>conchophilus</t>
  </si>
  <si>
    <t>djambal</t>
  </si>
  <si>
    <t>humeralis</t>
  </si>
  <si>
    <t>kinabatanganensis</t>
  </si>
  <si>
    <t>kunyit</t>
  </si>
  <si>
    <t>larnaudii</t>
  </si>
  <si>
    <t>lithostoma</t>
  </si>
  <si>
    <t>macronema</t>
  </si>
  <si>
    <t>mekongensis</t>
  </si>
  <si>
    <t>myanmar</t>
  </si>
  <si>
    <t>nasutus</t>
  </si>
  <si>
    <t>nieuwenhuisii</t>
  </si>
  <si>
    <t>pangasius</t>
  </si>
  <si>
    <t>polyuranodon</t>
  </si>
  <si>
    <t>rheophilus</t>
  </si>
  <si>
    <t>sabahensis</t>
  </si>
  <si>
    <t>sanitwongsei</t>
  </si>
  <si>
    <t>armbrusteri</t>
  </si>
  <si>
    <t>bathyphilus</t>
  </si>
  <si>
    <t>cochliodon</t>
  </si>
  <si>
    <t>schaeferi</t>
  </si>
  <si>
    <t>suttonorum</t>
  </si>
  <si>
    <t>titan</t>
  </si>
  <si>
    <t>halli</t>
  </si>
  <si>
    <t>altipinna</t>
  </si>
  <si>
    <t>caeca</t>
  </si>
  <si>
    <t>colasi</t>
  </si>
  <si>
    <t>herwerdenii</t>
  </si>
  <si>
    <t>heterodon</t>
  </si>
  <si>
    <t>lineolata</t>
  </si>
  <si>
    <t>marmorata</t>
  </si>
  <si>
    <t>nullipora</t>
  </si>
  <si>
    <t>paucipora</t>
  </si>
  <si>
    <t>selheimi</t>
  </si>
  <si>
    <t>stagnicola</t>
  </si>
  <si>
    <t>urophthalmoides</t>
  </si>
  <si>
    <t>urophthalmus</t>
  </si>
  <si>
    <t>wisselensis</t>
  </si>
  <si>
    <t>typus</t>
  </si>
  <si>
    <t>antron</t>
  </si>
  <si>
    <t>argyrosoma</t>
  </si>
  <si>
    <t>brooksi</t>
  </si>
  <si>
    <t>lithobates</t>
  </si>
  <si>
    <t>ovatus</t>
  </si>
  <si>
    <t>pachycheilus</t>
  </si>
  <si>
    <t>selenurus</t>
  </si>
  <si>
    <t>speciosus</t>
  </si>
  <si>
    <t>spelaeotes</t>
  </si>
  <si>
    <t>tetrastigma</t>
  </si>
  <si>
    <t>arnoldi</t>
  </si>
  <si>
    <t>batmani</t>
  </si>
  <si>
    <t>bororo</t>
  </si>
  <si>
    <t>caxarari</t>
  </si>
  <si>
    <t>cocama</t>
  </si>
  <si>
    <t>flexilis</t>
  </si>
  <si>
    <t>hoppei</t>
  </si>
  <si>
    <t>huaorani</t>
  </si>
  <si>
    <t>macrospilus</t>
  </si>
  <si>
    <t>mangaba</t>
  </si>
  <si>
    <t>mimulus</t>
  </si>
  <si>
    <t>mura</t>
  </si>
  <si>
    <t>tapirape</t>
  </si>
  <si>
    <t>vestitus</t>
  </si>
  <si>
    <t>xakriaba</t>
  </si>
  <si>
    <t>cubicus</t>
  </si>
  <si>
    <t>cyanurus</t>
  </si>
  <si>
    <t>immaculatus</t>
  </si>
  <si>
    <t>meleagris</t>
  </si>
  <si>
    <t>rhinorhynchos</t>
  </si>
  <si>
    <t>solorensis</t>
  </si>
  <si>
    <t>trachys</t>
  </si>
  <si>
    <t>bicirrhosum</t>
  </si>
  <si>
    <t>ferreirai</t>
  </si>
  <si>
    <t>bellus</t>
  </si>
  <si>
    <t>bleekeri</t>
  </si>
  <si>
    <t>brachynotopteroides</t>
  </si>
  <si>
    <t>chini</t>
  </si>
  <si>
    <t>enneaporos</t>
  </si>
  <si>
    <t>ingeri</t>
  </si>
  <si>
    <t>jeruk</t>
  </si>
  <si>
    <t>kahajanensis</t>
  </si>
  <si>
    <t>kappenii</t>
  </si>
  <si>
    <t>kelabau</t>
  </si>
  <si>
    <t>kerinciensis</t>
  </si>
  <si>
    <t>kuekenthali</t>
  </si>
  <si>
    <t>lini</t>
  </si>
  <si>
    <t>melanopleurus</t>
  </si>
  <si>
    <t>nashii</t>
  </si>
  <si>
    <t>partilineatus</t>
  </si>
  <si>
    <t>pentalineatus</t>
  </si>
  <si>
    <t>repang</t>
  </si>
  <si>
    <t>salsburyi</t>
  </si>
  <si>
    <t>scapularis</t>
  </si>
  <si>
    <t>schlegelii</t>
  </si>
  <si>
    <t>serokan</t>
  </si>
  <si>
    <t>sondhii</t>
  </si>
  <si>
    <t>spilurus</t>
  </si>
  <si>
    <t>vittatoides</t>
  </si>
  <si>
    <t>exodon</t>
  </si>
  <si>
    <t>goramy</t>
  </si>
  <si>
    <t>asinua</t>
  </si>
  <si>
    <t>bonneorum</t>
  </si>
  <si>
    <t>carnaticus</t>
  </si>
  <si>
    <t>curvinotus</t>
  </si>
  <si>
    <t>dancena</t>
  </si>
  <si>
    <t>eversi</t>
  </si>
  <si>
    <t>hadiatyae</t>
  </si>
  <si>
    <t>haugiangensis</t>
  </si>
  <si>
    <t>matanensis</t>
  </si>
  <si>
    <t>melastigma</t>
  </si>
  <si>
    <t>minutillus</t>
  </si>
  <si>
    <t>nigrimas</t>
  </si>
  <si>
    <t>pectoralis</t>
  </si>
  <si>
    <t>profundicola</t>
  </si>
  <si>
    <t>sakaizumii</t>
  </si>
  <si>
    <t>setnai</t>
  </si>
  <si>
    <t>soerotoi</t>
  </si>
  <si>
    <t>songkhramensis</t>
  </si>
  <si>
    <t>timorensis</t>
  </si>
  <si>
    <t>uwai</t>
  </si>
  <si>
    <t>wolasi</t>
  </si>
  <si>
    <t>woworae</t>
  </si>
  <si>
    <t>afer</t>
  </si>
  <si>
    <t>brochus</t>
  </si>
  <si>
    <t>castelnaui</t>
  </si>
  <si>
    <t>crassus</t>
  </si>
  <si>
    <t>cuvierii</t>
  </si>
  <si>
    <t>cyanospilotus</t>
  </si>
  <si>
    <t>darwiniensis</t>
  </si>
  <si>
    <t>dendriticus</t>
  </si>
  <si>
    <t>dipharus</t>
  </si>
  <si>
    <t>elizabethensis</t>
  </si>
  <si>
    <t>eximius</t>
  </si>
  <si>
    <t>fenmutis</t>
  </si>
  <si>
    <t>fossoris</t>
  </si>
  <si>
    <t>galapagensis</t>
  </si>
  <si>
    <t>hongkongiensis</t>
  </si>
  <si>
    <t>hopkinsi</t>
  </si>
  <si>
    <t>iyonis</t>
  </si>
  <si>
    <t>jacksoniensis</t>
  </si>
  <si>
    <t>latitabundus</t>
  </si>
  <si>
    <t>leprocarus</t>
  </si>
  <si>
    <t>liturus</t>
  </si>
  <si>
    <t>lonchurus</t>
  </si>
  <si>
    <t>longinaris</t>
  </si>
  <si>
    <t>margaretae</t>
  </si>
  <si>
    <t>maxillosus</t>
  </si>
  <si>
    <t>megalepis</t>
  </si>
  <si>
    <t>melachasme</t>
  </si>
  <si>
    <t>mexicanus</t>
  </si>
  <si>
    <t>muscatensis</t>
  </si>
  <si>
    <t>nothus</t>
  </si>
  <si>
    <t>panamaensis</t>
  </si>
  <si>
    <t>pardus</t>
  </si>
  <si>
    <t>reticeps</t>
  </si>
  <si>
    <t>rhomaleus</t>
  </si>
  <si>
    <t>robinsi</t>
  </si>
  <si>
    <t>rufilineatus</t>
  </si>
  <si>
    <t>schrieri</t>
  </si>
  <si>
    <t>scops</t>
  </si>
  <si>
    <t>seminudus</t>
  </si>
  <si>
    <t>simus</t>
  </si>
  <si>
    <t>stigmosus</t>
  </si>
  <si>
    <t>verecundus</t>
  </si>
  <si>
    <t>whitehursti</t>
  </si>
  <si>
    <t>heterodonta</t>
  </si>
  <si>
    <t>argestes</t>
  </si>
  <si>
    <t>binotatus</t>
  </si>
  <si>
    <t>brevirictus</t>
  </si>
  <si>
    <t>canio</t>
  </si>
  <si>
    <t>ceylonensis</t>
  </si>
  <si>
    <t>eugeneiatus</t>
  </si>
  <si>
    <t>fumidus</t>
  </si>
  <si>
    <t>goae</t>
  </si>
  <si>
    <t>hypophthalmus</t>
  </si>
  <si>
    <t>javanensis</t>
  </si>
  <si>
    <t>jaynei</t>
  </si>
  <si>
    <t>karunkodu</t>
  </si>
  <si>
    <t>malabaricus</t>
  </si>
  <si>
    <t>miostoma</t>
  </si>
  <si>
    <t>pabda</t>
  </si>
  <si>
    <t>pabo</t>
  </si>
  <si>
    <t>platyrhynchus</t>
  </si>
  <si>
    <t>pluriradiatus</t>
  </si>
  <si>
    <t>rhadinurus</t>
  </si>
  <si>
    <t>siluroides</t>
  </si>
  <si>
    <t>sindensis</t>
  </si>
  <si>
    <t>supernus</t>
  </si>
  <si>
    <t>urbaini</t>
  </si>
  <si>
    <t>taeniourus</t>
  </si>
  <si>
    <t>notopterus</t>
  </si>
  <si>
    <t>albimarginatus</t>
  </si>
  <si>
    <t>bellemansi</t>
  </si>
  <si>
    <t>bojiensis</t>
  </si>
  <si>
    <t>boklundi</t>
  </si>
  <si>
    <t>capriviensis</t>
  </si>
  <si>
    <t>cardinalis</t>
  </si>
  <si>
    <t>chochamandai</t>
  </si>
  <si>
    <t>eggersi</t>
  </si>
  <si>
    <t>flagrans</t>
  </si>
  <si>
    <t>flammicomantis</t>
  </si>
  <si>
    <t>foerschi</t>
  </si>
  <si>
    <t>furzeri</t>
  </si>
  <si>
    <t>fuscotaeniatus</t>
  </si>
  <si>
    <t>geminus</t>
  </si>
  <si>
    <t>hassoni</t>
  </si>
  <si>
    <t>hengstleri</t>
  </si>
  <si>
    <t>ivanovae</t>
  </si>
  <si>
    <t>janpapi</t>
  </si>
  <si>
    <t>jubbi</t>
  </si>
  <si>
    <t>kadleci</t>
  </si>
  <si>
    <t>kafuensis</t>
  </si>
  <si>
    <t>kardashevi</t>
  </si>
  <si>
    <t>kilomberoensis</t>
  </si>
  <si>
    <t>kirki</t>
  </si>
  <si>
    <t>korthausae</t>
  </si>
  <si>
    <t>krammeri</t>
  </si>
  <si>
    <t>krysanovi</t>
  </si>
  <si>
    <t>kuhntae</t>
  </si>
  <si>
    <t>lourensi</t>
  </si>
  <si>
    <t>lucius</t>
  </si>
  <si>
    <t>luekei</t>
  </si>
  <si>
    <t>makondorum</t>
  </si>
  <si>
    <t>malaissei</t>
  </si>
  <si>
    <t>melanospilus</t>
  </si>
  <si>
    <t>milvertzi</t>
  </si>
  <si>
    <t>neumanni</t>
  </si>
  <si>
    <t>niassa</t>
  </si>
  <si>
    <t>nubaensis</t>
  </si>
  <si>
    <t>occultus</t>
  </si>
  <si>
    <t>oestergaardi</t>
  </si>
  <si>
    <t>orthonotus</t>
  </si>
  <si>
    <t>palmqvisti</t>
  </si>
  <si>
    <t>patrizii</t>
  </si>
  <si>
    <t>pienaari</t>
  </si>
  <si>
    <t>rachovii</t>
  </si>
  <si>
    <t>rosenstocki</t>
  </si>
  <si>
    <t>rubroreticulatus</t>
  </si>
  <si>
    <t>ruudwildekampi</t>
  </si>
  <si>
    <t>sagittae</t>
  </si>
  <si>
    <t>sainthousei</t>
  </si>
  <si>
    <t>seegersi</t>
  </si>
  <si>
    <t>serengetiensis</t>
  </si>
  <si>
    <t>steinforti</t>
  </si>
  <si>
    <t>streltsovi</t>
  </si>
  <si>
    <t>symoensi</t>
  </si>
  <si>
    <t>taeniopygus</t>
  </si>
  <si>
    <t>thierryi</t>
  </si>
  <si>
    <t>torgashevi</t>
  </si>
  <si>
    <t>ugandensis</t>
  </si>
  <si>
    <t>usanguensis</t>
  </si>
  <si>
    <t>vosseleri</t>
  </si>
  <si>
    <t>wattersi</t>
  </si>
  <si>
    <t>willerti</t>
  </si>
  <si>
    <t>bakeri</t>
  </si>
  <si>
    <t>brembachi</t>
  </si>
  <si>
    <t>ebrardtii</t>
  </si>
  <si>
    <t>hageni</t>
  </si>
  <si>
    <t>kolonodalensis</t>
  </si>
  <si>
    <t>lanceolatus</t>
  </si>
  <si>
    <t>liemi</t>
  </si>
  <si>
    <t>manifesta</t>
  </si>
  <si>
    <t>megarrhamphus</t>
  </si>
  <si>
    <t>pinnimaculata</t>
  </si>
  <si>
    <t>ravnaki</t>
  </si>
  <si>
    <t>rossi</t>
  </si>
  <si>
    <t>sagittarius</t>
  </si>
  <si>
    <t>sanussii</t>
  </si>
  <si>
    <t>towoetii</t>
  </si>
  <si>
    <t>linni</t>
  </si>
  <si>
    <t>livingstonii</t>
  </si>
  <si>
    <t>venustus</t>
  </si>
  <si>
    <t>bacescui</t>
  </si>
  <si>
    <t>ijimae</t>
  </si>
  <si>
    <t>aurolineatus</t>
  </si>
  <si>
    <t>marianus</t>
  </si>
  <si>
    <t>sammara</t>
  </si>
  <si>
    <t>bifasciatus</t>
  </si>
  <si>
    <t>buescheri</t>
  </si>
  <si>
    <t>cancellatus</t>
  </si>
  <si>
    <t>caudopunctatus</t>
  </si>
  <si>
    <t>chitamwebwai</t>
  </si>
  <si>
    <t>christyi</t>
  </si>
  <si>
    <t>cylindricus</t>
  </si>
  <si>
    <t>devosi</t>
  </si>
  <si>
    <t>falcicula</t>
  </si>
  <si>
    <t>furcifer</t>
  </si>
  <si>
    <t>leleupi</t>
  </si>
  <si>
    <t>leloupi</t>
  </si>
  <si>
    <t>longicaudatus</t>
  </si>
  <si>
    <t>marunguensis</t>
  </si>
  <si>
    <t>mondabu</t>
  </si>
  <si>
    <t>multifasciatus</t>
  </si>
  <si>
    <t>mustax</t>
  </si>
  <si>
    <t>olivaceous</t>
  </si>
  <si>
    <t>pleuromaculatus</t>
  </si>
  <si>
    <t>prochilus</t>
  </si>
  <si>
    <t>savoryi</t>
  </si>
  <si>
    <t>schreyeni</t>
  </si>
  <si>
    <t>splendens</t>
  </si>
  <si>
    <t>timidus</t>
  </si>
  <si>
    <t>toae</t>
  </si>
  <si>
    <t>tretocephalus</t>
  </si>
  <si>
    <t>walteri</t>
  </si>
  <si>
    <t>wauthioni</t>
  </si>
  <si>
    <t>bonang</t>
  </si>
  <si>
    <t>carlsoni</t>
  </si>
  <si>
    <t>crossi</t>
  </si>
  <si>
    <t>mitratus</t>
  </si>
  <si>
    <t>nigroris</t>
  </si>
  <si>
    <t>oxyodon</t>
  </si>
  <si>
    <t>polyacanthus</t>
  </si>
  <si>
    <t>thoracotaeniatus</t>
  </si>
  <si>
    <t>catimbau</t>
  </si>
  <si>
    <t>papilliferus</t>
  </si>
  <si>
    <t>whitei</t>
  </si>
  <si>
    <t>lacortei</t>
  </si>
  <si>
    <t>palmeri</t>
  </si>
  <si>
    <t>helfrichi</t>
  </si>
  <si>
    <t>cristinae</t>
  </si>
  <si>
    <t>hemipeltis</t>
  </si>
  <si>
    <t>anguilla</t>
  </si>
  <si>
    <t>arenicolus</t>
  </si>
  <si>
    <t>banar</t>
  </si>
  <si>
    <t>chrysolaimos</t>
  </si>
  <si>
    <t>cleopatra</t>
  </si>
  <si>
    <t>corica</t>
  </si>
  <si>
    <t>doonensis</t>
  </si>
  <si>
    <t>drassensis</t>
  </si>
  <si>
    <t>elegantissimus</t>
  </si>
  <si>
    <t>huapingensis</t>
  </si>
  <si>
    <t>inglisi</t>
  </si>
  <si>
    <t>jaklesii</t>
  </si>
  <si>
    <t>kaimurensis</t>
  </si>
  <si>
    <t>kapuasensis</t>
  </si>
  <si>
    <t>keralensis</t>
  </si>
  <si>
    <t>lactogeneus</t>
  </si>
  <si>
    <t>longipectoralis</t>
  </si>
  <si>
    <t>longistriatus</t>
  </si>
  <si>
    <t>lunanensis</t>
  </si>
  <si>
    <t>marang</t>
  </si>
  <si>
    <t>masyae</t>
  </si>
  <si>
    <t>menoni</t>
  </si>
  <si>
    <t>monilis</t>
  </si>
  <si>
    <t>oxianus</t>
  </si>
  <si>
    <t>papillos</t>
  </si>
  <si>
    <t>periyarensis</t>
  </si>
  <si>
    <t>petrubanarescui</t>
  </si>
  <si>
    <t>pfeifferae</t>
  </si>
  <si>
    <t>platiceps</t>
  </si>
  <si>
    <t>rueppelli</t>
  </si>
  <si>
    <t>saravacensis</t>
  </si>
  <si>
    <t>selangoricus</t>
  </si>
  <si>
    <t>shehensis</t>
  </si>
  <si>
    <t>shuangjiangensis</t>
  </si>
  <si>
    <t>singhi</t>
  </si>
  <si>
    <t>spiniferus</t>
  </si>
  <si>
    <t>stigmofasciatus</t>
  </si>
  <si>
    <t>subfusca</t>
  </si>
  <si>
    <t>tebo</t>
  </si>
  <si>
    <t>triangularis</t>
  </si>
  <si>
    <t>troglocataractus</t>
  </si>
  <si>
    <t>tuberigum</t>
  </si>
  <si>
    <t>yingjiangensis</t>
  </si>
  <si>
    <t>acutidens</t>
  </si>
  <si>
    <t>brevirostris</t>
  </si>
  <si>
    <t>brachycentron</t>
  </si>
  <si>
    <t>caeruleacauda</t>
  </si>
  <si>
    <t>caesius</t>
  </si>
  <si>
    <t>fageni</t>
  </si>
  <si>
    <t>hexacanthus</t>
  </si>
  <si>
    <t>lituratus</t>
  </si>
  <si>
    <t>lopezi</t>
  </si>
  <si>
    <t>mcdadei</t>
  </si>
  <si>
    <t>tergus</t>
  </si>
  <si>
    <t>thynnoides</t>
  </si>
  <si>
    <t>tonganus</t>
  </si>
  <si>
    <t>tuberosus</t>
  </si>
  <si>
    <t>unicornis</t>
  </si>
  <si>
    <t>vlamingii</t>
  </si>
  <si>
    <t>atzi</t>
  </si>
  <si>
    <t>bancroftii</t>
  </si>
  <si>
    <t>brevilabiata</t>
  </si>
  <si>
    <t>entemedor</t>
  </si>
  <si>
    <t>insolita</t>
  </si>
  <si>
    <t>lasti</t>
  </si>
  <si>
    <t>leoparda</t>
  </si>
  <si>
    <t>lingula</t>
  </si>
  <si>
    <t>maculata</t>
  </si>
  <si>
    <t>oculifera</t>
  </si>
  <si>
    <t>prodorsalis</t>
  </si>
  <si>
    <t>rierai</t>
  </si>
  <si>
    <t>tasmaniensis</t>
  </si>
  <si>
    <t>timlei</t>
  </si>
  <si>
    <t>westraliensis</t>
  </si>
  <si>
    <t>consortus</t>
  </si>
  <si>
    <t>nudiceps</t>
  </si>
  <si>
    <t>parilus</t>
  </si>
  <si>
    <t>transvestitus</t>
  </si>
  <si>
    <t>wickleri</t>
  </si>
  <si>
    <t>anduzei</t>
  </si>
  <si>
    <t>beckfordi</t>
  </si>
  <si>
    <t>digrammus</t>
  </si>
  <si>
    <t>erythrurus</t>
  </si>
  <si>
    <t>limatus</t>
  </si>
  <si>
    <t>minimus</t>
  </si>
  <si>
    <t>mortenthaleri</t>
  </si>
  <si>
    <t>nigrotaeniatus</t>
  </si>
  <si>
    <t>rubrocaudatus</t>
  </si>
  <si>
    <t>trifasciatus</t>
  </si>
  <si>
    <t>unifasciatus</t>
  </si>
  <si>
    <t>adoketa</t>
  </si>
  <si>
    <t>anomala</t>
  </si>
  <si>
    <t>aureocephalus</t>
  </si>
  <si>
    <t>bimaculata</t>
  </si>
  <si>
    <t>quadrispinae</t>
  </si>
  <si>
    <t>taenia</t>
  </si>
  <si>
    <t>andrewi</t>
  </si>
  <si>
    <t>meni</t>
  </si>
  <si>
    <t>mercatus</t>
  </si>
  <si>
    <t>nandus</t>
  </si>
  <si>
    <t>oxyrhynchus</t>
  </si>
  <si>
    <t>prolixus</t>
  </si>
  <si>
    <t>haitiensis</t>
  </si>
  <si>
    <t>ramsdeni</t>
  </si>
  <si>
    <t>alasensis</t>
  </si>
  <si>
    <t>ankutta</t>
  </si>
  <si>
    <t>armiger</t>
  </si>
  <si>
    <t>atrifasciatus</t>
  </si>
  <si>
    <t>canarensis</t>
  </si>
  <si>
    <t>carcio</t>
  </si>
  <si>
    <t>castaneus</t>
  </si>
  <si>
    <t>catapogon</t>
  </si>
  <si>
    <t>cavasius</t>
  </si>
  <si>
    <t>cineraceus</t>
  </si>
  <si>
    <t>dibrugarensis</t>
  </si>
  <si>
    <t>falcarius</t>
  </si>
  <si>
    <t>gulio</t>
  </si>
  <si>
    <t>heoki</t>
  </si>
  <si>
    <t>horai</t>
  </si>
  <si>
    <t>impluviatus</t>
  </si>
  <si>
    <t>keletius</t>
  </si>
  <si>
    <t>keralai</t>
  </si>
  <si>
    <t>leucophasis</t>
  </si>
  <si>
    <t>montanus</t>
  </si>
  <si>
    <t>mysticetus</t>
  </si>
  <si>
    <t>nanus</t>
  </si>
  <si>
    <t>ngasep</t>
  </si>
  <si>
    <t>nigriceps</t>
  </si>
  <si>
    <t>oculatus</t>
  </si>
  <si>
    <t>pelusius</t>
  </si>
  <si>
    <t>rhegma</t>
  </si>
  <si>
    <t>rufescens</t>
  </si>
  <si>
    <t>seengtee</t>
  </si>
  <si>
    <t>singaringan</t>
  </si>
  <si>
    <t>tengara</t>
  </si>
  <si>
    <t>zeylanicus</t>
  </si>
  <si>
    <t>aspetocheiros</t>
  </si>
  <si>
    <t>colubrinus</t>
  </si>
  <si>
    <t>paleracio</t>
  </si>
  <si>
    <t>pantostigmius</t>
  </si>
  <si>
    <t>xysturus</t>
  </si>
  <si>
    <t>acanthogaster</t>
  </si>
  <si>
    <t>duriventre</t>
  </si>
  <si>
    <t>asterias</t>
  </si>
  <si>
    <t>lucienae</t>
  </si>
  <si>
    <t>planquettei</t>
  </si>
  <si>
    <t>rhomboidalis</t>
  </si>
  <si>
    <t>ternetzi</t>
  </si>
  <si>
    <t>tiete</t>
  </si>
  <si>
    <t>torquatus</t>
  </si>
  <si>
    <t>zorroi</t>
  </si>
  <si>
    <t>knerii</t>
  </si>
  <si>
    <t>latus</t>
  </si>
  <si>
    <t>micans</t>
  </si>
  <si>
    <t>pacu</t>
  </si>
  <si>
    <t>setiger</t>
  </si>
  <si>
    <t>boueti</t>
  </si>
  <si>
    <t>cuchia</t>
  </si>
  <si>
    <t>desilvai</t>
  </si>
  <si>
    <t>dienbienensis</t>
  </si>
  <si>
    <t>digressus</t>
  </si>
  <si>
    <t>eapeni</t>
  </si>
  <si>
    <t>fossorius</t>
  </si>
  <si>
    <t>hodgarti</t>
  </si>
  <si>
    <t>ichthyophoides</t>
  </si>
  <si>
    <t>luticolus</t>
  </si>
  <si>
    <t>falciformis</t>
  </si>
  <si>
    <t>sebae</t>
  </si>
  <si>
    <t>ciliatus</t>
  </si>
  <si>
    <t>tuckeri</t>
  </si>
  <si>
    <t>agnesae</t>
  </si>
  <si>
    <t>atahualpiana</t>
  </si>
  <si>
    <t>aurantia</t>
  </si>
  <si>
    <t>australe</t>
  </si>
  <si>
    <t>barbouri</t>
  </si>
  <si>
    <t>bonita</t>
  </si>
  <si>
    <t>browni</t>
  </si>
  <si>
    <t>celibela</t>
  </si>
  <si>
    <t>ceros</t>
  </si>
  <si>
    <t>chlorophthalma</t>
  </si>
  <si>
    <t>chrysargyrea</t>
  </si>
  <si>
    <t>collettii</t>
  </si>
  <si>
    <t>comma</t>
  </si>
  <si>
    <t>copei</t>
  </si>
  <si>
    <t>cosmops</t>
  </si>
  <si>
    <t>costae</t>
  </si>
  <si>
    <t>cotinho</t>
  </si>
  <si>
    <t>crisnejas</t>
  </si>
  <si>
    <t>dasalmas</t>
  </si>
  <si>
    <t>diamantina</t>
  </si>
  <si>
    <t>dichroura</t>
  </si>
  <si>
    <t>diktyota</t>
  </si>
  <si>
    <t>doceana</t>
  </si>
  <si>
    <t>dorsinuda</t>
  </si>
  <si>
    <t>eurystaenia</t>
  </si>
  <si>
    <t>forestii</t>
  </si>
  <si>
    <t>gracilima</t>
  </si>
  <si>
    <t>grandisquamis</t>
  </si>
  <si>
    <t>heikoi</t>
  </si>
  <si>
    <t>hemigrammoides</t>
  </si>
  <si>
    <t>hysterosticta</t>
  </si>
  <si>
    <t>icae</t>
  </si>
  <si>
    <t>inrai</t>
  </si>
  <si>
    <t>justae</t>
  </si>
  <si>
    <t>lepidura</t>
  </si>
  <si>
    <t>levidorsa</t>
  </si>
  <si>
    <t>lineomaculata</t>
  </si>
  <si>
    <t>lopesi</t>
  </si>
  <si>
    <t>loweae</t>
  </si>
  <si>
    <t>margitae</t>
  </si>
  <si>
    <t>melogramma</t>
  </si>
  <si>
    <t>miangi</t>
  </si>
  <si>
    <t>mikia</t>
  </si>
  <si>
    <t>moisae</t>
  </si>
  <si>
    <t>mutum</t>
  </si>
  <si>
    <t>naponis</t>
  </si>
  <si>
    <t>nigromarginata</t>
  </si>
  <si>
    <t>orteguasae</t>
  </si>
  <si>
    <t>ovalis</t>
  </si>
  <si>
    <t>pankilopteryx</t>
  </si>
  <si>
    <t>parecis</t>
  </si>
  <si>
    <t>petymbuaba</t>
  </si>
  <si>
    <t>phaeonota</t>
  </si>
  <si>
    <t>pirauba</t>
  </si>
  <si>
    <t>pittieri</t>
  </si>
  <si>
    <t>plumbea</t>
  </si>
  <si>
    <t>pyrophthalma</t>
  </si>
  <si>
    <t>sanctaefilomenae</t>
  </si>
  <si>
    <t>shideleri</t>
  </si>
  <si>
    <t>surinamensis</t>
  </si>
  <si>
    <t>takasei</t>
  </si>
  <si>
    <t>tergimacula</t>
  </si>
  <si>
    <t>tridentata</t>
  </si>
  <si>
    <t>venerei</t>
  </si>
  <si>
    <t>xinguensis</t>
  </si>
  <si>
    <t>anguillicaudatus</t>
  </si>
  <si>
    <t>buphoensis</t>
  </si>
  <si>
    <t>fossilis</t>
  </si>
  <si>
    <t>mizolepis</t>
  </si>
  <si>
    <t>mohoity</t>
  </si>
  <si>
    <t>nikolskyi</t>
  </si>
  <si>
    <t>tonkinensis</t>
  </si>
  <si>
    <t>altispinosus</t>
  </si>
  <si>
    <t>ramirezi</t>
  </si>
  <si>
    <t>bairdii</t>
  </si>
  <si>
    <t>frontatus</t>
  </si>
  <si>
    <t>carlae</t>
  </si>
  <si>
    <t>cibelae</t>
  </si>
  <si>
    <t>cottoides</t>
  </si>
  <si>
    <t>garavelloi</t>
  </si>
  <si>
    <t>iheringi</t>
  </si>
  <si>
    <t>leptostriatus</t>
  </si>
  <si>
    <t>lundbergi</t>
  </si>
  <si>
    <t>oliveirai</t>
  </si>
  <si>
    <t>parahybae</t>
  </si>
  <si>
    <t>pataxo</t>
  </si>
  <si>
    <t>pellopterygius</t>
  </si>
  <si>
    <t>poecilus</t>
  </si>
  <si>
    <t>secundus</t>
  </si>
  <si>
    <t>xylographicus</t>
  </si>
  <si>
    <t>congicum</t>
  </si>
  <si>
    <t>damasi</t>
  </si>
  <si>
    <t>fasciolatum</t>
  </si>
  <si>
    <t>intermedium</t>
  </si>
  <si>
    <t>lineatum</t>
  </si>
  <si>
    <t>nanum</t>
  </si>
  <si>
    <t>pekkolai</t>
  </si>
  <si>
    <t>uelense</t>
  </si>
  <si>
    <t>altidorsalis</t>
  </si>
  <si>
    <t>cuiaba</t>
  </si>
  <si>
    <t>guaporensis</t>
  </si>
  <si>
    <t>hypsauchen</t>
  </si>
  <si>
    <t>lippincottianus</t>
  </si>
  <si>
    <t>luna</t>
  </si>
  <si>
    <t>mola</t>
  </si>
  <si>
    <t>otuquensis</t>
  </si>
  <si>
    <t>polystictus</t>
  </si>
  <si>
    <t>herrei</t>
  </si>
  <si>
    <t>pambarensis</t>
  </si>
  <si>
    <t>remadevii</t>
  </si>
  <si>
    <t>acora</t>
  </si>
  <si>
    <t>egregius</t>
  </si>
  <si>
    <t>guyanae</t>
  </si>
  <si>
    <t>mirificus</t>
  </si>
  <si>
    <t>vidua</t>
  </si>
  <si>
    <t>ajamaruensis</t>
  </si>
  <si>
    <t>albimarginata</t>
  </si>
  <si>
    <t>angfa</t>
  </si>
  <si>
    <t>arfakensis</t>
  </si>
  <si>
    <t>arguni</t>
  </si>
  <si>
    <t>batanta</t>
  </si>
  <si>
    <t>caerulea</t>
  </si>
  <si>
    <t>catherinae</t>
  </si>
  <si>
    <t>duboulayi</t>
  </si>
  <si>
    <t>eachamensis</t>
  </si>
  <si>
    <t>fasinensis</t>
  </si>
  <si>
    <t>fredericki</t>
  </si>
  <si>
    <t>garylangei</t>
  </si>
  <si>
    <t>goldiei</t>
  </si>
  <si>
    <t>herbertaxelrodi</t>
  </si>
  <si>
    <t>irianjaya</t>
  </si>
  <si>
    <t>japenensis</t>
  </si>
  <si>
    <t>kamaka</t>
  </si>
  <si>
    <t>kokasensis</t>
  </si>
  <si>
    <t>kolaensis</t>
  </si>
  <si>
    <t>lacustris</t>
  </si>
  <si>
    <t>lakamora</t>
  </si>
  <si>
    <t>maccullochi</t>
  </si>
  <si>
    <t>mairasi</t>
  </si>
  <si>
    <t>misoolensis</t>
  </si>
  <si>
    <t>monticola</t>
  </si>
  <si>
    <t>mubiensis</t>
  </si>
  <si>
    <t>nigrans</t>
  </si>
  <si>
    <t>ogilbyi</t>
  </si>
  <si>
    <t>oktediensis</t>
  </si>
  <si>
    <t>papuae</t>
  </si>
  <si>
    <t>parkinsoni</t>
  </si>
  <si>
    <t>patoti</t>
  </si>
  <si>
    <t>pierucciae</t>
  </si>
  <si>
    <t>pimaensis</t>
  </si>
  <si>
    <t>pygmaea</t>
  </si>
  <si>
    <t>rubrivittata</t>
  </si>
  <si>
    <t>rubrostriata</t>
  </si>
  <si>
    <t>salawati</t>
  </si>
  <si>
    <t>senckenbergianus</t>
  </si>
  <si>
    <t>sexlineata</t>
  </si>
  <si>
    <t>solata</t>
  </si>
  <si>
    <t>sylvatica</t>
  </si>
  <si>
    <t>synergos</t>
  </si>
  <si>
    <t>urisa</t>
  </si>
  <si>
    <t>utcheensis</t>
  </si>
  <si>
    <t>vanheurni</t>
  </si>
  <si>
    <t>veoliae</t>
  </si>
  <si>
    <t>wanoma</t>
  </si>
  <si>
    <t>wokamensis</t>
  </si>
  <si>
    <t>auratus</t>
  </si>
  <si>
    <t>baliodigma</t>
  </si>
  <si>
    <t>chipokae</t>
  </si>
  <si>
    <t>dialeptos</t>
  </si>
  <si>
    <t>heterochromis</t>
  </si>
  <si>
    <t>kaskazini</t>
  </si>
  <si>
    <t>lepidiadaptes</t>
  </si>
  <si>
    <t>loriae</t>
  </si>
  <si>
    <t>mossambiquensis</t>
  </si>
  <si>
    <t>mpoto</t>
  </si>
  <si>
    <t>vermivorus</t>
  </si>
  <si>
    <t>wochepa</t>
  </si>
  <si>
    <t>auroradiatum</t>
  </si>
  <si>
    <t>blennioides</t>
  </si>
  <si>
    <t>dispilomma</t>
  </si>
  <si>
    <t>melanopteron</t>
  </si>
  <si>
    <t>pectorale</t>
  </si>
  <si>
    <t>abditus</t>
  </si>
  <si>
    <t>abruptus</t>
  </si>
  <si>
    <t>anema</t>
  </si>
  <si>
    <t>atrodorsalis</t>
  </si>
  <si>
    <t>bundoon</t>
  </si>
  <si>
    <t>crinitus</t>
  </si>
  <si>
    <t>cyanopterus</t>
  </si>
  <si>
    <t>ditrema</t>
  </si>
  <si>
    <t>geminatus</t>
  </si>
  <si>
    <t>grammistes</t>
  </si>
  <si>
    <t>kamoharai</t>
  </si>
  <si>
    <t>mossambicus</t>
  </si>
  <si>
    <t>naevius</t>
  </si>
  <si>
    <t>oualanensis</t>
  </si>
  <si>
    <t>phaeus</t>
  </si>
  <si>
    <t>procne</t>
  </si>
  <si>
    <t>urostigma</t>
  </si>
  <si>
    <t>vicinus</t>
  </si>
  <si>
    <t>barlowi</t>
  </si>
  <si>
    <t>callainos</t>
  </si>
  <si>
    <t>chrysomallos</t>
  </si>
  <si>
    <t>cyneusmarginata</t>
  </si>
  <si>
    <t>emmiltos</t>
  </si>
  <si>
    <t>estherae</t>
  </si>
  <si>
    <t>flavifemina</t>
  </si>
  <si>
    <t>glaucos</t>
  </si>
  <si>
    <t>greshakei</t>
  </si>
  <si>
    <t>hajomaylandi</t>
  </si>
  <si>
    <t>heteropicta</t>
  </si>
  <si>
    <t>lanisticola</t>
  </si>
  <si>
    <t>lombardoi</t>
  </si>
  <si>
    <t>lundoense</t>
  </si>
  <si>
    <t>mbenjii</t>
  </si>
  <si>
    <t>melabranchion</t>
  </si>
  <si>
    <t>midomo</t>
  </si>
  <si>
    <t>nigrodorsalis</t>
  </si>
  <si>
    <t>nkhunguensis</t>
  </si>
  <si>
    <t>pambazuko</t>
  </si>
  <si>
    <t>phaeos</t>
  </si>
  <si>
    <t>pursa</t>
  </si>
  <si>
    <t>pyrsonotos</t>
  </si>
  <si>
    <t>sandaracinos</t>
  </si>
  <si>
    <t>sciasma</t>
  </si>
  <si>
    <t>tarakiki</t>
  </si>
  <si>
    <t>thapsinogen</t>
  </si>
  <si>
    <t>xanstomachus</t>
  </si>
  <si>
    <t>albomaculatus</t>
  </si>
  <si>
    <t>apectoralis</t>
  </si>
  <si>
    <t>aviceps</t>
  </si>
  <si>
    <t>brachyrhinus</t>
  </si>
  <si>
    <t>catchpolei</t>
  </si>
  <si>
    <t>cryptacanthus</t>
  </si>
  <si>
    <t>cunningtoni</t>
  </si>
  <si>
    <t>decorsei</t>
  </si>
  <si>
    <t>ellipsifer</t>
  </si>
  <si>
    <t>erythrotaenia</t>
  </si>
  <si>
    <t>flavidus</t>
  </si>
  <si>
    <t>kakrimensis</t>
  </si>
  <si>
    <t>latens</t>
  </si>
  <si>
    <t>liberiensis</t>
  </si>
  <si>
    <t>loennbergii</t>
  </si>
  <si>
    <t>marchei</t>
  </si>
  <si>
    <t>mastacembelus</t>
  </si>
  <si>
    <t>micropectus</t>
  </si>
  <si>
    <t>notophthalmus</t>
  </si>
  <si>
    <t>oatesii</t>
  </si>
  <si>
    <t>ophidium</t>
  </si>
  <si>
    <t>paucispinis</t>
  </si>
  <si>
    <t>plagiostomus</t>
  </si>
  <si>
    <t>platysoma</t>
  </si>
  <si>
    <t>praensis</t>
  </si>
  <si>
    <t>reygeli</t>
  </si>
  <si>
    <t>sanagali</t>
  </si>
  <si>
    <t>seiteri</t>
  </si>
  <si>
    <t>sexdecimspinus</t>
  </si>
  <si>
    <t>shiloangoensis</t>
  </si>
  <si>
    <t>shiranus</t>
  </si>
  <si>
    <t>simbi</t>
  </si>
  <si>
    <t>strigiventus</t>
  </si>
  <si>
    <t>taiaensis</t>
  </si>
  <si>
    <t>tanganicae</t>
  </si>
  <si>
    <t>tinwini</t>
  </si>
  <si>
    <t>traversi</t>
  </si>
  <si>
    <t>triolobus</t>
  </si>
  <si>
    <t>zebratus</t>
  </si>
  <si>
    <t>ladigesi</t>
  </si>
  <si>
    <t>brunoi</t>
  </si>
  <si>
    <t>carrowi</t>
  </si>
  <si>
    <t>costaricanus</t>
  </si>
  <si>
    <t>delalandii</t>
  </si>
  <si>
    <t>ebisui</t>
  </si>
  <si>
    <t>erdmani</t>
  </si>
  <si>
    <t>gilli</t>
  </si>
  <si>
    <t>macropus</t>
  </si>
  <si>
    <t>margaritae</t>
  </si>
  <si>
    <t>polyporosus</t>
  </si>
  <si>
    <t>sudensis</t>
  </si>
  <si>
    <t>tetranemus</t>
  </si>
  <si>
    <t>triangulatus</t>
  </si>
  <si>
    <t>versicolor</t>
  </si>
  <si>
    <t>zacae</t>
  </si>
  <si>
    <t>zonifer</t>
  </si>
  <si>
    <t>zonogaster</t>
  </si>
  <si>
    <t>baviensis</t>
  </si>
  <si>
    <t>erythropterus</t>
  </si>
  <si>
    <t>hongkongensis</t>
  </si>
  <si>
    <t>phongnhaensis</t>
  </si>
  <si>
    <t>spechti</t>
  </si>
  <si>
    <t>bipartitus</t>
  </si>
  <si>
    <t>cyanoguttatus</t>
  </si>
  <si>
    <t>geoffroy</t>
  </si>
  <si>
    <t>kuiteri</t>
  </si>
  <si>
    <t>pakoko</t>
  </si>
  <si>
    <t>vivienae</t>
  </si>
  <si>
    <t>aral</t>
  </si>
  <si>
    <t>caudiocellatus</t>
  </si>
  <si>
    <t>circumcinctus</t>
  </si>
  <si>
    <t>dorsiocellatus</t>
  </si>
  <si>
    <t>keithi</t>
  </si>
  <si>
    <t>lineatomaculatus</t>
  </si>
  <si>
    <t>meklongensis</t>
  </si>
  <si>
    <t>pancalus</t>
  </si>
  <si>
    <t>pentophthalmos</t>
  </si>
  <si>
    <t>semiocellatus</t>
  </si>
  <si>
    <t>taeniagaster</t>
  </si>
  <si>
    <t>tapirus</t>
  </si>
  <si>
    <t>zebrinus</t>
  </si>
  <si>
    <t>alphigena</t>
  </si>
  <si>
    <t>cobalus</t>
  </si>
  <si>
    <t>crocodilus</t>
  </si>
  <si>
    <t>dalli</t>
  </si>
  <si>
    <t>elasson</t>
  </si>
  <si>
    <t>heterochroma</t>
  </si>
  <si>
    <t>lavenbergi</t>
  </si>
  <si>
    <t>mowbrayi</t>
  </si>
  <si>
    <t>nesiotes</t>
  </si>
  <si>
    <t>okapia</t>
  </si>
  <si>
    <t>phorellus</t>
  </si>
  <si>
    <t>rhizophora</t>
  </si>
  <si>
    <t>solanensis</t>
  </si>
  <si>
    <t>spilus</t>
  </si>
  <si>
    <t>adetii</t>
  </si>
  <si>
    <t>agennes</t>
  </si>
  <si>
    <t>alexandrei</t>
  </si>
  <si>
    <t>ambiguus</t>
  </si>
  <si>
    <t>analis</t>
  </si>
  <si>
    <t>apodus</t>
  </si>
  <si>
    <t>aratus</t>
  </si>
  <si>
    <t>argentimaculatus</t>
  </si>
  <si>
    <t>argentiventris</t>
  </si>
  <si>
    <t>biguttatus</t>
  </si>
  <si>
    <t>bohar</t>
  </si>
  <si>
    <t>boutton</t>
  </si>
  <si>
    <t>buccanella</t>
  </si>
  <si>
    <t>campechanus</t>
  </si>
  <si>
    <t>carponotatus</t>
  </si>
  <si>
    <t>coeruleolineatus</t>
  </si>
  <si>
    <t>colorado</t>
  </si>
  <si>
    <t>decussatus</t>
  </si>
  <si>
    <t>dodecacanthoides</t>
  </si>
  <si>
    <t>ehrenbergii</t>
  </si>
  <si>
    <t>endecacanthus</t>
  </si>
  <si>
    <t>fulgens</t>
  </si>
  <si>
    <t>fulviflamma</t>
  </si>
  <si>
    <t>fulvus</t>
  </si>
  <si>
    <t>gibbus</t>
  </si>
  <si>
    <t>griseus</t>
  </si>
  <si>
    <t>guilcheri</t>
  </si>
  <si>
    <t>jocu</t>
  </si>
  <si>
    <t>johnii</t>
  </si>
  <si>
    <t>jordani</t>
  </si>
  <si>
    <t>kasmira</t>
  </si>
  <si>
    <t>lemniscatus</t>
  </si>
  <si>
    <t>lutjanus</t>
  </si>
  <si>
    <t>madras</t>
  </si>
  <si>
    <t>mahogoni</t>
  </si>
  <si>
    <t>maxweberi</t>
  </si>
  <si>
    <t>mizenkoi</t>
  </si>
  <si>
    <t>monostigma</t>
  </si>
  <si>
    <t>novemfasciatus</t>
  </si>
  <si>
    <t>octolineatus</t>
  </si>
  <si>
    <t>ophuysenii</t>
  </si>
  <si>
    <t>peru</t>
  </si>
  <si>
    <t>quinquelineatus</t>
  </si>
  <si>
    <t>rufolineatus</t>
  </si>
  <si>
    <t>russellii</t>
  </si>
  <si>
    <t>sapphirolineatus</t>
  </si>
  <si>
    <t>semicinctus</t>
  </si>
  <si>
    <t>synagris</t>
  </si>
  <si>
    <t>timoriensis</t>
  </si>
  <si>
    <t>vitta</t>
  </si>
  <si>
    <t>vivanus</t>
  </si>
  <si>
    <t>pellegrinii</t>
  </si>
  <si>
    <t>setigerum</t>
  </si>
  <si>
    <t>spilopleura</t>
  </si>
  <si>
    <t>trinema</t>
  </si>
  <si>
    <t>aura</t>
  </si>
  <si>
    <t>pholis</t>
  </si>
  <si>
    <t>trigloides</t>
  </si>
  <si>
    <t>oncinus</t>
  </si>
  <si>
    <t>africanum</t>
  </si>
  <si>
    <t>aragai</t>
  </si>
  <si>
    <t>carmabi</t>
  </si>
  <si>
    <t>collettei</t>
  </si>
  <si>
    <t>dorsoluteum</t>
  </si>
  <si>
    <t>emanueli</t>
  </si>
  <si>
    <t>erythraeum</t>
  </si>
  <si>
    <t>eukrines</t>
  </si>
  <si>
    <t>flavidum</t>
  </si>
  <si>
    <t>incomptum</t>
  </si>
  <si>
    <t>japonicum</t>
  </si>
  <si>
    <t>latifasciatum</t>
  </si>
  <si>
    <t>lemniscatum</t>
  </si>
  <si>
    <t>longilepis</t>
  </si>
  <si>
    <t>lunulatum</t>
  </si>
  <si>
    <t>maculatum</t>
  </si>
  <si>
    <t>mitratum</t>
  </si>
  <si>
    <t>multilineatum</t>
  </si>
  <si>
    <t>olneyi</t>
  </si>
  <si>
    <t>rubre</t>
  </si>
  <si>
    <t>santi</t>
  </si>
  <si>
    <t>susumi</t>
  </si>
  <si>
    <t>swalesi</t>
  </si>
  <si>
    <t>tonstrinum</t>
  </si>
  <si>
    <t>caymanensis</t>
  </si>
  <si>
    <t>fuscomaculata</t>
  </si>
  <si>
    <t>garnieri</t>
  </si>
  <si>
    <t>grossidens</t>
  </si>
  <si>
    <t>heterandria</t>
  </si>
  <si>
    <t>melanogaster</t>
  </si>
  <si>
    <t>melanonotata</t>
  </si>
  <si>
    <t>miragoanensis</t>
  </si>
  <si>
    <t>pauciradiata</t>
  </si>
  <si>
    <t>perugiae</t>
  </si>
  <si>
    <t>rivasi</t>
  </si>
  <si>
    <t>sulphurophila</t>
  </si>
  <si>
    <t>yaguajali</t>
  </si>
  <si>
    <t>gossei</t>
  </si>
  <si>
    <t>leptodon</t>
  </si>
  <si>
    <t>lethrinus</t>
  </si>
  <si>
    <t>lunaris</t>
  </si>
  <si>
    <t>macracanthus</t>
  </si>
  <si>
    <t>macrochir</t>
  </si>
  <si>
    <t>micrentodon</t>
  </si>
  <si>
    <t>stridei</t>
  </si>
  <si>
    <t>flavolineata</t>
  </si>
  <si>
    <t>guilinensis</t>
  </si>
  <si>
    <t>hengyangensis</t>
  </si>
  <si>
    <t>posterodorsalis</t>
  </si>
  <si>
    <t>rubrilabris</t>
  </si>
  <si>
    <t>taeniops</t>
  </si>
  <si>
    <t>tchangi</t>
  </si>
  <si>
    <t>tientainensis</t>
  </si>
  <si>
    <t>hoevenii</t>
  </si>
  <si>
    <t>melanotaenia</t>
  </si>
  <si>
    <t>rubripinna</t>
  </si>
  <si>
    <t>alternus</t>
  </si>
  <si>
    <t>amae</t>
  </si>
  <si>
    <t>amblyrhynchus</t>
  </si>
  <si>
    <t>apollo</t>
  </si>
  <si>
    <t>arcus</t>
  </si>
  <si>
    <t>arimaspi</t>
  </si>
  <si>
    <t>aripuanaensis</t>
  </si>
  <si>
    <t>badueli</t>
  </si>
  <si>
    <t>bahiensis</t>
  </si>
  <si>
    <t>bistriatus</t>
  </si>
  <si>
    <t>brinco</t>
  </si>
  <si>
    <t>brunneus</t>
  </si>
  <si>
    <t>conirostris</t>
  </si>
  <si>
    <t>copelandii</t>
  </si>
  <si>
    <t>cylindriformis</t>
  </si>
  <si>
    <t>desmotes</t>
  </si>
  <si>
    <t>ecuadorensis</t>
  </si>
  <si>
    <t>friderici</t>
  </si>
  <si>
    <t>geminis</t>
  </si>
  <si>
    <t>gomesi</t>
  </si>
  <si>
    <t>holostictus</t>
  </si>
  <si>
    <t>jatuncochi</t>
  </si>
  <si>
    <t>klausewitzi</t>
  </si>
  <si>
    <t>lebaili</t>
  </si>
  <si>
    <t>leschenaulti</t>
  </si>
  <si>
    <t>marcgravii</t>
  </si>
  <si>
    <t>melanopleura</t>
  </si>
  <si>
    <t>melanopleurodes</t>
  </si>
  <si>
    <t>moralesi</t>
  </si>
  <si>
    <t>muyscorum</t>
  </si>
  <si>
    <t>nattereri</t>
  </si>
  <si>
    <t>niceforoi</t>
  </si>
  <si>
    <t>nijsseni</t>
  </si>
  <si>
    <t>octofasciatus</t>
  </si>
  <si>
    <t>octomaculatus</t>
  </si>
  <si>
    <t>ortomaculatus</t>
  </si>
  <si>
    <t>pachyurus</t>
  </si>
  <si>
    <t>paralternus</t>
  </si>
  <si>
    <t>pearsoni</t>
  </si>
  <si>
    <t>piau</t>
  </si>
  <si>
    <t>piavussu</t>
  </si>
  <si>
    <t>pitingai</t>
  </si>
  <si>
    <t>reinhardti</t>
  </si>
  <si>
    <t>santosi</t>
  </si>
  <si>
    <t>steyermarki</t>
  </si>
  <si>
    <t>subniger</t>
  </si>
  <si>
    <t>taeniofasciatus</t>
  </si>
  <si>
    <t>uatumaensis</t>
  </si>
  <si>
    <t>unitaeniatus</t>
  </si>
  <si>
    <t>vanzoi</t>
  </si>
  <si>
    <t>y-ophorus</t>
  </si>
  <si>
    <t>joselimai</t>
  </si>
  <si>
    <t>triactis</t>
  </si>
  <si>
    <t>cyanellus</t>
  </si>
  <si>
    <t>gibbosus</t>
  </si>
  <si>
    <t>gulosus</t>
  </si>
  <si>
    <t>macrochirus</t>
  </si>
  <si>
    <t>megalotis</t>
  </si>
  <si>
    <t>microlophus</t>
  </si>
  <si>
    <t>miniatus</t>
  </si>
  <si>
    <t>peltastes</t>
  </si>
  <si>
    <t>symmetricus</t>
  </si>
  <si>
    <t>osseus</t>
  </si>
  <si>
    <t>platostomus</t>
  </si>
  <si>
    <t>platyrhincus</t>
  </si>
  <si>
    <t>paradoxa</t>
  </si>
  <si>
    <t>hecqui</t>
  </si>
  <si>
    <t>kamambae</t>
  </si>
  <si>
    <t>meeli</t>
  </si>
  <si>
    <t>mimicus</t>
  </si>
  <si>
    <t>variostigma</t>
  </si>
  <si>
    <t>arekaima</t>
  </si>
  <si>
    <t>longibarbis</t>
  </si>
  <si>
    <t>callipterus</t>
  </si>
  <si>
    <t>congoensis</t>
  </si>
  <si>
    <t>finalimus</t>
  </si>
  <si>
    <t>kungweensis</t>
  </si>
  <si>
    <t>lemairii</t>
  </si>
  <si>
    <t>lethops</t>
  </si>
  <si>
    <t>markerti</t>
  </si>
  <si>
    <t>mocquardi</t>
  </si>
  <si>
    <t>stappersi</t>
  </si>
  <si>
    <t>tigripictilis</t>
  </si>
  <si>
    <t>tumbanus</t>
  </si>
  <si>
    <t>avacanoeiro</t>
  </si>
  <si>
    <t>llanero</t>
  </si>
  <si>
    <t>maracaibero</t>
  </si>
  <si>
    <t>parakana</t>
  </si>
  <si>
    <t>stibaros</t>
  </si>
  <si>
    <t>araguaiae</t>
  </si>
  <si>
    <t>curviceps</t>
  </si>
  <si>
    <t>dorsigera</t>
  </si>
  <si>
    <t>flamannellus</t>
  </si>
  <si>
    <t>flavilabris</t>
  </si>
  <si>
    <t>fulvipinnis</t>
  </si>
  <si>
    <t>thayeri</t>
  </si>
  <si>
    <t>cornuta</t>
  </si>
  <si>
    <t>fornasini</t>
  </si>
  <si>
    <t>paschae</t>
  </si>
  <si>
    <t>bicaudalis</t>
  </si>
  <si>
    <t>trigonus</t>
  </si>
  <si>
    <t>triqueter</t>
  </si>
  <si>
    <t>phthirophagus</t>
  </si>
  <si>
    <t>unilineatus</t>
  </si>
  <si>
    <t>chisumulae</t>
  </si>
  <si>
    <t>flavigulis</t>
  </si>
  <si>
    <t>freibergi</t>
  </si>
  <si>
    <t>ianthinus</t>
  </si>
  <si>
    <t>mathotho</t>
  </si>
  <si>
    <t>textilis</t>
  </si>
  <si>
    <t>vellicans</t>
  </si>
  <si>
    <t>zebroides</t>
  </si>
  <si>
    <t>alluaudi</t>
  </si>
  <si>
    <t>alticentralis</t>
  </si>
  <si>
    <t>angra</t>
  </si>
  <si>
    <t>baldasseronii</t>
  </si>
  <si>
    <t>barbatulus</t>
  </si>
  <si>
    <t>bata</t>
  </si>
  <si>
    <t>boga</t>
  </si>
  <si>
    <t>boggut</t>
  </si>
  <si>
    <t>bottegi</t>
  </si>
  <si>
    <t>brachypoma</t>
  </si>
  <si>
    <t>calbasu</t>
  </si>
  <si>
    <t>camerunensis</t>
  </si>
  <si>
    <t>chariensis</t>
  </si>
  <si>
    <t>chrysophekadion</t>
  </si>
  <si>
    <t>congoro</t>
  </si>
  <si>
    <t>coubie</t>
  </si>
  <si>
    <t>curchius</t>
  </si>
  <si>
    <t>curriei</t>
  </si>
  <si>
    <t>cyclopinnis</t>
  </si>
  <si>
    <t>cyclorhynchus</t>
  </si>
  <si>
    <t>dussumieri</t>
  </si>
  <si>
    <t>dyocheilus</t>
  </si>
  <si>
    <t>fisheri</t>
  </si>
  <si>
    <t>forskalii</t>
  </si>
  <si>
    <t>fulakariensis</t>
  </si>
  <si>
    <t>gonius</t>
  </si>
  <si>
    <t>greenii</t>
  </si>
  <si>
    <t>gregorii</t>
  </si>
  <si>
    <t>horie</t>
  </si>
  <si>
    <t>indramontri</t>
  </si>
  <si>
    <t>kawrus</t>
  </si>
  <si>
    <t>kibimbi</t>
  </si>
  <si>
    <t>kontius</t>
  </si>
  <si>
    <t>lualabaensis</t>
  </si>
  <si>
    <t>lukulae</t>
  </si>
  <si>
    <t>luluae</t>
  </si>
  <si>
    <t>lunatus</t>
  </si>
  <si>
    <t>macmahoni</t>
  </si>
  <si>
    <t>maleboensis</t>
  </si>
  <si>
    <t>meroensis</t>
  </si>
  <si>
    <t>mesops</t>
  </si>
  <si>
    <t>mokotoensis</t>
  </si>
  <si>
    <t>molybdinus</t>
  </si>
  <si>
    <t>moszkowskii</t>
  </si>
  <si>
    <t>nandina</t>
  </si>
  <si>
    <t>nunensis</t>
  </si>
  <si>
    <t>pangusia</t>
  </si>
  <si>
    <t>percivali</t>
  </si>
  <si>
    <t>pierrei</t>
  </si>
  <si>
    <t>pietschmanni</t>
  </si>
  <si>
    <t>porcellus</t>
  </si>
  <si>
    <t>potail</t>
  </si>
  <si>
    <t>quadribarbis</t>
  </si>
  <si>
    <t>rajasthanicus</t>
  </si>
  <si>
    <t>rectipinnis</t>
  </si>
  <si>
    <t>ricnorhynchus</t>
  </si>
  <si>
    <t>rohita</t>
  </si>
  <si>
    <t>rosae</t>
  </si>
  <si>
    <t>roseopunctatus</t>
  </si>
  <si>
    <t>rouaneti</t>
  </si>
  <si>
    <t>rubromaculatus</t>
  </si>
  <si>
    <t>ruddi</t>
  </si>
  <si>
    <t>sanagaensis</t>
  </si>
  <si>
    <t>seeberi</t>
  </si>
  <si>
    <t>senegalensis</t>
  </si>
  <si>
    <t>stolizkae</t>
  </si>
  <si>
    <t>trigliceps</t>
  </si>
  <si>
    <t>udaipurensis</t>
  </si>
  <si>
    <t>umbratus</t>
  </si>
  <si>
    <t>yunnanensis</t>
  </si>
  <si>
    <t>baramensis</t>
  </si>
  <si>
    <t>bicirrhis</t>
  </si>
  <si>
    <t>cheveyi</t>
  </si>
  <si>
    <t>cryptopterus</t>
  </si>
  <si>
    <t>dissitus</t>
  </si>
  <si>
    <t>hesperius</t>
  </si>
  <si>
    <t>lais</t>
  </si>
  <si>
    <t>limpok</t>
  </si>
  <si>
    <t>lumholtzi</t>
  </si>
  <si>
    <t>mononema</t>
  </si>
  <si>
    <t>palembangensis</t>
  </si>
  <si>
    <t>paraschilbeides</t>
  </si>
  <si>
    <t>piperatus</t>
  </si>
  <si>
    <t>sabanus</t>
  </si>
  <si>
    <t>schilbeides</t>
  </si>
  <si>
    <t>vitreolus</t>
  </si>
  <si>
    <t>dickfeldi</t>
  </si>
  <si>
    <t>marksmithi</t>
  </si>
  <si>
    <t>marlieri</t>
  </si>
  <si>
    <t>transcriptus</t>
  </si>
  <si>
    <t>floridae</t>
  </si>
  <si>
    <t>edentulus</t>
  </si>
  <si>
    <t>flaviumbrinus</t>
  </si>
  <si>
    <t>muelleri</t>
  </si>
  <si>
    <t>pox</t>
  </si>
  <si>
    <t>declivitas</t>
  </si>
  <si>
    <t>sprengerae</t>
  </si>
  <si>
    <t>stuartgranti</t>
  </si>
  <si>
    <t>kerri</t>
  </si>
  <si>
    <t>spinosus</t>
  </si>
  <si>
    <t>adujai</t>
  </si>
  <si>
    <t>geisleri</t>
  </si>
  <si>
    <t>purusii</t>
  </si>
  <si>
    <t>coryphaenoides</t>
  </si>
  <si>
    <t>agna</t>
  </si>
  <si>
    <t>alatus</t>
  </si>
  <si>
    <t>albopunctatus</t>
  </si>
  <si>
    <t>ancistroides</t>
  </si>
  <si>
    <t>angipinnatus</t>
  </si>
  <si>
    <t>arecuta</t>
  </si>
  <si>
    <t>asperatus</t>
  </si>
  <si>
    <t>aspilogaster</t>
  </si>
  <si>
    <t>atropinnis</t>
  </si>
  <si>
    <t>auroguttatus</t>
  </si>
  <si>
    <t>basilisko</t>
  </si>
  <si>
    <t>bolivianus</t>
  </si>
  <si>
    <t>borellii</t>
  </si>
  <si>
    <t>brevicauda</t>
  </si>
  <si>
    <t>careopinnatus</t>
  </si>
  <si>
    <t>carinatus</t>
  </si>
  <si>
    <t>chrysostiktos</t>
  </si>
  <si>
    <t>commersoni</t>
  </si>
  <si>
    <t>commersonoides</t>
  </si>
  <si>
    <t>coppenamensis</t>
  </si>
  <si>
    <t>corantijni</t>
  </si>
  <si>
    <t>crassicauda</t>
  </si>
  <si>
    <t>dardanelos</t>
  </si>
  <si>
    <t>delimai</t>
  </si>
  <si>
    <t>derbyi</t>
  </si>
  <si>
    <t>dlouhyi</t>
  </si>
  <si>
    <t>eptingi</t>
  </si>
  <si>
    <t>ericae</t>
  </si>
  <si>
    <t>ericius</t>
  </si>
  <si>
    <t>faveolus</t>
  </si>
  <si>
    <t>fonchii</t>
  </si>
  <si>
    <t>francisci</t>
  </si>
  <si>
    <t>goyazensis</t>
  </si>
  <si>
    <t>gymnorhynchus</t>
  </si>
  <si>
    <t>hemicochliodon</t>
  </si>
  <si>
    <t>hemiurus</t>
  </si>
  <si>
    <t>heraldoi</t>
  </si>
  <si>
    <t>hermanni</t>
  </si>
  <si>
    <t>hondae</t>
  </si>
  <si>
    <t>hoplonites</t>
  </si>
  <si>
    <t>iheringii</t>
  </si>
  <si>
    <t>isbrueckeri</t>
  </si>
  <si>
    <t>itacua</t>
  </si>
  <si>
    <t>jaguar</t>
  </si>
  <si>
    <t>jaguribensis</t>
  </si>
  <si>
    <t>khimaera</t>
  </si>
  <si>
    <t>kopeyaka</t>
  </si>
  <si>
    <t>kuarup</t>
  </si>
  <si>
    <t>laplatae</t>
  </si>
  <si>
    <t>latifrons</t>
  </si>
  <si>
    <t>leucophaeus</t>
  </si>
  <si>
    <t>lexi</t>
  </si>
  <si>
    <t>longiradiatus</t>
  </si>
  <si>
    <t>luetkeni</t>
  </si>
  <si>
    <t>luteomaculatus</t>
  </si>
  <si>
    <t>macushi</t>
  </si>
  <si>
    <t>margaritifer</t>
  </si>
  <si>
    <t>melanephelis</t>
  </si>
  <si>
    <t>micromaculatus</t>
  </si>
  <si>
    <t>microstomus</t>
  </si>
  <si>
    <t>multidens</t>
  </si>
  <si>
    <t>mutucae</t>
  </si>
  <si>
    <t>nematopterus</t>
  </si>
  <si>
    <t>nickeriensis</t>
  </si>
  <si>
    <t>nigropunctatus</t>
  </si>
  <si>
    <t>occidentalis</t>
  </si>
  <si>
    <t>oculeus</t>
  </si>
  <si>
    <t>pagei</t>
  </si>
  <si>
    <t>paucipunctatus</t>
  </si>
  <si>
    <t>paulinus</t>
  </si>
  <si>
    <t>peckoltoides</t>
  </si>
  <si>
    <t>perdido</t>
  </si>
  <si>
    <t>piratatu</t>
  </si>
  <si>
    <t>plecostomoides</t>
  </si>
  <si>
    <t>plecostomus</t>
  </si>
  <si>
    <t>pospisili</t>
  </si>
  <si>
    <t>pseudohemiurus</t>
  </si>
  <si>
    <t>pusarum</t>
  </si>
  <si>
    <t>pyrineusi</t>
  </si>
  <si>
    <t>rhantos</t>
  </si>
  <si>
    <t>robinii</t>
  </si>
  <si>
    <t>rondoni</t>
  </si>
  <si>
    <t>saramaccensis</t>
  </si>
  <si>
    <t>scabriceps</t>
  </si>
  <si>
    <t>scaphyceps</t>
  </si>
  <si>
    <t>sculpodon</t>
  </si>
  <si>
    <t>simios</t>
  </si>
  <si>
    <t>sipaliwinii</t>
  </si>
  <si>
    <t>soniae</t>
  </si>
  <si>
    <t>strigaticeps</t>
  </si>
  <si>
    <t>subcarinatus</t>
  </si>
  <si>
    <t>tapanahoniensis</t>
  </si>
  <si>
    <t>taphorni</t>
  </si>
  <si>
    <t>tapijara</t>
  </si>
  <si>
    <t>tietensis</t>
  </si>
  <si>
    <t>topavae</t>
  </si>
  <si>
    <t>unae</t>
  </si>
  <si>
    <t>uruguayensis</t>
  </si>
  <si>
    <t>variipictus</t>
  </si>
  <si>
    <t>varimaculosus</t>
  </si>
  <si>
    <t>variostictus</t>
  </si>
  <si>
    <t>ventromaculatus</t>
  </si>
  <si>
    <t>vermicularis</t>
  </si>
  <si>
    <t>waiampi</t>
  </si>
  <si>
    <t>watwata</t>
  </si>
  <si>
    <t>winzi</t>
  </si>
  <si>
    <t>wuchereri</t>
  </si>
  <si>
    <t>yaku</t>
  </si>
  <si>
    <t>baileyi</t>
  </si>
  <si>
    <t>bianale</t>
  </si>
  <si>
    <t>brevirostratum</t>
  </si>
  <si>
    <t>guianense</t>
  </si>
  <si>
    <t>gulare</t>
  </si>
  <si>
    <t>incognitum</t>
  </si>
  <si>
    <t>inexspectatum</t>
  </si>
  <si>
    <t>machadoi</t>
  </si>
  <si>
    <t>muzuspi</t>
  </si>
  <si>
    <t>psilogaster</t>
  </si>
  <si>
    <t>spectabile</t>
  </si>
  <si>
    <t>sternoptychum</t>
  </si>
  <si>
    <t>thoracatum</t>
  </si>
  <si>
    <t>atlahua</t>
  </si>
  <si>
    <t>castroaguirrei</t>
  </si>
  <si>
    <t>chlorurus</t>
  </si>
  <si>
    <t>ecosur</t>
  </si>
  <si>
    <t>gemma</t>
  </si>
  <si>
    <t>gummigutta</t>
  </si>
  <si>
    <t>guttavarius</t>
  </si>
  <si>
    <t>indigo</t>
  </si>
  <si>
    <t>maculiferus</t>
  </si>
  <si>
    <t>maya</t>
  </si>
  <si>
    <t>providencianus</t>
  </si>
  <si>
    <t>puella</t>
  </si>
  <si>
    <t>randallorum</t>
  </si>
  <si>
    <t>mentalis</t>
  </si>
  <si>
    <t>acaciae</t>
  </si>
  <si>
    <t>agulha</t>
  </si>
  <si>
    <t>albolineatum</t>
  </si>
  <si>
    <t>amapaensis</t>
  </si>
  <si>
    <t>amaronensis</t>
  </si>
  <si>
    <t>anisitsi</t>
  </si>
  <si>
    <t>arianae</t>
  </si>
  <si>
    <t>auca</t>
  </si>
  <si>
    <t>balbus</t>
  </si>
  <si>
    <t>bentosi</t>
  </si>
  <si>
    <t>brumado</t>
  </si>
  <si>
    <t>cachimbensis</t>
  </si>
  <si>
    <t>catableptus</t>
  </si>
  <si>
    <t>chocoensis</t>
  </si>
  <si>
    <t>clavatus</t>
  </si>
  <si>
    <t>columbianus</t>
  </si>
  <si>
    <t>condotensis</t>
  </si>
  <si>
    <t>copelandi</t>
  </si>
  <si>
    <t>diancistrus</t>
  </si>
  <si>
    <t>diastatos</t>
  </si>
  <si>
    <t>duragenys</t>
  </si>
  <si>
    <t>ecuadoriensis</t>
  </si>
  <si>
    <t>eilyos</t>
  </si>
  <si>
    <t>elachys</t>
  </si>
  <si>
    <t>epicharis</t>
  </si>
  <si>
    <t>erythrostigma</t>
  </si>
  <si>
    <t>eschwartzae</t>
  </si>
  <si>
    <t>fernandezi</t>
  </si>
  <si>
    <t>flammeus</t>
  </si>
  <si>
    <t>frankei</t>
  </si>
  <si>
    <t>georgettae</t>
  </si>
  <si>
    <t>griemi</t>
  </si>
  <si>
    <t>guarani</t>
  </si>
  <si>
    <t>hamatus</t>
  </si>
  <si>
    <t>haraldschultzi</t>
  </si>
  <si>
    <t>heliacus</t>
  </si>
  <si>
    <t>heteresthes</t>
  </si>
  <si>
    <t>heterorhabdus</t>
  </si>
  <si>
    <t>hexastichos</t>
  </si>
  <si>
    <t>hildae</t>
  </si>
  <si>
    <t>igneus</t>
  </si>
  <si>
    <t>inconstans</t>
  </si>
  <si>
    <t>isiri</t>
  </si>
  <si>
    <t>itaparicensis</t>
  </si>
  <si>
    <t>jackrobertsi</t>
  </si>
  <si>
    <t>kayabi</t>
  </si>
  <si>
    <t>khardinae</t>
  </si>
  <si>
    <t>langeanii</t>
  </si>
  <si>
    <t>loretoensis</t>
  </si>
  <si>
    <t>luetkenii</t>
  </si>
  <si>
    <t>mavro</t>
  </si>
  <si>
    <t>megalopterus</t>
  </si>
  <si>
    <t>melanostichos</t>
  </si>
  <si>
    <t>melasemeion</t>
  </si>
  <si>
    <t>melazonatus</t>
  </si>
  <si>
    <t>meridionalis</t>
  </si>
  <si>
    <t>micropterus</t>
  </si>
  <si>
    <t>moniliger</t>
  </si>
  <si>
    <t>montagi</t>
  </si>
  <si>
    <t>negodagua</t>
  </si>
  <si>
    <t>nicolasi</t>
  </si>
  <si>
    <t>nigricinctus</t>
  </si>
  <si>
    <t>notidanos</t>
  </si>
  <si>
    <t>ocasoensis</t>
  </si>
  <si>
    <t>oritoensis</t>
  </si>
  <si>
    <t>otrynus</t>
  </si>
  <si>
    <t>paepkei</t>
  </si>
  <si>
    <t>pando</t>
  </si>
  <si>
    <t>parvellus</t>
  </si>
  <si>
    <t>paucilepis</t>
  </si>
  <si>
    <t>peruvianus</t>
  </si>
  <si>
    <t>peugeoti</t>
  </si>
  <si>
    <t>piabinhas</t>
  </si>
  <si>
    <t>poecilioides</t>
  </si>
  <si>
    <t>procerus</t>
  </si>
  <si>
    <t>pulchripinnis</t>
  </si>
  <si>
    <t>pyrrhonotus</t>
  </si>
  <si>
    <t>pytai</t>
  </si>
  <si>
    <t>robustulus</t>
  </si>
  <si>
    <t>roseus</t>
  </si>
  <si>
    <t>rutiliflavidus</t>
  </si>
  <si>
    <t>saizi</t>
  </si>
  <si>
    <t>santae</t>
  </si>
  <si>
    <t>savagei</t>
  </si>
  <si>
    <t>schauenseei</t>
  </si>
  <si>
    <t>scholzei</t>
  </si>
  <si>
    <t>scutulatus</t>
  </si>
  <si>
    <t>sebastiani</t>
  </si>
  <si>
    <t>sovichthys</t>
  </si>
  <si>
    <t>stegemanni</t>
  </si>
  <si>
    <t>stramineus</t>
  </si>
  <si>
    <t>sweglesi</t>
  </si>
  <si>
    <t>taguae</t>
  </si>
  <si>
    <t>taurocephalus</t>
  </si>
  <si>
    <t>togoi</t>
  </si>
  <si>
    <t>tortuguerae</t>
  </si>
  <si>
    <t>tropis</t>
  </si>
  <si>
    <t>tukunai</t>
  </si>
  <si>
    <t>tuyensis</t>
  </si>
  <si>
    <t>uaiso</t>
  </si>
  <si>
    <t>vilmae</t>
  </si>
  <si>
    <t>vinaceus</t>
  </si>
  <si>
    <t>wadai</t>
  </si>
  <si>
    <t>wajat</t>
  </si>
  <si>
    <t>weitzmanorum</t>
  </si>
  <si>
    <t>scomberoides</t>
  </si>
  <si>
    <t>tatauaia</t>
  </si>
  <si>
    <t>brachysoma</t>
  </si>
  <si>
    <t>melanosoma</t>
  </si>
  <si>
    <t>nigricollaris</t>
  </si>
  <si>
    <t>littorale</t>
  </si>
  <si>
    <t>punctatum</t>
  </si>
  <si>
    <t>bilineata</t>
  </si>
  <si>
    <t>confuzona</t>
  </si>
  <si>
    <t>ogilviei</t>
  </si>
  <si>
    <t>orthogoniata</t>
  </si>
  <si>
    <t>parclitella</t>
  </si>
  <si>
    <t>bermudensis</t>
  </si>
  <si>
    <t>ciliaris</t>
  </si>
  <si>
    <t>clarionensis</t>
  </si>
  <si>
    <t>limbaughi</t>
  </si>
  <si>
    <t>passer</t>
  </si>
  <si>
    <t>histrio</t>
  </si>
  <si>
    <t>algiricus</t>
  </si>
  <si>
    <t>angustus</t>
  </si>
  <si>
    <t>bargibanti</t>
  </si>
  <si>
    <t>borboniensis</t>
  </si>
  <si>
    <t>casscsio</t>
  </si>
  <si>
    <t>comes</t>
  </si>
  <si>
    <t>coronatus</t>
  </si>
  <si>
    <t>curvicuspis</t>
  </si>
  <si>
    <t>denise</t>
  </si>
  <si>
    <t>erectus</t>
  </si>
  <si>
    <t>grandiceps</t>
  </si>
  <si>
    <t>guttulatus</t>
  </si>
  <si>
    <t>hendriki</t>
  </si>
  <si>
    <t>hippocampus</t>
  </si>
  <si>
    <t>histrix</t>
  </si>
  <si>
    <t>ingens</t>
  </si>
  <si>
    <t>jayakari</t>
  </si>
  <si>
    <t>jugumus</t>
  </si>
  <si>
    <t>kelloggi</t>
  </si>
  <si>
    <t>kuda</t>
  </si>
  <si>
    <t>lichtensteinii</t>
  </si>
  <si>
    <t>minotaur</t>
  </si>
  <si>
    <t>mohnikei</t>
  </si>
  <si>
    <t>montebelloensis</t>
  </si>
  <si>
    <t>multispinus</t>
  </si>
  <si>
    <t>patagonicus</t>
  </si>
  <si>
    <t>pontohi</t>
  </si>
  <si>
    <t>pusillus</t>
  </si>
  <si>
    <t>queenslandicus</t>
  </si>
  <si>
    <t>satomiae</t>
  </si>
  <si>
    <t>semispinosus</t>
  </si>
  <si>
    <t>sindonis</t>
  </si>
  <si>
    <t>spinosissimus</t>
  </si>
  <si>
    <t>subelongatus</t>
  </si>
  <si>
    <t>tyro</t>
  </si>
  <si>
    <t>waleananus</t>
  </si>
  <si>
    <t>zosterae</t>
  </si>
  <si>
    <t>henni</t>
  </si>
  <si>
    <t>efasciatus</t>
  </si>
  <si>
    <t>liberifer</t>
  </si>
  <si>
    <t>severus</t>
  </si>
  <si>
    <t>spurius</t>
  </si>
  <si>
    <t>chrysostomus</t>
  </si>
  <si>
    <t>diphreutes</t>
  </si>
  <si>
    <t>monoceros</t>
  </si>
  <si>
    <t>singularius</t>
  </si>
  <si>
    <t>varius</t>
  </si>
  <si>
    <t>multispinosus</t>
  </si>
  <si>
    <t>zoster</t>
  </si>
  <si>
    <t>atranalis</t>
  </si>
  <si>
    <t>goeldii</t>
  </si>
  <si>
    <t>huraulti</t>
  </si>
  <si>
    <t>iratapuru</t>
  </si>
  <si>
    <t>jatuarana</t>
  </si>
  <si>
    <t>orthonops</t>
  </si>
  <si>
    <t>parnaguae</t>
  </si>
  <si>
    <t>quadrimaculatus</t>
  </si>
  <si>
    <t>semitaeniatus</t>
  </si>
  <si>
    <t>sterni</t>
  </si>
  <si>
    <t>thayeria</t>
  </si>
  <si>
    <t>tocantinensis</t>
  </si>
  <si>
    <t>vorderwinkleri</t>
  </si>
  <si>
    <t>acipenserinus</t>
  </si>
  <si>
    <t>aereus</t>
  </si>
  <si>
    <t>arua</t>
  </si>
  <si>
    <t>ataktos</t>
  </si>
  <si>
    <t>barrigonae</t>
  </si>
  <si>
    <t>bellottii</t>
  </si>
  <si>
    <t>cupreus</t>
  </si>
  <si>
    <t>diagonicus</t>
  </si>
  <si>
    <t>durbinae</t>
  </si>
  <si>
    <t>erythrozonus</t>
  </si>
  <si>
    <t>falsus</t>
  </si>
  <si>
    <t>guyanensis</t>
  </si>
  <si>
    <t>haraldi</t>
  </si>
  <si>
    <t>hyanuary</t>
  </si>
  <si>
    <t>luelingi</t>
  </si>
  <si>
    <t>mahnerti</t>
  </si>
  <si>
    <t>matei</t>
  </si>
  <si>
    <t>megaceps</t>
  </si>
  <si>
    <t>melanochrous</t>
  </si>
  <si>
    <t>mimus</t>
  </si>
  <si>
    <t>neptunus</t>
  </si>
  <si>
    <t>newboldi</t>
  </si>
  <si>
    <t>ora</t>
  </si>
  <si>
    <t>orthus</t>
  </si>
  <si>
    <t>parana</t>
  </si>
  <si>
    <t>pretoensis</t>
  </si>
  <si>
    <t>rhodostomus</t>
  </si>
  <si>
    <t>rodwayi</t>
  </si>
  <si>
    <t>rubrostriatus</t>
  </si>
  <si>
    <t>schmardae</t>
  </si>
  <si>
    <t>silimoni</t>
  </si>
  <si>
    <t>skolioplatus</t>
  </si>
  <si>
    <t>stictus</t>
  </si>
  <si>
    <t>tocantinsi</t>
  </si>
  <si>
    <t>ulreyi</t>
  </si>
  <si>
    <t>yinyang</t>
  </si>
  <si>
    <t>angolensis</t>
  </si>
  <si>
    <t>cerasogaster</t>
  </si>
  <si>
    <t>exsul</t>
  </si>
  <si>
    <t>frempongi</t>
  </si>
  <si>
    <t>lifalili</t>
  </si>
  <si>
    <t>saharae</t>
  </si>
  <si>
    <t>stellifer</t>
  </si>
  <si>
    <t>amemiyai</t>
  </si>
  <si>
    <t>bongan</t>
  </si>
  <si>
    <t>camthuyensis</t>
  </si>
  <si>
    <t>caveatus</t>
  </si>
  <si>
    <t>centralus</t>
  </si>
  <si>
    <t>chiemhoaensis</t>
  </si>
  <si>
    <t>chrysops</t>
  </si>
  <si>
    <t>divaricatus</t>
  </si>
  <si>
    <t>dongbacensis</t>
  </si>
  <si>
    <t>filamentus</t>
  </si>
  <si>
    <t>fortis</t>
  </si>
  <si>
    <t>furcatus</t>
  </si>
  <si>
    <t>hainanensis</t>
  </si>
  <si>
    <t>hongus</t>
  </si>
  <si>
    <t>imbrifer</t>
  </si>
  <si>
    <t>johorensis</t>
  </si>
  <si>
    <t>lacustrinus</t>
  </si>
  <si>
    <t>macropterus</t>
  </si>
  <si>
    <t>maydelli</t>
  </si>
  <si>
    <t>menoda</t>
  </si>
  <si>
    <t>nemurus</t>
  </si>
  <si>
    <t>olyroides</t>
  </si>
  <si>
    <t>peguensis</t>
  </si>
  <si>
    <t>planiceps</t>
  </si>
  <si>
    <t>semotus</t>
  </si>
  <si>
    <t>songdaensis</t>
  </si>
  <si>
    <t>taybacensis</t>
  </si>
  <si>
    <t>velox</t>
  </si>
  <si>
    <t>vietnamicus</t>
  </si>
  <si>
    <t>wyckii</t>
  </si>
  <si>
    <t>wyckioides</t>
  </si>
  <si>
    <t>crenuchoides</t>
  </si>
  <si>
    <t>hanseni</t>
  </si>
  <si>
    <t>kalunga</t>
  </si>
  <si>
    <t>nambiquara</t>
  </si>
  <si>
    <t>piatan</t>
  </si>
  <si>
    <t>uberaba</t>
  </si>
  <si>
    <t>ampalong</t>
  </si>
  <si>
    <t>macrolepidota</t>
  </si>
  <si>
    <t>sabana</t>
  </si>
  <si>
    <t>salweenensis</t>
  </si>
  <si>
    <t>aestuaricola</t>
  </si>
  <si>
    <t>binotopsis</t>
  </si>
  <si>
    <t>bivittatus</t>
  </si>
  <si>
    <t>brownfieldi</t>
  </si>
  <si>
    <t>burekae</t>
  </si>
  <si>
    <t>chierchiae</t>
  </si>
  <si>
    <t>chlorocephalus</t>
  </si>
  <si>
    <t>chloropterus</t>
  </si>
  <si>
    <t>chrysus</t>
  </si>
  <si>
    <t>claudia</t>
  </si>
  <si>
    <t>cosmetus</t>
  </si>
  <si>
    <t>cyanocephalus</t>
  </si>
  <si>
    <t>discolor</t>
  </si>
  <si>
    <t>garnoti</t>
  </si>
  <si>
    <t>hartzfeldii</t>
  </si>
  <si>
    <t>hilomeni</t>
  </si>
  <si>
    <t>hortulanus</t>
  </si>
  <si>
    <t>iridis</t>
  </si>
  <si>
    <t>kallochroma</t>
  </si>
  <si>
    <t>lapillus</t>
  </si>
  <si>
    <t>leptotaenia</t>
  </si>
  <si>
    <t>leucoxanthus</t>
  </si>
  <si>
    <t>leucurus</t>
  </si>
  <si>
    <t>malpelo</t>
  </si>
  <si>
    <t>margaritaceus</t>
  </si>
  <si>
    <t>melanotis</t>
  </si>
  <si>
    <t>melasmapomus</t>
  </si>
  <si>
    <t>papilionaceus</t>
  </si>
  <si>
    <t>pardaleocephalus</t>
  </si>
  <si>
    <t>penrosei</t>
  </si>
  <si>
    <t>podostigma</t>
  </si>
  <si>
    <t>poeyi</t>
  </si>
  <si>
    <t>prosopeion</t>
  </si>
  <si>
    <t>radiatus</t>
  </si>
  <si>
    <t>richmondi</t>
  </si>
  <si>
    <t>rubricephalus</t>
  </si>
  <si>
    <t>rubrovirens</t>
  </si>
  <si>
    <t>salmofasciatus</t>
  </si>
  <si>
    <t>sazimai</t>
  </si>
  <si>
    <t>signifer</t>
  </si>
  <si>
    <t>stigmaticus</t>
  </si>
  <si>
    <t>tenuispinis</t>
  </si>
  <si>
    <t>trispilus</t>
  </si>
  <si>
    <t>vrolikii</t>
  </si>
  <si>
    <t>zeylonicus</t>
  </si>
  <si>
    <t>zulu</t>
  </si>
  <si>
    <t>aymonieri</t>
  </si>
  <si>
    <t>pennocki</t>
  </si>
  <si>
    <t>pustulosus</t>
  </si>
  <si>
    <t>arapaima</t>
  </si>
  <si>
    <t>ardilai</t>
  </si>
  <si>
    <t>bahianus</t>
  </si>
  <si>
    <t>capanema</t>
  </si>
  <si>
    <t>capitimaculatus</t>
  </si>
  <si>
    <t>carapo</t>
  </si>
  <si>
    <t>cataniapo</t>
  </si>
  <si>
    <t>chaviro</t>
  </si>
  <si>
    <t>chimarrao</t>
  </si>
  <si>
    <t>choco</t>
  </si>
  <si>
    <t>coatesi</t>
  </si>
  <si>
    <t>coropinae</t>
  </si>
  <si>
    <t>curupira</t>
  </si>
  <si>
    <t>diamantinensis</t>
  </si>
  <si>
    <t>esmeraldas</t>
  </si>
  <si>
    <t>inaequilabiatus</t>
  </si>
  <si>
    <t>javari</t>
  </si>
  <si>
    <t>jonasi</t>
  </si>
  <si>
    <t>mamiraua</t>
  </si>
  <si>
    <t>omarorum</t>
  </si>
  <si>
    <t>onca</t>
  </si>
  <si>
    <t>pantanal</t>
  </si>
  <si>
    <t>paraguensis</t>
  </si>
  <si>
    <t>pedanopterus</t>
  </si>
  <si>
    <t>stenoleucus</t>
  </si>
  <si>
    <t>sylvius</t>
  </si>
  <si>
    <t>tigre</t>
  </si>
  <si>
    <t>tiquie</t>
  </si>
  <si>
    <t>ucamara</t>
  </si>
  <si>
    <t>varzea</t>
  </si>
  <si>
    <t>angusticauda</t>
  </si>
  <si>
    <t>annasona</t>
  </si>
  <si>
    <t>atolli</t>
  </si>
  <si>
    <t>australicola</t>
  </si>
  <si>
    <t>austrinus</t>
  </si>
  <si>
    <t>bacalladoi</t>
  </si>
  <si>
    <t>baranesi</t>
  </si>
  <si>
    <t>berndti</t>
  </si>
  <si>
    <t>breedeni</t>
  </si>
  <si>
    <t>buroensis</t>
  </si>
  <si>
    <t>castlei</t>
  </si>
  <si>
    <t>cephalospilus</t>
  </si>
  <si>
    <t>chilospilus</t>
  </si>
  <si>
    <t>chlamydatus</t>
  </si>
  <si>
    <t>conspersus</t>
  </si>
  <si>
    <t>cribroris</t>
  </si>
  <si>
    <t>davidsmithi</t>
  </si>
  <si>
    <t>emmae</t>
  </si>
  <si>
    <t>enigmaticus</t>
  </si>
  <si>
    <t>equatorialis</t>
  </si>
  <si>
    <t>eurostus</t>
  </si>
  <si>
    <t>eurygnathos</t>
  </si>
  <si>
    <t>favagineus</t>
  </si>
  <si>
    <t>flavimarginatus</t>
  </si>
  <si>
    <t>flavoculus</t>
  </si>
  <si>
    <t>formosus</t>
  </si>
  <si>
    <t>fuscomaculatus</t>
  </si>
  <si>
    <t>gracilicauda</t>
  </si>
  <si>
    <t>hansi</t>
  </si>
  <si>
    <t>hepaticus</t>
  </si>
  <si>
    <t>intesi</t>
  </si>
  <si>
    <t>isingteena</t>
  </si>
  <si>
    <t>johnsoni</t>
  </si>
  <si>
    <t>kidako</t>
  </si>
  <si>
    <t>kolpos</t>
  </si>
  <si>
    <t>kontodontos</t>
  </si>
  <si>
    <t>longinquus</t>
  </si>
  <si>
    <t>maderensis</t>
  </si>
  <si>
    <t>mareei</t>
  </si>
  <si>
    <t>margaritophorus</t>
  </si>
  <si>
    <t>megaspilus</t>
  </si>
  <si>
    <t>melanosomatus</t>
  </si>
  <si>
    <t>melatremus</t>
  </si>
  <si>
    <t>miliaris</t>
  </si>
  <si>
    <t>monochrous</t>
  </si>
  <si>
    <t>moringa</t>
  </si>
  <si>
    <t>neglectus</t>
  </si>
  <si>
    <t>niphostigmus</t>
  </si>
  <si>
    <t>nudivomer</t>
  </si>
  <si>
    <t>nuttingi</t>
  </si>
  <si>
    <t>parini</t>
  </si>
  <si>
    <t>phalarus</t>
  </si>
  <si>
    <t>phasmatodes</t>
  </si>
  <si>
    <t>pindae</t>
  </si>
  <si>
    <t>polygonius</t>
  </si>
  <si>
    <t>polyspondylus</t>
  </si>
  <si>
    <t>porphyreus</t>
  </si>
  <si>
    <t>prasinus</t>
  </si>
  <si>
    <t>prionodon</t>
  </si>
  <si>
    <t>prismodon</t>
  </si>
  <si>
    <t>pseudoherrei</t>
  </si>
  <si>
    <t>pseudothyrsoideus</t>
  </si>
  <si>
    <t>pseudotile</t>
  </si>
  <si>
    <t>punctatofasciatus</t>
  </si>
  <si>
    <t>reevesii</t>
  </si>
  <si>
    <t>reticularis</t>
  </si>
  <si>
    <t>richardsonii</t>
  </si>
  <si>
    <t>rueppelliae</t>
  </si>
  <si>
    <t>sagenodeta</t>
  </si>
  <si>
    <t>sagmacephalus</t>
  </si>
  <si>
    <t>serratidens</t>
  </si>
  <si>
    <t>shaoi</t>
  </si>
  <si>
    <t>sokotrensis</t>
  </si>
  <si>
    <t>thyrsoideus</t>
  </si>
  <si>
    <t>tile</t>
  </si>
  <si>
    <t>vagrans</t>
  </si>
  <si>
    <t>verrilli</t>
  </si>
  <si>
    <t>walvisensis</t>
  </si>
  <si>
    <t>woodwardi</t>
  </si>
  <si>
    <t>ypsilon</t>
  </si>
  <si>
    <t>zonipectis</t>
  </si>
  <si>
    <t>balzanii</t>
  </si>
  <si>
    <t>caaguazuensis</t>
  </si>
  <si>
    <t>che</t>
  </si>
  <si>
    <t>gymnogenys</t>
  </si>
  <si>
    <t>rhabdotus</t>
  </si>
  <si>
    <t>setequedas</t>
  </si>
  <si>
    <t>tiraparae</t>
  </si>
  <si>
    <t>bondi</t>
  </si>
  <si>
    <t>flaviolimai</t>
  </si>
  <si>
    <t>bellcrossi</t>
  </si>
  <si>
    <t>sexlineatus</t>
  </si>
  <si>
    <t>dejongi</t>
  </si>
  <si>
    <t>linki</t>
  </si>
  <si>
    <t>loreto</t>
  </si>
  <si>
    <t>melacara</t>
  </si>
  <si>
    <t>aceras</t>
  </si>
  <si>
    <t>alfiei</t>
  </si>
  <si>
    <t>bosc</t>
  </si>
  <si>
    <t>chiquita</t>
  </si>
  <si>
    <t>ginsburgi</t>
  </si>
  <si>
    <t>grosvenori</t>
  </si>
  <si>
    <t>hemigymnum</t>
  </si>
  <si>
    <t>hildebrandi</t>
  </si>
  <si>
    <t>homochroma</t>
  </si>
  <si>
    <t>longipala</t>
  </si>
  <si>
    <t>nudum</t>
  </si>
  <si>
    <t>paradoxum</t>
  </si>
  <si>
    <t>seminudum</t>
  </si>
  <si>
    <t>spes</t>
  </si>
  <si>
    <t>spilotum</t>
  </si>
  <si>
    <t>yucatanum</t>
  </si>
  <si>
    <t>acicularis</t>
  </si>
  <si>
    <t>aoyagii</t>
  </si>
  <si>
    <t>atrangulatus</t>
  </si>
  <si>
    <t>axillaris</t>
  </si>
  <si>
    <t>bilineatus</t>
  </si>
  <si>
    <t>erythrospilus</t>
  </si>
  <si>
    <t>fuscoruber</t>
  </si>
  <si>
    <t>heterospilos</t>
  </si>
  <si>
    <t>micropus</t>
  </si>
  <si>
    <t>oculolineatus</t>
  </si>
  <si>
    <t>okinawae</t>
  </si>
  <si>
    <t>quinquestrigatus</t>
  </si>
  <si>
    <t>spilophthalmus</t>
  </si>
  <si>
    <t>Gobioides</t>
  </si>
  <si>
    <t>broussonnetii</t>
  </si>
  <si>
    <t>grahamae</t>
  </si>
  <si>
    <t>peruanus</t>
  </si>
  <si>
    <t>sagitta</t>
  </si>
  <si>
    <t>echidnorhynchus</t>
  </si>
  <si>
    <t>petersii</t>
  </si>
  <si>
    <t>permaxillaris</t>
  </si>
  <si>
    <t>pfefferi</t>
  </si>
  <si>
    <t>dorityi</t>
  </si>
  <si>
    <t>incisus</t>
  </si>
  <si>
    <t>kabia</t>
  </si>
  <si>
    <t>leggetti</t>
  </si>
  <si>
    <t>multisquamata</t>
  </si>
  <si>
    <t>pseudoincisus</t>
  </si>
  <si>
    <t>ramuensis</t>
  </si>
  <si>
    <t>wanamensis</t>
  </si>
  <si>
    <t>cirratum</t>
  </si>
  <si>
    <t>unami</t>
  </si>
  <si>
    <t>atracaudatus</t>
  </si>
  <si>
    <t>caucanus</t>
  </si>
  <si>
    <t>martae</t>
  </si>
  <si>
    <t>melanocheir</t>
  </si>
  <si>
    <t>sinuensis</t>
  </si>
  <si>
    <t>torresi</t>
  </si>
  <si>
    <t>valencia</t>
  </si>
  <si>
    <t>venezuelae</t>
  </si>
  <si>
    <t>whaleri</t>
  </si>
  <si>
    <t>abalios</t>
  </si>
  <si>
    <t>altifrons</t>
  </si>
  <si>
    <t>argyrostictus</t>
  </si>
  <si>
    <t>brachybranchus</t>
  </si>
  <si>
    <t>brokopondo</t>
  </si>
  <si>
    <t>camopiensis</t>
  </si>
  <si>
    <t>crocatus</t>
  </si>
  <si>
    <t>dicrozoster</t>
  </si>
  <si>
    <t>gottwaldi</t>
  </si>
  <si>
    <t>grammepareius</t>
  </si>
  <si>
    <t>harreri</t>
  </si>
  <si>
    <t>iporangensis</t>
  </si>
  <si>
    <t>megasema</t>
  </si>
  <si>
    <t>neambi</t>
  </si>
  <si>
    <t>parnaibae</t>
  </si>
  <si>
    <t>proximus</t>
  </si>
  <si>
    <t>sveni</t>
  </si>
  <si>
    <t>taeniopareius</t>
  </si>
  <si>
    <t>winemilleri</t>
  </si>
  <si>
    <t>crenobiontus</t>
  </si>
  <si>
    <t>islandicus</t>
  </si>
  <si>
    <t>nipponicus</t>
  </si>
  <si>
    <t>wheatlandi</t>
  </si>
  <si>
    <t>sternicla</t>
  </si>
  <si>
    <t>abhoyai</t>
  </si>
  <si>
    <t>aethiopica</t>
  </si>
  <si>
    <t>allostoma</t>
  </si>
  <si>
    <t>alticaputus</t>
  </si>
  <si>
    <t>amirhosseini</t>
  </si>
  <si>
    <t>annandalei</t>
  </si>
  <si>
    <t>apogon</t>
  </si>
  <si>
    <t>arunachalensis</t>
  </si>
  <si>
    <t>arupi</t>
  </si>
  <si>
    <t>barreimiae</t>
  </si>
  <si>
    <t>bibarbatus</t>
  </si>
  <si>
    <t>bicornuta</t>
  </si>
  <si>
    <t>birostris</t>
  </si>
  <si>
    <t>bisangularis</t>
  </si>
  <si>
    <t>bispinosa</t>
  </si>
  <si>
    <t>blanfordii</t>
  </si>
  <si>
    <t>bourreti</t>
  </si>
  <si>
    <t>buettikeri</t>
  </si>
  <si>
    <t>cambodgiensis</t>
  </si>
  <si>
    <t>chebera</t>
  </si>
  <si>
    <t>culiciphaga</t>
  </si>
  <si>
    <t>cyclostomata</t>
  </si>
  <si>
    <t>cyrano</t>
  </si>
  <si>
    <t>dampaensis</t>
  </si>
  <si>
    <t>dembecha</t>
  </si>
  <si>
    <t>dembeensis</t>
  </si>
  <si>
    <t>dulongensis</t>
  </si>
  <si>
    <t>dunsirei</t>
  </si>
  <si>
    <t>duobarbis</t>
  </si>
  <si>
    <t>ethelwynnae</t>
  </si>
  <si>
    <t>fasciacauda</t>
  </si>
  <si>
    <t>festai</t>
  </si>
  <si>
    <t>findolabium</t>
  </si>
  <si>
    <t>flavatra</t>
  </si>
  <si>
    <t>fuliginosa</t>
  </si>
  <si>
    <t>geba</t>
  </si>
  <si>
    <t>ghorensis</t>
  </si>
  <si>
    <t>gotyla</t>
  </si>
  <si>
    <t>gravelyi</t>
  </si>
  <si>
    <t>hindii</t>
  </si>
  <si>
    <t>hughi</t>
  </si>
  <si>
    <t>ignestii</t>
  </si>
  <si>
    <t>imbarbatus</t>
  </si>
  <si>
    <t>imberba</t>
  </si>
  <si>
    <t>imberbis</t>
  </si>
  <si>
    <t>jerdoni</t>
  </si>
  <si>
    <t>jordanica</t>
  </si>
  <si>
    <t>kalakadensis</t>
  </si>
  <si>
    <t>kalpangi</t>
  </si>
  <si>
    <t>kemali</t>
  </si>
  <si>
    <t>kempi</t>
  </si>
  <si>
    <t>khawbungi</t>
  </si>
  <si>
    <t>kimini</t>
  </si>
  <si>
    <t>laichowensis</t>
  </si>
  <si>
    <t>lamta</t>
  </si>
  <si>
    <t>lancrenonensis</t>
  </si>
  <si>
    <t>lautior</t>
  </si>
  <si>
    <t>lissorhynchus</t>
  </si>
  <si>
    <t>litanensis</t>
  </si>
  <si>
    <t>lorestanensis</t>
  </si>
  <si>
    <t>magnidiscus</t>
  </si>
  <si>
    <t>makiensis</t>
  </si>
  <si>
    <t>mamshuqa</t>
  </si>
  <si>
    <t>manipurensis</t>
  </si>
  <si>
    <t>mcclellandi</t>
  </si>
  <si>
    <t>menderesensis</t>
  </si>
  <si>
    <t>micropulvinus</t>
  </si>
  <si>
    <t>mini</t>
  </si>
  <si>
    <t>mirofrontis</t>
  </si>
  <si>
    <t>mlapparaensis</t>
  </si>
  <si>
    <t>mullya</t>
  </si>
  <si>
    <t>naganensis</t>
  </si>
  <si>
    <t>nambulica</t>
  </si>
  <si>
    <t>namyaensis</t>
  </si>
  <si>
    <t>nethravathiensis</t>
  </si>
  <si>
    <t>nigricollis</t>
  </si>
  <si>
    <t>notata</t>
  </si>
  <si>
    <t>nujiangensis</t>
  </si>
  <si>
    <t>palaruvica</t>
  </si>
  <si>
    <t>paralissorhynchus</t>
  </si>
  <si>
    <t>phillipsi</t>
  </si>
  <si>
    <t>platycephala</t>
  </si>
  <si>
    <t>poecilura</t>
  </si>
  <si>
    <t>poilanei</t>
  </si>
  <si>
    <t>propulvinus</t>
  </si>
  <si>
    <t>qiaojiensis</t>
  </si>
  <si>
    <t>quadratirostris</t>
  </si>
  <si>
    <t>quadrimaculata</t>
  </si>
  <si>
    <t>rakhinica</t>
  </si>
  <si>
    <t>regressus</t>
  </si>
  <si>
    <t>rossica</t>
  </si>
  <si>
    <t>rotundinasus</t>
  </si>
  <si>
    <t>rufa</t>
  </si>
  <si>
    <t>rupecula</t>
  </si>
  <si>
    <t>sahilia</t>
  </si>
  <si>
    <t>salweenica</t>
  </si>
  <si>
    <t>smarti</t>
  </si>
  <si>
    <t>stenorhynchus</t>
  </si>
  <si>
    <t>surendranathanii</t>
  </si>
  <si>
    <t>tana</t>
  </si>
  <si>
    <t>tashanensis</t>
  </si>
  <si>
    <t>tengchongensis</t>
  </si>
  <si>
    <t>theunensis</t>
  </si>
  <si>
    <t>tibanica</t>
  </si>
  <si>
    <t>tyao</t>
  </si>
  <si>
    <t>typhlops</t>
  </si>
  <si>
    <t>vittatula</t>
  </si>
  <si>
    <t>waensis</t>
  </si>
  <si>
    <t>wanae</t>
  </si>
  <si>
    <t>widdowsoni</t>
  </si>
  <si>
    <t>yiliangensis</t>
  </si>
  <si>
    <t>amieti</t>
  </si>
  <si>
    <t>avichang</t>
  </si>
  <si>
    <t>cinnamomeus</t>
  </si>
  <si>
    <t>clauseni</t>
  </si>
  <si>
    <t>deltaensis</t>
  </si>
  <si>
    <t>gardneri</t>
  </si>
  <si>
    <t>gresensi</t>
  </si>
  <si>
    <t>gularis</t>
  </si>
  <si>
    <t>intermittens</t>
  </si>
  <si>
    <t>kamdemi</t>
  </si>
  <si>
    <t>mamfensis</t>
  </si>
  <si>
    <t>moensis</t>
  </si>
  <si>
    <t>ndianus</t>
  </si>
  <si>
    <t>oeseri</t>
  </si>
  <si>
    <t>powelli</t>
  </si>
  <si>
    <t>puerzli</t>
  </si>
  <si>
    <t>rubrolabialis</t>
  </si>
  <si>
    <t>scheeli</t>
  </si>
  <si>
    <t>sjostedti</t>
  </si>
  <si>
    <t>spoorenbergi</t>
  </si>
  <si>
    <t>traudeae</t>
  </si>
  <si>
    <t>flavissimus</t>
  </si>
  <si>
    <t>wanai</t>
  </si>
  <si>
    <t>acus</t>
  </si>
  <si>
    <t>altocorpus</t>
  </si>
  <si>
    <t>curtirostra</t>
  </si>
  <si>
    <t>henriquei</t>
  </si>
  <si>
    <t>isbruckeri</t>
  </si>
  <si>
    <t>jauruensis</t>
  </si>
  <si>
    <t>mariaelenae</t>
  </si>
  <si>
    <t>odontotumulus</t>
  </si>
  <si>
    <t>oxyrryncha</t>
  </si>
  <si>
    <t>platorynchus</t>
  </si>
  <si>
    <t>rugosa</t>
  </si>
  <si>
    <t>schreitmuelleri</t>
  </si>
  <si>
    <t>yarigui</t>
  </si>
  <si>
    <t>draconis</t>
  </si>
  <si>
    <t>suratensis</t>
  </si>
  <si>
    <t>calabaricus</t>
  </si>
  <si>
    <t>cyanostictus</t>
  </si>
  <si>
    <t>mutisii</t>
  </si>
  <si>
    <t>atratus</t>
  </si>
  <si>
    <t>barmoiensis</t>
  </si>
  <si>
    <t>biafranus</t>
  </si>
  <si>
    <t>chaperi</t>
  </si>
  <si>
    <t>chevalieri</t>
  </si>
  <si>
    <t>coccinatus</t>
  </si>
  <si>
    <t>dageti</t>
  </si>
  <si>
    <t>esekanus</t>
  </si>
  <si>
    <t>etzeli</t>
  </si>
  <si>
    <t>grahami</t>
  </si>
  <si>
    <t>guineensis</t>
  </si>
  <si>
    <t>hildegardae</t>
  </si>
  <si>
    <t>huberi</t>
  </si>
  <si>
    <t>infrafasciatus</t>
  </si>
  <si>
    <t>josianae</t>
  </si>
  <si>
    <t>lamottei</t>
  </si>
  <si>
    <t>longiventralis</t>
  </si>
  <si>
    <t>maeseni</t>
  </si>
  <si>
    <t>mesogramma</t>
  </si>
  <si>
    <t>njalaensis</t>
  </si>
  <si>
    <t>olbrechtsi</t>
  </si>
  <si>
    <t>phoeniceps</t>
  </si>
  <si>
    <t>ruhkopfi</t>
  </si>
  <si>
    <t>sangmelinensis</t>
  </si>
  <si>
    <t>singa</t>
  </si>
  <si>
    <t>spilargyreius</t>
  </si>
  <si>
    <t>togolensis</t>
  </si>
  <si>
    <t>adscensionis</t>
  </si>
  <si>
    <t>aeneus</t>
  </si>
  <si>
    <t>akaara</t>
  </si>
  <si>
    <t>albomarginatus</t>
  </si>
  <si>
    <t>amblycephalus</t>
  </si>
  <si>
    <t>analogus</t>
  </si>
  <si>
    <t>areolatus</t>
  </si>
  <si>
    <t>awoara</t>
  </si>
  <si>
    <t>bilobatus</t>
  </si>
  <si>
    <t>bontoides</t>
  </si>
  <si>
    <t>bruneus</t>
  </si>
  <si>
    <t>caninus</t>
  </si>
  <si>
    <t>chabaudi</t>
  </si>
  <si>
    <t>chlorostigma</t>
  </si>
  <si>
    <t>cifuentesi</t>
  </si>
  <si>
    <t>clippertonensis</t>
  </si>
  <si>
    <t>coeruleopunctatus</t>
  </si>
  <si>
    <t>coioides</t>
  </si>
  <si>
    <t>corallicola</t>
  </si>
  <si>
    <t>cyanopodus</t>
  </si>
  <si>
    <t>daemelii</t>
  </si>
  <si>
    <t>darwinensis</t>
  </si>
  <si>
    <t>drummondhayi</t>
  </si>
  <si>
    <t>epistictus</t>
  </si>
  <si>
    <t>fasciatomaculosus</t>
  </si>
  <si>
    <t>faveatus</t>
  </si>
  <si>
    <t>flavocaeruleus</t>
  </si>
  <si>
    <t>fuscoguttatus</t>
  </si>
  <si>
    <t>gabriellae</t>
  </si>
  <si>
    <t>heniochus</t>
  </si>
  <si>
    <t>hexagonatus</t>
  </si>
  <si>
    <t>howlandi</t>
  </si>
  <si>
    <t>indistinctus</t>
  </si>
  <si>
    <t>irroratus</t>
  </si>
  <si>
    <t>itajara</t>
  </si>
  <si>
    <t>lebretonianus</t>
  </si>
  <si>
    <t>macrospilos</t>
  </si>
  <si>
    <t>magniscuttis</t>
  </si>
  <si>
    <t>merra</t>
  </si>
  <si>
    <t>morio</t>
  </si>
  <si>
    <t>morrhua</t>
  </si>
  <si>
    <t>multinotatus</t>
  </si>
  <si>
    <t>ongus</t>
  </si>
  <si>
    <t>poecilonotus</t>
  </si>
  <si>
    <t>polyphekadion</t>
  </si>
  <si>
    <t>posteli</t>
  </si>
  <si>
    <t>quinquefasciatus</t>
  </si>
  <si>
    <t>quoyanus</t>
  </si>
  <si>
    <t>retouti</t>
  </si>
  <si>
    <t>stoliczkae</t>
  </si>
  <si>
    <t>summana</t>
  </si>
  <si>
    <t>tauvina</t>
  </si>
  <si>
    <t>trophis</t>
  </si>
  <si>
    <t>tuamotuensis</t>
  </si>
  <si>
    <t>tukula</t>
  </si>
  <si>
    <t>undulatostriatus</t>
  </si>
  <si>
    <t>undulosus</t>
  </si>
  <si>
    <t>insidiator</t>
  </si>
  <si>
    <t>kalopterus</t>
  </si>
  <si>
    <t>munense</t>
  </si>
  <si>
    <t>chaetodon</t>
  </si>
  <si>
    <t>gloriosus</t>
  </si>
  <si>
    <t>kaupi</t>
  </si>
  <si>
    <t>anatina</t>
  </si>
  <si>
    <t>bikiniensis</t>
  </si>
  <si>
    <t>carychroa</t>
  </si>
  <si>
    <t>kamara</t>
  </si>
  <si>
    <t>lichenosa</t>
  </si>
  <si>
    <t>nycturanus</t>
  </si>
  <si>
    <t>octaviana</t>
  </si>
  <si>
    <t>schismatorhynchus</t>
  </si>
  <si>
    <t>biocellata</t>
  </si>
  <si>
    <t>caldwelli</t>
  </si>
  <si>
    <t>caycedoi</t>
  </si>
  <si>
    <t>culmenis</t>
  </si>
  <si>
    <t>diphyodontis</t>
  </si>
  <si>
    <t>hudsoni</t>
  </si>
  <si>
    <t>hyltoni</t>
  </si>
  <si>
    <t>hypacanthus</t>
  </si>
  <si>
    <t>nivipes</t>
  </si>
  <si>
    <t>pandionis</t>
  </si>
  <si>
    <t>piratica</t>
  </si>
  <si>
    <t>piratula</t>
  </si>
  <si>
    <t>electricus</t>
  </si>
  <si>
    <t>atronasus</t>
  </si>
  <si>
    <t>cayman</t>
  </si>
  <si>
    <t>chancei</t>
  </si>
  <si>
    <t>figaro</t>
  </si>
  <si>
    <t>genie</t>
  </si>
  <si>
    <t>horsti</t>
  </si>
  <si>
    <t>illecebrosus</t>
  </si>
  <si>
    <t>jarocho</t>
  </si>
  <si>
    <t>lobeli</t>
  </si>
  <si>
    <t>louisae</t>
  </si>
  <si>
    <t>oceanops</t>
  </si>
  <si>
    <t>pridisi</t>
  </si>
  <si>
    <t>prochilos</t>
  </si>
  <si>
    <t>puncticulatus</t>
  </si>
  <si>
    <t>redimiculus</t>
  </si>
  <si>
    <t>rubrigenis</t>
  </si>
  <si>
    <t>serranilla</t>
  </si>
  <si>
    <t>tenox</t>
  </si>
  <si>
    <t>xanthiprora</t>
  </si>
  <si>
    <t>antonioi</t>
  </si>
  <si>
    <t>besouro</t>
  </si>
  <si>
    <t>desantanai</t>
  </si>
  <si>
    <t>guairaca</t>
  </si>
  <si>
    <t>humboldtii</t>
  </si>
  <si>
    <t>limbata</t>
  </si>
  <si>
    <t>vicentespelaea</t>
  </si>
  <si>
    <t>virescens</t>
  </si>
  <si>
    <t>aequalis</t>
  </si>
  <si>
    <t>aroni</t>
  </si>
  <si>
    <t>australianus</t>
  </si>
  <si>
    <t>bandanus</t>
  </si>
  <si>
    <t>bathi</t>
  </si>
  <si>
    <t>caeruliventris</t>
  </si>
  <si>
    <t>dilemma</t>
  </si>
  <si>
    <t>fijiensis</t>
  </si>
  <si>
    <t>fourmanoiri</t>
  </si>
  <si>
    <t>frontalis</t>
  </si>
  <si>
    <t>isos</t>
  </si>
  <si>
    <t>kurti</t>
  </si>
  <si>
    <t>lividanalis</t>
  </si>
  <si>
    <t>melarchus</t>
  </si>
  <si>
    <t>midas</t>
  </si>
  <si>
    <t>monoculus</t>
  </si>
  <si>
    <t>nalolo</t>
  </si>
  <si>
    <t>namiyei</t>
  </si>
  <si>
    <t>niue</t>
  </si>
  <si>
    <t>oculus</t>
  </si>
  <si>
    <t>ops</t>
  </si>
  <si>
    <t>opsifrontalis</t>
  </si>
  <si>
    <t>paroculus</t>
  </si>
  <si>
    <t>portenoyi</t>
  </si>
  <si>
    <t>prooculis</t>
  </si>
  <si>
    <t>sellifer</t>
  </si>
  <si>
    <t>shirleyae</t>
  </si>
  <si>
    <t>tessera</t>
  </si>
  <si>
    <t>tigris</t>
  </si>
  <si>
    <t>amblyodon</t>
  </si>
  <si>
    <t>catenata</t>
  </si>
  <si>
    <t>nebulosa</t>
  </si>
  <si>
    <t>nocturna</t>
  </si>
  <si>
    <t>peli</t>
  </si>
  <si>
    <t>polyzona</t>
  </si>
  <si>
    <t>rhodochilus</t>
  </si>
  <si>
    <t>xanthospilos</t>
  </si>
  <si>
    <t>naucrates</t>
  </si>
  <si>
    <t>neucratoides</t>
  </si>
  <si>
    <t>Dunckerocampus</t>
  </si>
  <si>
    <t>boylei</t>
  </si>
  <si>
    <t>chapmani</t>
  </si>
  <si>
    <t>dactyliophorus</t>
  </si>
  <si>
    <t>multiannulatus</t>
  </si>
  <si>
    <t>naia</t>
  </si>
  <si>
    <t>pessuliferus</t>
  </si>
  <si>
    <t>antonii</t>
  </si>
  <si>
    <t>atroventralis</t>
  </si>
  <si>
    <t>brevipinnis</t>
  </si>
  <si>
    <t>decemmaculatus</t>
  </si>
  <si>
    <t>engycephalus</t>
  </si>
  <si>
    <t>hypostomatus</t>
  </si>
  <si>
    <t>kolleri</t>
  </si>
  <si>
    <t>langi</t>
  </si>
  <si>
    <t>lusosso</t>
  </si>
  <si>
    <t>nefasch</t>
  </si>
  <si>
    <t>noboli</t>
  </si>
  <si>
    <t>schenga</t>
  </si>
  <si>
    <t>eydouxii</t>
  </si>
  <si>
    <t>holocanthus</t>
  </si>
  <si>
    <t>liturosus</t>
  </si>
  <si>
    <t>nicthemerus</t>
  </si>
  <si>
    <t>compressiceps</t>
  </si>
  <si>
    <t>kiwinge</t>
  </si>
  <si>
    <t>foirni</t>
  </si>
  <si>
    <t>gladicauda</t>
  </si>
  <si>
    <t>warzeli</t>
  </si>
  <si>
    <t>urostriatum</t>
  </si>
  <si>
    <t>acrostomus</t>
  </si>
  <si>
    <t>acuticephala</t>
  </si>
  <si>
    <t>aequipinnatus</t>
  </si>
  <si>
    <t>apopyris</t>
  </si>
  <si>
    <t>assamensis</t>
  </si>
  <si>
    <t>auropurpureus</t>
  </si>
  <si>
    <t>chrysotaeniatus</t>
  </si>
  <si>
    <t>coxi</t>
  </si>
  <si>
    <t>deruptotalea</t>
  </si>
  <si>
    <t>devario</t>
  </si>
  <si>
    <t>fangfangae</t>
  </si>
  <si>
    <t>gibber</t>
  </si>
  <si>
    <t>kakhienensis</t>
  </si>
  <si>
    <t>kysonensis</t>
  </si>
  <si>
    <t>laoensis</t>
  </si>
  <si>
    <t>leptos</t>
  </si>
  <si>
    <t>maetaengensis</t>
  </si>
  <si>
    <t>neilgherriensis</t>
  </si>
  <si>
    <t>ostreographus</t>
  </si>
  <si>
    <t>pathirana</t>
  </si>
  <si>
    <t>peninsulae</t>
  </si>
  <si>
    <t>regina</t>
  </si>
  <si>
    <t>salmonata</t>
  </si>
  <si>
    <t>shanensis</t>
  </si>
  <si>
    <t>strigillifer</t>
  </si>
  <si>
    <t>suvatti</t>
  </si>
  <si>
    <t>xyrops</t>
  </si>
  <si>
    <t>yuensis</t>
  </si>
  <si>
    <t>bispina</t>
  </si>
  <si>
    <t>brachynotopterus</t>
  </si>
  <si>
    <t>bruneiensis</t>
  </si>
  <si>
    <t>burmanica</t>
  </si>
  <si>
    <t>palawanensis</t>
  </si>
  <si>
    <t>pusilla</t>
  </si>
  <si>
    <t>vogti</t>
  </si>
  <si>
    <t>barberi</t>
  </si>
  <si>
    <t>brachypterus</t>
  </si>
  <si>
    <t>amazonica</t>
  </si>
  <si>
    <t>niveata</t>
  </si>
  <si>
    <t>scaphirhyncha</t>
  </si>
  <si>
    <t>campbelli</t>
  </si>
  <si>
    <t>polota</t>
  </si>
  <si>
    <t>undecimradiatus</t>
  </si>
  <si>
    <t>albisella</t>
  </si>
  <si>
    <t>aruanus</t>
  </si>
  <si>
    <t>auripinnis</t>
  </si>
  <si>
    <t>carneus</t>
  </si>
  <si>
    <t>flavicaudus</t>
  </si>
  <si>
    <t>strasburgi</t>
  </si>
  <si>
    <t>aesculapii</t>
  </si>
  <si>
    <t>annulosus</t>
  </si>
  <si>
    <t>assamila</t>
  </si>
  <si>
    <t>catenatus</t>
  </si>
  <si>
    <t>choprae</t>
  </si>
  <si>
    <t>concatenatus</t>
  </si>
  <si>
    <t>dangila</t>
  </si>
  <si>
    <t>erythromicron</t>
  </si>
  <si>
    <t>feegradei</t>
  </si>
  <si>
    <t>jaintianensis</t>
  </si>
  <si>
    <t>kyathit</t>
  </si>
  <si>
    <t>meghalayensis</t>
  </si>
  <si>
    <t>muongthanhensis</t>
  </si>
  <si>
    <t>quagga</t>
  </si>
  <si>
    <t>quangbinhensis</t>
  </si>
  <si>
    <t>rerio</t>
  </si>
  <si>
    <t>sysphigmatus</t>
  </si>
  <si>
    <t>trangi</t>
  </si>
  <si>
    <t>macracantha</t>
  </si>
  <si>
    <t>peterseni</t>
  </si>
  <si>
    <t>tiltoni</t>
  </si>
  <si>
    <t>acutidorsalis</t>
  </si>
  <si>
    <t>carpio</t>
  </si>
  <si>
    <t>chilia</t>
  </si>
  <si>
    <t>dai</t>
  </si>
  <si>
    <t>daliensis</t>
  </si>
  <si>
    <t>exophthalmus</t>
  </si>
  <si>
    <t>fuxianensis</t>
  </si>
  <si>
    <t>hieni</t>
  </si>
  <si>
    <t>hyperdorsalis</t>
  </si>
  <si>
    <t>ilishaestomus</t>
  </si>
  <si>
    <t>intha</t>
  </si>
  <si>
    <t>longzhouensis</t>
  </si>
  <si>
    <t>megalophthalmus</t>
  </si>
  <si>
    <t>melanes</t>
  </si>
  <si>
    <t>micristius</t>
  </si>
  <si>
    <t>multitaeniatus</t>
  </si>
  <si>
    <t>qionghaiensis</t>
  </si>
  <si>
    <t>quidatensis</t>
  </si>
  <si>
    <t>rubrofuscus</t>
  </si>
  <si>
    <t>yilongensis</t>
  </si>
  <si>
    <t>polyactis</t>
  </si>
  <si>
    <t>coloratus</t>
  </si>
  <si>
    <t>microlepidotus</t>
  </si>
  <si>
    <t>frontosa</t>
  </si>
  <si>
    <t>gibberosa</t>
  </si>
  <si>
    <t>afra</t>
  </si>
  <si>
    <t>pulpican</t>
  </si>
  <si>
    <t>gilbertoi</t>
  </si>
  <si>
    <t>leptocephalus</t>
  </si>
  <si>
    <t>ochraceus</t>
  </si>
  <si>
    <t>oticus</t>
  </si>
  <si>
    <t>paraguassuensis</t>
  </si>
  <si>
    <t>parietalis</t>
  </si>
  <si>
    <t>parnaibensis</t>
  </si>
  <si>
    <t>perforatus</t>
  </si>
  <si>
    <t>porosus</t>
  </si>
  <si>
    <t>rectiventer</t>
  </si>
  <si>
    <t>vazabarrisensis</t>
  </si>
  <si>
    <t>acutirostre</t>
  </si>
  <si>
    <t>ashbysmithi</t>
  </si>
  <si>
    <t>gabonense</t>
  </si>
  <si>
    <t>garuanum</t>
  </si>
  <si>
    <t>houyi</t>
  </si>
  <si>
    <t>kingsleyae</t>
  </si>
  <si>
    <t>multispine</t>
  </si>
  <si>
    <t>muriei</t>
  </si>
  <si>
    <t>nebulosum</t>
  </si>
  <si>
    <t>nigropannosum</t>
  </si>
  <si>
    <t>ocellatum</t>
  </si>
  <si>
    <t>petherici</t>
  </si>
  <si>
    <t>riggenbachi</t>
  </si>
  <si>
    <t>togoensis</t>
  </si>
  <si>
    <t>idella</t>
  </si>
  <si>
    <t>beani</t>
  </si>
  <si>
    <t>hujeta</t>
  </si>
  <si>
    <t>aurocingulus</t>
  </si>
  <si>
    <t>crocineus</t>
  </si>
  <si>
    <t>feroculus</t>
  </si>
  <si>
    <t>mitodes</t>
  </si>
  <si>
    <t>pomastictus</t>
  </si>
  <si>
    <t>tangaroai</t>
  </si>
  <si>
    <t>cyanocheilus</t>
  </si>
  <si>
    <t>strigosus</t>
  </si>
  <si>
    <t>tominiensis</t>
  </si>
  <si>
    <t>truncatus</t>
  </si>
  <si>
    <t>hauxwellianus</t>
  </si>
  <si>
    <t>oliverai</t>
  </si>
  <si>
    <t>albidorsus</t>
  </si>
  <si>
    <t>bulbiceps</t>
  </si>
  <si>
    <t>caeruleomaculatus</t>
  </si>
  <si>
    <t>callopterus</t>
  </si>
  <si>
    <t>cebuanus</t>
  </si>
  <si>
    <t>cryptocentrus</t>
  </si>
  <si>
    <t>diproctotaenia</t>
  </si>
  <si>
    <t>inexplicatus</t>
  </si>
  <si>
    <t>insignitus</t>
  </si>
  <si>
    <t>leonis</t>
  </si>
  <si>
    <t>lutheri</t>
  </si>
  <si>
    <t>malindiensis</t>
  </si>
  <si>
    <t>maudae</t>
  </si>
  <si>
    <t>multicinctus</t>
  </si>
  <si>
    <t>nigrocellatus</t>
  </si>
  <si>
    <t>niveatus</t>
  </si>
  <si>
    <t>pavoninoides</t>
  </si>
  <si>
    <t>polyophthalmus</t>
  </si>
  <si>
    <t>pretiosus</t>
  </si>
  <si>
    <t>sericus</t>
  </si>
  <si>
    <t>shigensis</t>
  </si>
  <si>
    <t>strigilliceps</t>
  </si>
  <si>
    <t>tentaculatus</t>
  </si>
  <si>
    <t>wehrlei</t>
  </si>
  <si>
    <t>yatsui</t>
  </si>
  <si>
    <t>atrilimes</t>
  </si>
  <si>
    <t>cobitis</t>
  </si>
  <si>
    <t>diplochilus</t>
  </si>
  <si>
    <t>gnathopogon</t>
  </si>
  <si>
    <t>klatti</t>
  </si>
  <si>
    <t>latius</t>
  </si>
  <si>
    <t>nigriloba</t>
  </si>
  <si>
    <t>oblongus</t>
  </si>
  <si>
    <t>pseudobagroides</t>
  </si>
  <si>
    <t>pilurus</t>
  </si>
  <si>
    <t>adspersa</t>
  </si>
  <si>
    <t>albopunctata</t>
  </si>
  <si>
    <t>anamiri</t>
  </si>
  <si>
    <t>anthurus</t>
  </si>
  <si>
    <t>cametana</t>
  </si>
  <si>
    <t>celidochilus</t>
  </si>
  <si>
    <t>chicha</t>
  </si>
  <si>
    <t>cincta</t>
  </si>
  <si>
    <t>cyanonotus</t>
  </si>
  <si>
    <t>cyclostoma</t>
  </si>
  <si>
    <t>empheres</t>
  </si>
  <si>
    <t>frenata</t>
  </si>
  <si>
    <t>gaucho</t>
  </si>
  <si>
    <t>geayi</t>
  </si>
  <si>
    <t>gillmorlisi</t>
  </si>
  <si>
    <t>hadrostigma</t>
  </si>
  <si>
    <t>haroldoi</t>
  </si>
  <si>
    <t>heckeli</t>
  </si>
  <si>
    <t>hemera</t>
  </si>
  <si>
    <t>hu</t>
  </si>
  <si>
    <t>igara</t>
  </si>
  <si>
    <t>iguapina</t>
  </si>
  <si>
    <t>iguassuensis</t>
  </si>
  <si>
    <t>inpa</t>
  </si>
  <si>
    <t>jaguarensis</t>
  </si>
  <si>
    <t>jegui</t>
  </si>
  <si>
    <t>johanna</t>
  </si>
  <si>
    <t>jupiaensis</t>
  </si>
  <si>
    <t>jurubi</t>
  </si>
  <si>
    <t>labrina</t>
  </si>
  <si>
    <t>lenticulata</t>
  </si>
  <si>
    <t>lepidota</t>
  </si>
  <si>
    <t>lucenai</t>
  </si>
  <si>
    <t>macrophthalma</t>
  </si>
  <si>
    <t>mandelburgeri</t>
  </si>
  <si>
    <t>menezesi</t>
  </si>
  <si>
    <t>minuano</t>
  </si>
  <si>
    <t>missioneira</t>
  </si>
  <si>
    <t>monicae</t>
  </si>
  <si>
    <t>mucuryna</t>
  </si>
  <si>
    <t>niederleinii</t>
  </si>
  <si>
    <t>percna</t>
  </si>
  <si>
    <t>phaiospilus</t>
  </si>
  <si>
    <t>prenda</t>
  </si>
  <si>
    <t>pydanielae</t>
  </si>
  <si>
    <t>rosemariae</t>
  </si>
  <si>
    <t>scottii</t>
  </si>
  <si>
    <t>sedentaria</t>
  </si>
  <si>
    <t>sipaliwini</t>
  </si>
  <si>
    <t>stocki</t>
  </si>
  <si>
    <t>taikyra</t>
  </si>
  <si>
    <t>tapii</t>
  </si>
  <si>
    <t>tendybaguassu</t>
  </si>
  <si>
    <t>tesay</t>
  </si>
  <si>
    <t>tingui</t>
  </si>
  <si>
    <t>tuca</t>
  </si>
  <si>
    <t>urosema</t>
  </si>
  <si>
    <t>virgatula</t>
  </si>
  <si>
    <t>wallacii</t>
  </si>
  <si>
    <t>yaha</t>
  </si>
  <si>
    <t>ypo</t>
  </si>
  <si>
    <t>zebrina</t>
  </si>
  <si>
    <t>latruncularium</t>
  </si>
  <si>
    <t>punctulatum</t>
  </si>
  <si>
    <t>alloides</t>
  </si>
  <si>
    <t>dicrus</t>
  </si>
  <si>
    <t>eidolon</t>
  </si>
  <si>
    <t>glaucofraenum</t>
  </si>
  <si>
    <t>hyalinus</t>
  </si>
  <si>
    <t>kuna</t>
  </si>
  <si>
    <t>lipernes</t>
  </si>
  <si>
    <t>personatus</t>
  </si>
  <si>
    <t>punctipectophorus</t>
  </si>
  <si>
    <t>thrix</t>
  </si>
  <si>
    <t>tortugae</t>
  </si>
  <si>
    <t>urospilus</t>
  </si>
  <si>
    <t>riisei</t>
  </si>
  <si>
    <t>acrensis</t>
  </si>
  <si>
    <t>acutus</t>
  </si>
  <si>
    <t>adolfoi</t>
  </si>
  <si>
    <t>amandajanea</t>
  </si>
  <si>
    <t>ambiacus</t>
  </si>
  <si>
    <t>amphibelus</t>
  </si>
  <si>
    <t>apiaka</t>
  </si>
  <si>
    <t>approuaguensis</t>
  </si>
  <si>
    <t>araguaiaensis</t>
  </si>
  <si>
    <t>areio</t>
  </si>
  <si>
    <t>atropersonatus</t>
  </si>
  <si>
    <t>aurofrenatus</t>
  </si>
  <si>
    <t>baderi</t>
  </si>
  <si>
    <t>blochi</t>
  </si>
  <si>
    <t>breei</t>
  </si>
  <si>
    <t>burgessi</t>
  </si>
  <si>
    <t>caudimaculatus</t>
  </si>
  <si>
    <t>cervinus</t>
  </si>
  <si>
    <t>cochui</t>
  </si>
  <si>
    <t>condiscipulus</t>
  </si>
  <si>
    <t>coriatae</t>
  </si>
  <si>
    <t>crimmeni</t>
  </si>
  <si>
    <t>cruziensis</t>
  </si>
  <si>
    <t>crypticus</t>
  </si>
  <si>
    <t>davidsandsi</t>
  </si>
  <si>
    <t>delphax</t>
  </si>
  <si>
    <t>difluviatilis</t>
  </si>
  <si>
    <t>diphyes</t>
  </si>
  <si>
    <t>duplicareus</t>
  </si>
  <si>
    <t>ehrhardti</t>
  </si>
  <si>
    <t>ellisae</t>
  </si>
  <si>
    <t>ephippifer</t>
  </si>
  <si>
    <t>esperanzae</t>
  </si>
  <si>
    <t>flaveolus</t>
  </si>
  <si>
    <t>garbei</t>
  </si>
  <si>
    <t>gladysae</t>
  </si>
  <si>
    <t>gomezi</t>
  </si>
  <si>
    <t>gryphus</t>
  </si>
  <si>
    <t>guapore</t>
  </si>
  <si>
    <t>habrosus</t>
  </si>
  <si>
    <t>hastatus</t>
  </si>
  <si>
    <t>heteromorphus</t>
  </si>
  <si>
    <t>incolicana</t>
  </si>
  <si>
    <t>julii</t>
  </si>
  <si>
    <t>kanei</t>
  </si>
  <si>
    <t>lacerdai</t>
  </si>
  <si>
    <t>lacrimostigmata</t>
  </si>
  <si>
    <t>lamberti</t>
  </si>
  <si>
    <t>leucomelas</t>
  </si>
  <si>
    <t>loxozonus</t>
  </si>
  <si>
    <t>lymnades</t>
  </si>
  <si>
    <t>maculifer</t>
  </si>
  <si>
    <t>mamore</t>
  </si>
  <si>
    <t>melanistius</t>
  </si>
  <si>
    <t>micracanthus</t>
  </si>
  <si>
    <t>napoensis</t>
  </si>
  <si>
    <t>narcissus</t>
  </si>
  <si>
    <t>negro</t>
  </si>
  <si>
    <t>noelkempffi</t>
  </si>
  <si>
    <t>oiapoquensis</t>
  </si>
  <si>
    <t>orphnopterus</t>
  </si>
  <si>
    <t>ortegai</t>
  </si>
  <si>
    <t>osteocarus</t>
  </si>
  <si>
    <t>ourastigma</t>
  </si>
  <si>
    <t>paleatus</t>
  </si>
  <si>
    <t>panda</t>
  </si>
  <si>
    <t>pantanalensis</t>
  </si>
  <si>
    <t>paragua</t>
  </si>
  <si>
    <t>pastazensis</t>
  </si>
  <si>
    <t>paucerna</t>
  </si>
  <si>
    <t>petracinii</t>
  </si>
  <si>
    <t>pinheiroi</t>
  </si>
  <si>
    <t>potaroensis</t>
  </si>
  <si>
    <t>rabauti</t>
  </si>
  <si>
    <t>reynoldsi</t>
  </si>
  <si>
    <t>robineae</t>
  </si>
  <si>
    <t>sanchesi</t>
  </si>
  <si>
    <t>sarareensis</t>
  </si>
  <si>
    <t>schwartzi</t>
  </si>
  <si>
    <t>semiaquilus</t>
  </si>
  <si>
    <t>seussi</t>
  </si>
  <si>
    <t>sodalis</t>
  </si>
  <si>
    <t>solox</t>
  </si>
  <si>
    <t>spectabilis</t>
  </si>
  <si>
    <t>stenocephalus</t>
  </si>
  <si>
    <t>sterbai</t>
  </si>
  <si>
    <t>sychri</t>
  </si>
  <si>
    <t>treitlii</t>
  </si>
  <si>
    <t>tukano</t>
  </si>
  <si>
    <t>urucu</t>
  </si>
  <si>
    <t>virginiae</t>
  </si>
  <si>
    <t>weitzmani</t>
  </si>
  <si>
    <t>zygatus</t>
  </si>
  <si>
    <t>aurilineata</t>
  </si>
  <si>
    <t>aygula</t>
  </si>
  <si>
    <t>batuensis</t>
  </si>
  <si>
    <t>bulbifrons</t>
  </si>
  <si>
    <t>caudimacula</t>
  </si>
  <si>
    <t>cuvieri</t>
  </si>
  <si>
    <t>debueni</t>
  </si>
  <si>
    <t>dorsomacula</t>
  </si>
  <si>
    <t>flavovittata</t>
  </si>
  <si>
    <t>gaimard</t>
  </si>
  <si>
    <t>hewetti</t>
  </si>
  <si>
    <t>julis</t>
  </si>
  <si>
    <t>latifasciata</t>
  </si>
  <si>
    <t>marquesensis</t>
  </si>
  <si>
    <t>musume</t>
  </si>
  <si>
    <t>nigrotaenia</t>
  </si>
  <si>
    <t>pictoides</t>
  </si>
  <si>
    <t>roseoviridis</t>
  </si>
  <si>
    <t>sandeyeri</t>
  </si>
  <si>
    <t>variegata</t>
  </si>
  <si>
    <t>venusta</t>
  </si>
  <si>
    <t>chrysozonus</t>
  </si>
  <si>
    <t>carsevennensis</t>
  </si>
  <si>
    <t>guttata</t>
  </si>
  <si>
    <t>osgoodi</t>
  </si>
  <si>
    <t>atripinnis</t>
  </si>
  <si>
    <t>borleyi</t>
  </si>
  <si>
    <t>chizumuluensis</t>
  </si>
  <si>
    <t>chrysonotus</t>
  </si>
  <si>
    <t>diplostigma</t>
  </si>
  <si>
    <t>geertsi</t>
  </si>
  <si>
    <t>ilesi</t>
  </si>
  <si>
    <t>jacksoni</t>
  </si>
  <si>
    <t>likomae</t>
  </si>
  <si>
    <t>mloto</t>
  </si>
  <si>
    <t>nkatae</t>
  </si>
  <si>
    <t>pleurostigma</t>
  </si>
  <si>
    <t>pleurostigmoides</t>
  </si>
  <si>
    <t>verduyni</t>
  </si>
  <si>
    <t>virginalis</t>
  </si>
  <si>
    <t>macropomum</t>
  </si>
  <si>
    <t>asellus</t>
  </si>
  <si>
    <t>albicoloris</t>
  </si>
  <si>
    <t>amphilekta</t>
  </si>
  <si>
    <t>arachthosensis</t>
  </si>
  <si>
    <t>arenae</t>
  </si>
  <si>
    <t>avicennae</t>
  </si>
  <si>
    <t>battalgili</t>
  </si>
  <si>
    <t>bilseli</t>
  </si>
  <si>
    <t>biwae</t>
  </si>
  <si>
    <t>calderoni</t>
  </si>
  <si>
    <t>choii</t>
  </si>
  <si>
    <t>dalmatina</t>
  </si>
  <si>
    <t>damlae</t>
  </si>
  <si>
    <t>dorademiri</t>
  </si>
  <si>
    <t>elazigensis</t>
  </si>
  <si>
    <t>elongatoides</t>
  </si>
  <si>
    <t>evreni</t>
  </si>
  <si>
    <t>fahirae</t>
  </si>
  <si>
    <t>faridpaki</t>
  </si>
  <si>
    <t>fasciola</t>
  </si>
  <si>
    <t>gladkovi</t>
  </si>
  <si>
    <t>hankugensis</t>
  </si>
  <si>
    <t>hellenica</t>
  </si>
  <si>
    <t>illyrica</t>
  </si>
  <si>
    <t>jadovaensis</t>
  </si>
  <si>
    <t>kaibarai</t>
  </si>
  <si>
    <t>kellei</t>
  </si>
  <si>
    <t>keyvani</t>
  </si>
  <si>
    <t>kurui</t>
  </si>
  <si>
    <t>lebedevi</t>
  </si>
  <si>
    <t>levantina</t>
  </si>
  <si>
    <t>linea</t>
  </si>
  <si>
    <t>longitaeniatus</t>
  </si>
  <si>
    <t>magnostriata</t>
  </si>
  <si>
    <t>maroccana</t>
  </si>
  <si>
    <t>matsubarai</t>
  </si>
  <si>
    <t>megaspila</t>
  </si>
  <si>
    <t>microcephala</t>
  </si>
  <si>
    <t>minamorii</t>
  </si>
  <si>
    <t>multimaculata</t>
  </si>
  <si>
    <t>narentana</t>
  </si>
  <si>
    <t>nuicocensis</t>
  </si>
  <si>
    <t>ohridana</t>
  </si>
  <si>
    <t>paludica</t>
  </si>
  <si>
    <t>phrygica</t>
  </si>
  <si>
    <t>pontica</t>
  </si>
  <si>
    <t>puncticulata</t>
  </si>
  <si>
    <t>punctilineata</t>
  </si>
  <si>
    <t>rara</t>
  </si>
  <si>
    <t>rhodopensis</t>
  </si>
  <si>
    <t>satunini</t>
  </si>
  <si>
    <t>shikokuensis</t>
  </si>
  <si>
    <t>sibirica</t>
  </si>
  <si>
    <t>simplicispina</t>
  </si>
  <si>
    <t>sipahilerae</t>
  </si>
  <si>
    <t>squataeniatus</t>
  </si>
  <si>
    <t>stenocauda</t>
  </si>
  <si>
    <t>stephanidisi</t>
  </si>
  <si>
    <t>strumicae</t>
  </si>
  <si>
    <t>takatsuensis</t>
  </si>
  <si>
    <t>tanaitica</t>
  </si>
  <si>
    <t>taurica</t>
  </si>
  <si>
    <t>tetralineata</t>
  </si>
  <si>
    <t>trichonica</t>
  </si>
  <si>
    <t>turcica</t>
  </si>
  <si>
    <t>vardarensis</t>
  </si>
  <si>
    <t>vettonica</t>
  </si>
  <si>
    <t>ylengensis</t>
  </si>
  <si>
    <t>zanandreai</t>
  </si>
  <si>
    <t>zhejiangensis</t>
  </si>
  <si>
    <t>maronii</t>
  </si>
  <si>
    <t>pinnulatus</t>
  </si>
  <si>
    <t>hubbardi</t>
  </si>
  <si>
    <t>mascarenensis</t>
  </si>
  <si>
    <t>aprinus</t>
  </si>
  <si>
    <t>falco</t>
  </si>
  <si>
    <t>guichenoti</t>
  </si>
  <si>
    <t>oxycephalus</t>
  </si>
  <si>
    <t>adornatus</t>
  </si>
  <si>
    <t>aurantidorsalis</t>
  </si>
  <si>
    <t>balteatus</t>
  </si>
  <si>
    <t>beauperryi</t>
  </si>
  <si>
    <t>blatteus</t>
  </si>
  <si>
    <t>cenderawasih</t>
  </si>
  <si>
    <t>claire</t>
  </si>
  <si>
    <t>condei</t>
  </si>
  <si>
    <t>cyanopleura</t>
  </si>
  <si>
    <t>earlei</t>
  </si>
  <si>
    <t>exquisitus</t>
  </si>
  <si>
    <t>flavidorsalis</t>
  </si>
  <si>
    <t>humanni</t>
  </si>
  <si>
    <t>hygroxerus</t>
  </si>
  <si>
    <t>isosceles</t>
  </si>
  <si>
    <t>joanallenae</t>
  </si>
  <si>
    <t>katherinae</t>
  </si>
  <si>
    <t>katoi</t>
  </si>
  <si>
    <t>laboutei</t>
  </si>
  <si>
    <t>luteovittatus</t>
  </si>
  <si>
    <t>marjorie</t>
  </si>
  <si>
    <t>melanomarginatus</t>
  </si>
  <si>
    <t>nahackyi</t>
  </si>
  <si>
    <t>naokoae</t>
  </si>
  <si>
    <t>roseafascia</t>
  </si>
  <si>
    <t>rubrimarginatus</t>
  </si>
  <si>
    <t>rubrisquamis</t>
  </si>
  <si>
    <t>rubriventralis</t>
  </si>
  <si>
    <t>scottorum</t>
  </si>
  <si>
    <t>temminckii</t>
  </si>
  <si>
    <t>walindi</t>
  </si>
  <si>
    <t>walshi</t>
  </si>
  <si>
    <t>amazonarum</t>
  </si>
  <si>
    <t>araguaiense</t>
  </si>
  <si>
    <t>bimaculatum</t>
  </si>
  <si>
    <t>boliviense</t>
  </si>
  <si>
    <t>dimerus</t>
  </si>
  <si>
    <t>geddesi</t>
  </si>
  <si>
    <t>istlanum</t>
  </si>
  <si>
    <t>orinocense</t>
  </si>
  <si>
    <t>paranaense</t>
  </si>
  <si>
    <t>portalegrense</t>
  </si>
  <si>
    <t>sanctifranciscense</t>
  </si>
  <si>
    <t>trimaculatum</t>
  </si>
  <si>
    <t>zarskei</t>
  </si>
  <si>
    <t>jariina</t>
  </si>
  <si>
    <t>kelberi</t>
  </si>
  <si>
    <t>melaniae</t>
  </si>
  <si>
    <t>mirianae</t>
  </si>
  <si>
    <t>nigromaculata</t>
  </si>
  <si>
    <t>ocellaris</t>
  </si>
  <si>
    <t>pinima</t>
  </si>
  <si>
    <t>piquiti</t>
  </si>
  <si>
    <t>pleiozona</t>
  </si>
  <si>
    <t>temensis</t>
  </si>
  <si>
    <t>thyrorus</t>
  </si>
  <si>
    <t>vazzoleri</t>
  </si>
  <si>
    <t>antennatus</t>
  </si>
  <si>
    <t>schoepfii</t>
  </si>
  <si>
    <t>albata</t>
  </si>
  <si>
    <t>arnazae</t>
  </si>
  <si>
    <t>brownriggii</t>
  </si>
  <si>
    <t>caeruleolineata</t>
  </si>
  <si>
    <t>caesifrons</t>
  </si>
  <si>
    <t>chrysocephala</t>
  </si>
  <si>
    <t>cyanea</t>
  </si>
  <si>
    <t>cymatilis</t>
  </si>
  <si>
    <t>galba</t>
  </si>
  <si>
    <t>giti</t>
  </si>
  <si>
    <t>hemicyanea</t>
  </si>
  <si>
    <t>notialis</t>
  </si>
  <si>
    <t>oxycephala</t>
  </si>
  <si>
    <t>parasema</t>
  </si>
  <si>
    <t>pricei</t>
  </si>
  <si>
    <t>rapanui</t>
  </si>
  <si>
    <t>rollandi</t>
  </si>
  <si>
    <t>sheila</t>
  </si>
  <si>
    <t>sinclairi</t>
  </si>
  <si>
    <t>starcki</t>
  </si>
  <si>
    <t>talboti</t>
  </si>
  <si>
    <t>taupou</t>
  </si>
  <si>
    <t>traceyi</t>
  </si>
  <si>
    <t>tricincta</t>
  </si>
  <si>
    <t>unimaculata</t>
  </si>
  <si>
    <t>abrupta</t>
  </si>
  <si>
    <t>abyssicola</t>
  </si>
  <si>
    <t>acares</t>
  </si>
  <si>
    <t>agilis</t>
  </si>
  <si>
    <t>albicauda</t>
  </si>
  <si>
    <t>albomaculata</t>
  </si>
  <si>
    <t>alpha</t>
  </si>
  <si>
    <t>athena</t>
  </si>
  <si>
    <t>atrilobata</t>
  </si>
  <si>
    <t>atripectoralis</t>
  </si>
  <si>
    <t>atripes</t>
  </si>
  <si>
    <t>bami</t>
  </si>
  <si>
    <t>chromis</t>
  </si>
  <si>
    <t>chrysura</t>
  </si>
  <si>
    <t>cinerascens</t>
  </si>
  <si>
    <t>circumaurea</t>
  </si>
  <si>
    <t>crusma</t>
  </si>
  <si>
    <t>dasygenys</t>
  </si>
  <si>
    <t>degruyi</t>
  </si>
  <si>
    <t>delta</t>
  </si>
  <si>
    <t>dimidiata</t>
  </si>
  <si>
    <t>durvillei</t>
  </si>
  <si>
    <t>earina</t>
  </si>
  <si>
    <t>elerae</t>
  </si>
  <si>
    <t>enchrysura</t>
  </si>
  <si>
    <t>fatuhivae</t>
  </si>
  <si>
    <t>fieldi</t>
  </si>
  <si>
    <t>flavapicis</t>
  </si>
  <si>
    <t>flavaxilla</t>
  </si>
  <si>
    <t>flavomaculata</t>
  </si>
  <si>
    <t>fumea</t>
  </si>
  <si>
    <t>hanui</t>
  </si>
  <si>
    <t>hypsilepis</t>
  </si>
  <si>
    <t>insolata</t>
  </si>
  <si>
    <t>intercrusma</t>
  </si>
  <si>
    <t>iomelas</t>
  </si>
  <si>
    <t>jubauna</t>
  </si>
  <si>
    <t>kennensis</t>
  </si>
  <si>
    <t>lepidolepis</t>
  </si>
  <si>
    <t>leucura</t>
  </si>
  <si>
    <t>meridiana</t>
  </si>
  <si>
    <t>mirationis</t>
  </si>
  <si>
    <t>monochroma</t>
  </si>
  <si>
    <t>multilineata</t>
  </si>
  <si>
    <t>nigroanalis</t>
  </si>
  <si>
    <t>nigrura</t>
  </si>
  <si>
    <t>okamurai</t>
  </si>
  <si>
    <t>onumai</t>
  </si>
  <si>
    <t>ovatiformes</t>
  </si>
  <si>
    <t>pamae</t>
  </si>
  <si>
    <t>pelloura</t>
  </si>
  <si>
    <t>pembae</t>
  </si>
  <si>
    <t>planesi</t>
  </si>
  <si>
    <t>punctipinnis</t>
  </si>
  <si>
    <t>pura</t>
  </si>
  <si>
    <t>retrofasciata</t>
  </si>
  <si>
    <t>scotochiloptera</t>
  </si>
  <si>
    <t>scotti</t>
  </si>
  <si>
    <t>struhsakeri</t>
  </si>
  <si>
    <t>ternatensis</t>
  </si>
  <si>
    <t>trialpha</t>
  </si>
  <si>
    <t>unipa</t>
  </si>
  <si>
    <t>vanderbilti</t>
  </si>
  <si>
    <t>verater</t>
  </si>
  <si>
    <t>westaustralis</t>
  </si>
  <si>
    <t>woodsi</t>
  </si>
  <si>
    <t>xanthochira</t>
  </si>
  <si>
    <t>xanthopterygia</t>
  </si>
  <si>
    <t>xanthura</t>
  </si>
  <si>
    <t>xouthos</t>
  </si>
  <si>
    <t>xutha</t>
  </si>
  <si>
    <t>yamakawai</t>
  </si>
  <si>
    <t>blanci</t>
  </si>
  <si>
    <t>chitala</t>
  </si>
  <si>
    <t>lopis</t>
  </si>
  <si>
    <t>rhoadesii</t>
  </si>
  <si>
    <t>arabicum</t>
  </si>
  <si>
    <t>burmensis</t>
  </si>
  <si>
    <t>caeruleopunctatum</t>
  </si>
  <si>
    <t>indicum</t>
  </si>
  <si>
    <t>plagiosum</t>
  </si>
  <si>
    <t>fritillus</t>
  </si>
  <si>
    <t>zunevei</t>
  </si>
  <si>
    <t>curiosus</t>
  </si>
  <si>
    <t>cachius</t>
  </si>
  <si>
    <t>khujairokensis</t>
  </si>
  <si>
    <t>euchilus</t>
  </si>
  <si>
    <t>hemigrammus</t>
  </si>
  <si>
    <t>leticiae</t>
  </si>
  <si>
    <t>notulatus</t>
  </si>
  <si>
    <t>pauciradiatus</t>
  </si>
  <si>
    <t>rupununi</t>
  </si>
  <si>
    <t>stenopterus</t>
  </si>
  <si>
    <t>tectifer</t>
  </si>
  <si>
    <t>alipioi</t>
  </si>
  <si>
    <t>amaila</t>
  </si>
  <si>
    <t>bahiense</t>
  </si>
  <si>
    <t>boavistae</t>
  </si>
  <si>
    <t>bolivianum</t>
  </si>
  <si>
    <t>brevirostre</t>
  </si>
  <si>
    <t>caucanum</t>
  </si>
  <si>
    <t>chupa</t>
  </si>
  <si>
    <t>crandellii</t>
  </si>
  <si>
    <t>declivirostre</t>
  </si>
  <si>
    <t>deludens</t>
  </si>
  <si>
    <t>etheostoma</t>
  </si>
  <si>
    <t>grajahuensis</t>
  </si>
  <si>
    <t>heinianum</t>
  </si>
  <si>
    <t>heirmostigmata</t>
  </si>
  <si>
    <t>helmeri</t>
  </si>
  <si>
    <t>interruptum</t>
  </si>
  <si>
    <t>japuhybense</t>
  </si>
  <si>
    <t>kamakan</t>
  </si>
  <si>
    <t>lagosantense</t>
  </si>
  <si>
    <t>lanei</t>
  </si>
  <si>
    <t>laterale</t>
  </si>
  <si>
    <t>lauroi</t>
  </si>
  <si>
    <t>litorale</t>
  </si>
  <si>
    <t>longum</t>
  </si>
  <si>
    <t>macrolepidotum</t>
  </si>
  <si>
    <t>marshi</t>
  </si>
  <si>
    <t>mirim</t>
  </si>
  <si>
    <t>nupelia</t>
  </si>
  <si>
    <t>occidentale</t>
  </si>
  <si>
    <t>oiticicai</t>
  </si>
  <si>
    <t>papachibe</t>
  </si>
  <si>
    <t>pellucidum</t>
  </si>
  <si>
    <t>phoxocephalum</t>
  </si>
  <si>
    <t>pteroides</t>
  </si>
  <si>
    <t>pterostictum</t>
  </si>
  <si>
    <t>purpuratum</t>
  </si>
  <si>
    <t>roesseli</t>
  </si>
  <si>
    <t>samurai</t>
  </si>
  <si>
    <t>sanctjohanni</t>
  </si>
  <si>
    <t>satoi</t>
  </si>
  <si>
    <t>schindleri</t>
  </si>
  <si>
    <t>schubarti</t>
  </si>
  <si>
    <t>serrano</t>
  </si>
  <si>
    <t>stigmosum</t>
  </si>
  <si>
    <t>summus</t>
  </si>
  <si>
    <t>tenue</t>
  </si>
  <si>
    <t>timbuiense</t>
  </si>
  <si>
    <t>vestigipinne</t>
  </si>
  <si>
    <t>vidali</t>
  </si>
  <si>
    <t>xanthopterum</t>
  </si>
  <si>
    <t>xavante</t>
  </si>
  <si>
    <t>amphibeus</t>
  </si>
  <si>
    <t>andrao</t>
  </si>
  <si>
    <t>asiatica</t>
  </si>
  <si>
    <t>aurantimaculata</t>
  </si>
  <si>
    <t>aurantipectoralis</t>
  </si>
  <si>
    <t>barca</t>
  </si>
  <si>
    <t>cyanospilos</t>
  </si>
  <si>
    <t>diplogramma</t>
  </si>
  <si>
    <t>gachua</t>
  </si>
  <si>
    <t>harcourtbutleri</t>
  </si>
  <si>
    <t>hoaluensis</t>
  </si>
  <si>
    <t>longistomata</t>
  </si>
  <si>
    <t>marulioides</t>
  </si>
  <si>
    <t>marulius</t>
  </si>
  <si>
    <t>melanoptera</t>
  </si>
  <si>
    <t>melasoma</t>
  </si>
  <si>
    <t>micropeltes</t>
  </si>
  <si>
    <t>ninhbinhensis</t>
  </si>
  <si>
    <t>nox</t>
  </si>
  <si>
    <t>panaw</t>
  </si>
  <si>
    <t>pleurophthalma</t>
  </si>
  <si>
    <t>pomanensis</t>
  </si>
  <si>
    <t>shingon</t>
  </si>
  <si>
    <t>stewartii</t>
  </si>
  <si>
    <t>nama</t>
  </si>
  <si>
    <t>spilorhynchus</t>
  </si>
  <si>
    <t>cyanophleps</t>
  </si>
  <si>
    <t>popelini</t>
  </si>
  <si>
    <t>epakros</t>
  </si>
  <si>
    <t>macrolepidotus</t>
  </si>
  <si>
    <t>spilogyros</t>
  </si>
  <si>
    <t>aburrensis</t>
  </si>
  <si>
    <t>alternifasciatum</t>
  </si>
  <si>
    <t>anale</t>
  </si>
  <si>
    <t>anomalum</t>
  </si>
  <si>
    <t>bifurcum</t>
  </si>
  <si>
    <t>branickii</t>
  </si>
  <si>
    <t>breve</t>
  </si>
  <si>
    <t>brevilabiatum</t>
  </si>
  <si>
    <t>changae</t>
  </si>
  <si>
    <t>daidalmatos</t>
  </si>
  <si>
    <t>dermorhynchum</t>
  </si>
  <si>
    <t>dorsale</t>
  </si>
  <si>
    <t>dupouii</t>
  </si>
  <si>
    <t>formosae</t>
  </si>
  <si>
    <t>guairense</t>
  </si>
  <si>
    <t>lepturum</t>
  </si>
  <si>
    <t>lineopunctatum</t>
  </si>
  <si>
    <t>loborhynchos</t>
  </si>
  <si>
    <t>machiquense</t>
  </si>
  <si>
    <t>marginatum</t>
  </si>
  <si>
    <t>marmorescens</t>
  </si>
  <si>
    <t>microps</t>
  </si>
  <si>
    <t>milesi</t>
  </si>
  <si>
    <t>mollinasum</t>
  </si>
  <si>
    <t>niveum</t>
  </si>
  <si>
    <t>nudirostre</t>
  </si>
  <si>
    <t>patiae</t>
  </si>
  <si>
    <t>pearsei</t>
  </si>
  <si>
    <t>spondylus</t>
  </si>
  <si>
    <t>stannii</t>
  </si>
  <si>
    <t>stroumpoulos</t>
  </si>
  <si>
    <t>tachiraense</t>
  </si>
  <si>
    <t>taczanowskii</t>
  </si>
  <si>
    <t>trimaculineum</t>
  </si>
  <si>
    <t>vagum</t>
  </si>
  <si>
    <t>vasquezi</t>
  </si>
  <si>
    <t>yurubiense</t>
  </si>
  <si>
    <t>ballinae</t>
  </si>
  <si>
    <t>cephalareticulatus</t>
  </si>
  <si>
    <t>chrysocephalus</t>
  </si>
  <si>
    <t>conspicillatus</t>
  </si>
  <si>
    <t>meredithi</t>
  </si>
  <si>
    <t>mesoleucus</t>
  </si>
  <si>
    <t>personifer</t>
  </si>
  <si>
    <t>poliourus</t>
  </si>
  <si>
    <t>vanderloosi</t>
  </si>
  <si>
    <t>adiergastos</t>
  </si>
  <si>
    <t>argentatus</t>
  </si>
  <si>
    <t>assarius</t>
  </si>
  <si>
    <t>aureofasciatus</t>
  </si>
  <si>
    <t>auriga</t>
  </si>
  <si>
    <t>auripes</t>
  </si>
  <si>
    <t>austriacus</t>
  </si>
  <si>
    <t>baronessa</t>
  </si>
  <si>
    <t>bennetti</t>
  </si>
  <si>
    <t>blackburnii</t>
  </si>
  <si>
    <t>capistratus</t>
  </si>
  <si>
    <t>citrinellus</t>
  </si>
  <si>
    <t>collare</t>
  </si>
  <si>
    <t>daedalma</t>
  </si>
  <si>
    <t>declivis</t>
  </si>
  <si>
    <t>dialeucos</t>
  </si>
  <si>
    <t>dolosus</t>
  </si>
  <si>
    <t>falcula</t>
  </si>
  <si>
    <t>flavirostris</t>
  </si>
  <si>
    <t>flavocoronatus</t>
  </si>
  <si>
    <t>fremblii</t>
  </si>
  <si>
    <t>guttatissimus</t>
  </si>
  <si>
    <t>kleinii</t>
  </si>
  <si>
    <t>larvatus</t>
  </si>
  <si>
    <t>leucopleura</t>
  </si>
  <si>
    <t>madagaskariensis</t>
  </si>
  <si>
    <t>marleyi</t>
  </si>
  <si>
    <t>melannotus</t>
  </si>
  <si>
    <t>melapterus</t>
  </si>
  <si>
    <t>mesoleucos</t>
  </si>
  <si>
    <t>nippon</t>
  </si>
  <si>
    <t>ocellicaudus</t>
  </si>
  <si>
    <t>paucifasciatus</t>
  </si>
  <si>
    <t>pelewensis</t>
  </si>
  <si>
    <t>plebeius</t>
  </si>
  <si>
    <t>rafflesii</t>
  </si>
  <si>
    <t>rainfordi</t>
  </si>
  <si>
    <t>sedentarius</t>
  </si>
  <si>
    <t>selene</t>
  </si>
  <si>
    <t>semeion</t>
  </si>
  <si>
    <t>semilarvatus</t>
  </si>
  <si>
    <t>speculum</t>
  </si>
  <si>
    <t>tinkeri</t>
  </si>
  <si>
    <t>triangulum</t>
  </si>
  <si>
    <t>trichrous</t>
  </si>
  <si>
    <t>tricinctus</t>
  </si>
  <si>
    <t>trifascialis</t>
  </si>
  <si>
    <t>ulietensis</t>
  </si>
  <si>
    <t>vagabundus</t>
  </si>
  <si>
    <t>wiebeli</t>
  </si>
  <si>
    <t>xanthocephalus</t>
  </si>
  <si>
    <t>faber</t>
  </si>
  <si>
    <t>lippei</t>
  </si>
  <si>
    <t>penicilligerus</t>
  </si>
  <si>
    <t>chaca</t>
  </si>
  <si>
    <t>serica</t>
  </si>
  <si>
    <t>amphiloxa</t>
  </si>
  <si>
    <t>arcana</t>
  </si>
  <si>
    <t>baudoensis</t>
  </si>
  <si>
    <t>caiapo</t>
  </si>
  <si>
    <t>candiru</t>
  </si>
  <si>
    <t>coecutiens</t>
  </si>
  <si>
    <t>gobioides</t>
  </si>
  <si>
    <t>jurubidae</t>
  </si>
  <si>
    <t>motatanensis</t>
  </si>
  <si>
    <t>orinoco</t>
  </si>
  <si>
    <t>othonops</t>
  </si>
  <si>
    <t>parma</t>
  </si>
  <si>
    <t>sandrae</t>
  </si>
  <si>
    <t>sarcodes</t>
  </si>
  <si>
    <t>starnesi</t>
  </si>
  <si>
    <t>umbrosa</t>
  </si>
  <si>
    <t>aitha</t>
  </si>
  <si>
    <t>boenak</t>
  </si>
  <si>
    <t>cruentata</t>
  </si>
  <si>
    <t>fulva</t>
  </si>
  <si>
    <t>hemistiktos</t>
  </si>
  <si>
    <t>igarashiensis</t>
  </si>
  <si>
    <t>microprion</t>
  </si>
  <si>
    <t>miniata</t>
  </si>
  <si>
    <t>nigri</t>
  </si>
  <si>
    <t>oligosticta</t>
  </si>
  <si>
    <t>polyspila</t>
  </si>
  <si>
    <t>sexmaculata</t>
  </si>
  <si>
    <t>sonnerati</t>
  </si>
  <si>
    <t>spiloparaea</t>
  </si>
  <si>
    <t>urodeta</t>
  </si>
  <si>
    <t>abei</t>
  </si>
  <si>
    <t>acanthops</t>
  </si>
  <si>
    <t>argi</t>
  </si>
  <si>
    <t>aurantonotus</t>
  </si>
  <si>
    <t>cocosensis</t>
  </si>
  <si>
    <t>deborae</t>
  </si>
  <si>
    <t>eibli</t>
  </si>
  <si>
    <t>ferrugata</t>
  </si>
  <si>
    <t>flavissima</t>
  </si>
  <si>
    <t>heraldi</t>
  </si>
  <si>
    <t>hotumatua</t>
  </si>
  <si>
    <t>interrupta</t>
  </si>
  <si>
    <t>joculator</t>
  </si>
  <si>
    <t>loriculus</t>
  </si>
  <si>
    <t>multicolor</t>
  </si>
  <si>
    <t>narcosis</t>
  </si>
  <si>
    <t>nigriocella</t>
  </si>
  <si>
    <t>potteri</t>
  </si>
  <si>
    <t>resplendens</t>
  </si>
  <si>
    <t>shepardi</t>
  </si>
  <si>
    <t>woodheadi</t>
  </si>
  <si>
    <t>schereri</t>
  </si>
  <si>
    <t>acronotus</t>
  </si>
  <si>
    <t>altimus</t>
  </si>
  <si>
    <t>amblyrhynchoides</t>
  </si>
  <si>
    <t>amblyrhynchos</t>
  </si>
  <si>
    <t>brachyurus</t>
  </si>
  <si>
    <t>brevipinna</t>
  </si>
  <si>
    <t>cautus</t>
  </si>
  <si>
    <t>cerdale</t>
  </si>
  <si>
    <t>fitzroyensis</t>
  </si>
  <si>
    <t>hemiodon</t>
  </si>
  <si>
    <t>humani</t>
  </si>
  <si>
    <t>isodon</t>
  </si>
  <si>
    <t>leiodon</t>
  </si>
  <si>
    <t>leucas</t>
  </si>
  <si>
    <t>macloti</t>
  </si>
  <si>
    <t>perezii</t>
  </si>
  <si>
    <t>plumbeus</t>
  </si>
  <si>
    <t>sorrah</t>
  </si>
  <si>
    <t>tilstoni</t>
  </si>
  <si>
    <t>tjutjot</t>
  </si>
  <si>
    <t>carassius</t>
  </si>
  <si>
    <t>gibelio</t>
  </si>
  <si>
    <t>langsdorfii</t>
  </si>
  <si>
    <t>praecipuus</t>
  </si>
  <si>
    <t>kraussii</t>
  </si>
  <si>
    <t>angorae</t>
  </si>
  <si>
    <t>antalyensis</t>
  </si>
  <si>
    <t>aydinensis</t>
  </si>
  <si>
    <t>baliki</t>
  </si>
  <si>
    <t>banarescui</t>
  </si>
  <si>
    <t>barroisi</t>
  </si>
  <si>
    <t>bergamae</t>
  </si>
  <si>
    <t>buhsei</t>
  </si>
  <si>
    <t>caelestis</t>
  </si>
  <si>
    <t>capoeta</t>
  </si>
  <si>
    <t>capoetoides</t>
  </si>
  <si>
    <t>coadi</t>
  </si>
  <si>
    <t>damascina</t>
  </si>
  <si>
    <t>ekmekciae</t>
  </si>
  <si>
    <t>erhani</t>
  </si>
  <si>
    <t>ferdowsii</t>
  </si>
  <si>
    <t>kosswigi</t>
  </si>
  <si>
    <t>mandica</t>
  </si>
  <si>
    <t>mauricii</t>
  </si>
  <si>
    <t>pestai</t>
  </si>
  <si>
    <t>pyragyi</t>
  </si>
  <si>
    <t>razii</t>
  </si>
  <si>
    <t>saadii</t>
  </si>
  <si>
    <t>sevangi</t>
  </si>
  <si>
    <t>shajariani</t>
  </si>
  <si>
    <t>sieboldii</t>
  </si>
  <si>
    <t>tinca</t>
  </si>
  <si>
    <t>trutta</t>
  </si>
  <si>
    <t>turani</t>
  </si>
  <si>
    <t>umbla</t>
  </si>
  <si>
    <t>tetrazona</t>
  </si>
  <si>
    <t>balcanicus</t>
  </si>
  <si>
    <t>barbus</t>
  </si>
  <si>
    <t>bergi</t>
  </si>
  <si>
    <t>biharicus</t>
  </si>
  <si>
    <t>borysthenicus</t>
  </si>
  <si>
    <t>carottae</t>
  </si>
  <si>
    <t>carpathicus</t>
  </si>
  <si>
    <t>ciscaucasicus</t>
  </si>
  <si>
    <t>cyclolepis</t>
  </si>
  <si>
    <t>cyri</t>
  </si>
  <si>
    <t>euboicus</t>
  </si>
  <si>
    <t>haasi</t>
  </si>
  <si>
    <t>karunensis</t>
  </si>
  <si>
    <t>kubanicus</t>
  </si>
  <si>
    <t>lacerta</t>
  </si>
  <si>
    <t>lorteti</t>
  </si>
  <si>
    <t>macedonicus</t>
  </si>
  <si>
    <t>niluferensis</t>
  </si>
  <si>
    <t>peloponnesius</t>
  </si>
  <si>
    <t>pergamonensis</t>
  </si>
  <si>
    <t>petenyi</t>
  </si>
  <si>
    <t>plebejus</t>
  </si>
  <si>
    <t>prespensis</t>
  </si>
  <si>
    <t>sperchiensis</t>
  </si>
  <si>
    <t>tauricus</t>
  </si>
  <si>
    <t>thessalus</t>
  </si>
  <si>
    <t>tyberinus</t>
  </si>
  <si>
    <t>waleckii</t>
  </si>
  <si>
    <t>axiologus</t>
  </si>
  <si>
    <t>callisterna</t>
  </si>
  <si>
    <t>capistrata</t>
  </si>
  <si>
    <t>criobe</t>
  </si>
  <si>
    <t>cyanetron</t>
  </si>
  <si>
    <t>cyanospilota</t>
  </si>
  <si>
    <t>epilampra</t>
  </si>
  <si>
    <t>figueiredoi</t>
  </si>
  <si>
    <t>flavoreticulata</t>
  </si>
  <si>
    <t>inframacula</t>
  </si>
  <si>
    <t>investigatoris</t>
  </si>
  <si>
    <t>jactator</t>
  </si>
  <si>
    <t>jamestyleri</t>
  </si>
  <si>
    <t>janthinoptera</t>
  </si>
  <si>
    <t>margaritata</t>
  </si>
  <si>
    <t>ocellicincta</t>
  </si>
  <si>
    <t>papua</t>
  </si>
  <si>
    <t>punctatissima</t>
  </si>
  <si>
    <t>rapaensis</t>
  </si>
  <si>
    <t>rivulata</t>
  </si>
  <si>
    <t>rostrata</t>
  </si>
  <si>
    <t>smithae</t>
  </si>
  <si>
    <t>solandri</t>
  </si>
  <si>
    <t>supramacula</t>
  </si>
  <si>
    <t>valentini</t>
  </si>
  <si>
    <t>alces</t>
  </si>
  <si>
    <t>bredoi</t>
  </si>
  <si>
    <t>cassaicus</t>
  </si>
  <si>
    <t>compressirostris</t>
  </si>
  <si>
    <t>curvirostris</t>
  </si>
  <si>
    <t>elephas</t>
  </si>
  <si>
    <t>luapulaensis</t>
  </si>
  <si>
    <t>mirus</t>
  </si>
  <si>
    <t>numenius</t>
  </si>
  <si>
    <t>orycteropus</t>
  </si>
  <si>
    <t>phantasticus</t>
  </si>
  <si>
    <t>rhynchophorus</t>
  </si>
  <si>
    <t>tamandua</t>
  </si>
  <si>
    <t>tshokwe</t>
  </si>
  <si>
    <t>pleurospilus</t>
  </si>
  <si>
    <t>callichthys</t>
  </si>
  <si>
    <t>fabricioi</t>
  </si>
  <si>
    <t>oibaensis</t>
  </si>
  <si>
    <t>serralabium</t>
  </si>
  <si>
    <t>labyrinthicus</t>
  </si>
  <si>
    <t>mestomorgmatos</t>
  </si>
  <si>
    <t>schizodon</t>
  </si>
  <si>
    <t>butis</t>
  </si>
  <si>
    <t>gymnopomus</t>
  </si>
  <si>
    <t>koilomatodon</t>
  </si>
  <si>
    <t>aleuropsis</t>
  </si>
  <si>
    <t>aloikae</t>
  </si>
  <si>
    <t>amaurus</t>
  </si>
  <si>
    <t>chamaizelus</t>
  </si>
  <si>
    <t>colombianus</t>
  </si>
  <si>
    <t>coracoideus</t>
  </si>
  <si>
    <t>erondinae</t>
  </si>
  <si>
    <t>hartti</t>
  </si>
  <si>
    <t>larai</t>
  </si>
  <si>
    <t>minerim</t>
  </si>
  <si>
    <t>atritaeniatus</t>
  </si>
  <si>
    <t>heterotaenia</t>
  </si>
  <si>
    <t>lepturus</t>
  </si>
  <si>
    <t>alburnus</t>
  </si>
  <si>
    <t>atrocaudatus</t>
  </si>
  <si>
    <t>behreae</t>
  </si>
  <si>
    <t>cephalus</t>
  </si>
  <si>
    <t>chagrensis</t>
  </si>
  <si>
    <t>coquenani</t>
  </si>
  <si>
    <t>costaricensis</t>
  </si>
  <si>
    <t>coxeyi</t>
  </si>
  <si>
    <t>devillei</t>
  </si>
  <si>
    <t>falcatus</t>
  </si>
  <si>
    <t>gouldingi</t>
  </si>
  <si>
    <t>guatemalensis</t>
  </si>
  <si>
    <t>hilarii</t>
  </si>
  <si>
    <t>medemi</t>
  </si>
  <si>
    <t>opalinus</t>
  </si>
  <si>
    <t>orbignyanus</t>
  </si>
  <si>
    <t>orthotaenia</t>
  </si>
  <si>
    <t>pesu</t>
  </si>
  <si>
    <t>petrosus</t>
  </si>
  <si>
    <t>posadae</t>
  </si>
  <si>
    <t>rubricauda</t>
  </si>
  <si>
    <t>stolzmanni</t>
  </si>
  <si>
    <t>striatulus</t>
  </si>
  <si>
    <t>vermelha</t>
  </si>
  <si>
    <t>abeli</t>
  </si>
  <si>
    <t>carmesinus</t>
  </si>
  <si>
    <t>carolinae</t>
  </si>
  <si>
    <t>comptus</t>
  </si>
  <si>
    <t>derhami</t>
  </si>
  <si>
    <t>epuluensis</t>
  </si>
  <si>
    <t>fwaensis</t>
  </si>
  <si>
    <t>imberi</t>
  </si>
  <si>
    <t>jacksonii</t>
  </si>
  <si>
    <t>leuciscus</t>
  </si>
  <si>
    <t>nurse</t>
  </si>
  <si>
    <t>opisthotaenia</t>
  </si>
  <si>
    <t>peringueyi</t>
  </si>
  <si>
    <t>poptae</t>
  </si>
  <si>
    <t>rhodopleura</t>
  </si>
  <si>
    <t>sadleri</t>
  </si>
  <si>
    <t>tholloni</t>
  </si>
  <si>
    <t>capapretum</t>
  </si>
  <si>
    <t>juruense</t>
  </si>
  <si>
    <t>rousseauxii</t>
  </si>
  <si>
    <t>arrayae</t>
  </si>
  <si>
    <t>batesi</t>
  </si>
  <si>
    <t>belindae</t>
  </si>
  <si>
    <t>benjamini</t>
  </si>
  <si>
    <t>bombilla</t>
  </si>
  <si>
    <t>bullocki</t>
  </si>
  <si>
    <t>cunia</t>
  </si>
  <si>
    <t>diazi</t>
  </si>
  <si>
    <t>draco</t>
  </si>
  <si>
    <t>flavipomus</t>
  </si>
  <si>
    <t>gauderio</t>
  </si>
  <si>
    <t>hamiltoni</t>
  </si>
  <si>
    <t>hendersoni</t>
  </si>
  <si>
    <t>janeiroensis</t>
  </si>
  <si>
    <t>jureiae</t>
  </si>
  <si>
    <t>palenque</t>
  </si>
  <si>
    <t>pinnicaudatus</t>
  </si>
  <si>
    <t>provenzanoi</t>
  </si>
  <si>
    <t>sullivani</t>
  </si>
  <si>
    <t>verdii</t>
  </si>
  <si>
    <t>aggregatus</t>
  </si>
  <si>
    <t>kabiliensis</t>
  </si>
  <si>
    <t>nunus</t>
  </si>
  <si>
    <t>sua</t>
  </si>
  <si>
    <t>xanthomelas</t>
  </si>
  <si>
    <t>xanthozonus</t>
  </si>
  <si>
    <t>nummus</t>
  </si>
  <si>
    <t>retrospina</t>
  </si>
  <si>
    <t>xyrekes</t>
  </si>
  <si>
    <t>almorhae</t>
  </si>
  <si>
    <t>birdi</t>
  </si>
  <si>
    <t>dario</t>
  </si>
  <si>
    <t>histrionica</t>
  </si>
  <si>
    <t>kubotai</t>
  </si>
  <si>
    <t>lohachata</t>
  </si>
  <si>
    <t>udomritthiruji</t>
  </si>
  <si>
    <t>brigittae</t>
  </si>
  <si>
    <t>merah</t>
  </si>
  <si>
    <t>micros</t>
  </si>
  <si>
    <t>naevus</t>
  </si>
  <si>
    <t>fredcochui</t>
  </si>
  <si>
    <t>albotaeniatus</t>
  </si>
  <si>
    <t>anthioides</t>
  </si>
  <si>
    <t>atrolumbus</t>
  </si>
  <si>
    <t>bathycapros</t>
  </si>
  <si>
    <t>bilunulatus</t>
  </si>
  <si>
    <t>busellatus</t>
  </si>
  <si>
    <t>cylindriatus</t>
  </si>
  <si>
    <t>diana</t>
  </si>
  <si>
    <t>dictynna</t>
  </si>
  <si>
    <t>eclancheri</t>
  </si>
  <si>
    <t>flavifrons</t>
  </si>
  <si>
    <t>frenchii</t>
  </si>
  <si>
    <t>izuensis</t>
  </si>
  <si>
    <t>leucosticticus</t>
  </si>
  <si>
    <t>macrognathos</t>
  </si>
  <si>
    <t>macrourus</t>
  </si>
  <si>
    <t>masudai</t>
  </si>
  <si>
    <t>mesothorax</t>
  </si>
  <si>
    <t>neilli</t>
  </si>
  <si>
    <t>neopercularis</t>
  </si>
  <si>
    <t>paraleucosticticus</t>
  </si>
  <si>
    <t>perditio</t>
  </si>
  <si>
    <t>rubrisos</t>
  </si>
  <si>
    <t>scrofa</t>
  </si>
  <si>
    <t>sepiacaudus</t>
  </si>
  <si>
    <t>solatus</t>
  </si>
  <si>
    <t>tanyokidus</t>
  </si>
  <si>
    <t>wavrini</t>
  </si>
  <si>
    <t>akarensis</t>
  </si>
  <si>
    <t>anabatoides</t>
  </si>
  <si>
    <t>antoni</t>
  </si>
  <si>
    <t>apollon</t>
  </si>
  <si>
    <t>aurigans</t>
  </si>
  <si>
    <t>balunga</t>
  </si>
  <si>
    <t>bellica</t>
  </si>
  <si>
    <t>breviobesus</t>
  </si>
  <si>
    <t>brownorum</t>
  </si>
  <si>
    <t>burdigala</t>
  </si>
  <si>
    <t>channoides</t>
  </si>
  <si>
    <t>chloropharynx</t>
  </si>
  <si>
    <t>coccina</t>
  </si>
  <si>
    <t>compuncta</t>
  </si>
  <si>
    <t>cracens</t>
  </si>
  <si>
    <t>dennisyongi</t>
  </si>
  <si>
    <t>edithae</t>
  </si>
  <si>
    <t>enisae</t>
  </si>
  <si>
    <t>falx</t>
  </si>
  <si>
    <t>gladiator</t>
  </si>
  <si>
    <t>hendra</t>
  </si>
  <si>
    <t>hipposideros</t>
  </si>
  <si>
    <t>ibanorum</t>
  </si>
  <si>
    <t>ideii</t>
  </si>
  <si>
    <t>imbellis</t>
  </si>
  <si>
    <t>krataios</t>
  </si>
  <si>
    <t>kuehnei</t>
  </si>
  <si>
    <t>lehi</t>
  </si>
  <si>
    <t>livida</t>
  </si>
  <si>
    <t>mahachaiensis</t>
  </si>
  <si>
    <t>mandor</t>
  </si>
  <si>
    <t>miniopinna</t>
  </si>
  <si>
    <t>pallifina</t>
  </si>
  <si>
    <t>pardalotos</t>
  </si>
  <si>
    <t>persephone</t>
  </si>
  <si>
    <t>pi</t>
  </si>
  <si>
    <t>pinguis</t>
  </si>
  <si>
    <t>prima</t>
  </si>
  <si>
    <t>raja</t>
  </si>
  <si>
    <t>renata</t>
  </si>
  <si>
    <t>rutilans</t>
  </si>
  <si>
    <t>siamorientalis</t>
  </si>
  <si>
    <t>simorum</t>
  </si>
  <si>
    <t>smaragdina</t>
  </si>
  <si>
    <t>spilotogena</t>
  </si>
  <si>
    <t>stigmosa</t>
  </si>
  <si>
    <t>stiktos</t>
  </si>
  <si>
    <t>strohi</t>
  </si>
  <si>
    <t>taeniata</t>
  </si>
  <si>
    <t>tomi</t>
  </si>
  <si>
    <t>tussyae</t>
  </si>
  <si>
    <t>uberis</t>
  </si>
  <si>
    <t>waseri</t>
  </si>
  <si>
    <t>melanoides</t>
  </si>
  <si>
    <t>tricoti</t>
  </si>
  <si>
    <t>hasselti</t>
  </si>
  <si>
    <t>albomarginata</t>
  </si>
  <si>
    <t>alveyi</t>
  </si>
  <si>
    <t>leucopteron</t>
  </si>
  <si>
    <t>longianalis</t>
  </si>
  <si>
    <t>marojejy</t>
  </si>
  <si>
    <t>masoala</t>
  </si>
  <si>
    <t>balleroides</t>
  </si>
  <si>
    <t>collingwoodii</t>
  </si>
  <si>
    <t>gonionotus</t>
  </si>
  <si>
    <t>schwanenfeldii</t>
  </si>
  <si>
    <t>amarus</t>
  </si>
  <si>
    <t>aurotaeniatus</t>
  </si>
  <si>
    <t>banksi</t>
  </si>
  <si>
    <t>bantolanensis</t>
  </si>
  <si>
    <t>baoulan</t>
  </si>
  <si>
    <t>belinka</t>
  </si>
  <si>
    <t>bunau</t>
  </si>
  <si>
    <t>cataractae</t>
  </si>
  <si>
    <t>clemensi</t>
  </si>
  <si>
    <t>disa</t>
  </si>
  <si>
    <t>dorsimaculatus</t>
  </si>
  <si>
    <t>dunckeri</t>
  </si>
  <si>
    <t>flavifuscus</t>
  </si>
  <si>
    <t>hemictenus</t>
  </si>
  <si>
    <t>ivis</t>
  </si>
  <si>
    <t>joaquinae</t>
  </si>
  <si>
    <t>katolo</t>
  </si>
  <si>
    <t>kuchingensis</t>
  </si>
  <si>
    <t>lanaoensis</t>
  </si>
  <si>
    <t>lindog</t>
  </si>
  <si>
    <t>mahakkamensis</t>
  </si>
  <si>
    <t>manalak</t>
  </si>
  <si>
    <t>manguaoensis</t>
  </si>
  <si>
    <t>montanoi</t>
  </si>
  <si>
    <t>palaemophagus</t>
  </si>
  <si>
    <t>palata</t>
  </si>
  <si>
    <t>palavanensis</t>
  </si>
  <si>
    <t>quinquemaculatus</t>
  </si>
  <si>
    <t>resinus</t>
  </si>
  <si>
    <t>rhombeus</t>
  </si>
  <si>
    <t>semifasciolatus</t>
  </si>
  <si>
    <t>sirang</t>
  </si>
  <si>
    <t>snyderi</t>
  </si>
  <si>
    <t>sunieri</t>
  </si>
  <si>
    <t>tras</t>
  </si>
  <si>
    <t>truncatulus</t>
  </si>
  <si>
    <t>tumba</t>
  </si>
  <si>
    <t>umalii</t>
  </si>
  <si>
    <t>wynaadensis</t>
  </si>
  <si>
    <t>conspicillum</t>
  </si>
  <si>
    <t>capriscus</t>
  </si>
  <si>
    <t>ellioti</t>
  </si>
  <si>
    <t>willughbeii</t>
  </si>
  <si>
    <t>ambusticauda</t>
  </si>
  <si>
    <t>bagarius</t>
  </si>
  <si>
    <t>suchus</t>
  </si>
  <si>
    <t>yarrelli</t>
  </si>
  <si>
    <t>andrewraoi</t>
  </si>
  <si>
    <t>autumnum</t>
  </si>
  <si>
    <t>badis</t>
  </si>
  <si>
    <t>blosyrus</t>
  </si>
  <si>
    <t>britzi</t>
  </si>
  <si>
    <t>chittagongis</t>
  </si>
  <si>
    <t>corycaeus</t>
  </si>
  <si>
    <t>dibruensis</t>
  </si>
  <si>
    <t>ferrarisi</t>
  </si>
  <si>
    <t>juergenschmidti</t>
  </si>
  <si>
    <t>kanabos</t>
  </si>
  <si>
    <t>khwae</t>
  </si>
  <si>
    <t>kyanos</t>
  </si>
  <si>
    <t>kyar</t>
  </si>
  <si>
    <t>laspiophilus</t>
  </si>
  <si>
    <t>pyema</t>
  </si>
  <si>
    <t>singenensis</t>
  </si>
  <si>
    <t>soraya</t>
  </si>
  <si>
    <t>triocellus</t>
  </si>
  <si>
    <t>tuivaiei</t>
  </si>
  <si>
    <t>lindeae</t>
  </si>
  <si>
    <t>riesei</t>
  </si>
  <si>
    <t>stigmatias</t>
  </si>
  <si>
    <t>adloffi</t>
  </si>
  <si>
    <t>alexandri</t>
  </si>
  <si>
    <t>arachan</t>
  </si>
  <si>
    <t>araucarianus</t>
  </si>
  <si>
    <t>charrua</t>
  </si>
  <si>
    <t>cheradophilus</t>
  </si>
  <si>
    <t>duraznensis</t>
  </si>
  <si>
    <t>gymnoventris</t>
  </si>
  <si>
    <t>ibicuiensis</t>
  </si>
  <si>
    <t>jaegari</t>
  </si>
  <si>
    <t>juanlangi</t>
  </si>
  <si>
    <t>litzi</t>
  </si>
  <si>
    <t>luteoflammulatus</t>
  </si>
  <si>
    <t>melanoorus</t>
  </si>
  <si>
    <t>monstrosus</t>
  </si>
  <si>
    <t>nachtigalli</t>
  </si>
  <si>
    <t>nioni</t>
  </si>
  <si>
    <t>nonoiuliensis</t>
  </si>
  <si>
    <t>patriciae</t>
  </si>
  <si>
    <t>paucisquama</t>
  </si>
  <si>
    <t>periodicus</t>
  </si>
  <si>
    <t>quirogai</t>
  </si>
  <si>
    <t>reicherti</t>
  </si>
  <si>
    <t>toba</t>
  </si>
  <si>
    <t>univentripinnis</t>
  </si>
  <si>
    <t>vandenbergi</t>
  </si>
  <si>
    <t>varzeae</t>
  </si>
  <si>
    <t>vazferreirai</t>
  </si>
  <si>
    <t>viarius</t>
  </si>
  <si>
    <t>wolterstorffi</t>
  </si>
  <si>
    <t>guajira</t>
  </si>
  <si>
    <t>leohoignei</t>
  </si>
  <si>
    <t>leoni</t>
  </si>
  <si>
    <t>limnaeus</t>
  </si>
  <si>
    <t>transilis</t>
  </si>
  <si>
    <t>dewindti</t>
  </si>
  <si>
    <t>aquilonium</t>
  </si>
  <si>
    <t>auditor</t>
  </si>
  <si>
    <t>brevinidus</t>
  </si>
  <si>
    <t>gertrudae</t>
  </si>
  <si>
    <t>hansbaenschi</t>
  </si>
  <si>
    <t>hueseri</t>
  </si>
  <si>
    <t>jacobfreibergi</t>
  </si>
  <si>
    <t>kandeensis</t>
  </si>
  <si>
    <t>korneliae</t>
  </si>
  <si>
    <t>nyassae</t>
  </si>
  <si>
    <t>steveni</t>
  </si>
  <si>
    <t>stonemani</t>
  </si>
  <si>
    <t>trematocephalum</t>
  </si>
  <si>
    <t>thoracatus</t>
  </si>
  <si>
    <t>spatula</t>
  </si>
  <si>
    <t>tristoechus</t>
  </si>
  <si>
    <t>tropicus</t>
  </si>
  <si>
    <t>abramis</t>
  </si>
  <si>
    <t>ajuricaba</t>
  </si>
  <si>
    <t>altior</t>
  </si>
  <si>
    <t>altiparanae</t>
  </si>
  <si>
    <t>anterior</t>
  </si>
  <si>
    <t>aramburui</t>
  </si>
  <si>
    <t>argyrimarginatus</t>
  </si>
  <si>
    <t>asuncionensis</t>
  </si>
  <si>
    <t>aurocaudatus</t>
  </si>
  <si>
    <t>bagual</t>
  </si>
  <si>
    <t>biotae</t>
  </si>
  <si>
    <t>bockmanni</t>
  </si>
  <si>
    <t>bourgeti</t>
  </si>
  <si>
    <t>brachypterygium</t>
  </si>
  <si>
    <t>brevirhinus</t>
  </si>
  <si>
    <t>burgerai</t>
  </si>
  <si>
    <t>chico</t>
  </si>
  <si>
    <t>clavitaeniatus</t>
  </si>
  <si>
    <t>cocibolca</t>
  </si>
  <si>
    <t>cordovae</t>
  </si>
  <si>
    <t>correntinus</t>
  </si>
  <si>
    <t>courensis</t>
  </si>
  <si>
    <t>cremnobates</t>
  </si>
  <si>
    <t>daguae</t>
  </si>
  <si>
    <t>depressirostris</t>
  </si>
  <si>
    <t>dissensus</t>
  </si>
  <si>
    <t>dissimilis</t>
  </si>
  <si>
    <t>dnophos</t>
  </si>
  <si>
    <t>douradilho</t>
  </si>
  <si>
    <t>elachylepis</t>
  </si>
  <si>
    <t>endy</t>
  </si>
  <si>
    <t>epiagos</t>
  </si>
  <si>
    <t>eremus</t>
  </si>
  <si>
    <t>fasslii</t>
  </si>
  <si>
    <t>filiferus</t>
  </si>
  <si>
    <t>gisleni</t>
  </si>
  <si>
    <t>giton</t>
  </si>
  <si>
    <t>goyacensis</t>
  </si>
  <si>
    <t>goyanensis</t>
  </si>
  <si>
    <t>guaricana</t>
  </si>
  <si>
    <t>gymnodontus</t>
  </si>
  <si>
    <t>hamatilis</t>
  </si>
  <si>
    <t>henseli</t>
  </si>
  <si>
    <t>hermosus</t>
  </si>
  <si>
    <t>integer</t>
  </si>
  <si>
    <t>ita</t>
  </si>
  <si>
    <t>jacobinae</t>
  </si>
  <si>
    <t>jacuhiensis</t>
  </si>
  <si>
    <t>jenynsii</t>
  </si>
  <si>
    <t>jordanensis</t>
  </si>
  <si>
    <t>kennedyi</t>
  </si>
  <si>
    <t>kompi</t>
  </si>
  <si>
    <t>kullanderi</t>
  </si>
  <si>
    <t>leonidas</t>
  </si>
  <si>
    <t>longirhinus</t>
  </si>
  <si>
    <t>maculisquamis</t>
  </si>
  <si>
    <t>marionae</t>
  </si>
  <si>
    <t>maximus</t>
  </si>
  <si>
    <t>megaspilura</t>
  </si>
  <si>
    <t>microschemos</t>
  </si>
  <si>
    <t>mutator</t>
  </si>
  <si>
    <t>nicaraguensis</t>
  </si>
  <si>
    <t>novae</t>
  </si>
  <si>
    <t>ojiara</t>
  </si>
  <si>
    <t>orthodus</t>
  </si>
  <si>
    <t>pampa</t>
  </si>
  <si>
    <t>paranae</t>
  </si>
  <si>
    <t>paranahybae</t>
  </si>
  <si>
    <t>paris</t>
  </si>
  <si>
    <t>pedri</t>
  </si>
  <si>
    <t>pelecus</t>
  </si>
  <si>
    <t>pirabitira</t>
  </si>
  <si>
    <t>pirapuan</t>
  </si>
  <si>
    <t>poetzschkei</t>
  </si>
  <si>
    <t>puka</t>
  </si>
  <si>
    <t>pynandi</t>
  </si>
  <si>
    <t>ribeirae</t>
  </si>
  <si>
    <t>rivularis</t>
  </si>
  <si>
    <t>ruberrimus</t>
  </si>
  <si>
    <t>saguazu</t>
  </si>
  <si>
    <t>saltor</t>
  </si>
  <si>
    <t>scabripinnis</t>
  </si>
  <si>
    <t>scintillans</t>
  </si>
  <si>
    <t>siapae</t>
  </si>
  <si>
    <t>stenohalinus</t>
  </si>
  <si>
    <t>stilbe</t>
  </si>
  <si>
    <t>superbus</t>
  </si>
  <si>
    <t>totae</t>
  </si>
  <si>
    <t>trierythropterus</t>
  </si>
  <si>
    <t>troya</t>
  </si>
  <si>
    <t>tumbayaensis</t>
  </si>
  <si>
    <t>tupi</t>
  </si>
  <si>
    <t>turmalinensis</t>
  </si>
  <si>
    <t>utiariti</t>
  </si>
  <si>
    <t>validus</t>
  </si>
  <si>
    <t>vermilion</t>
  </si>
  <si>
    <t>villwocki</t>
  </si>
  <si>
    <t>xiru</t>
  </si>
  <si>
    <t>crassipinnis</t>
  </si>
  <si>
    <t>asterifrons</t>
  </si>
  <si>
    <t>bloyeti</t>
  </si>
  <si>
    <t>calliptera</t>
  </si>
  <si>
    <t>desfontainii</t>
  </si>
  <si>
    <t>flaviijosephi</t>
  </si>
  <si>
    <t>stappersii</t>
  </si>
  <si>
    <t>swynnertoni</t>
  </si>
  <si>
    <t>tchadensis</t>
  </si>
  <si>
    <t>tweddlei</t>
  </si>
  <si>
    <t>macneilli</t>
  </si>
  <si>
    <t>albater</t>
  </si>
  <si>
    <t>belenos</t>
  </si>
  <si>
    <t>depinnai</t>
  </si>
  <si>
    <t>eurycephalus</t>
  </si>
  <si>
    <t>gabrieli</t>
  </si>
  <si>
    <t>lakoi</t>
  </si>
  <si>
    <t>marianae</t>
  </si>
  <si>
    <t>microgalaeus</t>
  </si>
  <si>
    <t>psammatides</t>
  </si>
  <si>
    <t>raimundi</t>
  </si>
  <si>
    <t>rochai</t>
  </si>
  <si>
    <t>velites</t>
  </si>
  <si>
    <t>diadematus</t>
  </si>
  <si>
    <t>firmamentum</t>
  </si>
  <si>
    <t>gillbanksii</t>
  </si>
  <si>
    <t>inconditus</t>
  </si>
  <si>
    <t>manilensis</t>
  </si>
  <si>
    <t>mappa</t>
  </si>
  <si>
    <t>arenarius</t>
  </si>
  <si>
    <t>arius</t>
  </si>
  <si>
    <t>brunellii</t>
  </si>
  <si>
    <t>cous</t>
  </si>
  <si>
    <t>gagora</t>
  </si>
  <si>
    <t>latiscutatus</t>
  </si>
  <si>
    <t>leptonotacanthus</t>
  </si>
  <si>
    <t>manillensis</t>
  </si>
  <si>
    <t>oetik</t>
  </si>
  <si>
    <t>subrostratus</t>
  </si>
  <si>
    <t>venosus</t>
  </si>
  <si>
    <t>centrarchus</t>
  </si>
  <si>
    <t>mapae</t>
  </si>
  <si>
    <t>acidops</t>
  </si>
  <si>
    <t>albifrons</t>
  </si>
  <si>
    <t>bonapartii</t>
  </si>
  <si>
    <t>camposdapazi</t>
  </si>
  <si>
    <t>caudimaculosus</t>
  </si>
  <si>
    <t>cuchillejo</t>
  </si>
  <si>
    <t>cuchillo</t>
  </si>
  <si>
    <t>ellisi</t>
  </si>
  <si>
    <t>eschmeyeri</t>
  </si>
  <si>
    <t>galvisi</t>
  </si>
  <si>
    <t>leptorhynchus</t>
  </si>
  <si>
    <t>lindalvae</t>
  </si>
  <si>
    <t>macrostomus</t>
  </si>
  <si>
    <t>magdalenensis</t>
  </si>
  <si>
    <t>magoi</t>
  </si>
  <si>
    <t>spurrellii</t>
  </si>
  <si>
    <t>griffisi</t>
  </si>
  <si>
    <t>guezei</t>
  </si>
  <si>
    <t>kingi</t>
  </si>
  <si>
    <t>xanthopunctatus</t>
  </si>
  <si>
    <t>xanthotis</t>
  </si>
  <si>
    <t>atradorsatus</t>
  </si>
  <si>
    <t>atricaudus</t>
  </si>
  <si>
    <t>caudicinctus</t>
  </si>
  <si>
    <t>coccineus</t>
  </si>
  <si>
    <t>crassiceps</t>
  </si>
  <si>
    <t>dammermani</t>
  </si>
  <si>
    <t>deetsie</t>
  </si>
  <si>
    <t>dhofar</t>
  </si>
  <si>
    <t>dianthus</t>
  </si>
  <si>
    <t>doryssa</t>
  </si>
  <si>
    <t>erythrinus</t>
  </si>
  <si>
    <t>erythrosoma</t>
  </si>
  <si>
    <t>gouldi</t>
  </si>
  <si>
    <t>kautamea</t>
  </si>
  <si>
    <t>lachneri</t>
  </si>
  <si>
    <t>lativittatus</t>
  </si>
  <si>
    <t>leptocaulus</t>
  </si>
  <si>
    <t>mosavi</t>
  </si>
  <si>
    <t>phenax</t>
  </si>
  <si>
    <t>pillionatus</t>
  </si>
  <si>
    <t>posterofasciatus</t>
  </si>
  <si>
    <t>pseudomaculatus</t>
  </si>
  <si>
    <t>quadrisquamatus</t>
  </si>
  <si>
    <t>retrosella</t>
  </si>
  <si>
    <t>robbyi</t>
  </si>
  <si>
    <t>rubrifuscus</t>
  </si>
  <si>
    <t>seminigracaudus</t>
  </si>
  <si>
    <t>semiornatus</t>
  </si>
  <si>
    <t>susanae</t>
  </si>
  <si>
    <t>blockii</t>
  </si>
  <si>
    <t>kirchmayeri</t>
  </si>
  <si>
    <t>panchax</t>
  </si>
  <si>
    <t>pucallpaensis</t>
  </si>
  <si>
    <t>aguarico</t>
  </si>
  <si>
    <t>alacrina</t>
  </si>
  <si>
    <t>allpahuayo</t>
  </si>
  <si>
    <t>amoena</t>
  </si>
  <si>
    <t>angayuara</t>
  </si>
  <si>
    <t>atahualpa</t>
  </si>
  <si>
    <t>bitaeniata</t>
  </si>
  <si>
    <t>cacatuoides</t>
  </si>
  <si>
    <t>caetei</t>
  </si>
  <si>
    <t>caudomaculata</t>
  </si>
  <si>
    <t>cinilabra</t>
  </si>
  <si>
    <t>commbrae</t>
  </si>
  <si>
    <t>cruzi</t>
  </si>
  <si>
    <t>elizabethae</t>
  </si>
  <si>
    <t>eremnopyge</t>
  </si>
  <si>
    <t>erythrura</t>
  </si>
  <si>
    <t>eunotus</t>
  </si>
  <si>
    <t>feconat</t>
  </si>
  <si>
    <t>flabellicauda</t>
  </si>
  <si>
    <t>gephyra</t>
  </si>
  <si>
    <t>helkeri</t>
  </si>
  <si>
    <t>hippolytae</t>
  </si>
  <si>
    <t>hoignei</t>
  </si>
  <si>
    <t>hongsloi</t>
  </si>
  <si>
    <t>huascar</t>
  </si>
  <si>
    <t>inconspicua</t>
  </si>
  <si>
    <t>iniridae</t>
  </si>
  <si>
    <t>inornata</t>
  </si>
  <si>
    <t>juruensis</t>
  </si>
  <si>
    <t>macmasteri</t>
  </si>
  <si>
    <t>megaptera</t>
  </si>
  <si>
    <t>mendezi</t>
  </si>
  <si>
    <t>moae</t>
  </si>
  <si>
    <t>norberti</t>
  </si>
  <si>
    <t>nororientalis</t>
  </si>
  <si>
    <t>panduro</t>
  </si>
  <si>
    <t>pantalone</t>
  </si>
  <si>
    <t>paucisquamis</t>
  </si>
  <si>
    <t>paulmuelleri</t>
  </si>
  <si>
    <t>payaminonis</t>
  </si>
  <si>
    <t>pedunculata</t>
  </si>
  <si>
    <t>personata</t>
  </si>
  <si>
    <t>pertensis</t>
  </si>
  <si>
    <t>piaroa</t>
  </si>
  <si>
    <t>piauiensis</t>
  </si>
  <si>
    <t>playayacu</t>
  </si>
  <si>
    <t>resticulosa</t>
  </si>
  <si>
    <t>rubrolineata</t>
  </si>
  <si>
    <t>salpinction</t>
  </si>
  <si>
    <t>staecki</t>
  </si>
  <si>
    <t>tucurui</t>
  </si>
  <si>
    <t>uaupesi</t>
  </si>
  <si>
    <t>urteagai</t>
  </si>
  <si>
    <t>viejita</t>
  </si>
  <si>
    <t>wapisana</t>
  </si>
  <si>
    <t>wolli</t>
  </si>
  <si>
    <t>abacinum</t>
  </si>
  <si>
    <t>amoenum</t>
  </si>
  <si>
    <t>bamilekorum</t>
  </si>
  <si>
    <t>bitaeniatum</t>
  </si>
  <si>
    <t>bitteri</t>
  </si>
  <si>
    <t>bivittatum</t>
  </si>
  <si>
    <t>bualanum</t>
  </si>
  <si>
    <t>buytaerti</t>
  </si>
  <si>
    <t>callipteron</t>
  </si>
  <si>
    <t>calliurum</t>
  </si>
  <si>
    <t>cameronense</t>
  </si>
  <si>
    <t>campomaanense</t>
  </si>
  <si>
    <t>castaneum</t>
  </si>
  <si>
    <t>caudofasciatum</t>
  </si>
  <si>
    <t>celiae</t>
  </si>
  <si>
    <t>chauchei</t>
  </si>
  <si>
    <t>citrineipinnis</t>
  </si>
  <si>
    <t>coeleste</t>
  </si>
  <si>
    <t>cognatum</t>
  </si>
  <si>
    <t>cyanostictum</t>
  </si>
  <si>
    <t>dargei</t>
  </si>
  <si>
    <t>ecucuense</t>
  </si>
  <si>
    <t>edeanum</t>
  </si>
  <si>
    <t>elberti</t>
  </si>
  <si>
    <t>erythron</t>
  </si>
  <si>
    <t>escherichi</t>
  </si>
  <si>
    <t>etsamense</t>
  </si>
  <si>
    <t>exigoideum</t>
  </si>
  <si>
    <t>exiguum</t>
  </si>
  <si>
    <t>ferranti</t>
  </si>
  <si>
    <t>franzwerneri</t>
  </si>
  <si>
    <t>gabunense</t>
  </si>
  <si>
    <t>grelli</t>
  </si>
  <si>
    <t>hanneloreae</t>
  </si>
  <si>
    <t>heinemanni</t>
  </si>
  <si>
    <t>hera</t>
  </si>
  <si>
    <t>herzogi</t>
  </si>
  <si>
    <t>hofmanni</t>
  </si>
  <si>
    <t>jeanhuberi</t>
  </si>
  <si>
    <t>joergenscheeli</t>
  </si>
  <si>
    <t>kouamense</t>
  </si>
  <si>
    <t>koungueense</t>
  </si>
  <si>
    <t>labarrei</t>
  </si>
  <si>
    <t>lefiniense</t>
  </si>
  <si>
    <t>lividum</t>
  </si>
  <si>
    <t>louessense</t>
  </si>
  <si>
    <t>lugens</t>
  </si>
  <si>
    <t>lujae</t>
  </si>
  <si>
    <t>malumbresi</t>
  </si>
  <si>
    <t>melinoeides</t>
  </si>
  <si>
    <t>mengilai</t>
  </si>
  <si>
    <t>mimbon</t>
  </si>
  <si>
    <t>musafirii</t>
  </si>
  <si>
    <t>ogoense</t>
  </si>
  <si>
    <t>omega</t>
  </si>
  <si>
    <t>pamaense</t>
  </si>
  <si>
    <t>pascheni</t>
  </si>
  <si>
    <t>passaroi</t>
  </si>
  <si>
    <t>plagitaenium</t>
  </si>
  <si>
    <t>poliaki</t>
  </si>
  <si>
    <t>primigenium</t>
  </si>
  <si>
    <t>pseudoelegans</t>
  </si>
  <si>
    <t>raddai</t>
  </si>
  <si>
    <t>rectogoense</t>
  </si>
  <si>
    <t>schioetzi</t>
  </si>
  <si>
    <t>schluppi</t>
  </si>
  <si>
    <t>splendopleure</t>
  </si>
  <si>
    <t>tirbaki</t>
  </si>
  <si>
    <t>volcanum</t>
  </si>
  <si>
    <t>wachtersi</t>
  </si>
  <si>
    <t>wildekampi</t>
  </si>
  <si>
    <t>wuendschi</t>
  </si>
  <si>
    <t>zygaima</t>
  </si>
  <si>
    <t>colifax</t>
  </si>
  <si>
    <t>rathbuni</t>
  </si>
  <si>
    <t>yekwanae</t>
  </si>
  <si>
    <t>commerson</t>
  </si>
  <si>
    <t>brevior</t>
  </si>
  <si>
    <t>ucayalensis</t>
  </si>
  <si>
    <t>katoptron</t>
  </si>
  <si>
    <t>davidsonii</t>
  </si>
  <si>
    <t>moricandi</t>
  </si>
  <si>
    <t>virginicus</t>
  </si>
  <si>
    <t>abilhoai</t>
  </si>
  <si>
    <t>agostinhoi</t>
  </si>
  <si>
    <t>aguaboensis</t>
  </si>
  <si>
    <t>bodenhameri</t>
  </si>
  <si>
    <t>brevifilis</t>
  </si>
  <si>
    <t>centrolepis</t>
  </si>
  <si>
    <t>cirrhosus</t>
  </si>
  <si>
    <t>claro</t>
  </si>
  <si>
    <t>clementinae</t>
  </si>
  <si>
    <t>cryptophthalmus</t>
  </si>
  <si>
    <t>cuiabae</t>
  </si>
  <si>
    <t>damasceni</t>
  </si>
  <si>
    <t>erinaceus</t>
  </si>
  <si>
    <t>eustictus</t>
  </si>
  <si>
    <t>falconensis</t>
  </si>
  <si>
    <t>formoso</t>
  </si>
  <si>
    <t>galani</t>
  </si>
  <si>
    <t>greeni</t>
  </si>
  <si>
    <t>heterorhynchus</t>
  </si>
  <si>
    <t>hoplogenys</t>
  </si>
  <si>
    <t>jataiensis</t>
  </si>
  <si>
    <t>jelskii</t>
  </si>
  <si>
    <t>lithurgicus</t>
  </si>
  <si>
    <t>malacops</t>
  </si>
  <si>
    <t>maracasae</t>
  </si>
  <si>
    <t>marcapatae</t>
  </si>
  <si>
    <t>mattogrossensis</t>
  </si>
  <si>
    <t>megalostomus</t>
  </si>
  <si>
    <t>mullerae</t>
  </si>
  <si>
    <t>occloi</t>
  </si>
  <si>
    <t>pirareta</t>
  </si>
  <si>
    <t>piriformis</t>
  </si>
  <si>
    <t>ranunculus</t>
  </si>
  <si>
    <t>salgadae</t>
  </si>
  <si>
    <t>sericeus</t>
  </si>
  <si>
    <t>tamboensis</t>
  </si>
  <si>
    <t>taunayi</t>
  </si>
  <si>
    <t>tolima</t>
  </si>
  <si>
    <t>tombador</t>
  </si>
  <si>
    <t>trinitatis</t>
  </si>
  <si>
    <t>triradiatus</t>
  </si>
  <si>
    <t>variolus</t>
  </si>
  <si>
    <t>vericaucanus</t>
  </si>
  <si>
    <t>cuvier</t>
  </si>
  <si>
    <t>femininus</t>
  </si>
  <si>
    <t>geographicus</t>
  </si>
  <si>
    <t>lennardi</t>
  </si>
  <si>
    <t>meleagrides</t>
  </si>
  <si>
    <t>neoguinaicus</t>
  </si>
  <si>
    <t>twistii</t>
  </si>
  <si>
    <t>grypus</t>
  </si>
  <si>
    <t>insculptus</t>
  </si>
  <si>
    <t>weddellii</t>
  </si>
  <si>
    <t>anableps</t>
  </si>
  <si>
    <t>dowei</t>
  </si>
  <si>
    <t>cobojius</t>
  </si>
  <si>
    <t>akallopisos</t>
  </si>
  <si>
    <t>akindynos</t>
  </si>
  <si>
    <t>allardi</t>
  </si>
  <si>
    <t>bicinctus</t>
  </si>
  <si>
    <t>chagosensis</t>
  </si>
  <si>
    <t>chrysogaster</t>
  </si>
  <si>
    <t>chrysopterus</t>
  </si>
  <si>
    <t>clarkii</t>
  </si>
  <si>
    <t>fuscocaudatus</t>
  </si>
  <si>
    <t>latezonatus</t>
  </si>
  <si>
    <t>leucokranos</t>
  </si>
  <si>
    <t>mccullochi</t>
  </si>
  <si>
    <t>percula</t>
  </si>
  <si>
    <t>perideraion</t>
  </si>
  <si>
    <t>polymnus</t>
  </si>
  <si>
    <t>rubrocinctus</t>
  </si>
  <si>
    <t>thiellei</t>
  </si>
  <si>
    <t>amarillo</t>
  </si>
  <si>
    <t>astorquii</t>
  </si>
  <si>
    <t>chancho</t>
  </si>
  <si>
    <t>globosus</t>
  </si>
  <si>
    <t>hogaboomorum</t>
  </si>
  <si>
    <t>lyonsi</t>
  </si>
  <si>
    <t>supercilius</t>
  </si>
  <si>
    <t>tolteca</t>
  </si>
  <si>
    <t>xiloaensis</t>
  </si>
  <si>
    <t>zaliosus</t>
  </si>
  <si>
    <t>albimaculatus</t>
  </si>
  <si>
    <t>buanensis</t>
  </si>
  <si>
    <t>bynoensis</t>
  </si>
  <si>
    <t>esakiae</t>
  </si>
  <si>
    <t>magnusi</t>
  </si>
  <si>
    <t>nocturnus</t>
  </si>
  <si>
    <t>phalaena</t>
  </si>
  <si>
    <t>sewardii</t>
  </si>
  <si>
    <t>sphynx</t>
  </si>
  <si>
    <t>stethophthalmus</t>
  </si>
  <si>
    <t>tekomaji</t>
  </si>
  <si>
    <t>arcupinna</t>
  </si>
  <si>
    <t>bellicauda</t>
  </si>
  <si>
    <t>biguttata</t>
  </si>
  <si>
    <t>callopareia</t>
  </si>
  <si>
    <t>cephalotaenius</t>
  </si>
  <si>
    <t>delicatulus</t>
  </si>
  <si>
    <t>diagonalis</t>
  </si>
  <si>
    <t>downingi</t>
  </si>
  <si>
    <t>ellipse</t>
  </si>
  <si>
    <t>fontanesii</t>
  </si>
  <si>
    <t>gymnocephala</t>
  </si>
  <si>
    <t>harrisorum</t>
  </si>
  <si>
    <t>marquesas</t>
  </si>
  <si>
    <t>masuii</t>
  </si>
  <si>
    <t>melanocephala</t>
  </si>
  <si>
    <t>morishitai</t>
  </si>
  <si>
    <t>ogasawarensis</t>
  </si>
  <si>
    <t>periophthalma</t>
  </si>
  <si>
    <t>rhyax</t>
  </si>
  <si>
    <t>rubrimarginata</t>
  </si>
  <si>
    <t>steinitzi</t>
  </si>
  <si>
    <t>stenotaeniata</t>
  </si>
  <si>
    <t>sungami</t>
  </si>
  <si>
    <t>taipinensis</t>
  </si>
  <si>
    <t>triguttata</t>
  </si>
  <si>
    <t>wheeleri</t>
  </si>
  <si>
    <t>yanoi</t>
  </si>
  <si>
    <t>bolivarensis</t>
  </si>
  <si>
    <t>gonzalezi</t>
  </si>
  <si>
    <t>monitor</t>
  </si>
  <si>
    <t>nauticus</t>
  </si>
  <si>
    <t>calvus</t>
  </si>
  <si>
    <t>conspectus</t>
  </si>
  <si>
    <t>hilgendorfi</t>
  </si>
  <si>
    <t>leopoldianus</t>
  </si>
  <si>
    <t>nigropterus</t>
  </si>
  <si>
    <t>smykalai</t>
  </si>
  <si>
    <t>tumbensis</t>
  </si>
  <si>
    <t>alexandrina</t>
  </si>
  <si>
    <t>indica</t>
  </si>
  <si>
    <t>inpai</t>
  </si>
  <si>
    <t>tocantinsensis</t>
  </si>
  <si>
    <t>torosus</t>
  </si>
  <si>
    <t>pectinifrons</t>
  </si>
  <si>
    <t>chimantanus</t>
  </si>
  <si>
    <t>epae</t>
  </si>
  <si>
    <t>gerciliae</t>
  </si>
  <si>
    <t>mauesanus</t>
  </si>
  <si>
    <t>paloemeuensis</t>
  </si>
  <si>
    <t>patricki</t>
  </si>
  <si>
    <t>plagiozonatus</t>
  </si>
  <si>
    <t>tubicen</t>
  </si>
  <si>
    <t>achirus</t>
  </si>
  <si>
    <t>mazatlanus</t>
  </si>
  <si>
    <t>mucuri</t>
  </si>
  <si>
    <t>novoae</t>
  </si>
  <si>
    <t>scutum</t>
  </si>
  <si>
    <t>falcirostris</t>
  </si>
  <si>
    <t>heterolepis</t>
  </si>
  <si>
    <t>isalineae</t>
  </si>
  <si>
    <t>nassa</t>
  </si>
  <si>
    <t>vultuosa</t>
  </si>
  <si>
    <t>heckelii</t>
  </si>
  <si>
    <t>dialuzona</t>
  </si>
  <si>
    <t>dinema</t>
  </si>
  <si>
    <t>ioa</t>
  </si>
  <si>
    <t>multistigmatus</t>
  </si>
  <si>
    <t>octoactinotos</t>
  </si>
  <si>
    <t>rungthipae</t>
  </si>
  <si>
    <t>thiemmedhi</t>
  </si>
  <si>
    <t>achilles</t>
  </si>
  <si>
    <t>albimento</t>
  </si>
  <si>
    <t>albipectoralis</t>
  </si>
  <si>
    <t>auranticavus</t>
  </si>
  <si>
    <t>bariene</t>
  </si>
  <si>
    <t>chirurgus</t>
  </si>
  <si>
    <t>chronixis</t>
  </si>
  <si>
    <t>gahhm</t>
  </si>
  <si>
    <t>grammoptilus</t>
  </si>
  <si>
    <t>leucocheilus</t>
  </si>
  <si>
    <t>leucopareius</t>
  </si>
  <si>
    <t>leucosternon</t>
  </si>
  <si>
    <t>mata</t>
  </si>
  <si>
    <t>monroviae</t>
  </si>
  <si>
    <t>nigrofuscus</t>
  </si>
  <si>
    <t>pyroferus</t>
  </si>
  <si>
    <t>reversus</t>
  </si>
  <si>
    <t>sohal</t>
  </si>
  <si>
    <t>tennentii</t>
  </si>
  <si>
    <t>triostegus</t>
  </si>
  <si>
    <t>tristis</t>
  </si>
  <si>
    <t>xanthopterus</t>
  </si>
  <si>
    <t>notacanthus</t>
  </si>
  <si>
    <t>quadricornis</t>
  </si>
  <si>
    <t>cataphractus</t>
  </si>
  <si>
    <t>depressus</t>
  </si>
  <si>
    <t>adonis</t>
  </si>
  <si>
    <t>ID Acuario</t>
  </si>
  <si>
    <t>Item OC</t>
  </si>
  <si>
    <t>Especie</t>
  </si>
  <si>
    <t>Mortalidad total</t>
  </si>
  <si>
    <t>nombre comun</t>
  </si>
  <si>
    <t>Nombre común o variedad</t>
  </si>
  <si>
    <t>Saldo x acuario</t>
  </si>
  <si>
    <t>grupo</t>
  </si>
  <si>
    <t>ambiente</t>
  </si>
  <si>
    <t>Cantidad arribada</t>
  </si>
  <si>
    <t>cantidad arribada</t>
  </si>
  <si>
    <t>mortalidad acumulada</t>
  </si>
  <si>
    <t>saldo</t>
  </si>
  <si>
    <t>porcentaje mortalidad</t>
  </si>
  <si>
    <t>Arribada resumen</t>
  </si>
  <si>
    <t>Saldo</t>
  </si>
  <si>
    <t>Grupo</t>
  </si>
  <si>
    <t>Dosis por litro de agua</t>
  </si>
  <si>
    <t>Fecha de inicio</t>
  </si>
  <si>
    <t>Real arribado por acuario</t>
  </si>
  <si>
    <t>Tratamiento Si o No</t>
  </si>
  <si>
    <t>ID Acuario = Rótulo o número único que sirve para identificar el acuario.</t>
  </si>
  <si>
    <t>ANEXO</t>
  </si>
  <si>
    <t>INFORMACIÓN DEL TRATAMIENTO</t>
  </si>
  <si>
    <t>de</t>
  </si>
  <si>
    <t>% total</t>
  </si>
  <si>
    <t>Página</t>
  </si>
  <si>
    <t>NO</t>
  </si>
  <si>
    <t>N/A</t>
  </si>
  <si>
    <t xml:space="preserve">Género </t>
  </si>
  <si>
    <t>Si el certificado sanitario declara un nombre científico distinto al autorizado por resolución vigente, puede indicarla aqui y señalar de que item declarado es sinónimo.</t>
  </si>
  <si>
    <t>Jurisdicción Sernapesca</t>
  </si>
  <si>
    <t>Especie aprobada</t>
  </si>
  <si>
    <t>Mixto</t>
  </si>
  <si>
    <t>Observación</t>
  </si>
  <si>
    <t>Hábitat natural</t>
  </si>
  <si>
    <t>Arrecifes tropicales y subtropicales (O. Atlántico, IndoPacifico)</t>
  </si>
  <si>
    <t>Cuencas de los ríos Amazonas, Orinoco y Tocantins.</t>
  </si>
  <si>
    <t>Arrecifes y zona demersal de Atlántico tropical (América, África y Mediterráneo)</t>
  </si>
  <si>
    <t>Ríos de zona tropical de India y sudeste Asiático</t>
  </si>
  <si>
    <t>Cíclido sudamericano (Subfam Geophaginae)</t>
  </si>
  <si>
    <t>Cuenca Amazónica y Venezuela</t>
  </si>
  <si>
    <t>Endémicos de Urio Ucayali y sobre la cuenca del Río Amazonas en Colombia</t>
  </si>
  <si>
    <t>Cuenca amazónica (B.cupido) y B.wavrini del Río Orinoco (Colombia)</t>
  </si>
  <si>
    <t>Cuenca del río amazonas</t>
  </si>
  <si>
    <t xml:space="preserve">Cuenca Amazónica y diversos ríos de Brasil </t>
  </si>
  <si>
    <t>Ríos de zona tropical de Sudamérica</t>
  </si>
  <si>
    <t>Ríos de zona subtropical (Uruguay, Sur Brasil, Norte Argentina y Paraguay)</t>
  </si>
  <si>
    <t>Cuenca del río Orinoco (M. ramirezii) y cuenca del río Amazonas (M. altispinosus)</t>
  </si>
  <si>
    <t>Cuenca del río Orinoco y Amazonas</t>
  </si>
  <si>
    <t>Cuenca del río Amazonas</t>
  </si>
  <si>
    <t>Cuenca río Amazonas (A. nassa) y río Orinoco (A. vultuosa)</t>
  </si>
  <si>
    <t>Cuenca Amazónica Brasil, Perú, Colombia y Guyana</t>
  </si>
  <si>
    <t>Ríos de toda Sudamérica, la mayoría en las cuencas del Amazonas, Orinoco y Río de la Plata.</t>
  </si>
  <si>
    <t>Arrecifes tropicales en aguas costeras y estuariales en profundidades menores a 20 m</t>
  </si>
  <si>
    <t>Cuenca de los ríos Orinoco, Amazonas y afluentes</t>
  </si>
  <si>
    <t>Silúrido (Doras)</t>
  </si>
  <si>
    <t>Cuencas de Sudamérica, excepto hacia el pacífico y río de la Plata.</t>
  </si>
  <si>
    <t>Cuenca ríos Orinoco (A. albomaculatus) y Amazonas (A. pectinifrons)</t>
  </si>
  <si>
    <t>Cuenca varios ríos amazonicos</t>
  </si>
  <si>
    <t>Ríos tropicales y subtropicales América del Sur (Brasil, Paraguay, Argentina)</t>
  </si>
  <si>
    <t>Cuenca del río Amazons</t>
  </si>
  <si>
    <t>Ríos y lagos de cuenca amazónica</t>
  </si>
  <si>
    <t>Ríos y lagos de cuenca amazónica (tropical) y del Paraná (subtropical)</t>
  </si>
  <si>
    <t>Familia Doradidae del orden Siluriformes, endémica de Sudamércia</t>
  </si>
  <si>
    <t>Cuenca del río Amazonas y Tocantins.</t>
  </si>
  <si>
    <t>Cuencas del Amazonas, Orinoco, y cuencas atlánticas en las Guayanas</t>
  </si>
  <si>
    <t>Cuencas de los ríos Orinoco y Amazonas</t>
  </si>
  <si>
    <t>Cuencas de los ríos Amazonas, Maroni, Orinoco y Paraná.</t>
  </si>
  <si>
    <t>Cuenca del lago Maracaibo.</t>
  </si>
  <si>
    <t>Cuencas de los ríos Orinoco, Amazonas y Esequibo.</t>
  </si>
  <si>
    <t>Cuencas de los ríos Orinoco, Amazonas, Paraná y Río de la Plata</t>
  </si>
  <si>
    <t>Cuencas de los ríos Orinoco y Amazonas.</t>
  </si>
  <si>
    <t>Lago Maracaibo, rio Orinoco y Amazonas.</t>
  </si>
  <si>
    <t>Cuenca del Amazonas y de la cuenca del Plata</t>
  </si>
  <si>
    <t>Cuencas del Amazonas, Orinoco, y del Plata</t>
  </si>
  <si>
    <t>Aguas cálidas y templado-cálidas del centro y norte de América del Sur</t>
  </si>
  <si>
    <t>Carángidos</t>
  </si>
  <si>
    <t>Familia Carangidae del orden Perciformes</t>
  </si>
  <si>
    <t>Costa Atlántica occidental y oriental, mediterraneo, Pacifico oriental.</t>
  </si>
  <si>
    <t>Tetra Africano (Alestidae)</t>
  </si>
  <si>
    <t xml:space="preserve">Familia Alestidae del orden Characiformes </t>
  </si>
  <si>
    <t>Región tropical central de Africa</t>
  </si>
  <si>
    <t>Endémicos para el Lago Tanganica, en el este de África</t>
  </si>
  <si>
    <t>Se encuentran en el río Congo en África.</t>
  </si>
  <si>
    <t>Se encuentra en el río Congo en África Central.</t>
  </si>
  <si>
    <t>Ríos Casamance (Senegal y Liberia), Cuenca Río Congo</t>
  </si>
  <si>
    <t>Es endémico del África Occidental</t>
  </si>
  <si>
    <t>Endémico lago Tanganica, zonas profundas del lago.</t>
  </si>
  <si>
    <t>Se encuentra en el África Oriental y a la cuenca del río Jordán</t>
  </si>
  <si>
    <t>Es endémico del lago Malawi en África Oriental.</t>
  </si>
  <si>
    <t>Endémicos para el Lago Tanganica, en el este de África.</t>
  </si>
  <si>
    <t>Góbidos (Gobiidae)</t>
  </si>
  <si>
    <t>Familia Gobiidae.</t>
  </si>
  <si>
    <t>Se encuentra en los océanos Índico y Pacífico</t>
  </si>
  <si>
    <t>Aguas tropicales o subtropicales, aguas costeras poco profundas.</t>
  </si>
  <si>
    <t>Especies nativas de América del Sur</t>
  </si>
  <si>
    <t>América del Sur tropical y subtropical</t>
  </si>
  <si>
    <t>América del Sur, tropical (Brasil, Colombia, Venezuela, Guyanas)</t>
  </si>
  <si>
    <t>America central (Mexico a Panamá)</t>
  </si>
  <si>
    <t>America central</t>
  </si>
  <si>
    <t>America del sur tropical</t>
  </si>
  <si>
    <t>America del sur tropical (amazonas)</t>
  </si>
  <si>
    <t>Lagos y ríos de Cuba y La Española</t>
  </si>
  <si>
    <t>América central</t>
  </si>
  <si>
    <t>Amazónico (cuenca Orinoco), Pez ángel o escalar</t>
  </si>
  <si>
    <t>Cuanca río amazonas. Pez disco.</t>
  </si>
  <si>
    <t>Costa Atlántica América central</t>
  </si>
  <si>
    <t>Amazónico (cuenca Orinoco y amazonas)</t>
  </si>
  <si>
    <t>Centro américa (méxico hasta EL Salvador)</t>
  </si>
  <si>
    <t>Aguas tropicales, arrecifes desde océano Indopacífico a Islas del Pacífico central.</t>
  </si>
  <si>
    <t>Anabántido (Anabantidae)</t>
  </si>
  <si>
    <t>Familia Anabantidae. Guramies trepadores o perchas trepadoras</t>
  </si>
  <si>
    <t>Sur y este de Asia.</t>
  </si>
  <si>
    <t>África</t>
  </si>
  <si>
    <t>Familia Anablepidae. peces de cuatro ojos</t>
  </si>
  <si>
    <t>México a Honduras, y norte de américa del sur.</t>
  </si>
  <si>
    <t>Anablépido (Anablepidae)</t>
  </si>
  <si>
    <t>Lábrido (Labridae)</t>
  </si>
  <si>
    <t>Familia Labridae. Son proterogínicos.</t>
  </si>
  <si>
    <t>Arrecifes tropicales todo el mundo.</t>
  </si>
  <si>
    <t>Familia Loricaridae, Subfamilia Hypostominae, tribu Ancistrini</t>
  </si>
  <si>
    <t>Familia Loricaridae, Subfamilia Hypoptopomatinae, tribu Hypoptopomatini</t>
  </si>
  <si>
    <t>cuencas de drenaje al este de los Andes</t>
  </si>
  <si>
    <t>Amazonas</t>
  </si>
  <si>
    <t>Familia Loricaridae, Subfamilia Liricariinae, tribu Harrtiini</t>
  </si>
  <si>
    <t>Amazonas y américa central.</t>
  </si>
  <si>
    <t>Río amazonas y otros de américa del sur</t>
  </si>
  <si>
    <t>Sudamércia hasta Panamá</t>
  </si>
  <si>
    <t>Sudamércia tropical</t>
  </si>
  <si>
    <t>Sudamércia tropical y subtropical</t>
  </si>
  <si>
    <t>Familia Loricaridae, Subfamilia Hypostominae, tribu Hypostomini</t>
  </si>
  <si>
    <t>Familia Loricaridae, Subfamilia Hypostominae, tribu Ancistrini ? (Incertae sedis)</t>
  </si>
  <si>
    <t>Hemúlido (Haemulidae)</t>
  </si>
  <si>
    <t>Costa este del océano Pacífico como la costa oeste del Atlántico</t>
  </si>
  <si>
    <t>Familia Heamulidae</t>
  </si>
  <si>
    <t>Ojo de linterna (Anomalopidae)</t>
  </si>
  <si>
    <t>Aguas profundas tropicales, principalmente del Índico y Pacífico.</t>
  </si>
  <si>
    <t>Familia Anomalopidae</t>
  </si>
  <si>
    <t>Anostómido (Anostomidae)</t>
  </si>
  <si>
    <t>Son endémicos ríos del sur de Centroamérica a Sudamérica</t>
  </si>
  <si>
    <t>Familia Anostomidae. Peces que nada en ángulo de 45 grados hacia arriba</t>
  </si>
  <si>
    <t>Familia Anostomidae. Peces que nada en ángulo de 45 grados hacia abajo</t>
  </si>
  <si>
    <t>Pez sapo (Anterinnariidae)</t>
  </si>
  <si>
    <t>Zonas tropicales de todos los mares excepto Mediterraneo.</t>
  </si>
  <si>
    <t>Familia Anterinnariidae, Subfamilia Anterinnariinae</t>
  </si>
  <si>
    <t>Familia Caracidae, Subfamilia Aphyocharacinae</t>
  </si>
  <si>
    <t>lagunas y ríos en regiones templadas y cálidas de sudamérica</t>
  </si>
  <si>
    <t>Tetra vidrio (Aphyocharacinae)</t>
  </si>
  <si>
    <t>Tetra (Aphyocharacinae)</t>
  </si>
  <si>
    <t>Salmón de rio (Bryconinae)</t>
  </si>
  <si>
    <t>Familia Caracidae, Subfamilia Bryconinae</t>
  </si>
  <si>
    <t>lagunas y ríos en regiones templadas y cálidas de américa central y del sur.</t>
  </si>
  <si>
    <t>Dientudo (Characinae)</t>
  </si>
  <si>
    <t>Familia Caracidae, Subfamilia Characinae</t>
  </si>
  <si>
    <t>Tetra emperador (Gymnocharacinae)</t>
  </si>
  <si>
    <t>regiones templado-frías a templado-cálidas de América del Sur</t>
  </si>
  <si>
    <t>Familia Caracidae, Subfamilia Gymnocharacinae</t>
  </si>
  <si>
    <t>Sardinita (Iguanodectinae)</t>
  </si>
  <si>
    <t>Familia Caracidae, Subfamilia Iguanodectinae</t>
  </si>
  <si>
    <t xml:space="preserve"> regiones cálidas de América del Sur</t>
  </si>
  <si>
    <t>Carácido (Stethaprioninae)</t>
  </si>
  <si>
    <t>Familia Caracidae, Subfamilia Stethaprioninae</t>
  </si>
  <si>
    <t>Lagunas y ríos en templado-cálidas y cálidas del norte y centro de américa del sur.</t>
  </si>
  <si>
    <t>Carácido (Tetragonopterinae)</t>
  </si>
  <si>
    <t>Familia Caracidae, Subfamilia Tetragonopterinae</t>
  </si>
  <si>
    <t>Morraja (Caracidae)</t>
  </si>
  <si>
    <t>Zoma tropical de Centro y sudamérica</t>
  </si>
  <si>
    <t>Familia Caracidae, incertae sedis</t>
  </si>
  <si>
    <t>cuenca del río Amazonas.,1​ así como en los Ríos Orinoco y Negro</t>
  </si>
  <si>
    <t>Tetra Azul (Caracidae)</t>
  </si>
  <si>
    <t>Sudamérica central</t>
  </si>
  <si>
    <t>Tetra (Caracidae)</t>
  </si>
  <si>
    <t>Tetra neón (Caracidae)</t>
  </si>
  <si>
    <t>Tetra borracho (Caracidae)</t>
  </si>
  <si>
    <t>Notobránquidos (Nothobranchiidae)</t>
  </si>
  <si>
    <t>Ríos África (Sahara hasta Sudáfrica)</t>
  </si>
  <si>
    <t>Familia Nothobranchiidae, Subfamilia Nothobranchiinae</t>
  </si>
  <si>
    <t>Familia Nothobranchiidae, Subfamilia Epiplatinae</t>
  </si>
  <si>
    <t>Almirantes del Índico (Aplocheilidae)</t>
  </si>
  <si>
    <t>Familia Aplocheilidae</t>
  </si>
  <si>
    <t>Ríos del sur de Asia, Madagascar e islas cercanas del océano Índico</t>
  </si>
  <si>
    <t>Familia Apogonidae, Subfamilia Apogoninae</t>
  </si>
  <si>
    <t>Cardenales (Apogonidae)</t>
  </si>
  <si>
    <t>Zonas tropicales y subtropicales del Océano Índico, el Pacífico oriental y el Atlántico</t>
  </si>
  <si>
    <t>Pez Ángel (Pomacanthidae)</t>
  </si>
  <si>
    <t>aguas tropicales de los océanos Atlántico, Índico y Pacífico (sobre todo oeste)</t>
  </si>
  <si>
    <t>Familia Pomacanthidae</t>
  </si>
  <si>
    <t>Pez Cuchillo (Apteronotidae)</t>
  </si>
  <si>
    <t>Familia Apteronotidae</t>
  </si>
  <si>
    <t xml:space="preserve">Estos peces son nativos de Panamá y zonas tropicales de América del Sur </t>
  </si>
  <si>
    <t>Arowana (Osteoglossidae)</t>
  </si>
  <si>
    <t>Familia Osteoglossidae, Subfamilia Arapaiminae</t>
  </si>
  <si>
    <t>Cuenca Amazonas</t>
  </si>
  <si>
    <t>Familia Osteoglossidae, Subfamilia Osteoglossidae</t>
  </si>
  <si>
    <t>América del Sur tropical</t>
  </si>
  <si>
    <t>Centrárquido (Centrarchidae)</t>
  </si>
  <si>
    <t>Norteamérica subtropical y temperada</t>
  </si>
  <si>
    <t>Familia Centrarchidae, Subfamilia Centrarchinae, Tribu Archoplitini</t>
  </si>
  <si>
    <t>Familia Centrarchidae, Subfamilia Centrarchinae, Tribu Enneacanthini</t>
  </si>
  <si>
    <t>Familia Centrarchidae, Subfamilia Lepominae, Tribu Lepomini</t>
  </si>
  <si>
    <t>Pez Gato (Ariidae)</t>
  </si>
  <si>
    <t>Mar, estuarios y ríos tropical de África, Oriente medio y Asia</t>
  </si>
  <si>
    <t>Familia Aiidae, Subfamilia Ariinae</t>
  </si>
  <si>
    <t>Pez Globo (Tetraodontidae)</t>
  </si>
  <si>
    <t>Familia Tetraodontidae</t>
  </si>
  <si>
    <t>Trópicos y mares templados alrededor del mundo</t>
  </si>
  <si>
    <t>Agua dulce y marina, del río Amazonas</t>
  </si>
  <si>
    <t>Marino subtropical de todo el mundo</t>
  </si>
  <si>
    <t>África hasta Asia Sudoriental, la mayoría de agua dulce y una especie marina.</t>
  </si>
  <si>
    <t>Coridoras (Callichthyidae)</t>
  </si>
  <si>
    <t>Familia Callichthydae, Subfamilia Corydoradinae</t>
  </si>
  <si>
    <t>Centro-este américa del sur</t>
  </si>
  <si>
    <t>Cursos fluviales tropicales y subtropicales de agua dulce sudamérica</t>
  </si>
  <si>
    <t xml:space="preserve"> ríos y lagos hasta pantanos y estuarios sudamérica</t>
  </si>
  <si>
    <t>Familia Callichthydae, Subfamilia Callichthyinae</t>
  </si>
  <si>
    <t>Ríos tropicales, subtropicales, y templados de agua dulce sudamérica</t>
  </si>
  <si>
    <t>aguas cálidas del centro-norte de Sudamérica, en la cuenca del Amazonas</t>
  </si>
  <si>
    <t>Habitan aguas cálidas y templado-cálidas de América del Sur</t>
  </si>
  <si>
    <t>Plesiopidae</t>
  </si>
  <si>
    <t>Mares índico y oeste del pacífico</t>
  </si>
  <si>
    <t>Familia Plesiopidae</t>
  </si>
  <si>
    <t>Betta marino (Plesiopidae)</t>
  </si>
  <si>
    <t>Oscar (Astronotinae)</t>
  </si>
  <si>
    <t>Familia Cichlidae, Subfamilia Astronotinae</t>
  </si>
  <si>
    <t>Perú, Colombia, Brasil, Guayana Francesa, y en la cuenca del Amazonas</t>
  </si>
  <si>
    <t>Ciclinos (Cichlinae)</t>
  </si>
  <si>
    <t>Familia Cichlidae, Subfamilia Cichlinae, tribu Cichlini</t>
  </si>
  <si>
    <t>Nativos de las cuencas del Amazonas y del Orinoco, así como de los ríos de las Guayanas</t>
  </si>
  <si>
    <t>Familia Ciclidae, Subfamilia Cichlinae, Tribu Geophagini, Subtribu Acarichthys</t>
  </si>
  <si>
    <t>Cíclido sudamericano (Tribu Geophaginae)</t>
  </si>
  <si>
    <t>Familia Ciclidae, Subfamilia Cichlinae, Tribu Geophagini, Subtribu Crenicaratina</t>
  </si>
  <si>
    <t>Familia Ciclidae, Subfamilia Cichlinae, Tribu Geophagini, Subtribu Geophagina</t>
  </si>
  <si>
    <t>Cíclido sudamericano (Tribu Cichlasomatini)</t>
  </si>
  <si>
    <t>Cíclido americano (Tribu Heroni)</t>
  </si>
  <si>
    <t>Familia Cichlidae, Subfamilia Cichlasomatinae, Tribu Heroini.</t>
  </si>
  <si>
    <t>Cíclido sudamericano (Tribu Heroni)</t>
  </si>
  <si>
    <t>Familia Cichlidae, Subfamilia Cichlasomatinae, Tribu Cichlasomatini.</t>
  </si>
  <si>
    <t>Pejelagarto (Lepisosteidae)</t>
  </si>
  <si>
    <t>Agua dulce, frecuentan las aguas salobres y costeras marinas (Usa, México)</t>
  </si>
  <si>
    <t>Familia Lepisosteidae</t>
  </si>
  <si>
    <t>Silúrido (Auchenipterinae)</t>
  </si>
  <si>
    <t>Cuenca fluvial del río Amazonas</t>
  </si>
  <si>
    <t>Familia Auchenipteridae, Subfamilia Auchenipterinae</t>
  </si>
  <si>
    <t>Rios tropicales y sibtropicales sudamerica (Guayanas hasta Uruguay)</t>
  </si>
  <si>
    <t>Rivulin sudamericano (Rivulidae)</t>
  </si>
  <si>
    <t>Rios y lagos sudamérica tropical</t>
  </si>
  <si>
    <t>Familia Rivulidae</t>
  </si>
  <si>
    <t>Familia Characidae  incertae sedis</t>
  </si>
  <si>
    <t>Tetra rubi (Caracidae)</t>
  </si>
  <si>
    <t>Cuanca río Amazonas y Orinoco</t>
  </si>
  <si>
    <t>Tropical de Oriente medio y Asia</t>
  </si>
  <si>
    <t>Familia Badidae</t>
  </si>
  <si>
    <t>Pez hoja (Nandidae)</t>
  </si>
  <si>
    <t>Sur y sureste asíatico</t>
  </si>
  <si>
    <t>Familia Nandidae</t>
  </si>
  <si>
    <t>Pez cabeza de serpiente (Channidae)</t>
  </si>
  <si>
    <t>Rios subtropical y templados Chine, Rusia y Corea</t>
  </si>
  <si>
    <t>Familia Channidae</t>
  </si>
  <si>
    <t>Anabantiforme (Badidae)</t>
  </si>
  <si>
    <t>Gurami besador (Helostomatidae)</t>
  </si>
  <si>
    <t>Tropical de Tailandia a Indonesia</t>
  </si>
  <si>
    <t>Familia Helostomatidae</t>
  </si>
  <si>
    <t>Gurami (Osphronemidae)</t>
  </si>
  <si>
    <t>Ríos sudeste asiático y Sri Lanka</t>
  </si>
  <si>
    <t>Familia Osphronemidae, subfamilia Belontiinae</t>
  </si>
  <si>
    <t xml:space="preserve">Familia Osphronemidae, subfamilia Osphroneminae </t>
  </si>
  <si>
    <t>Gurami gigante (Osphronemidae)</t>
  </si>
  <si>
    <t>Ríos, lagos, estanques, pantanos y llanuras aluviales en el sudeste asiático</t>
  </si>
  <si>
    <t>lagos, estanques, ríos y arroyos del noreste de India y Bangladesh</t>
  </si>
  <si>
    <t>Familia Osphronemidae, subfamilia Luciocephalinae</t>
  </si>
  <si>
    <t>lagos, estanques, ríos y arroyos de Tailandia, Malasia, Indonesia y Brunei</t>
  </si>
  <si>
    <t>Gurami Chocolate (Osphronemidae)</t>
  </si>
  <si>
    <t>lagos, estanques, ríos y arroyos de sudeste asiático</t>
  </si>
  <si>
    <t>Familia Osphronemidae, subfamilia Macropodusinae</t>
  </si>
  <si>
    <t>lagos, estanques, ríos y arroyos del este asiático</t>
  </si>
  <si>
    <t>lagos, estanques, ríos y arroyos del sudeste asiático</t>
  </si>
  <si>
    <t>Familia Osphronemidae, subfamilia Trichogastrinae</t>
  </si>
  <si>
    <t>Silúrido asiático (Sisoridae)</t>
  </si>
  <si>
    <t>Ríos topicalesdel oriente (Sudeste Asiático, Turquía, Sur de China, Siria, Borneo)</t>
  </si>
  <si>
    <t>Familia Sisoridae, Subfamilia Sisorinae</t>
  </si>
  <si>
    <t>Ciprínido (Cyprinidae)</t>
  </si>
  <si>
    <t>Ríos tropicales del sudeste de Asia e islas de Indonesia</t>
  </si>
  <si>
    <t>Familia Cyprinidae</t>
  </si>
  <si>
    <t>Ríos tropicales del sudeste de Asia</t>
  </si>
  <si>
    <t>Ríos tropicales de Asia, Península de Malaca, Sumatra, Borneo e Java</t>
  </si>
  <si>
    <t>Ríos tropicales de Asia</t>
  </si>
  <si>
    <t>Ríos tropicales distribuidas por África, Europa y Asia</t>
  </si>
  <si>
    <t>Ríos subtropicales Asia Occidental y Europa Oriental</t>
  </si>
  <si>
    <t>Originalmente en el este de Asia pero introducidos en todo el mundo</t>
  </si>
  <si>
    <t>Rios tropicales de oriente medio y sudeste asiatico</t>
  </si>
  <si>
    <t>Rios tropicales de oriente medio, sudeste asiatico e indonesia</t>
  </si>
  <si>
    <t>Ríos desde Siberia a China Tropical (Climas fríos atropicales).</t>
  </si>
  <si>
    <t>Por ríos de Asia en áreas de distribución pequeña, excepto carpa europea (C. carpio)</t>
  </si>
  <si>
    <t>Ríos tropicales del sur de Asia desde Pakistán hasta Indonesia</t>
  </si>
  <si>
    <t>Ríos tropicales del sudeste de Asia, indonesia</t>
  </si>
  <si>
    <t>Ríos tropicales de África</t>
  </si>
  <si>
    <t>Ciprínido (Cyprininae)</t>
  </si>
  <si>
    <t>Familia Cyprinidae, Subfamilia Cyprininae</t>
  </si>
  <si>
    <t>Danionina (Danioninae)</t>
  </si>
  <si>
    <t>Familia Cyprinidae, Subfamilia Danioninae</t>
  </si>
  <si>
    <t>Ríos tropicales en Myanmar y Yunnan , China</t>
  </si>
  <si>
    <t>Ríos tropicales del sur y sudeste de Asia</t>
  </si>
  <si>
    <t>Labeo (Labeoninae)</t>
  </si>
  <si>
    <t>Familia Cyprinidae, Subfamilia Labeoninae, Tribu Garrini</t>
  </si>
  <si>
    <t>Familia Cyprinidae, Subfamilia Labeoninae, Tribu Labeonini</t>
  </si>
  <si>
    <t>Leptobarbus (Leptobarbinae)</t>
  </si>
  <si>
    <t>Familia Cyprinidae, Subfamilia Leptobarbinae</t>
  </si>
  <si>
    <t>Ríos templados y tropicales de China</t>
  </si>
  <si>
    <t>Neón Chino (Tincinae)</t>
  </si>
  <si>
    <t>Familia Cyprynidae, Subfamilia Tincinae</t>
  </si>
  <si>
    <t>Pez Ballesta (Balistidae)</t>
  </si>
  <si>
    <t>Familia Balistidae</t>
  </si>
  <si>
    <t>Arrecifes de coral pacífico indo-occidental, África oriental, mar rojo y japón</t>
  </si>
  <si>
    <t>Atlántico occidental y oriental (B. vetula y B. punctatus, acuarismo)</t>
  </si>
  <si>
    <t>Originario de la región del Indo-Pacífico</t>
  </si>
  <si>
    <t>Océano Índico, el Océano Pacífico e incluso el Mar Rojo (M. niger )</t>
  </si>
  <si>
    <t>Área tropical del Indo-Pacífico</t>
  </si>
  <si>
    <t>Arrecifes de los océanos Índico y Pacífico</t>
  </si>
  <si>
    <t>Arrecifes en el Océano Atlántico occidental, Índico y Pacífico</t>
  </si>
  <si>
    <t>Pez Arcoiris (Melanotaeniidae)</t>
  </si>
  <si>
    <t>Familia Melanotaeniidae, Subfamilia Bedotiinae</t>
  </si>
  <si>
    <t>Familia Melanotaeniidae, Subfamilia Melanotaeniinae</t>
  </si>
  <si>
    <t>Familia Melanotaeniidae, Subfamilia Telmatherininae</t>
  </si>
  <si>
    <t>Ríos y arroyos en vertiente oriental de Madagascar</t>
  </si>
  <si>
    <t>Ríos en Nueva Guinea</t>
  </si>
  <si>
    <t>Ríos en norte tropical de Australia y Nueva Guinea</t>
  </si>
  <si>
    <t>Endémico de Sulawesi (antes conocido como Célebes) en Indonesia</t>
  </si>
  <si>
    <t>Australia, Indonesia, Nueva Guinea y las islas más pequeñas cercanas</t>
  </si>
  <si>
    <t>Endémicos de la isla de indonesia Sulawesi.</t>
  </si>
  <si>
    <t>Bótido (Botiidae)</t>
  </si>
  <si>
    <t>Familia Botiidae</t>
  </si>
  <si>
    <t>Ríos de oriente medio y sudeste asiático</t>
  </si>
  <si>
    <t>Endémico de ríos tropicales en China</t>
  </si>
  <si>
    <t>Se encuentran principalmente en el sudeste asiático</t>
  </si>
  <si>
    <t>Sistemas fluviales en Indochina</t>
  </si>
  <si>
    <t>Lucio (Ctenoluciidae)</t>
  </si>
  <si>
    <t>Familia Ctenoluciidae</t>
  </si>
  <si>
    <t>Cuenca del Amazonas , el Orinoco y los ríos del Escudo Guayanés</t>
  </si>
  <si>
    <t>Centroamérica (Panamá) y el noroeste de Sudamérica (Colombia y Venezuela)</t>
  </si>
  <si>
    <t>Cíclido Africano (Pseudocrenilabrinae)</t>
  </si>
  <si>
    <t>Lago Tanganica en África</t>
  </si>
  <si>
    <t>Familia Cichlidae, Subfamilia Pseudocrenilabrinae, Tribu Cyphotilapiini</t>
  </si>
  <si>
    <t>Familia Cichlidae, Subfamilia Pseudocrenilabrinae, Tribu Cyprichromini</t>
  </si>
  <si>
    <t xml:space="preserve">Lago Tanganica </t>
  </si>
  <si>
    <t>Familia Cichlidae, Subfamilia Pseudocrenilabrinae, Tribu Chromidotilapiini</t>
  </si>
  <si>
    <t>Familia Cichlidae, Subfamilia Pseudocrenilabrinae, Tribu Lamprologini</t>
  </si>
  <si>
    <t>Familia Cichlidae, Subfamilia Pseudocrenilabrinae, Tribu Haplochromini</t>
  </si>
  <si>
    <t>Familia Cichlidae, Subfamilia Pseudocrenilabrinae, Tribu Ectodini</t>
  </si>
  <si>
    <t>Familia Cichlidae, Subfamilia Pseudocrenilabrinae, Tribu Benthochromini</t>
  </si>
  <si>
    <t>Familia Cichlidae, subfamilia Pseudocrenilabrinae, Tribu Boulengerochromini</t>
  </si>
  <si>
    <t>Familia Cichlidae, Subfamilia Pseudocrenilabrinae, Tribu Pelmatochromini</t>
  </si>
  <si>
    <t>La mayoría endémicas del lago Victoria en el este de África</t>
  </si>
  <si>
    <t>Endémico del lago Malawi</t>
  </si>
  <si>
    <t>Pez Cuchillo (Hypopomidae)</t>
  </si>
  <si>
    <t>Familia Hypopomidae</t>
  </si>
  <si>
    <t>Neotrópicos húmedos, Río de la Plata (35 ° S) hasta Río Tuira de Panamá (8 ° N).</t>
  </si>
  <si>
    <t>Genero en desuso (Bunocephalus)</t>
  </si>
  <si>
    <t>Bagre sudamericano (Aspredinidae)</t>
  </si>
  <si>
    <t xml:space="preserve">ríos al oeste de los Andes, incluidos los ríos Atrato , San Juan y Patía </t>
  </si>
  <si>
    <t>Familia  Aspredinidae, Subfamilia Bunocephalinae</t>
  </si>
  <si>
    <t>Aguas tropicales y subtropicales de África, Asia, Australia y Oceanía</t>
  </si>
  <si>
    <t>Gobio (Butidae)</t>
  </si>
  <si>
    <t>Familia Butidae</t>
  </si>
  <si>
    <t>Sargento Mayor (Pomacentridae)</t>
  </si>
  <si>
    <t>Familia Pomacentridae, Subfamilia Pomacentrinae</t>
  </si>
  <si>
    <t>Damisela (Pomacentridae)</t>
  </si>
  <si>
    <t>Indopacífico desde África, norte de Japón, y Sur de Australia</t>
  </si>
  <si>
    <t>Océano Pacífico oriental, Atlántico oriental</t>
  </si>
  <si>
    <t xml:space="preserve">Océano Pacífico occidental y central, indo-pacífico, </t>
  </si>
  <si>
    <t>Océano índico, Oceanía, Pacífico occidental central,</t>
  </si>
  <si>
    <t>Arrecifes de coral y rocosos en los océanos Atlántico, Índico y Pacífico</t>
  </si>
  <si>
    <t>Familia Pomacentridae, Subfamilia Amphiprioninae</t>
  </si>
  <si>
    <t>Pez payaso (Pomacentridae)</t>
  </si>
  <si>
    <t>Familia Pomacentridae, Subfamilia Chrominae</t>
  </si>
  <si>
    <t>Arrecifes tropicales y subtropicales en todos los océanos</t>
  </si>
  <si>
    <t>Familia Anostomidae</t>
  </si>
  <si>
    <t>Pez Cofre (Ostraciidae)</t>
  </si>
  <si>
    <t>Familia Ostraciidae</t>
  </si>
  <si>
    <t>Pez Vaca (Ostraciidae)</t>
  </si>
  <si>
    <t>Nativo del Océano Atlántico occidental</t>
  </si>
  <si>
    <t>Pez Tronco (Ostraciidae)</t>
  </si>
  <si>
    <t>Del océano Indo-Pacífico</t>
  </si>
  <si>
    <t>Arrecifes de todo el Océano Pacífico y el Océano Índico</t>
  </si>
  <si>
    <t>Pez Cirujano (Acanthuridae)</t>
  </si>
  <si>
    <t>Familia Acanthuridae, Subfamilia Acanthurinae</t>
  </si>
  <si>
    <t>La mayoría de las especies en el Indo-Pacífico</t>
  </si>
  <si>
    <t>Zonas Indo-pacífico, Pacífico oceanía</t>
  </si>
  <si>
    <t>Del Indo-Pacífico</t>
  </si>
  <si>
    <t>Familia Acanthuridae</t>
  </si>
  <si>
    <t>Cobítido o Locha (Cobitidae)</t>
  </si>
  <si>
    <t>Familia Cobitidae</t>
  </si>
  <si>
    <t>Eurasia templada y subtropical</t>
  </si>
  <si>
    <t>Europa y Asia</t>
  </si>
  <si>
    <t>Sudeste asiatico, India y Myanmar</t>
  </si>
  <si>
    <t>Pejezorro (Acestrorhynchidae)</t>
  </si>
  <si>
    <t>Familia Acestrorhynchidae</t>
  </si>
  <si>
    <t>Carángidos (Carangidae)</t>
  </si>
  <si>
    <t>Familia Carangidae</t>
  </si>
  <si>
    <t>Lenguado (Achiridae)</t>
  </si>
  <si>
    <t>Familia Achiridae</t>
  </si>
  <si>
    <t>Silúrido (Doradidae)</t>
  </si>
  <si>
    <t>Familia Doradidae</t>
  </si>
  <si>
    <t>Loricárido (Loricariidae)</t>
  </si>
  <si>
    <t>Anguila (Mastacembelidae)</t>
  </si>
  <si>
    <t>Familia Mastacembelidae</t>
  </si>
  <si>
    <t>Nativos de Asia y África</t>
  </si>
  <si>
    <t>Sur y sudeste de Asia</t>
  </si>
  <si>
    <t>Chilodóntido (Chilodontidae)</t>
  </si>
  <si>
    <t>Familia Chilodontidae</t>
  </si>
  <si>
    <t>Norte y centro de América del Sur</t>
  </si>
  <si>
    <t>Pez Elefante (Mormyridae)</t>
  </si>
  <si>
    <t>nativos de África</t>
  </si>
  <si>
    <t>Familia Mormyridae, Subfamilia Mormyrinae</t>
  </si>
  <si>
    <t>Tiburón Requiem (Carcharhinidae)</t>
  </si>
  <si>
    <t>Familia Carcharhinidae</t>
  </si>
  <si>
    <t>Mares de todo el mundo (Tropical hasta aguas templadas)</t>
  </si>
  <si>
    <t>Hachita (Gasteropelecidae)</t>
  </si>
  <si>
    <t>Familia Gasteropelecidae</t>
  </si>
  <si>
    <t>Cuencas del Amazonas , Orinoco y Paraná</t>
  </si>
  <si>
    <t xml:space="preserve">Ríos de América central y del sur </t>
  </si>
  <si>
    <t>Ríos tropicales del sudeste de Asia, oriente medio y áfrica</t>
  </si>
  <si>
    <t xml:space="preserve">Cuencas del Amazonas y el Orinoco </t>
  </si>
  <si>
    <t>Mero (Epinephelinae)</t>
  </si>
  <si>
    <t>Familia Serranidae, Subfamilia Epinephelinae</t>
  </si>
  <si>
    <t>Mero Jorobado (Epinephelinae)</t>
  </si>
  <si>
    <t>Aguas tropicales de la región central del Pacífico Indo-Occidental</t>
  </si>
  <si>
    <t>Aguas tropicales Indopacífico, pacífico occidental, y Australia</t>
  </si>
  <si>
    <t>Todo el mundo en mares y océanos tropicales y subtropicales</t>
  </si>
  <si>
    <t>Mero o Soapfish (Epinephelinae)</t>
  </si>
  <si>
    <t>Aguas tropicales y subtropicales del área del Indo-Pacífico</t>
  </si>
  <si>
    <t>Bagre ballena (Cetopsidae)</t>
  </si>
  <si>
    <t>Familia Cetopsidae</t>
  </si>
  <si>
    <t>Ríos de agua dulce que desembocan en el este y oeste de América del Sur</t>
  </si>
  <si>
    <t>Pez gato asiático (Chacidae)</t>
  </si>
  <si>
    <t>Familia Chacidae</t>
  </si>
  <si>
    <t>Ríos y lagos del sudeste de Asia y la isla de Borneo</t>
  </si>
  <si>
    <t>Pez lija (Monacanthidae)</t>
  </si>
  <si>
    <t>Océanos Atlántico, Índico y Pacífico</t>
  </si>
  <si>
    <t>Familia Monacanthidae</t>
  </si>
  <si>
    <t>Peluquero (Ephippidae)</t>
  </si>
  <si>
    <t>Familia Ephippidae</t>
  </si>
  <si>
    <t>Océanos Atlántico, Este del Pacífico</t>
  </si>
  <si>
    <t>Océano Índico y oeste del océano Pacífico</t>
  </si>
  <si>
    <t>Pez Murciélago (Ephippidae)</t>
  </si>
  <si>
    <t>joselimaianus</t>
  </si>
  <si>
    <t>scrophus</t>
  </si>
  <si>
    <t>platynema</t>
  </si>
  <si>
    <t>Ctenops</t>
  </si>
  <si>
    <t>pumilis</t>
  </si>
  <si>
    <t>Familia Chaetodontidae</t>
  </si>
  <si>
    <t>Pez Mariposa (Chaetodontidae)</t>
  </si>
  <si>
    <t>Arrecifes tropicales a nivel global</t>
  </si>
  <si>
    <t>Nativas del Océano Pacífico occidental</t>
  </si>
  <si>
    <t>Aguas templadas y subtropicales mitad sur de Australia</t>
  </si>
  <si>
    <t>Nativos de los océanos Índico y Pacífico</t>
  </si>
  <si>
    <t>Se distribuye por toda la región del Indo-Pacífico</t>
  </si>
  <si>
    <t>Son nativos del Indo-Pacífico</t>
  </si>
  <si>
    <t>Familia Cichlidae, Subfamilia Pseudocrenilabrinae, Tribu Tropheini</t>
  </si>
  <si>
    <t>Pez Globo (Diodontidae)</t>
  </si>
  <si>
    <t>Familia Diodontidae</t>
  </si>
  <si>
    <t>Tropicales del Atlántico occidentaldesde el sureste de Florida y las Bahamas</t>
  </si>
  <si>
    <t>Distribución circuntropical principales mares y océanos</t>
  </si>
  <si>
    <t>Pez cristal (Ambassidae)</t>
  </si>
  <si>
    <t>Familia Ambassidae</t>
  </si>
  <si>
    <t>Sur de Asia desde Pakistán hasta Birmania</t>
  </si>
  <si>
    <t xml:space="preserve">Sur este de Asia </t>
  </si>
  <si>
    <t>Dardo Sudamericano (Crenuchidae)</t>
  </si>
  <si>
    <t>Familia Crenuchidae, Subfamilia Characidiinae</t>
  </si>
  <si>
    <t>Principalmente en América del Sur, pero C. marshi es de Panamá</t>
  </si>
  <si>
    <t>Familia Crenuchidae, Subfamilia Crenuchinae</t>
  </si>
  <si>
    <t>Cuencas del Amazonas y del Orinoco</t>
  </si>
  <si>
    <t>Cuencas del Amazonas, Araguaia y del Orinoco, y en la Guayanas</t>
  </si>
  <si>
    <t>Tiburón (Hemiscylliidae)</t>
  </si>
  <si>
    <t>Familia Hemiscylliidae</t>
  </si>
  <si>
    <t>Aguas trpicales poco profundas del Océano Indo-Pacífico</t>
  </si>
  <si>
    <t>Pez Cuchillo (Notopteridae)</t>
  </si>
  <si>
    <t>Nativos del agua dulce en el sur y sudeste de Asia</t>
  </si>
  <si>
    <t>Familia Notopteridae, Subfamilia Notopterinae</t>
  </si>
  <si>
    <t>Pez Halcón (Cirrhitidae)</t>
  </si>
  <si>
    <t>Familia Cirrhitidae</t>
  </si>
  <si>
    <t>Arrecifes tropicales en losocéanos Índico y Pacífico occidental</t>
  </si>
  <si>
    <t>arrecifes tropicales del Océano Índico y el Océano Pacífico .</t>
  </si>
  <si>
    <t>Arrecifes tropicales de todo el mundo.</t>
  </si>
  <si>
    <t>Arrecifes tropicales del Océano Índico y el Océano Pacífico occidental .</t>
  </si>
  <si>
    <t>Arrecifes tropicales del Océano Pacífico</t>
  </si>
  <si>
    <t xml:space="preserve">Arrecifes tropicales del Océano Índico y el Océano Pacífico </t>
  </si>
  <si>
    <t>Familia Serrasalmidae</t>
  </si>
  <si>
    <t>Pacú o Cachama (Serrasalmidae)</t>
  </si>
  <si>
    <t>Cuencas del Amazonas y el Orinoco en la América del Sur tropical</t>
  </si>
  <si>
    <t>Pez Dolar (Serrasalmidae)</t>
  </si>
  <si>
    <t>Cuencas de ríos América del Surtropical y subtropical</t>
  </si>
  <si>
    <t>Cuencas del Amazonas , Orinoco y São Francisco</t>
  </si>
  <si>
    <t>Cuencas de Amazonas , Orinoco , Lago de Maracaibo y Paraguay - Paraná</t>
  </si>
  <si>
    <t>Pacú (Serrasalmidae)</t>
  </si>
  <si>
    <t>Pez Lápiz (Lebiasinidae)</t>
  </si>
  <si>
    <t>Familia Lebiasinidae, Subfamilia Pyrrhulininae, tribu Pyrrhulinini</t>
  </si>
  <si>
    <t>Familia Lebiasinidae, Subfamilia Pyrrhulininae, tribu Nannostomini</t>
  </si>
  <si>
    <t xml:space="preserve">cuenca del Amazonas </t>
  </si>
  <si>
    <t>cuenca del Amazonas, Orinoco y Las Guayanas .</t>
  </si>
  <si>
    <t>cuencas tropicales de América del Sur</t>
  </si>
  <si>
    <t>Tetra (Characidae)</t>
  </si>
  <si>
    <t>Familia Characidae</t>
  </si>
  <si>
    <t>Ríos de Trinidad y Venezuela</t>
  </si>
  <si>
    <t>principalmente en el Océano Atlántico occidental, aunque un par de especies se encuentran en losocéanos Índico y / o Pacífico</t>
  </si>
  <si>
    <t>Góbio Watchman (Gobiidae)</t>
  </si>
  <si>
    <t xml:space="preserve">aguas marinas tropicales de losocéanos Índico y Pacífico </t>
  </si>
  <si>
    <t>agua dulce en climas tropicales de América del Sur</t>
  </si>
  <si>
    <t>Rubia Voladora (Dactylopteridae)</t>
  </si>
  <si>
    <t>Vativas de losocéanos Índico y Pacífico</t>
  </si>
  <si>
    <t>Familia Dactylopteridae</t>
  </si>
  <si>
    <t>Pez Tigre (Lobotidae)</t>
  </si>
  <si>
    <t>Rios y estuarios del sur y sudeste asiatico</t>
  </si>
  <si>
    <t>Familia Lobotidae</t>
  </si>
  <si>
    <t>Pez Escorpión (Scorpaenidae)</t>
  </si>
  <si>
    <t>Nativos de océanos índica y pacífico</t>
  </si>
  <si>
    <t>Familia Scorpaenidae, Subfamilia Pteroinae</t>
  </si>
  <si>
    <t>Pez León (Scorpaenidae)</t>
  </si>
  <si>
    <t>Semipico viviparo (Zenarchopteridae)</t>
  </si>
  <si>
    <t>Dulce y salobre en el sur y sudeste de Asia</t>
  </si>
  <si>
    <t>Familia Zenarchopteridae</t>
  </si>
  <si>
    <t>Arroyos, ríos y lagos en Sulawesi ( Indonesia ) y Filipinas</t>
  </si>
  <si>
    <t>Agua dulce tropical de África</t>
  </si>
  <si>
    <t>Familia Distichodontidae</t>
  </si>
  <si>
    <t>Carácido Africano (Distichodontidae)</t>
  </si>
  <si>
    <t>Pez Pipa (Syngnathidae)</t>
  </si>
  <si>
    <t>Océanos Índico y Pacífico</t>
  </si>
  <si>
    <t>Familia Syngnathidae, Subfamilia Syngnathinae</t>
  </si>
  <si>
    <t>Agua dulce originario de África</t>
  </si>
  <si>
    <t>Caballito de mar (Syngnathidae)</t>
  </si>
  <si>
    <t>Familia Syngnathidae, Subfamilia Hipocampinae</t>
  </si>
  <si>
    <t>Aguas tropicales y templadas poco profundas en todo el mundo</t>
  </si>
  <si>
    <t>Remora (Echeneidae)</t>
  </si>
  <si>
    <t>Océanos Atlántico , Pacífico e Índico</t>
  </si>
  <si>
    <t>Familia Echeneidae</t>
  </si>
  <si>
    <t>Morena (Muraenidae)</t>
  </si>
  <si>
    <t>Familia Muraenidae, Subfamilia Muraeninae</t>
  </si>
  <si>
    <t>Arrecifes tropicales de oceános de todo el mundo</t>
  </si>
  <si>
    <t>Zonas cálidas del O. Atlántico oriental , incluido el Mar Mediterráneo</t>
  </si>
  <si>
    <t>Indo-Pacífico desde la costa de África hasta la costa de América</t>
  </si>
  <si>
    <t xml:space="preserve">Océanos Atlántico, Índico y Pacífico </t>
  </si>
  <si>
    <t>Lagunas y arrecifes del Indo-Pacífico</t>
  </si>
  <si>
    <t>Salaria (Blenniidae)</t>
  </si>
  <si>
    <t>Familia Blenniidae, Subfamilia Salarinae</t>
  </si>
  <si>
    <t>Arrecifes de todo el mundo</t>
  </si>
  <si>
    <t>Arrecifes de coral en los océanos Pacífico e Índico</t>
  </si>
  <si>
    <t>Océano Atlántico y el mar Mediterráneo</t>
  </si>
  <si>
    <t>Océanos Atlántico , Pacífico occidentale Índico</t>
  </si>
  <si>
    <t>Océanos Índico y Pacífico .</t>
  </si>
  <si>
    <t xml:space="preserve">Océanos Atlántico e Índico </t>
  </si>
  <si>
    <t>Cuchillo cristal (Sternopygidae)</t>
  </si>
  <si>
    <t>Familia Sternopygidae</t>
  </si>
  <si>
    <t>Tropical y subtropical(al sur de la cuenca del Río de la Plata ) y Panamá</t>
  </si>
  <si>
    <t>Tropical y subtropical (al sur de la cuenca del Río de la Plata ) y Panamá</t>
  </si>
  <si>
    <t>Anguila Eléctrica (Gymnotidae)</t>
  </si>
  <si>
    <t>Familia Gymnotidae</t>
  </si>
  <si>
    <t>Cuchillo (Gymnotidae)</t>
  </si>
  <si>
    <t>Ampliamente en América del Sur, América Central y el sur de México</t>
  </si>
  <si>
    <t>Cuencas de los ríos Amazonas y Orinoco</t>
  </si>
  <si>
    <t>Blenio (Chaenopsidae)</t>
  </si>
  <si>
    <t>Familia Chaenopsidae</t>
  </si>
  <si>
    <t>Océanos Pacífico y Atlántico</t>
  </si>
  <si>
    <t>Pez Tambor (Sciaenidae)</t>
  </si>
  <si>
    <t>Familia Sciaenidae</t>
  </si>
  <si>
    <t>Océano Atlántico y el Caribe</t>
  </si>
  <si>
    <t>O. Atlántico medio occidental, Caribe , Golfo de México , Florida y Bahamas</t>
  </si>
  <si>
    <t>Bagre (Trichomycteridae)</t>
  </si>
  <si>
    <t>Familia Trichomycteridae, Subfamilia Trichomycterinae</t>
  </si>
  <si>
    <t>Cuenca del río Bogotá</t>
  </si>
  <si>
    <t>Familia Cichlidae, Subfamilia Pseudocrenilabrinae, Tribu Eretmodini</t>
  </si>
  <si>
    <t>Endémico del lago Tanganica</t>
  </si>
  <si>
    <t>Pez serpiente (Polypteridae)</t>
  </si>
  <si>
    <t>Familia Polypteridae</t>
  </si>
  <si>
    <t>Varias regiones de África</t>
  </si>
  <si>
    <t xml:space="preserve">India y Sri Lanka </t>
  </si>
  <si>
    <t>Familia Cichlidae, Subfamilia Etroplinae</t>
  </si>
  <si>
    <t>Cíclido (Etroplinae)</t>
  </si>
  <si>
    <t>Pez Dragón (Pegasidae)</t>
  </si>
  <si>
    <t>Familia  Pegasidae</t>
  </si>
  <si>
    <t>Aguas tropicales costeras del Indo-Pacífico</t>
  </si>
  <si>
    <t>Espinoso (Gasterosteidae)</t>
  </si>
  <si>
    <t>Aguas interiores de Europa y curnca norte del O. Pacífico (Jaón y México)</t>
  </si>
  <si>
    <t>Familia Gasterosteidae</t>
  </si>
  <si>
    <t>Carácido (Characidae)</t>
  </si>
  <si>
    <t>América del Sur , Trinidad en el Caribe y Panamá</t>
  </si>
  <si>
    <t>Familia Ginglymostomatidae</t>
  </si>
  <si>
    <t>Tiburón nodriza (Ginglymostomatidae)</t>
  </si>
  <si>
    <t>Costas tropicales de américa, pacífico y atlántico, Atlántico africano</t>
  </si>
  <si>
    <t>Familia Cichlidae, Subfamilia Pseudocrenilabrinae, Tribu Limnochromini</t>
  </si>
  <si>
    <t>Zonas tropicales de África</t>
  </si>
  <si>
    <t>Familia Pimelodidae</t>
  </si>
  <si>
    <t>Aguas tropicales del Océano Atlántico occidental y el Mar Caribe</t>
  </si>
  <si>
    <t>Gramma (Grammatidae)</t>
  </si>
  <si>
    <t>Familia Grammatidae</t>
  </si>
  <si>
    <t>Familia Cichlidae, Subfamilia Pseudocrenilabrinae, Tribu Greenwoodochromini</t>
  </si>
  <si>
    <t>Come Algas (Gyrinocheilidae)</t>
  </si>
  <si>
    <t>Familia Gyrinocheilidae</t>
  </si>
  <si>
    <t>Arroyos de montaña en Sudeste Asiático</t>
  </si>
  <si>
    <t>Bagre (Bagridae)</t>
  </si>
  <si>
    <t>Familia Bagridae</t>
  </si>
  <si>
    <t>Sudeste asiático , India y el sur de China</t>
  </si>
  <si>
    <t>Endémicos de Asia</t>
  </si>
  <si>
    <t>Pantanos, arroyos y ríos en todo el sudeste asiático</t>
  </si>
  <si>
    <t>Nativas de África occidental y del noroeste</t>
  </si>
  <si>
    <t>Familia Cichlidae, Subfamilia Pseudocrenilabrinae, Tribu Hemichromini</t>
  </si>
  <si>
    <t xml:space="preserve">Cuencas de los ríos Amazonas, Esequibo, Oyapock y Paraguay . </t>
  </si>
  <si>
    <t>Familia Loricariidae</t>
  </si>
  <si>
    <t>Sardina de río (Hemiodontidae)</t>
  </si>
  <si>
    <t>Familia Hemiodontidae</t>
  </si>
  <si>
    <t>Balirótido ( Balitoridae)</t>
  </si>
  <si>
    <t>Familia  Balitoridae</t>
  </si>
  <si>
    <t>Aguas tropicales de los océanos Atlántico, Índico y Pacífico (sobre todo oeste)</t>
  </si>
  <si>
    <t>Sudeste Asiático</t>
  </si>
  <si>
    <t>Familia Cynodontidae</t>
  </si>
  <si>
    <t>Endémico de los ríos de los Ghats occidentales en India</t>
  </si>
  <si>
    <t>Brasil, Colombia, Venezuela y Guayana</t>
  </si>
  <si>
    <t>Pez vampiro o diablo (Cynodontidae)</t>
  </si>
  <si>
    <t>Cuencas Amazónica, Orinoco y en Guayana</t>
  </si>
  <si>
    <t>Hamlet (Serranidae)</t>
  </si>
  <si>
    <t>Familia Serranidae, Subfamilia Serraninae</t>
  </si>
  <si>
    <t>Mar Caribe y golfo de méxico (Florida y bahamas)</t>
  </si>
  <si>
    <t>Serrano (Serranidae)</t>
  </si>
  <si>
    <t>Tropicos atlántico y pa´cifico de américa</t>
  </si>
  <si>
    <t>Familia Cichlidae, Subfamilia Cichliniae, Tribu Heroini</t>
  </si>
  <si>
    <t>Nativo de Amazonas y Orinoco</t>
  </si>
  <si>
    <t>Cíclido Hemerald (Cichlidae)</t>
  </si>
  <si>
    <t>Indostómido ( Indostomidae)</t>
  </si>
  <si>
    <t>Regiones cálidas de América del Sur</t>
  </si>
  <si>
    <t>Familia Indostomidae</t>
  </si>
  <si>
    <t>Eíos y lagos de toda la peníscula de Indochina</t>
  </si>
  <si>
    <t>Lago Malawi</t>
  </si>
  <si>
    <t>Familia Blenniidae</t>
  </si>
  <si>
    <t>Blenio (Blenniidae)</t>
  </si>
  <si>
    <t>Arrecifes de océanos pcífico e Índico</t>
  </si>
  <si>
    <t>Familia Cyprinodontidae</t>
  </si>
  <si>
    <t>Pez bandera de Florida (Cyprinodontidae)</t>
  </si>
  <si>
    <t>Ríos y estanques de Florida (USA)</t>
  </si>
  <si>
    <t>Gato cristal (Siluridae)</t>
  </si>
  <si>
    <t>Familia Siluridae</t>
  </si>
  <si>
    <t>Ríos de Asia Topical (Oriente medio)</t>
  </si>
  <si>
    <t>Silúrido (Pimelodidae)</t>
  </si>
  <si>
    <t>Cuenca Amazona y Orinoco</t>
  </si>
  <si>
    <t>Pez pulmonado (Lepidosirenidae)</t>
  </si>
  <si>
    <t>Familia Lepidosirenidae</t>
  </si>
  <si>
    <t>Aguas de movimiento lento del Río Amazonas, Paraguay y Paraná</t>
  </si>
  <si>
    <t>Poecílido (Poeciliidae)</t>
  </si>
  <si>
    <t>América central y una especie en Venezuela (L. heterandia)</t>
  </si>
  <si>
    <t>Familia Poeciliidae, Subfamilia Poeciliinae, Tribu Poeciliini</t>
  </si>
  <si>
    <t>Ríos de américa den norte, centro y sur (Sobtropical y tropical)</t>
  </si>
  <si>
    <t>Pez espada (Poeciliidae)</t>
  </si>
  <si>
    <t>América central (mesoamérica)</t>
  </si>
  <si>
    <t>Principalmente en Indo-pacífico</t>
  </si>
  <si>
    <t>Lago Tanganica</t>
  </si>
  <si>
    <t>Tropicales y subtropicales de los océanos Atlántico, Índico y Pacífico</t>
  </si>
  <si>
    <t>Pargos (Lutjanidae)</t>
  </si>
  <si>
    <t>Familia Lutjanidae</t>
  </si>
  <si>
    <t>Blenio (Labrisomidae)</t>
  </si>
  <si>
    <t>Familia Labrisomidae</t>
  </si>
  <si>
    <t>Tropicales de Atlántico y Pacífico</t>
  </si>
  <si>
    <t>Pacìfico occidental e Índico</t>
  </si>
  <si>
    <t>Familia Balistidae, Subfamilia Blenniinae</t>
  </si>
  <si>
    <t>Familia Nemacheilidae</t>
  </si>
  <si>
    <t>Mayormente en ríso de Eurasia</t>
  </si>
  <si>
    <t>Locha de piedra (Nemacheilidae)</t>
  </si>
  <si>
    <t>Bagrecito (Pseudopimelodidae)</t>
  </si>
  <si>
    <t>Familia Pseudopimelodidae</t>
  </si>
  <si>
    <t>Aguas cálidas y templado-cálidas de América del Sur</t>
  </si>
  <si>
    <t>Pez Hoja (Polycentridae)</t>
  </si>
  <si>
    <t>Familia Polycentridae</t>
  </si>
  <si>
    <t>Cuenca Amazónica</t>
  </si>
  <si>
    <t>Pez Hoja falso (Polycentridae)</t>
  </si>
  <si>
    <t>En ríos de Venezuela y Guayana</t>
  </si>
  <si>
    <t>Monodactílico (Monodactylidae)</t>
  </si>
  <si>
    <t>Familia Monodactylidae</t>
  </si>
  <si>
    <t>Costa africana del océano Atlántico, por el Índico y por el Pacífico</t>
  </si>
  <si>
    <t>Familia Synbranchidae, Subfamilia Synbranchinae</t>
  </si>
  <si>
    <t>Anguila (Synbranchinae)</t>
  </si>
  <si>
    <t>Rios de Asia</t>
  </si>
  <si>
    <t>Anguila (Ophichthidae)</t>
  </si>
  <si>
    <t>Familia Ophichthidae</t>
  </si>
  <si>
    <t>Distribuida por todas las aguas templadas y tropicales</t>
  </si>
  <si>
    <t>Familia Bagridae, Subfamilia Ophichthinae</t>
  </si>
  <si>
    <t>Raya eléctrica (Narcinidae)</t>
  </si>
  <si>
    <t>Familia Narcinidae</t>
  </si>
  <si>
    <t>Oceano Atlántico y mar Caribe</t>
  </si>
  <si>
    <t>Tiburón Limón (Carcharhinidae)</t>
  </si>
  <si>
    <t>Zonas tropicales Pacífico, Atlántico, mar rojo, áfrica</t>
  </si>
  <si>
    <t>Ríos de Asia</t>
  </si>
  <si>
    <t>Familia Microdesmidae, Subfamilia Ptereleotrinae</t>
  </si>
  <si>
    <t>Pez dardo (Microdesmidae)</t>
  </si>
  <si>
    <t>Arrecifes desde África oriental a Hawai</t>
  </si>
  <si>
    <t>Familia Holocentridae, Subfamilia Holocentrinae</t>
  </si>
  <si>
    <t>Candil (Holocentrinae)</t>
  </si>
  <si>
    <t>Tropicales de océano Atlántico, el mar Caribe, océano Pacífico y océano Índico</t>
  </si>
  <si>
    <t>Dragon (Callionymidae)</t>
  </si>
  <si>
    <t>Familia Callionymidae</t>
  </si>
  <si>
    <t>Tropical Indo-pacífico</t>
  </si>
  <si>
    <t>Pescadilla (Tetrarogidae)</t>
  </si>
  <si>
    <t>Familia Tetrarogidae</t>
  </si>
  <si>
    <t>Estuarios de marea y arroyos de flujo lento en el este de Australia</t>
  </si>
  <si>
    <t>Notrobránquido (Nothobranchiidae)</t>
  </si>
  <si>
    <t>Rios de áfrica</t>
  </si>
  <si>
    <t>Familia Nothobranchius, Subfamilia Nothobranchiinae</t>
  </si>
  <si>
    <t>Silúrido (Siluridae)</t>
  </si>
  <si>
    <t>Sur y sudeste asiatico</t>
  </si>
  <si>
    <t>Bocon (Opistognathidae)</t>
  </si>
  <si>
    <t>Familia Opistognathidae</t>
  </si>
  <si>
    <t>Océanos Atlántico y Pacífico desde el golfo de California a Panamá</t>
  </si>
  <si>
    <t>Ríos y lagos de agua dulce del sureste asiático y la Wallacea</t>
  </si>
  <si>
    <t>Pez Arroz (Adrianichthyidae)</t>
  </si>
  <si>
    <t>Familia Adrianichthyidae</t>
  </si>
  <si>
    <t>Labeo (Cyprinidae)</t>
  </si>
  <si>
    <t>Ríos sudeste asiatico</t>
  </si>
  <si>
    <t>Pangasio (Pangasiidae)</t>
  </si>
  <si>
    <t>Familia Pangasiidae</t>
  </si>
  <si>
    <t>Ríos del sur y sudeste asiatico</t>
  </si>
  <si>
    <t>Familia Pantodontidae</t>
  </si>
  <si>
    <t>Pez Mariposa Africano (Pantodontidae)</t>
  </si>
  <si>
    <t>Ríos y lagos de áfrica</t>
  </si>
  <si>
    <t>Paratilapiinae</t>
  </si>
  <si>
    <t>Familia Cichlidae, Subfamilia Paratilapiinae</t>
  </si>
  <si>
    <t>Ríos de Madagascar</t>
  </si>
  <si>
    <t>Raya (Potamotrygonidae)</t>
  </si>
  <si>
    <t>Familia Potamotrygonidae</t>
  </si>
  <si>
    <t>Ríos del norte, centro y este de América del Sur</t>
  </si>
  <si>
    <t>Familia Gobiidae, Subfamilia Oxudercinae</t>
  </si>
  <si>
    <t>Pez del fango (Oxudercinae)</t>
  </si>
  <si>
    <t>Tropical y subrtopical de Indo-Pacífico y el Atlántico africano</t>
  </si>
  <si>
    <t>Familia Pholidichthyidae</t>
  </si>
  <si>
    <t>Blanio Convicto (Pholidichthyidae)</t>
  </si>
  <si>
    <t>Arrecifes Islas Salomon y Filipinas</t>
  </si>
  <si>
    <t>Lebiasinidae</t>
  </si>
  <si>
    <t>Rïos tropicales centro y sudamérica</t>
  </si>
  <si>
    <t>Familia Lebiasinidae, Subfamilia Lebiasininae</t>
  </si>
  <si>
    <t>Pimelodella (Heptapteridae)</t>
  </si>
  <si>
    <t>Familia Heptapteridae</t>
  </si>
  <si>
    <t>Ríos cordillera Panamá, hasta Paraguay y Argentina</t>
  </si>
  <si>
    <t>Bagre de esturión (Pimelodidae)</t>
  </si>
  <si>
    <t>aguas cálidas de los trópicos de América del Sur</t>
  </si>
  <si>
    <t>Se encuentra en la cuenca del Amazonas</t>
  </si>
  <si>
    <t>Costas del océano Índico y oeste del océano Pacífico</t>
  </si>
  <si>
    <t>Familia Plotosidae</t>
  </si>
  <si>
    <t>Pez Gato (Plotosidae)</t>
  </si>
  <si>
    <t>Bichir (Polypteridae)</t>
  </si>
  <si>
    <t>aguas de ríos y lagos de África</t>
  </si>
  <si>
    <t xml:space="preserve">cuencas de los ríos Amazonas y Orinoco, y ríos costeros de las Guayanas. </t>
  </si>
  <si>
    <t>Caracido (Caracidae)</t>
  </si>
  <si>
    <t>Familia Poeciliidae, Subfamilia Procatopodinae</t>
  </si>
  <si>
    <t>Poecílido (Procatopodinae)</t>
  </si>
  <si>
    <t>Ríos de África</t>
  </si>
  <si>
    <t>Pez pulmonado (Protopteridae)</t>
  </si>
  <si>
    <t>Familia Protopteridae</t>
  </si>
  <si>
    <t>Sur este de Asia, endémico de Burma</t>
  </si>
  <si>
    <t>Familia Serranidae, Serraninae</t>
  </si>
  <si>
    <t>Serránido (Serranidae)</t>
  </si>
  <si>
    <t>En arrecifes de aguas tropicales y subtropicales a lo largo de las costas</t>
  </si>
  <si>
    <t>Perca enana (Pseudochromidae)</t>
  </si>
  <si>
    <t>Familia Pseudochromidae</t>
  </si>
  <si>
    <t>océano Índico y el océano Pacífico</t>
  </si>
  <si>
    <t>Balitórido (Balitoridae)</t>
  </si>
  <si>
    <t>Familia Balitoridae</t>
  </si>
  <si>
    <t>Río Indo China</t>
  </si>
  <si>
    <t>Familia Loricaridae, Subfamilia Locariinae, tribu Locariini</t>
  </si>
  <si>
    <t>Cuencas del Amazonas, del Orinoco, y de La Plata</t>
  </si>
  <si>
    <t>Cuencas del Amazonas, y de La Plata</t>
  </si>
  <si>
    <t>Manguruyúes (Pseudopimelodidae)</t>
  </si>
  <si>
    <t>Lago Tanganica, África</t>
  </si>
  <si>
    <t>Morena picuda (Rhamphichthyidae)</t>
  </si>
  <si>
    <t>Familia Rhamphichthyidae</t>
  </si>
  <si>
    <t>Ambientes acuáticos de Sudamérica cálida</t>
  </si>
  <si>
    <t>Bagre látigo (Loricariinae)</t>
  </si>
  <si>
    <t>Familia Locaridae, Subfamilia Loricariinae, Tribu Loricariini</t>
  </si>
  <si>
    <t>Desde Costa Rica hasta Argentina, en ambas vertientes de los Andes</t>
  </si>
  <si>
    <t>Pez Loro (Scaridae)</t>
  </si>
  <si>
    <t>Familia Scaridae</t>
  </si>
  <si>
    <t>Arrecifes de coral en todos el mundo</t>
  </si>
  <si>
    <t>Pingo (Scatophagidae)</t>
  </si>
  <si>
    <t>Ríos, lagoys y costas de Océanos Pacífuco e Índico</t>
  </si>
  <si>
    <t>Familia Scatophagidae</t>
  </si>
  <si>
    <t>Spotbanded Scat (Scatophagidae)</t>
  </si>
  <si>
    <t>Cotas de oceania tropical</t>
  </si>
  <si>
    <t>Familia Prochilodontidae</t>
  </si>
  <si>
    <t>Prochilodonte (Prochilodontidae)</t>
  </si>
  <si>
    <t>Aguas tropicales sudamérica</t>
  </si>
  <si>
    <t>Océano Indo-pacífico y Mediterraneo</t>
  </si>
  <si>
    <t>Sigano o Foxface (Siganidae)</t>
  </si>
  <si>
    <t>Familia Siganidae</t>
  </si>
  <si>
    <t>Familia Gobiidae</t>
  </si>
  <si>
    <t>Mar caribe y golfo de méxico</t>
  </si>
  <si>
    <t>Vieja de cola (Loricariinae)</t>
  </si>
  <si>
    <t>De Centro américa al río de la Plata</t>
  </si>
  <si>
    <t>Tiburón Martillo (Sphyrnidae)</t>
  </si>
  <si>
    <t>Familia Sphyrnidae</t>
  </si>
  <si>
    <t>Costas de todo el mundo (Tropical, templado y frío)- NO polar</t>
  </si>
  <si>
    <t>Lago Tanganika (África)</t>
  </si>
  <si>
    <t>Endémico río Congo (África)</t>
  </si>
  <si>
    <t>Familia Cichlidae, Subfamilia Pseudocrenilabrinae, Tribu Steatocranini</t>
  </si>
  <si>
    <t>Pez cuchillo (Hypopomidae)</t>
  </si>
  <si>
    <t>Cuenca amazona y Orininoco, Guyanas</t>
  </si>
  <si>
    <t>Bargre al revés (Mochokidae)</t>
  </si>
  <si>
    <t>Familia Mochokidae</t>
  </si>
  <si>
    <t>África subsahariana y la cuenca del río Nilo</t>
  </si>
  <si>
    <t>Familia Scorpaenidae, Subfamilia Scorpaeninae</t>
  </si>
  <si>
    <t>costa este de África y el Mar Rojo hasta el Indo-Pacífico tropical</t>
  </si>
  <si>
    <t>Manta raya (Dasyatidae)</t>
  </si>
  <si>
    <t>Familia Dasyatidae, Subfamilia Neotrygoninae</t>
  </si>
  <si>
    <t>Oceano índico y oceanía</t>
  </si>
  <si>
    <t>Endémico mitad norte del lago tanganika (África)</t>
  </si>
  <si>
    <t>Familia Terapontidae</t>
  </si>
  <si>
    <t>Costas océanos índico y oceanía</t>
  </si>
  <si>
    <t>Pez tronpetista (Terapontidae)</t>
  </si>
  <si>
    <t>Sudamerica Guyanas hasta río Paraná.</t>
  </si>
  <si>
    <t>Cíclido africano (Pseudocrenilabrinae)</t>
  </si>
  <si>
    <t>Ríos del sureste y suroeste de Ghana</t>
  </si>
  <si>
    <t>Pez arquero (Toxotidae)</t>
  </si>
  <si>
    <t>India hasta Filipinas, Australia y la Polinesia</t>
  </si>
  <si>
    <t>Familia Toxotidae</t>
  </si>
  <si>
    <t>Tiburón punta blanca (Carcharhinidae)</t>
  </si>
  <si>
    <t>Toda la región Indo-pacífica</t>
  </si>
  <si>
    <t>Endémica lago tanganika</t>
  </si>
  <si>
    <t>Familia Cichlidae, Subfamilia Pseudocrenilabrinae, Tribu Tilapiini</t>
  </si>
  <si>
    <t>Triportido (Triportheidae9</t>
  </si>
  <si>
    <t>Familia Triportheidae, Subfamilia Triportheinae</t>
  </si>
  <si>
    <t>Tropical de aguas sudamérica</t>
  </si>
  <si>
    <t>Familia Cichlidae, Subfamilia Pseudocrenilabrinae, Tribu Tylochromini</t>
  </si>
  <si>
    <t>Varios ríos y lagos de África</t>
  </si>
  <si>
    <t>Familia Urolophidae</t>
  </si>
  <si>
    <t>Mar caribe</t>
  </si>
  <si>
    <t>Manta Raya (Urolophidae)</t>
  </si>
  <si>
    <t>Familia Gobiidae, Subfamilia Gobiinae</t>
  </si>
  <si>
    <t>Gobio (Gobiinae)</t>
  </si>
  <si>
    <t>Oceanos índico y oceanía</t>
  </si>
  <si>
    <t>Ríos y lagos de África</t>
  </si>
  <si>
    <t>Wallago (Siluridae)</t>
  </si>
  <si>
    <t>Agujon (Belonidae)</t>
  </si>
  <si>
    <t>Familia Belonidae</t>
  </si>
  <si>
    <t>Ríos y lagos de agua dulce del sudeste asiático</t>
  </si>
  <si>
    <t>Familia Zanclidae</t>
  </si>
  <si>
    <t>Ídolo Moro (Zanclidae)</t>
  </si>
  <si>
    <t>Aguas tropicales y subtropicales de los océanos Índico y Pacífico</t>
  </si>
  <si>
    <t>Alga cabello de ángel</t>
  </si>
  <si>
    <t>Alga verde</t>
  </si>
  <si>
    <t>Familia Alpheidae</t>
  </si>
  <si>
    <t>Camaron chasqueador</t>
  </si>
  <si>
    <t>Mar caribe y Golfo de México</t>
  </si>
  <si>
    <t>Artemia</t>
  </si>
  <si>
    <t>Familia Artemiidae</t>
  </si>
  <si>
    <t>Cosmopólita en aguas salobres continentales</t>
  </si>
  <si>
    <t>Familia Atyidae</t>
  </si>
  <si>
    <t>Camaron Bamboo</t>
  </si>
  <si>
    <t>Cangrejo hermitaño</t>
  </si>
  <si>
    <t>Familia Calcinidae</t>
  </si>
  <si>
    <t>Principalmente costa Atlántica América</t>
  </si>
  <si>
    <t>Gamba Pinocho</t>
  </si>
  <si>
    <t>Indonsesia a Madagascar (Japon a Fiji)</t>
  </si>
  <si>
    <t>Japón, Corea y taiwan</t>
  </si>
  <si>
    <t>Gamba Japónica</t>
  </si>
  <si>
    <t>Familia Diogenidae</t>
  </si>
  <si>
    <t>Indopacífico, Hawai y mar rojo</t>
  </si>
  <si>
    <t>Mediterraneo y atántico este (tropical)</t>
  </si>
  <si>
    <t>Cangrejo ermitaño halloween</t>
  </si>
  <si>
    <t>Cangrejo ermitaño patas azules</t>
  </si>
  <si>
    <t>Cangrejo ermitaño atlántico este</t>
  </si>
  <si>
    <t>Cangrejo ermitaño anémona</t>
  </si>
  <si>
    <t>Región Indopacífico y Australia</t>
  </si>
  <si>
    <t>Camaron Arlequín</t>
  </si>
  <si>
    <t>Famialia Hymenoceridae</t>
  </si>
  <si>
    <t>Aguas tropicales de los océanos Índico y Pacífico, mar Rojo</t>
  </si>
  <si>
    <t>Cangrejo Herradura</t>
  </si>
  <si>
    <t>Costa Atlántica de América del norte</t>
  </si>
  <si>
    <t>Familia Penaeidae</t>
  </si>
  <si>
    <t>Camarón Patiblanco</t>
  </si>
  <si>
    <t>Nativo del oriente del Océano Pacífico (México a Perú)</t>
  </si>
  <si>
    <t>Camarón limpiador</t>
  </si>
  <si>
    <t>Familia Lysmatidae</t>
  </si>
  <si>
    <t>Mar Rojo y en aguas tropicales de los océanos Índico y Pacífico</t>
  </si>
  <si>
    <t>El Indo-Pacífico tropical</t>
  </si>
  <si>
    <t>Camarón limpiador Fire</t>
  </si>
  <si>
    <t>Camarón limpiador de las canarias</t>
  </si>
  <si>
    <t>Habita en las costas de las Islas Canarias</t>
  </si>
  <si>
    <t>Camarón limpiador del Atlántico</t>
  </si>
  <si>
    <t>Costas tropicales de América (Caribe, Florida, Brasil)</t>
  </si>
  <si>
    <t>Familia Palaemonidae</t>
  </si>
  <si>
    <t>Asia</t>
  </si>
  <si>
    <t>Camarpon de río</t>
  </si>
  <si>
    <t>Camarón de río pata grande</t>
  </si>
  <si>
    <t>ríos y arroyos desde Florida hasta el sur de Brasil</t>
  </si>
  <si>
    <t>Camarón Nipón</t>
  </si>
  <si>
    <t>Japón y Asia</t>
  </si>
  <si>
    <t>Langostino de Malasia</t>
  </si>
  <si>
    <t>Zona tropical de región Indo-Malaya</t>
  </si>
  <si>
    <t>Camarón Cherry</t>
  </si>
  <si>
    <t>Taiwan</t>
  </si>
  <si>
    <t>Cangrejo ermitaño</t>
  </si>
  <si>
    <t>Mar Caribe</t>
  </si>
  <si>
    <t>Cangrejo ermitaño escarlata</t>
  </si>
  <si>
    <t>Camarón de anémona</t>
  </si>
  <si>
    <t>océanos Pacífico e Índico tropical</t>
  </si>
  <si>
    <t xml:space="preserve">Camarón limpiador de Pederson </t>
  </si>
  <si>
    <t>Península Yucantán, y Mar Caribe</t>
  </si>
  <si>
    <t>Camarón limpiador de Yucatán</t>
  </si>
  <si>
    <t xml:space="preserve">Familia Thoridae </t>
  </si>
  <si>
    <t>Camarón Jaspeado</t>
  </si>
  <si>
    <t>Región Indopacífico</t>
  </si>
  <si>
    <t>Familia Stenopodidae</t>
  </si>
  <si>
    <t>Camarón Boxeador</t>
  </si>
  <si>
    <t>Mares Tropicales de todo el mundo</t>
  </si>
  <si>
    <t>Camarón con Bandas</t>
  </si>
  <si>
    <t>Polinesia Francesa</t>
  </si>
  <si>
    <t>Camarón Boxeador de Zanzibar</t>
  </si>
  <si>
    <t>Cangrejo Araña</t>
  </si>
  <si>
    <t>Familia Inachidae</t>
  </si>
  <si>
    <t>Océano Atlántico occidental, desde Carolina del Norte hasta Argentina</t>
  </si>
  <si>
    <t>Familia Hippolytidae</t>
  </si>
  <si>
    <t>Ampliamente distribuido en el Indo-Pacífico tropical</t>
  </si>
  <si>
    <t>Familia Ocypodidae</t>
  </si>
  <si>
    <t>Cangrejo Violinista</t>
  </si>
  <si>
    <t>Atlántico Medio y el noreste de Estados Unidos</t>
  </si>
  <si>
    <t>Familia Serpulidae</t>
  </si>
  <si>
    <t>Costa sur de África</t>
  </si>
  <si>
    <t>Lombris Abanico Roja</t>
  </si>
  <si>
    <t>Gusano Pavo Real</t>
  </si>
  <si>
    <t>Familia Sabellidae</t>
  </si>
  <si>
    <t>Gusano Plumero Gigante</t>
  </si>
  <si>
    <t>Costas de Europa Occidental y el Mediterráneo</t>
  </si>
  <si>
    <t>Gusano Árbol de Navidad</t>
  </si>
  <si>
    <t>Tropicales y circuntropicales de todos los mares</t>
  </si>
  <si>
    <t>Familia Ampullariidae</t>
  </si>
  <si>
    <t>Subtropilca y tropical de todos los continentes</t>
  </si>
  <si>
    <t xml:space="preserve">Sinónimo de Pomacea glauca </t>
  </si>
  <si>
    <t>Familia Aplysiidae</t>
  </si>
  <si>
    <t>Vaca de mar</t>
  </si>
  <si>
    <t>Vive en diversos mares tropicales y subtropicales</t>
  </si>
  <si>
    <t>Caracol turbo</t>
  </si>
  <si>
    <t>Familia Turbinidae</t>
  </si>
  <si>
    <t>Familia Cerithiidae</t>
  </si>
  <si>
    <t>Pacífico centro-oriental y Atlántico occidental: América del Norte</t>
  </si>
  <si>
    <t>Caracol</t>
  </si>
  <si>
    <t>Familia Limidae</t>
  </si>
  <si>
    <t>Mar Caribe y Golfo de México</t>
  </si>
  <si>
    <t>Caracol estrella</t>
  </si>
  <si>
    <t>Almeja de fuego</t>
  </si>
  <si>
    <t>Caracol cuerno de carnero gigante</t>
  </si>
  <si>
    <t>agua dulce de regiones tropicales y subtropicales Centro y sudamérica</t>
  </si>
  <si>
    <t>Pulpo</t>
  </si>
  <si>
    <t>Familia Octopodidae</t>
  </si>
  <si>
    <t>Pacífico oriental, California a Golfo de California, México</t>
  </si>
  <si>
    <t>Pulpo común</t>
  </si>
  <si>
    <t>Mediterraneo y atántico oriental (tropical)</t>
  </si>
  <si>
    <t>Florida, centro amèrica y sudamèrica caribe</t>
  </si>
  <si>
    <t>Familia Plakobranchidae</t>
  </si>
  <si>
    <t>Sinónimo de Elysa crispata (lechuga de mar)</t>
  </si>
  <si>
    <t>Almeja gigante</t>
  </si>
  <si>
    <t>Familia Cardiidae</t>
  </si>
  <si>
    <t>Aguas tropicales del Indo-Pacífico</t>
  </si>
  <si>
    <t>océano Pacífico oeste</t>
  </si>
  <si>
    <t>Aguas tropicales del Indo-Pacífico, mar rojo</t>
  </si>
  <si>
    <t>Caracol Turbo</t>
  </si>
  <si>
    <t>Océano Pacífico desde la península de Baja California hasta Perú</t>
  </si>
  <si>
    <t>País Exportador</t>
  </si>
  <si>
    <t>Argentina</t>
  </si>
  <si>
    <t>Brasil</t>
  </si>
  <si>
    <t>Colombia</t>
  </si>
  <si>
    <t>Holanda</t>
  </si>
  <si>
    <t>Israel</t>
  </si>
  <si>
    <t>Perú</t>
  </si>
  <si>
    <t>Familia Limulidae, Subfilo Chelicerata, Filo Arthropoda</t>
  </si>
  <si>
    <t>Cola de Zorro</t>
  </si>
  <si>
    <t>Tipo de especie</t>
  </si>
  <si>
    <t>Manglar</t>
  </si>
  <si>
    <t>Punta de flecha</t>
  </si>
  <si>
    <t>Erizo de mar</t>
  </si>
  <si>
    <t>Erizo lápiz de pizarra</t>
  </si>
  <si>
    <t>Estrella de mar</t>
  </si>
  <si>
    <t>Estrella cojín</t>
  </si>
  <si>
    <t>Erizo de mar Blanco o Huevo de mar</t>
  </si>
  <si>
    <t>Inspector</t>
  </si>
  <si>
    <t>Fecha</t>
  </si>
  <si>
    <t>ACTA DE INSPECCIÓN</t>
  </si>
  <si>
    <t>CUARENTENA DE ESPECIES ORNAMENTALES</t>
  </si>
  <si>
    <t>N° Acta</t>
  </si>
  <si>
    <t>DATOS DE ESTACIÓN DE CUARENTENA</t>
  </si>
  <si>
    <t>RUT</t>
  </si>
  <si>
    <t>Nombre del Titular de la Estación de Cuarentena</t>
  </si>
  <si>
    <t>N° Resolución</t>
  </si>
  <si>
    <t>Nombre del responsable durante la inspección</t>
  </si>
  <si>
    <t>DATOS DE IMPORTACIÓN</t>
  </si>
  <si>
    <t>DATOS GENERALES DE INSPECCIÓN</t>
  </si>
  <si>
    <t>Día de llegada</t>
  </si>
  <si>
    <t>País</t>
  </si>
  <si>
    <t>Fecha día 15</t>
  </si>
  <si>
    <t>Día Actual</t>
  </si>
  <si>
    <t>Visita N°</t>
  </si>
  <si>
    <t>N° Acuarios</t>
  </si>
  <si>
    <r>
      <rPr>
        <b/>
        <sz val="10"/>
        <rFont val="Calibri"/>
        <family val="2"/>
      </rPr>
      <t>OBS:</t>
    </r>
    <r>
      <rPr>
        <sz val="10"/>
        <rFont val="Calibri"/>
        <family val="2"/>
      </rPr>
      <t xml:space="preserve"> </t>
    </r>
  </si>
  <si>
    <t>CONCLUSIONES DE LA INSPECCIÓN</t>
  </si>
  <si>
    <t>CHEQUEO DE CUMPLIMENTOS PARA LEVANTAMIENTO DE CUARENTENA Y EVALUACIÓN DE ESTACIÓN</t>
  </si>
  <si>
    <t>Conclusión general de cada importación</t>
  </si>
  <si>
    <t>Respaldos documentales de importación</t>
  </si>
  <si>
    <t>CRITICIDAD</t>
  </si>
  <si>
    <t>1) Se levanta cuarentena completamente</t>
  </si>
  <si>
    <t>2) Se levanta parcialmente cuarentena, y lote individualizado prolonga cuarentena</t>
  </si>
  <si>
    <t>3) Se prolonga cuarentena completamente</t>
  </si>
  <si>
    <t>4) Se levanta cuarentena de lote que prolongó su cuarentena desde visita anterior</t>
  </si>
  <si>
    <t>MEDIA</t>
  </si>
  <si>
    <t>5) Visita de seguimiento es válida para levantar cuarentena completamente</t>
  </si>
  <si>
    <t>6) Visita válida para levantar cuarentena, salvo lote que prolonga cuarentena</t>
  </si>
  <si>
    <t>7) Sólo visita de seguimiento, se requiere nueva inspección de levantamiento</t>
  </si>
  <si>
    <t>Funcionamiento de la Estación de Cuarentena</t>
  </si>
  <si>
    <t xml:space="preserve">Los filtros sanitarios se encuentran en funcionamiento </t>
  </si>
  <si>
    <t>ALTA</t>
  </si>
  <si>
    <t>La Estación se mantiene a simple vista ordenada y limpia</t>
  </si>
  <si>
    <t>OBSERVACIONES Y/O CONCLUSIONES GENERALES</t>
  </si>
  <si>
    <t>El retiro de mortalidad desde acuarios y su registro se realiza diariamente</t>
  </si>
  <si>
    <t>La existencia versus mortalidad registrada coincide con lo autorizado</t>
  </si>
  <si>
    <t>La estación mantiene las condiciones generales bajo las cuales fue habilitada</t>
  </si>
  <si>
    <t>Condición sanitaria de ejemplares importados</t>
  </si>
  <si>
    <t>Acta(s)</t>
  </si>
  <si>
    <t>Signos clinicos de enfermedad sospechosos de EAR</t>
  </si>
  <si>
    <t>Signos clínicos atribuibles a enfermedad en ejemplares inspeccionados</t>
  </si>
  <si>
    <t>Mortalidad atribuible a alguna enfermedad al momento de la inspección</t>
  </si>
  <si>
    <t>Todos los ejemplares cumplen sanitariamente para finalizar cuarentena</t>
  </si>
  <si>
    <t>Nombre y Firma del Inspector</t>
  </si>
  <si>
    <t>Nombre y Firma del Responsable de la Cuarentena</t>
  </si>
  <si>
    <t>Columna1</t>
  </si>
  <si>
    <t>Arapaima gigas (A II)</t>
  </si>
  <si>
    <t>Sinonimo Scleropages formosus (A I)</t>
  </si>
  <si>
    <t>Holacanthus clarionensis(A II)</t>
  </si>
  <si>
    <t>Sinínimo Pangasianodon gigas(A I)</t>
  </si>
  <si>
    <t>A II</t>
  </si>
  <si>
    <t>Hippocampus spp. A II</t>
  </si>
  <si>
    <t>Paratrygon aiereba (Colombia) AIII</t>
  </si>
  <si>
    <t>Potamotrygon spp.(Brasil y Colombia) A III</t>
  </si>
  <si>
    <t>REGISTRO DE INSPECCIÓN EN CUARENTENA</t>
  </si>
  <si>
    <t>Datos Generales por inspección</t>
  </si>
  <si>
    <t>Respaldos doc. de importación</t>
  </si>
  <si>
    <t>Cond. sanitaria ej. importados</t>
  </si>
  <si>
    <t>Acta</t>
  </si>
  <si>
    <t>Importador</t>
  </si>
  <si>
    <t>Dirección Estación</t>
  </si>
  <si>
    <t>N° Res.</t>
  </si>
  <si>
    <t>Nombre Proveedor</t>
  </si>
  <si>
    <t>Responsable durante inspección</t>
  </si>
  <si>
    <t>Fecha insp.</t>
  </si>
  <si>
    <t>% Mortalidad</t>
  </si>
  <si>
    <t>obs</t>
  </si>
  <si>
    <t>conclusion</t>
  </si>
  <si>
    <t xml:space="preserve">Obs </t>
  </si>
  <si>
    <t xml:space="preserve">1 </t>
  </si>
  <si>
    <t xml:space="preserve">2 </t>
  </si>
  <si>
    <t xml:space="preserve">3 </t>
  </si>
  <si>
    <t xml:space="preserve">4 </t>
  </si>
  <si>
    <t xml:space="preserve">5 </t>
  </si>
  <si>
    <t xml:space="preserve">6 </t>
  </si>
  <si>
    <t xml:space="preserve">7 </t>
  </si>
  <si>
    <t xml:space="preserve">8 </t>
  </si>
  <si>
    <t xml:space="preserve">9 </t>
  </si>
  <si>
    <t xml:space="preserve">10 </t>
  </si>
  <si>
    <t xml:space="preserve">11 </t>
  </si>
  <si>
    <t xml:space="preserve">12 </t>
  </si>
  <si>
    <t xml:space="preserve">13 </t>
  </si>
  <si>
    <t xml:space="preserve">14 </t>
  </si>
  <si>
    <t xml:space="preserve">15 </t>
  </si>
  <si>
    <t>Día Cuarentena</t>
  </si>
  <si>
    <t>Fecha de término</t>
  </si>
  <si>
    <t>Observaciones del tratamiento</t>
  </si>
  <si>
    <t>%</t>
  </si>
  <si>
    <t>Tto</t>
  </si>
  <si>
    <t>AcuariosTTo</t>
  </si>
  <si>
    <t>Observaciones</t>
  </si>
  <si>
    <t>Tipo de evento</t>
  </si>
  <si>
    <t>Especies involucradas</t>
  </si>
  <si>
    <t>Todas?</t>
  </si>
  <si>
    <t>Algunas (Item OC)</t>
  </si>
  <si>
    <t>Fecha de término (si aplicara)</t>
  </si>
  <si>
    <t>Observaciones del evento</t>
  </si>
  <si>
    <t xml:space="preserve">Fecha </t>
  </si>
  <si>
    <t>TRATAMIENTO PREVENTIVO</t>
  </si>
  <si>
    <t>Si se aplican tramientos de tipo preventivo favor de informarlo a continuación.</t>
  </si>
  <si>
    <t>Observación General</t>
  </si>
  <si>
    <t>Conclusión general</t>
  </si>
  <si>
    <t>Región de la Estación</t>
  </si>
  <si>
    <t>Mort. total</t>
  </si>
  <si>
    <t>Sin causa aparente</t>
  </si>
  <si>
    <t>Infección por hongo</t>
  </si>
  <si>
    <t>Lesión en piel o aletas</t>
  </si>
  <si>
    <t>Estrés de transporte</t>
  </si>
  <si>
    <t>Evento o mal manejo</t>
  </si>
  <si>
    <t>Registrar la mortalidad diaria que se presenta por cada item declarado en la orden de cuarentena (Item OC), indicando en que acuario se encuentra alojado y la cantidad real arribada por acuario. Si el item está disperso en más de un acuario, deberá volver a declarar el Item OC e indicar rótulo del acuario en que está y la cantidad real arribada en cada acuario.</t>
  </si>
  <si>
    <t>Otras Observaciones</t>
  </si>
  <si>
    <t>ItemOcPreven</t>
  </si>
  <si>
    <t>PrevTodas</t>
  </si>
  <si>
    <t>REGISTRO DE MORTALIDAD DIARIA POR ACUARIO</t>
  </si>
  <si>
    <t>Pterygoplichthys</t>
  </si>
  <si>
    <t>Pterolebias</t>
  </si>
  <si>
    <t>Luzonichthys</t>
  </si>
  <si>
    <t xml:space="preserve">microlepis </t>
  </si>
  <si>
    <t xml:space="preserve">williamsi </t>
  </si>
  <si>
    <t>Trachelyopterus</t>
  </si>
  <si>
    <t>– valid</t>
  </si>
  <si>
    <t>valid</t>
  </si>
  <si>
    <t>albicrux</t>
  </si>
  <si>
    <t>amblops</t>
  </si>
  <si>
    <t>ceratophysus</t>
  </si>
  <si>
    <t>coriaceus</t>
  </si>
  <si>
    <t>galeatus</t>
  </si>
  <si>
    <t>isacanthus</t>
  </si>
  <si>
    <t>peloichthys</t>
  </si>
  <si>
    <t>teaguei</t>
  </si>
  <si>
    <t>Ariopsis</t>
  </si>
  <si>
    <t>assimilis </t>
  </si>
  <si>
    <t>berneyi </t>
  </si>
  <si>
    <t>bonillai </t>
  </si>
  <si>
    <t>coatesi </t>
  </si>
  <si>
    <t>felis </t>
  </si>
  <si>
    <t>festinus </t>
  </si>
  <si>
    <t>graeffei </t>
  </si>
  <si>
    <t>guatemalensis </t>
  </si>
  <si>
    <t>insculptus </t>
  </si>
  <si>
    <t>latirostris </t>
  </si>
  <si>
    <t>lentiginosus </t>
  </si>
  <si>
    <t>madagascariensis </t>
  </si>
  <si>
    <t>midgleyi </t>
  </si>
  <si>
    <t>paucus </t>
  </si>
  <si>
    <t>pectoralis </t>
  </si>
  <si>
    <t>robertsi </t>
  </si>
  <si>
    <t>seemanni </t>
  </si>
  <si>
    <t>surinamensis </t>
  </si>
  <si>
    <t>uncinatus </t>
  </si>
  <si>
    <t>utarus </t>
  </si>
  <si>
    <t>velutinus </t>
  </si>
  <si>
    <t>harmandi</t>
  </si>
  <si>
    <t>heudelotii</t>
  </si>
  <si>
    <t>jatius</t>
  </si>
  <si>
    <t>macrorhynchus</t>
  </si>
  <si>
    <t>parkii</t>
  </si>
  <si>
    <t>phrygiatus</t>
  </si>
  <si>
    <t>platystomus</t>
  </si>
  <si>
    <t>rugispinis</t>
  </si>
  <si>
    <t>acuta</t>
  </si>
  <si>
    <t>cavernosa</t>
  </si>
  <si>
    <t>branchia</t>
  </si>
  <si>
    <t>calyx</t>
  </si>
  <si>
    <t>danerii</t>
  </si>
  <si>
    <t>dendyi</t>
  </si>
  <si>
    <t>flabellata</t>
  </si>
  <si>
    <t>flagelliformis</t>
  </si>
  <si>
    <t>gorgonoides</t>
  </si>
  <si>
    <t>klethra</t>
  </si>
  <si>
    <t>ligulata</t>
  </si>
  <si>
    <t>mastophora</t>
  </si>
  <si>
    <t>megaspicula</t>
  </si>
  <si>
    <t>multiformis</t>
  </si>
  <si>
    <t>oviforma</t>
  </si>
  <si>
    <t>pulcherrima</t>
  </si>
  <si>
    <t>ramus</t>
  </si>
  <si>
    <t>stanleei</t>
  </si>
  <si>
    <t>styloida</t>
  </si>
  <si>
    <t>tenuispiculata</t>
  </si>
  <si>
    <t>vaceleti</t>
  </si>
  <si>
    <t>vulgata</t>
  </si>
  <si>
    <t>Montastraea</t>
  </si>
  <si>
    <t>aeus, 1767 – va</t>
  </si>
  <si>
    <t>lid – great star coral</t>
  </si>
  <si>
    <t>curta </t>
  </si>
  <si>
    <t>Chevalier, 1971</t>
  </si>
  <si>
    <t>Hodgson, 1985 –</t>
  </si>
  <si>
    <t>multipunctata</t>
  </si>
  <si>
    <t>magnistellata</t>
  </si>
  <si>
    <t>franksi</t>
  </si>
  <si>
    <t>faveolata</t>
  </si>
  <si>
    <t>annuligera</t>
  </si>
  <si>
    <t>Skamnarium complanatum</t>
  </si>
  <si>
    <t>Bispira brunnea</t>
  </si>
  <si>
    <t>Astraea tecta</t>
  </si>
  <si>
    <t>Turbo fluctuosus</t>
  </si>
  <si>
    <t>Echinodorus grandiflorus</t>
  </si>
  <si>
    <t>Cnidaria</t>
  </si>
  <si>
    <t>Porifera</t>
  </si>
  <si>
    <t>Niphates digitalis</t>
  </si>
  <si>
    <t>Pseudoceratina crassa</t>
  </si>
  <si>
    <t>Arthropoda</t>
  </si>
  <si>
    <t>Annelida</t>
  </si>
  <si>
    <t>Echinodermata</t>
  </si>
  <si>
    <t>Lithopoma tectum</t>
  </si>
  <si>
    <t>Tridachia crispata</t>
  </si>
  <si>
    <t>Mollusca</t>
  </si>
  <si>
    <t>Plantas</t>
  </si>
  <si>
    <t>Rivulines sudamericanos (Rivulidae)</t>
  </si>
  <si>
    <t>Se distribuyen exclusivamente por ríos de Sudamérica</t>
  </si>
  <si>
    <t>Puntigrus</t>
  </si>
  <si>
    <t>Pez gato conserje (Loricariidae)</t>
  </si>
  <si>
    <t>Familia  Loricariidae, Subfamilia Hipostomina, tribu Pterygoplichthyini</t>
  </si>
  <si>
    <t>Arroyos lentos, lagos de llanuras aluviales y pantanos. Sudamerica</t>
  </si>
  <si>
    <t>anchisporus</t>
  </si>
  <si>
    <t>navjotsodhii</t>
  </si>
  <si>
    <t>partipentazona</t>
  </si>
  <si>
    <t>Barbo (Cyprinidae)</t>
  </si>
  <si>
    <t>Familia Cyprinidae, Subfamilia Barbinae</t>
  </si>
  <si>
    <t>Pez Gato o bagre (Auchenipteridae)</t>
  </si>
  <si>
    <t>Cuencas ríos tropicales sudamerica</t>
  </si>
  <si>
    <t>Familia Serranidae, Subfamilia Anthiinae</t>
  </si>
  <si>
    <t>Arrecifes Indo pacífico</t>
  </si>
  <si>
    <t>Lubina o mero (Serranidae)</t>
  </si>
  <si>
    <t>lnlecypris</t>
  </si>
  <si>
    <t xml:space="preserve">Merodontotus </t>
  </si>
  <si>
    <t>jayarami</t>
  </si>
  <si>
    <t>Danio (Danioninae)</t>
  </si>
  <si>
    <t>Familia Danioninae</t>
  </si>
  <si>
    <t>Subtropical sudeste asiático</t>
  </si>
  <si>
    <t>Merodontotus tigrinus Sininimo de Brachyplatystoma tigrinum</t>
  </si>
  <si>
    <t xml:space="preserve">Ciliopagurus strigatus </t>
  </si>
  <si>
    <t xml:space="preserve">Dardanus calidus </t>
  </si>
  <si>
    <t>Litopenaeus vannamei</t>
  </si>
  <si>
    <t xml:space="preserve">Lysmata grabhami </t>
  </si>
  <si>
    <t>Macrobrachium nipponense</t>
  </si>
  <si>
    <t xml:space="preserve">Paguristes cadenati </t>
  </si>
  <si>
    <t>Periclimenes pedersoni</t>
  </si>
  <si>
    <t xml:space="preserve">Stenopus hispidus </t>
  </si>
  <si>
    <t>Linckia guildingii</t>
  </si>
  <si>
    <t>Cryptocoryne longicauda</t>
  </si>
  <si>
    <t xml:space="preserve">Limnophila sessiliflora </t>
  </si>
  <si>
    <t xml:space="preserve">Ludwigia arcuata </t>
  </si>
  <si>
    <t xml:space="preserve">Rotala wallichii </t>
  </si>
  <si>
    <t xml:space="preserve">Tonina fluviatilis </t>
  </si>
  <si>
    <t>Familia Melastomataceae</t>
  </si>
  <si>
    <t>Sudamérica tropical</t>
  </si>
  <si>
    <t>Esponja de mar</t>
  </si>
  <si>
    <t>Familia Clionaidae</t>
  </si>
  <si>
    <t>Familia Niphatidae</t>
  </si>
  <si>
    <t>Familia Pseudoceratinidae</t>
  </si>
  <si>
    <t>Familia Agelasidae</t>
  </si>
  <si>
    <t>Familia Raspailiidae</t>
  </si>
  <si>
    <t>Tipo producto tto</t>
  </si>
  <si>
    <t>Tipo de producto (obligatorio)</t>
  </si>
  <si>
    <t>Multiespectro</t>
  </si>
  <si>
    <t>Formalina</t>
  </si>
  <si>
    <t>Sal</t>
  </si>
  <si>
    <t>Otro</t>
  </si>
  <si>
    <t>ItemOcEvto</t>
  </si>
  <si>
    <t>EvtoTodas</t>
  </si>
  <si>
    <t>TipoProd</t>
  </si>
  <si>
    <t>Corte de luz</t>
  </si>
  <si>
    <t>Falla de equipo(s)</t>
  </si>
  <si>
    <t>Error de manejo</t>
  </si>
  <si>
    <t>TipoEvto</t>
  </si>
  <si>
    <t>Tipo de Evento</t>
  </si>
  <si>
    <t>Evento</t>
  </si>
  <si>
    <t>Tipo Producto preventivo</t>
  </si>
  <si>
    <t>TipoProPrev</t>
  </si>
  <si>
    <t>Evento Todos</t>
  </si>
  <si>
    <t>Prev Todas</t>
  </si>
  <si>
    <t>Tipo Producto preventivo Todas</t>
  </si>
  <si>
    <t>Tipo Evento Todas</t>
  </si>
  <si>
    <t>Nombre producto tto</t>
  </si>
  <si>
    <t>NomProd</t>
  </si>
  <si>
    <t>Nombre de producto o principio activo (obligatorio)</t>
  </si>
  <si>
    <t>NomProPrev</t>
  </si>
  <si>
    <t>Nombre producto preventivo</t>
  </si>
  <si>
    <t>REGISTRO DE TRATAMIENTOS Y/O EVENTOS EN CUARENTENA</t>
  </si>
  <si>
    <t>Nombre producto preventivo Todas</t>
  </si>
  <si>
    <t>ACTA_ANO</t>
  </si>
  <si>
    <t>MES</t>
  </si>
  <si>
    <t>ANO</t>
  </si>
  <si>
    <t>TITULAR_DE_ESTACION</t>
  </si>
  <si>
    <t>EXPORTADOR</t>
  </si>
  <si>
    <t>PAIS_DE_ORIGEN</t>
  </si>
  <si>
    <t>ID_AC</t>
  </si>
  <si>
    <t>ITEM_OC</t>
  </si>
  <si>
    <t>NOM_COMUN</t>
  </si>
  <si>
    <t>ESPECIE</t>
  </si>
  <si>
    <t>N_MUERTOS</t>
  </si>
  <si>
    <t>MORTALIDAD</t>
  </si>
  <si>
    <t>N_INDIVIDUOS</t>
  </si>
  <si>
    <t>CAUSA_PROB_MORT</t>
  </si>
  <si>
    <t>N_SALDO</t>
  </si>
  <si>
    <t>TTO</t>
  </si>
  <si>
    <t>PROD_TTO</t>
  </si>
  <si>
    <t>NOM_PROD_TTO</t>
  </si>
  <si>
    <t>GRUPO</t>
  </si>
  <si>
    <t>AMBIENTE</t>
  </si>
  <si>
    <t>TTO_PREV</t>
  </si>
  <si>
    <t>PROD_PREV</t>
  </si>
  <si>
    <t>Tto Prev</t>
  </si>
  <si>
    <t>NOM_PROD_PREV</t>
  </si>
  <si>
    <t>TTO_PREV_ALL</t>
  </si>
  <si>
    <t>NOM_PROD_PREV_ALL</t>
  </si>
  <si>
    <t>PROD_PREV_ALL</t>
  </si>
  <si>
    <t>EVENTO</t>
  </si>
  <si>
    <t>NOM_EVENTO</t>
  </si>
  <si>
    <t>EVENTO_ALL</t>
  </si>
  <si>
    <t>NOM_EVENTO_ALL</t>
  </si>
  <si>
    <t>ACTA</t>
  </si>
  <si>
    <t>PAIS</t>
  </si>
  <si>
    <t>N° Resolución:</t>
  </si>
  <si>
    <t>D_1</t>
  </si>
  <si>
    <t>D_2</t>
  </si>
  <si>
    <t>D_3</t>
  </si>
  <si>
    <t>D_4</t>
  </si>
  <si>
    <t>D_5</t>
  </si>
  <si>
    <t>D_6</t>
  </si>
  <si>
    <t>D_7</t>
  </si>
  <si>
    <t>D_8</t>
  </si>
  <si>
    <t>D_9</t>
  </si>
  <si>
    <t>D_10</t>
  </si>
  <si>
    <t>D_11</t>
  </si>
  <si>
    <t>D_12</t>
  </si>
  <si>
    <t>D_13</t>
  </si>
  <si>
    <t>D_14</t>
  </si>
  <si>
    <t>D_15</t>
  </si>
  <si>
    <t>D_16</t>
  </si>
  <si>
    <t>D_17</t>
  </si>
  <si>
    <t>D_18</t>
  </si>
  <si>
    <t>D_19</t>
  </si>
  <si>
    <t>D_20</t>
  </si>
  <si>
    <t>D_21</t>
  </si>
  <si>
    <t>D_22</t>
  </si>
  <si>
    <t>D_23</t>
  </si>
  <si>
    <t>D_24</t>
  </si>
  <si>
    <t>D_25</t>
  </si>
  <si>
    <t>D_26</t>
  </si>
  <si>
    <t>D_27</t>
  </si>
  <si>
    <t>D_28</t>
  </si>
  <si>
    <t>D_29</t>
  </si>
  <si>
    <t>D_30</t>
  </si>
  <si>
    <t>Mortalidad acumulada</t>
  </si>
  <si>
    <t>Pais de origen</t>
  </si>
  <si>
    <t>Azul de Metileno</t>
  </si>
  <si>
    <t>Día 15 de cuarentena</t>
  </si>
  <si>
    <t>EARs</t>
  </si>
  <si>
    <t>Consideraciones</t>
  </si>
  <si>
    <t>SuscepEARs</t>
  </si>
  <si>
    <t>Pez susceptible EARs</t>
  </si>
  <si>
    <t>Anabas testudineus</t>
  </si>
  <si>
    <t>Barbus peludinosus</t>
  </si>
  <si>
    <t>Barbus poechii</t>
  </si>
  <si>
    <t>Barbus thamalakanensis</t>
  </si>
  <si>
    <t>Brycinus lateralis</t>
  </si>
  <si>
    <t>Channa marulius</t>
  </si>
  <si>
    <t>Channa striatus</t>
  </si>
  <si>
    <t>Ctenopharyngodon idella</t>
  </si>
  <si>
    <t>Cyprinus carpio</t>
  </si>
  <si>
    <t>Danio rerio</t>
  </si>
  <si>
    <t>Gasterosteus aculeatus</t>
  </si>
  <si>
    <t>Helostoma temmincki</t>
  </si>
  <si>
    <t>Lepomis gibbosus</t>
  </si>
  <si>
    <t>Lepomis macrochirus</t>
  </si>
  <si>
    <t>Lutjanus argentimaculatus</t>
  </si>
  <si>
    <t>Melanotaenia fluviatilis</t>
  </si>
  <si>
    <t>Melanotaenia splendida</t>
  </si>
  <si>
    <t>Monopterus albus</t>
  </si>
  <si>
    <t>Osphronemus goramy</t>
  </si>
  <si>
    <t>Oxyeleotris lineolatus</t>
  </si>
  <si>
    <t>Oxyeleotris marmoratus</t>
  </si>
  <si>
    <t>Poecilia reticulata</t>
  </si>
  <si>
    <t>Puntius gonionotus</t>
  </si>
  <si>
    <t>Puntius sophore</t>
  </si>
  <si>
    <t>Scatophagus argus</t>
  </si>
  <si>
    <t>Selenotoca multifasciata</t>
  </si>
  <si>
    <t>Toxotes chatareus</t>
  </si>
  <si>
    <t>Toxotes lorentzi</t>
  </si>
  <si>
    <t>Trichogaster lalia</t>
  </si>
  <si>
    <t>Trichogaster pectoralis</t>
  </si>
  <si>
    <t>Trichogaster trichopterus</t>
  </si>
  <si>
    <t>Carassius auratus</t>
  </si>
  <si>
    <t>SUE</t>
  </si>
  <si>
    <t>SUE-VPC</t>
  </si>
  <si>
    <t>VPC</t>
  </si>
  <si>
    <t>VPC-HCK</t>
  </si>
  <si>
    <t>VHS-VPC</t>
  </si>
  <si>
    <t>VHS</t>
  </si>
  <si>
    <t>EHN</t>
  </si>
  <si>
    <t>Arius acutirostris</t>
  </si>
  <si>
    <t>Arius africanus</t>
  </si>
  <si>
    <t>Arius arenarius</t>
  </si>
  <si>
    <t>Arius arius</t>
  </si>
  <si>
    <t>Arius brunellii</t>
  </si>
  <si>
    <t>Arius cous</t>
  </si>
  <si>
    <t>Arius dispar</t>
  </si>
  <si>
    <t>Arius gagora</t>
  </si>
  <si>
    <t>Arius gigas</t>
  </si>
  <si>
    <t>Arius harmandi</t>
  </si>
  <si>
    <t>Arius heudelotii</t>
  </si>
  <si>
    <t>Arius jatius</t>
  </si>
  <si>
    <t>Arius latiscutatus</t>
  </si>
  <si>
    <t>Arius leptonotacanthus</t>
  </si>
  <si>
    <t>Arius macracanthus</t>
  </si>
  <si>
    <t>Arius macrorhynchus</t>
  </si>
  <si>
    <t>Arius maculatus</t>
  </si>
  <si>
    <t>Arius malabaricus</t>
  </si>
  <si>
    <t>Arius manillensis</t>
  </si>
  <si>
    <t>Arius microcephalus</t>
  </si>
  <si>
    <t>Arius oetik</t>
  </si>
  <si>
    <t>Arius parkii</t>
  </si>
  <si>
    <t>Arius phrygiatus</t>
  </si>
  <si>
    <t>Arius platystomus</t>
  </si>
  <si>
    <t>Arius rugispinis</t>
  </si>
  <si>
    <t>Arius subrostratus</t>
  </si>
  <si>
    <t>Arius sumatranus</t>
  </si>
  <si>
    <t>Arius venosus</t>
  </si>
  <si>
    <t>Ephinephelus adscensionis</t>
  </si>
  <si>
    <t>Ephinephelus aeneus</t>
  </si>
  <si>
    <t>Ephinephelus akaara</t>
  </si>
  <si>
    <t>Ephinephelus albomarginatus</t>
  </si>
  <si>
    <t>Ephinephelus amblycephalus</t>
  </si>
  <si>
    <t>Ephinephelus analogus</t>
  </si>
  <si>
    <t>Ephinephelus andersoni</t>
  </si>
  <si>
    <t>Ephinephelus areolatus</t>
  </si>
  <si>
    <t>Ephinephelus awoara</t>
  </si>
  <si>
    <t>Ephinephelus bilobatus</t>
  </si>
  <si>
    <t>Ephinephelus bleekeri</t>
  </si>
  <si>
    <t>Ephinephelus bontoides</t>
  </si>
  <si>
    <t>Ephinephelus bruneus</t>
  </si>
  <si>
    <t>Ephinephelus caninus</t>
  </si>
  <si>
    <t>Ephinephelus chabaudi</t>
  </si>
  <si>
    <t>Ephinephelus chlorocephalus</t>
  </si>
  <si>
    <t>Ephinephelus chlorostigma</t>
  </si>
  <si>
    <t>Ephinephelus cifuentesi</t>
  </si>
  <si>
    <t>Ephinephelus clippertonensis</t>
  </si>
  <si>
    <t>Ephinephelus coeruleopunctatus</t>
  </si>
  <si>
    <t>Ephinephelus coioides</t>
  </si>
  <si>
    <t>Ephinephelus corallicola</t>
  </si>
  <si>
    <t>Ephinephelus costae</t>
  </si>
  <si>
    <t>Ephinephelus cyanopodus</t>
  </si>
  <si>
    <t>Ephinephelus daemelii</t>
  </si>
  <si>
    <t>Ephinephelus darwinensis</t>
  </si>
  <si>
    <t>Ephinephelus diacanthus</t>
  </si>
  <si>
    <t>Ephinephelus drummondhayi</t>
  </si>
  <si>
    <t>Ephinephelus epistictus</t>
  </si>
  <si>
    <t>Ephinephelus erythrurus</t>
  </si>
  <si>
    <t>Ephinephelus fasciatomaculosus</t>
  </si>
  <si>
    <t>Ephinephelus fasciatus</t>
  </si>
  <si>
    <t>Ephinephelus faveatus</t>
  </si>
  <si>
    <t>Ephinephelus flavocaeruleus</t>
  </si>
  <si>
    <t>Ephinephelus fuscoguttatus</t>
  </si>
  <si>
    <t>Ephinephelus gabriellae</t>
  </si>
  <si>
    <t>Ephinephelus goreensis</t>
  </si>
  <si>
    <t>Ephinephelus guttatus</t>
  </si>
  <si>
    <t>Ephinephelus heniochus</t>
  </si>
  <si>
    <t>Ephinephelus hexagonatus</t>
  </si>
  <si>
    <t>Ephinephelus howlandi</t>
  </si>
  <si>
    <t>Ephinephelus indistinctus</t>
  </si>
  <si>
    <t>Ephinephelus irroratus</t>
  </si>
  <si>
    <t>Ephinephelus itajara</t>
  </si>
  <si>
    <t>Ephinephelus labriformis</t>
  </si>
  <si>
    <t>Ephinephelus lanceolatus</t>
  </si>
  <si>
    <t>Ephinephelus latifasciatus</t>
  </si>
  <si>
    <t>Ephinephelus lebretonianus</t>
  </si>
  <si>
    <t>Ephinephelus longispinis</t>
  </si>
  <si>
    <t>Ephinephelus macrospilos</t>
  </si>
  <si>
    <t>Ephinephelus maculatus</t>
  </si>
  <si>
    <t>Ephinephelus magniscuttis</t>
  </si>
  <si>
    <t>Ephinephelus malabaricus</t>
  </si>
  <si>
    <t>Ephinephelus marginatus</t>
  </si>
  <si>
    <t>Ephinephelus melanostigma</t>
  </si>
  <si>
    <t>Ephinephelus merra</t>
  </si>
  <si>
    <t>Ephinephelus miliaris</t>
  </si>
  <si>
    <t>Ephinephelus morio</t>
  </si>
  <si>
    <t>Ephinephelus morrhua</t>
  </si>
  <si>
    <t>Ephinephelus multinotatus</t>
  </si>
  <si>
    <t>Ephinephelus ongus</t>
  </si>
  <si>
    <t>Ephinephelus poecilonotus</t>
  </si>
  <si>
    <t>Ephinephelus polylepis</t>
  </si>
  <si>
    <t>Ephinephelus polyphekadion</t>
  </si>
  <si>
    <t>Ephinephelus polystigma</t>
  </si>
  <si>
    <t>Ephinephelus posteli</t>
  </si>
  <si>
    <t>Ephinephelus quinquefasciatus</t>
  </si>
  <si>
    <t>Ephinephelus quoyanus</t>
  </si>
  <si>
    <t>Ephinephelus radiatus</t>
  </si>
  <si>
    <t>Ephinephelus retouti</t>
  </si>
  <si>
    <t>Ephinephelus rivulatus</t>
  </si>
  <si>
    <t>Ephinephelus sexfasciatus</t>
  </si>
  <si>
    <t>Ephinephelus socialis</t>
  </si>
  <si>
    <t>Ephinephelus spilotoceps</t>
  </si>
  <si>
    <t>Ephinephelus stictus</t>
  </si>
  <si>
    <t>Ephinephelus stoliczkae</t>
  </si>
  <si>
    <t>Ephinephelus striatus</t>
  </si>
  <si>
    <t>Ephinephelus suborbitalis</t>
  </si>
  <si>
    <t>Ephinephelus summana</t>
  </si>
  <si>
    <t>Ephinephelus tauvina</t>
  </si>
  <si>
    <t>Ephinephelus timorensis</t>
  </si>
  <si>
    <t>Ephinephelus trimaculatus</t>
  </si>
  <si>
    <t>Ephinephelus trophis</t>
  </si>
  <si>
    <t>Ephinephelus tuamotuensis</t>
  </si>
  <si>
    <t>Ephinephelus tukula</t>
  </si>
  <si>
    <t>Ephinephelus undulatostriatus</t>
  </si>
  <si>
    <t>Ephinephelus undulosus</t>
  </si>
  <si>
    <t>Kryptopterus baramensis</t>
  </si>
  <si>
    <t>Kryptopterus bicirrhis</t>
  </si>
  <si>
    <t>Kryptopterus cheveyi</t>
  </si>
  <si>
    <t>Kryptopterus cryptopterus</t>
  </si>
  <si>
    <t>Kryptopterus dissitus</t>
  </si>
  <si>
    <t>Kryptopterus geminus</t>
  </si>
  <si>
    <t>Kryptopterus hesperius</t>
  </si>
  <si>
    <t>Kryptopterus lais</t>
  </si>
  <si>
    <t>Kryptopterus limpok</t>
  </si>
  <si>
    <t>Kryptopterus lumholtzi</t>
  </si>
  <si>
    <t>Kryptopterus macrocephalus</t>
  </si>
  <si>
    <t>Kryptopterus minor</t>
  </si>
  <si>
    <t>Kryptopterus mononema</t>
  </si>
  <si>
    <t>Kryptopterus palembangensis</t>
  </si>
  <si>
    <t>Kryptopterus paraschilbeides</t>
  </si>
  <si>
    <t>Kryptopterus piperatus</t>
  </si>
  <si>
    <t>Kryptopterus sabanus</t>
  </si>
  <si>
    <t>Kryptopterus schilbeides</t>
  </si>
  <si>
    <t>Kryptopterus vitreolus</t>
  </si>
  <si>
    <t>Silurichthys citatus</t>
  </si>
  <si>
    <t>Silurichthys gibbiceps</t>
  </si>
  <si>
    <t>Silurichthys hasseltii</t>
  </si>
  <si>
    <t>Silurichthys indragiriensis</t>
  </si>
  <si>
    <t>Silurichthys ligneolus</t>
  </si>
  <si>
    <t>Silurichthys marmoratus</t>
  </si>
  <si>
    <t>Silurichthys phaiosoma</t>
  </si>
  <si>
    <t>Silurichthys sanguineus</t>
  </si>
  <si>
    <t>Silurichthys schneideri</t>
  </si>
  <si>
    <t>SUSC_EAR</t>
  </si>
  <si>
    <t>Arapaima gigas</t>
  </si>
  <si>
    <t>Barbus pahangensis</t>
  </si>
  <si>
    <t>Barbus pahangensis sinínimo de Probarbus jullieni (A I)</t>
  </si>
  <si>
    <t>pahangensis</t>
  </si>
  <si>
    <t>Holacanthus clarionensis</t>
  </si>
  <si>
    <t>Osteoglossum formosus</t>
  </si>
  <si>
    <t>Pangasius gigas</t>
  </si>
  <si>
    <t>Hippocampus abdominalis</t>
  </si>
  <si>
    <t>Hippocampus alatus</t>
  </si>
  <si>
    <t>Hippocampus algiricus</t>
  </si>
  <si>
    <t>Hippocampus angustus</t>
  </si>
  <si>
    <t>Hippocampus barbouri</t>
  </si>
  <si>
    <t>Hippocampus bargibanti</t>
  </si>
  <si>
    <t>Hippocampus biocellatus</t>
  </si>
  <si>
    <t>Hippocampus borboniensis</t>
  </si>
  <si>
    <t>Hippocampus breviceps</t>
  </si>
  <si>
    <t>Hippocampus camelopardalis</t>
  </si>
  <si>
    <t>Hippocampus capensis</t>
  </si>
  <si>
    <t>Hippocampus casscsio</t>
  </si>
  <si>
    <t>Hippocampus colemani</t>
  </si>
  <si>
    <t>Hippocampus comes</t>
  </si>
  <si>
    <t>Hippocampus coronatus</t>
  </si>
  <si>
    <t>Hippocampus curvicuspis</t>
  </si>
  <si>
    <t>Hippocampus debelius</t>
  </si>
  <si>
    <t>Hippocampus denise</t>
  </si>
  <si>
    <t>Hippocampus erectus</t>
  </si>
  <si>
    <t>Hippocampus fisheri</t>
  </si>
  <si>
    <t>Hippocampus fuscus</t>
  </si>
  <si>
    <t>Hippocampus grandiceps</t>
  </si>
  <si>
    <t>Hippocampus guttulatus</t>
  </si>
  <si>
    <t>Hippocampus hendriki</t>
  </si>
  <si>
    <t>Hippocampus hippocampus</t>
  </si>
  <si>
    <t>Hippocampus histrix</t>
  </si>
  <si>
    <t>Hippocampus ingens</t>
  </si>
  <si>
    <t>Hippocampus jayakari</t>
  </si>
  <si>
    <t>Hippocampus jugumus</t>
  </si>
  <si>
    <t>Hippocampus kelloggi</t>
  </si>
  <si>
    <t>Hippocampus kuda</t>
  </si>
  <si>
    <t>Hippocampus lichtensteinii</t>
  </si>
  <si>
    <t>Hippocampus minotaur</t>
  </si>
  <si>
    <t>Hippocampus mohnikei</t>
  </si>
  <si>
    <t>Hippocampus montebelloensis</t>
  </si>
  <si>
    <t>Hippocampus multispinus</t>
  </si>
  <si>
    <t>Hippocampus paradoxus</t>
  </si>
  <si>
    <t>Hippocampus patagonicus</t>
  </si>
  <si>
    <t>Hippocampus pontohi</t>
  </si>
  <si>
    <t>Hippocampus procerus</t>
  </si>
  <si>
    <t>Hippocampus pusillus</t>
  </si>
  <si>
    <t>Hippocampus queenslandicus</t>
  </si>
  <si>
    <t>Hippocampus reidi</t>
  </si>
  <si>
    <t>Hippocampus satomiae</t>
  </si>
  <si>
    <t>Hippocampus semispinosus</t>
  </si>
  <si>
    <t>Hippocampus sindonis</t>
  </si>
  <si>
    <t>Hippocampus spinosissimus</t>
  </si>
  <si>
    <t>Hippocampus subelongatus</t>
  </si>
  <si>
    <t>Hippocampus suezensis</t>
  </si>
  <si>
    <t>Hippocampus trimaculatus</t>
  </si>
  <si>
    <t>Hippocampus tyro</t>
  </si>
  <si>
    <t>Hippocampus waleananus</t>
  </si>
  <si>
    <t>Hippocampus whitei</t>
  </si>
  <si>
    <t>Hippocampus zebra</t>
  </si>
  <si>
    <t>Hippocampus zosterae</t>
  </si>
  <si>
    <t>Paratrygon aiereba</t>
  </si>
  <si>
    <t>Potamotrygon adamastor</t>
  </si>
  <si>
    <t>Potamotrygon albimaculata</t>
  </si>
  <si>
    <t>Potamotrygon amandae</t>
  </si>
  <si>
    <t>Potamotrygon amazona</t>
  </si>
  <si>
    <t>Potamotrygon boesemani</t>
  </si>
  <si>
    <t>Potamotrygon brachyura</t>
  </si>
  <si>
    <t>Potamotrygon constellata</t>
  </si>
  <si>
    <t>Potamotrygon falkneri</t>
  </si>
  <si>
    <t>Potamotrygon garmani</t>
  </si>
  <si>
    <t>Potamotrygon henlei</t>
  </si>
  <si>
    <t>Potamotrygon humerosa</t>
  </si>
  <si>
    <t>Potamotrygon hystrix</t>
  </si>
  <si>
    <t>Potamotrygon jabuti</t>
  </si>
  <si>
    <t>Potamotrygon leopoldi</t>
  </si>
  <si>
    <t>Potamotrygon limai</t>
  </si>
  <si>
    <t>Potamotrygon magdalenae</t>
  </si>
  <si>
    <t>Potamotrygon marinae</t>
  </si>
  <si>
    <t>Potamotrygon motoro</t>
  </si>
  <si>
    <t>Potamotrygon ocellata</t>
  </si>
  <si>
    <t>Potamotrygon orbignyi</t>
  </si>
  <si>
    <t>Potamotrygon pantanensis</t>
  </si>
  <si>
    <t>Potamotrygon rex</t>
  </si>
  <si>
    <t>Potamotrygon schroederi</t>
  </si>
  <si>
    <t>Potamotrygon schuhmacheri</t>
  </si>
  <si>
    <t>Potamotrygon scobina</t>
  </si>
  <si>
    <t>Potamotrygon signata</t>
  </si>
  <si>
    <t>Potamotrygon tatianae</t>
  </si>
  <si>
    <t>Potamotrygon tigrina</t>
  </si>
  <si>
    <t>Potamotrygon wallacei</t>
  </si>
  <si>
    <t>Potamotrygon yepezi</t>
  </si>
  <si>
    <t xml:space="preserve">Potamotrygon </t>
  </si>
  <si>
    <t xml:space="preserve">Hippocampus </t>
  </si>
  <si>
    <t>SI (Bra-Col)</t>
  </si>
  <si>
    <t>Suscep EARs</t>
  </si>
  <si>
    <t>Anexo</t>
  </si>
  <si>
    <t>Cuenta CITES blanco</t>
  </si>
  <si>
    <t>Cuenta EARs blanco</t>
  </si>
  <si>
    <t>Acanthastrea amakusensis</t>
  </si>
  <si>
    <t>Acanthastrea bowerbanki</t>
  </si>
  <si>
    <t>Acanthastrea echinata</t>
  </si>
  <si>
    <t>Acanthastrea hemprichii</t>
  </si>
  <si>
    <t>Acanthastrea hillae</t>
  </si>
  <si>
    <t>Acanthastrea ishigakiensis</t>
  </si>
  <si>
    <t>Acanthastrea lordhowensis</t>
  </si>
  <si>
    <t>Acanthastrea maxima</t>
  </si>
  <si>
    <t>Acanthastrea minuta</t>
  </si>
  <si>
    <t>Acanthastrea rotundaflora</t>
  </si>
  <si>
    <t>Acanthastrea sp.</t>
  </si>
  <si>
    <t>Acanthastrea spp.</t>
  </si>
  <si>
    <t>Acropora abrolhosensis</t>
  </si>
  <si>
    <t>Acropora abrotanoides</t>
  </si>
  <si>
    <t>Acropora aculeus</t>
  </si>
  <si>
    <t>Acropora acuminata</t>
  </si>
  <si>
    <t>Acropora akajimensis</t>
  </si>
  <si>
    <t>Acropora anthocercis</t>
  </si>
  <si>
    <t>Acropora arabensis</t>
  </si>
  <si>
    <t>Acropora aspera</t>
  </si>
  <si>
    <t>Acropora austera</t>
  </si>
  <si>
    <t>Acropora awi</t>
  </si>
  <si>
    <t>Acropora azurea</t>
  </si>
  <si>
    <t>Acropora batunai</t>
  </si>
  <si>
    <t>Acropora branchi</t>
  </si>
  <si>
    <t>Acropora brueggemanni</t>
  </si>
  <si>
    <t>Acropora bushyensis</t>
  </si>
  <si>
    <t>Acropora cardenae</t>
  </si>
  <si>
    <t>Acropora carduus</t>
  </si>
  <si>
    <t>Acropora caroliniana</t>
  </si>
  <si>
    <t>Acropora cerealis</t>
  </si>
  <si>
    <t>Acropora cervicornis</t>
  </si>
  <si>
    <t>Acropora chesterfieldensis</t>
  </si>
  <si>
    <t>Acropora clathrata</t>
  </si>
  <si>
    <t>Acropora convexa</t>
  </si>
  <si>
    <t>Acropora copiosa</t>
  </si>
  <si>
    <t>Acropora crassa</t>
  </si>
  <si>
    <t>Acropora crateriformis</t>
  </si>
  <si>
    <t>Acropora cuneata</t>
  </si>
  <si>
    <t>Acropora cymbicyathus</t>
  </si>
  <si>
    <t>Acropora cytherea</t>
  </si>
  <si>
    <t>Acropora danai</t>
  </si>
  <si>
    <t>Acropora delicatula</t>
  </si>
  <si>
    <t>Acropora dendrum</t>
  </si>
  <si>
    <t>Acropora derawaensis</t>
  </si>
  <si>
    <t>Acropora desalwii</t>
  </si>
  <si>
    <t>Acropora digitifera</t>
  </si>
  <si>
    <t>Acropora divaricata</t>
  </si>
  <si>
    <t>Acropora diversa</t>
  </si>
  <si>
    <t>Acropora donei</t>
  </si>
  <si>
    <t>Acropora echinata</t>
  </si>
  <si>
    <t>Acropora elegans</t>
  </si>
  <si>
    <t>Acropora elseyi</t>
  </si>
  <si>
    <t>Acropora eurystoma</t>
  </si>
  <si>
    <t>Acropora exquisita</t>
  </si>
  <si>
    <t>Acropora florida</t>
  </si>
  <si>
    <t>Acropora formosa</t>
  </si>
  <si>
    <t>Acropora gemmifera</t>
  </si>
  <si>
    <t>Acropora glauca</t>
  </si>
  <si>
    <t>Acropora grandis</t>
  </si>
  <si>
    <t>Acropora granulosa</t>
  </si>
  <si>
    <t>Acropora halmaherae</t>
  </si>
  <si>
    <t>Acropora hemprichii</t>
  </si>
  <si>
    <t>Acropora hoeksemai</t>
  </si>
  <si>
    <t>Acropora horrida</t>
  </si>
  <si>
    <t>Acropora humilis</t>
  </si>
  <si>
    <t>Acropora hyacinthus</t>
  </si>
  <si>
    <t>Acropora indiana</t>
  </si>
  <si>
    <t>Acropora indonesia</t>
  </si>
  <si>
    <t>Acropora insignis</t>
  </si>
  <si>
    <t>Acropora intermedia</t>
  </si>
  <si>
    <t>Acropora irregularis</t>
  </si>
  <si>
    <t>Acropora jacquelinae</t>
  </si>
  <si>
    <t>Acropora kirstyae</t>
  </si>
  <si>
    <t>Acropora kosurini</t>
  </si>
  <si>
    <t>Acropora latistella</t>
  </si>
  <si>
    <t>Acropora listeri</t>
  </si>
  <si>
    <t>Acropora loisetteae</t>
  </si>
  <si>
    <t>Acropora lokani</t>
  </si>
  <si>
    <t>Acropora longicyathus</t>
  </si>
  <si>
    <t>Acropora loripes</t>
  </si>
  <si>
    <t>Acropora lovelli</t>
  </si>
  <si>
    <t>Acropora lutkeni</t>
  </si>
  <si>
    <t>Acropora magnifica</t>
  </si>
  <si>
    <t>Acropora microclados</t>
  </si>
  <si>
    <t>Acropora microphthalma</t>
  </si>
  <si>
    <t>Acropora millepora</t>
  </si>
  <si>
    <t>Acropora mirabilis</t>
  </si>
  <si>
    <t>Acropora monticulosa</t>
  </si>
  <si>
    <t>Acropora mossambica</t>
  </si>
  <si>
    <t>Acropora multiacuta</t>
  </si>
  <si>
    <t>Acropora nana</t>
  </si>
  <si>
    <t>Acropora nasuta</t>
  </si>
  <si>
    <t>Acropora natalensis</t>
  </si>
  <si>
    <t>Acropora nobilis</t>
  </si>
  <si>
    <t>Acropora ocellata</t>
  </si>
  <si>
    <t>Acropora palifera</t>
  </si>
  <si>
    <t>Acropora palmata</t>
  </si>
  <si>
    <t>Acropora palmerae</t>
  </si>
  <si>
    <t>Acropora paniculata</t>
  </si>
  <si>
    <t>Acropora parilis</t>
  </si>
  <si>
    <t>Acropora pharaonis</t>
  </si>
  <si>
    <t>Acropora plumosa</t>
  </si>
  <si>
    <t>Acropora pocilloporina</t>
  </si>
  <si>
    <t>Acropora polystoma</t>
  </si>
  <si>
    <t>Acropora prolifera</t>
  </si>
  <si>
    <t>Acropora pruinosa</t>
  </si>
  <si>
    <t>Acropora pulchra</t>
  </si>
  <si>
    <t>Acropora rambleri</t>
  </si>
  <si>
    <t>Acropora reticulata</t>
  </si>
  <si>
    <t>Acropora robusta</t>
  </si>
  <si>
    <t>Acropora rosaria</t>
  </si>
  <si>
    <t>Acropora rudis</t>
  </si>
  <si>
    <t>Acropora russelli</t>
  </si>
  <si>
    <t>Acropora sabulata</t>
  </si>
  <si>
    <t>Acropora samoensis</t>
  </si>
  <si>
    <t>Acropora sarmentosa</t>
  </si>
  <si>
    <t>Acropora schmitti</t>
  </si>
  <si>
    <t>Acropora secale</t>
  </si>
  <si>
    <t>Acropora sekiseiensis</t>
  </si>
  <si>
    <t>Acropora selago</t>
  </si>
  <si>
    <t>Acropora simplex</t>
  </si>
  <si>
    <t>Acropora solitaryensis</t>
  </si>
  <si>
    <t>Acropora sordiensis</t>
  </si>
  <si>
    <t>Acropora spicifera</t>
  </si>
  <si>
    <t>Acropora splendida</t>
  </si>
  <si>
    <t>Acropora squarrosa</t>
  </si>
  <si>
    <t>Acropora stoddarti</t>
  </si>
  <si>
    <t>Acropora striata</t>
  </si>
  <si>
    <t>Acropora subglabra</t>
  </si>
  <si>
    <t>Acropora subulata</t>
  </si>
  <si>
    <t>Acropora suharsonoi</t>
  </si>
  <si>
    <t>Acropora sukarnoi</t>
  </si>
  <si>
    <t>Acropora surculosa</t>
  </si>
  <si>
    <t>Acropora tanegashimensis</t>
  </si>
  <si>
    <t>Acropora tenella</t>
  </si>
  <si>
    <t>Acropora tenuis</t>
  </si>
  <si>
    <t>Acropora teres</t>
  </si>
  <si>
    <t>Acropora togianensis</t>
  </si>
  <si>
    <t>Acropora torihalimeda</t>
  </si>
  <si>
    <t>Acropora tortuosa</t>
  </si>
  <si>
    <t>Acropora tumida</t>
  </si>
  <si>
    <t>Acropora turaki</t>
  </si>
  <si>
    <t>Acropora valenciennesi</t>
  </si>
  <si>
    <t>Acropora valida</t>
  </si>
  <si>
    <t>Acropora variabilis</t>
  </si>
  <si>
    <t>Acropora vaughani</t>
  </si>
  <si>
    <t>Acropora verweyi</t>
  </si>
  <si>
    <t>Acropora wallacea</t>
  </si>
  <si>
    <t>Acropora willisae</t>
  </si>
  <si>
    <t>Acropora yongei</t>
  </si>
  <si>
    <t>Acropora sp.</t>
  </si>
  <si>
    <t>Acropora spp.</t>
  </si>
  <si>
    <t>Alveopora allingi</t>
  </si>
  <si>
    <t>Alveopora catalai</t>
  </si>
  <si>
    <t>Alveopora daedalea</t>
  </si>
  <si>
    <t>Alveopora excelsa</t>
  </si>
  <si>
    <t>Alveopora fenestrata</t>
  </si>
  <si>
    <t>Alveopora gigas</t>
  </si>
  <si>
    <t>Alveopora japonica</t>
  </si>
  <si>
    <t>Alveopora marionensis</t>
  </si>
  <si>
    <t>Alveopora minuta</t>
  </si>
  <si>
    <t>Alveopora ocellata</t>
  </si>
  <si>
    <t>Alveopora spongiosa</t>
  </si>
  <si>
    <t>Alveopora superficialis</t>
  </si>
  <si>
    <t>Alveopora tizardi</t>
  </si>
  <si>
    <t>Alveopora verrilliana</t>
  </si>
  <si>
    <t>Alveopora viridis</t>
  </si>
  <si>
    <t>Alveopora sp.</t>
  </si>
  <si>
    <t>Alveopora spp.</t>
  </si>
  <si>
    <t>Blastomussa loyae</t>
  </si>
  <si>
    <t>Blastomussa merleti</t>
  </si>
  <si>
    <t>Blastomussa omanensis</t>
  </si>
  <si>
    <t>Blastomussa vivida</t>
  </si>
  <si>
    <t>Blastomussa wellsi</t>
  </si>
  <si>
    <t>Blastomussa sp.</t>
  </si>
  <si>
    <t>Blastomussa spp.</t>
  </si>
  <si>
    <t>Catalaphyllia jardinei</t>
  </si>
  <si>
    <t>Catalaphyllia plicata</t>
  </si>
  <si>
    <t>Catalaphyllia sp.</t>
  </si>
  <si>
    <t>Catalaphyllia spp.</t>
  </si>
  <si>
    <t>Caulastrea curvata</t>
  </si>
  <si>
    <t>Caulastrea echinulata</t>
  </si>
  <si>
    <t>Caulastrea furcata</t>
  </si>
  <si>
    <t>Caulastrea tumida</t>
  </si>
  <si>
    <t>Caulastrea sp.</t>
  </si>
  <si>
    <t>Caulastrea spp.</t>
  </si>
  <si>
    <t>Cynarina lacrymalis</t>
  </si>
  <si>
    <t>Cynarina macassarensis</t>
  </si>
  <si>
    <t>Cynarina sp.</t>
  </si>
  <si>
    <t>Cynarina spp.</t>
  </si>
  <si>
    <t>Euphyllia ancora</t>
  </si>
  <si>
    <t>Euphyllia cristata</t>
  </si>
  <si>
    <t>Euphyllia divisa</t>
  </si>
  <si>
    <t>Euphyllia fimbriata</t>
  </si>
  <si>
    <t>Euphyllia glabrescens</t>
  </si>
  <si>
    <t>Euphyllia paradivisa</t>
  </si>
  <si>
    <t>Euphyllia paraencora</t>
  </si>
  <si>
    <t>Euphyllia paraglabrescens</t>
  </si>
  <si>
    <t>Euphyllia yaeyamaensis</t>
  </si>
  <si>
    <t>Euphyllia sp.</t>
  </si>
  <si>
    <t>Euphyllia spp.</t>
  </si>
  <si>
    <t xml:space="preserve">Euphyllia </t>
  </si>
  <si>
    <t xml:space="preserve">Acanthastrea </t>
  </si>
  <si>
    <t xml:space="preserve">Acropora </t>
  </si>
  <si>
    <t xml:space="preserve">Alveopora </t>
  </si>
  <si>
    <t xml:space="preserve">Blastomussa </t>
  </si>
  <si>
    <t xml:space="preserve">Catalaphyllia </t>
  </si>
  <si>
    <t xml:space="preserve">Caulastrea </t>
  </si>
  <si>
    <t xml:space="preserve">Cynarina </t>
  </si>
  <si>
    <t xml:space="preserve">Favia </t>
  </si>
  <si>
    <t>Favia conferta</t>
  </si>
  <si>
    <t>Favia danae</t>
  </si>
  <si>
    <t>Favia doreyensis</t>
  </si>
  <si>
    <t>Favia favus</t>
  </si>
  <si>
    <t>Favia fragum</t>
  </si>
  <si>
    <t>Favia gravida</t>
  </si>
  <si>
    <t>Favia helianthoides</t>
  </si>
  <si>
    <t>Favia laxa</t>
  </si>
  <si>
    <t>Favia leptophylla</t>
  </si>
  <si>
    <t>Favia lizardensis</t>
  </si>
  <si>
    <t>Favia maritima</t>
  </si>
  <si>
    <t>Favia matthaii</t>
  </si>
  <si>
    <t>Favia maxima</t>
  </si>
  <si>
    <t>Favia pallida</t>
  </si>
  <si>
    <t>Favia rotumana</t>
  </si>
  <si>
    <t>Favia rotundata</t>
  </si>
  <si>
    <t>Favia speciosa</t>
  </si>
  <si>
    <t>Favia stelligera</t>
  </si>
  <si>
    <t>Favia veroni</t>
  </si>
  <si>
    <t>Favia wisseli</t>
  </si>
  <si>
    <t>Favia sp.</t>
  </si>
  <si>
    <t>Favia spp.</t>
  </si>
  <si>
    <t xml:space="preserve">Favites </t>
  </si>
  <si>
    <t>Favites abdita</t>
  </si>
  <si>
    <t>Favites bennettae</t>
  </si>
  <si>
    <t>Favites chinensis</t>
  </si>
  <si>
    <t>Favites complanata</t>
  </si>
  <si>
    <t>Favites flexuosa</t>
  </si>
  <si>
    <t>Favites halicora</t>
  </si>
  <si>
    <t>Favites pentagona</t>
  </si>
  <si>
    <t>Favites peresi</t>
  </si>
  <si>
    <t>Favites rotundata</t>
  </si>
  <si>
    <t>Favites russelli</t>
  </si>
  <si>
    <t>Favites stylifera</t>
  </si>
  <si>
    <t>Favites sp.</t>
  </si>
  <si>
    <t>Favites spp.</t>
  </si>
  <si>
    <t xml:space="preserve">Fungia </t>
  </si>
  <si>
    <t xml:space="preserve">Galaxea </t>
  </si>
  <si>
    <t xml:space="preserve">Goniopora </t>
  </si>
  <si>
    <t xml:space="preserve">Heliofungia </t>
  </si>
  <si>
    <t xml:space="preserve">Heliopora </t>
  </si>
  <si>
    <t xml:space="preserve">Herpolitha </t>
  </si>
  <si>
    <t xml:space="preserve">Hydnophora </t>
  </si>
  <si>
    <t xml:space="preserve">Leptoria </t>
  </si>
  <si>
    <t xml:space="preserve">Lobophyllia </t>
  </si>
  <si>
    <t xml:space="preserve">Merulina </t>
  </si>
  <si>
    <t xml:space="preserve">Millepora </t>
  </si>
  <si>
    <t xml:space="preserve">Montastrea </t>
  </si>
  <si>
    <t xml:space="preserve">Montipora </t>
  </si>
  <si>
    <t xml:space="preserve">Mycedium </t>
  </si>
  <si>
    <t xml:space="preserve">Nemenzophyllia </t>
  </si>
  <si>
    <t xml:space="preserve">Oulophyllia </t>
  </si>
  <si>
    <t xml:space="preserve">Pavona </t>
  </si>
  <si>
    <t xml:space="preserve">Pectinia </t>
  </si>
  <si>
    <t xml:space="preserve">Physogyra </t>
  </si>
  <si>
    <t xml:space="preserve">Plerogyra </t>
  </si>
  <si>
    <t xml:space="preserve">Pocillopora </t>
  </si>
  <si>
    <t xml:space="preserve">Porites </t>
  </si>
  <si>
    <t xml:space="preserve">Scolymia </t>
  </si>
  <si>
    <t xml:space="preserve">Seriatopora </t>
  </si>
  <si>
    <t xml:space="preserve">Stylophora </t>
  </si>
  <si>
    <t xml:space="preserve">Symphyllia </t>
  </si>
  <si>
    <t xml:space="preserve">Trachyphyllia </t>
  </si>
  <si>
    <t xml:space="preserve">Tubastraea </t>
  </si>
  <si>
    <t xml:space="preserve">Tubipora </t>
  </si>
  <si>
    <t>Fungia concinna</t>
  </si>
  <si>
    <t>Fungia corona</t>
  </si>
  <si>
    <t>Fungia costulata</t>
  </si>
  <si>
    <t>Fungia curvata</t>
  </si>
  <si>
    <t>Fungia cyclolites</t>
  </si>
  <si>
    <t>Fungia danai</t>
  </si>
  <si>
    <t>Fungia distorta</t>
  </si>
  <si>
    <t>Fungia echaensis</t>
  </si>
  <si>
    <t>Fungia echinata</t>
  </si>
  <si>
    <t>Fungia fragilis</t>
  </si>
  <si>
    <t>Fungia fralinae</t>
  </si>
  <si>
    <t>Fungia fungites</t>
  </si>
  <si>
    <t>Fungia granulosa</t>
  </si>
  <si>
    <t>Fungia gravis</t>
  </si>
  <si>
    <t>Fungia hexagonalis</t>
  </si>
  <si>
    <t>Fungia horrida</t>
  </si>
  <si>
    <t>Fungia klunzingeri</t>
  </si>
  <si>
    <t>Fungia moluccensis</t>
  </si>
  <si>
    <t>Fungia paumotensis</t>
  </si>
  <si>
    <t>Fungia plana</t>
  </si>
  <si>
    <t>Fungia repanda</t>
  </si>
  <si>
    <t>Fungia scabra</t>
  </si>
  <si>
    <t>Fungia scruposa</t>
  </si>
  <si>
    <t>Fungia scutaria</t>
  </si>
  <si>
    <t>Fungia seychellensis</t>
  </si>
  <si>
    <t>Fungia sinensis</t>
  </si>
  <si>
    <t>Fungia somervillei</t>
  </si>
  <si>
    <t>Fungia spinifer</t>
  </si>
  <si>
    <t>Fungia taiwanensis</t>
  </si>
  <si>
    <t>Fungia tenuis</t>
  </si>
  <si>
    <t>Fungia valida</t>
  </si>
  <si>
    <t>Fungia vaughani</t>
  </si>
  <si>
    <t>Fungia sp.</t>
  </si>
  <si>
    <t>Fungia spp.</t>
  </si>
  <si>
    <t>Heliofungia actiniformis</t>
  </si>
  <si>
    <t>Galaxea alta</t>
  </si>
  <si>
    <t>Galaxea astreata</t>
  </si>
  <si>
    <t>Galaxea fascicularis</t>
  </si>
  <si>
    <t>Galaxea paucisepta</t>
  </si>
  <si>
    <t>Galaxea sp.</t>
  </si>
  <si>
    <t>Galaxea spp.</t>
  </si>
  <si>
    <t>Goniopora bernardi</t>
  </si>
  <si>
    <t>Goniopora burgosi</t>
  </si>
  <si>
    <t>Goniopora cellulosa</t>
  </si>
  <si>
    <t>Goniopora columna</t>
  </si>
  <si>
    <t>Goniopora djiboutiensis</t>
  </si>
  <si>
    <t>Goniopora eclipsensis</t>
  </si>
  <si>
    <t>Goniopora fruticosa</t>
  </si>
  <si>
    <t>Goniopora lobata</t>
  </si>
  <si>
    <t>Goniopora malaccerisis</t>
  </si>
  <si>
    <t>Goniopora minor</t>
  </si>
  <si>
    <t>Goniopora norfolkensis</t>
  </si>
  <si>
    <t>Goniopora palmensis</t>
  </si>
  <si>
    <t>Goniopora pandoraensis</t>
  </si>
  <si>
    <t>Goniopora pendulus</t>
  </si>
  <si>
    <t>Goniopora planulata</t>
  </si>
  <si>
    <t>Goniopora polyformis</t>
  </si>
  <si>
    <t>Goniopora savignyi</t>
  </si>
  <si>
    <t>Goniopora somaliensis</t>
  </si>
  <si>
    <t>Goniopora stokesi</t>
  </si>
  <si>
    <t>Goniopora stutchburyi</t>
  </si>
  <si>
    <t>Goniopora tenella</t>
  </si>
  <si>
    <t>Goniopora tenuidens</t>
  </si>
  <si>
    <t>Goniopora sp.</t>
  </si>
  <si>
    <t>Goniopora spp.</t>
  </si>
  <si>
    <t>Heliopora coerulea</t>
  </si>
  <si>
    <t>Herpolitha limax</t>
  </si>
  <si>
    <t>Herpolitha webwri</t>
  </si>
  <si>
    <t>Herpolitha sp.</t>
  </si>
  <si>
    <t>Herpolitha spp.</t>
  </si>
  <si>
    <t>Heliofungia sp.</t>
  </si>
  <si>
    <t>Heliofungia spp.</t>
  </si>
  <si>
    <t>Heliopora sp.</t>
  </si>
  <si>
    <t>Heliopora spp.</t>
  </si>
  <si>
    <t>Hydnophora bonsai</t>
  </si>
  <si>
    <t>Hydnophora exesa</t>
  </si>
  <si>
    <t>Hydnophora grandis</t>
  </si>
  <si>
    <t>Hydnophora microconos</t>
  </si>
  <si>
    <t>Hydnophora pilosa</t>
  </si>
  <si>
    <t>Hydnophora rigida</t>
  </si>
  <si>
    <t>Hydnophora sp.</t>
  </si>
  <si>
    <t>Hydnophora spp.</t>
  </si>
  <si>
    <t>Leptoria irregularis</t>
  </si>
  <si>
    <t>Leptoria phrugia</t>
  </si>
  <si>
    <t>Leptoria sp.</t>
  </si>
  <si>
    <t>Leptoria spp.</t>
  </si>
  <si>
    <t>Lobophyllia blainville</t>
  </si>
  <si>
    <t>Lobophyllia corymbosa</t>
  </si>
  <si>
    <t>Lobophyllia costata</t>
  </si>
  <si>
    <t>Lobophyllia diminuta</t>
  </si>
  <si>
    <t>Lobophyllia hataii</t>
  </si>
  <si>
    <t>Lobophyllia hemprichii</t>
  </si>
  <si>
    <t>Lobophyllia pachysepta</t>
  </si>
  <si>
    <t>Lobophyllia robusta</t>
  </si>
  <si>
    <t>Lobophyllia sp.</t>
  </si>
  <si>
    <t>Lobophyllia spp.</t>
  </si>
  <si>
    <t>Merulina ampliata</t>
  </si>
  <si>
    <t>Merulina scabricula</t>
  </si>
  <si>
    <t>Merulina scheeri</t>
  </si>
  <si>
    <t>Merulina sp.</t>
  </si>
  <si>
    <t>Merulina spp.</t>
  </si>
  <si>
    <t>Millepora alcicornis</t>
  </si>
  <si>
    <t>Millepora boschmai</t>
  </si>
  <si>
    <t>Millepora braziliensis</t>
  </si>
  <si>
    <t>Millepora complanata</t>
  </si>
  <si>
    <t>Millepora dichotoma</t>
  </si>
  <si>
    <t>Millepora exaesa</t>
  </si>
  <si>
    <t>Millepora foveolata</t>
  </si>
  <si>
    <t>Millepora intricata</t>
  </si>
  <si>
    <t>Millepora latifolia</t>
  </si>
  <si>
    <t>Millepora moniliformis</t>
  </si>
  <si>
    <t>Millepora murrayi</t>
  </si>
  <si>
    <t>Millepora nitida</t>
  </si>
  <si>
    <t>Millepora platyphylla</t>
  </si>
  <si>
    <t>Millepora squarrosa</t>
  </si>
  <si>
    <t>Millepora striata</t>
  </si>
  <si>
    <t>Millepora tenella</t>
  </si>
  <si>
    <t>Millepora tenera</t>
  </si>
  <si>
    <t>Millepora tuberosa</t>
  </si>
  <si>
    <t>Millepora xishaensis</t>
  </si>
  <si>
    <t>Millepora sp.</t>
  </si>
  <si>
    <t>Millepora spp.</t>
  </si>
  <si>
    <t>Montastrea annularis</t>
  </si>
  <si>
    <t>Montastrea annuligera</t>
  </si>
  <si>
    <t>Montastrea cavernosa</t>
  </si>
  <si>
    <t>Montastrea curta </t>
  </si>
  <si>
    <t>Montastrea faveolata</t>
  </si>
  <si>
    <t>Montastrea franksi</t>
  </si>
  <si>
    <t>Montastrea magnistellata</t>
  </si>
  <si>
    <t>Montastrea multipunctata</t>
  </si>
  <si>
    <t>Montastrea valenciennesi</t>
  </si>
  <si>
    <t>Montastrea sp.</t>
  </si>
  <si>
    <t>Montastrea spp.</t>
  </si>
  <si>
    <t>Montipora aequituberculata</t>
  </si>
  <si>
    <t>Montipora altasepta</t>
  </si>
  <si>
    <t>Montipora angulata</t>
  </si>
  <si>
    <t>Montipora australiensis</t>
  </si>
  <si>
    <t>Montipora cactus</t>
  </si>
  <si>
    <t>Montipora calcarea</t>
  </si>
  <si>
    <t>Montipora caliculata</t>
  </si>
  <si>
    <t>Montipora capitata</t>
  </si>
  <si>
    <t>Montipora capricornis</t>
  </si>
  <si>
    <t>Montipora cebuensis</t>
  </si>
  <si>
    <t>Montipora circumvallata</t>
  </si>
  <si>
    <t>Montipora composita</t>
  </si>
  <si>
    <t>Montipora confusa</t>
  </si>
  <si>
    <t>Montipora corbettensis</t>
  </si>
  <si>
    <t>Montipora crassituberculata</t>
  </si>
  <si>
    <t>Montipora danae</t>
  </si>
  <si>
    <t>Montipora digitata</t>
  </si>
  <si>
    <t>Montipora edwardsi</t>
  </si>
  <si>
    <t>Montipora efflorescens</t>
  </si>
  <si>
    <t>Montipora effusa</t>
  </si>
  <si>
    <t>Montipora florida</t>
  </si>
  <si>
    <t>Montipora floweri</t>
  </si>
  <si>
    <t>Montipora foliosa</t>
  </si>
  <si>
    <t>Montipora foveolata</t>
  </si>
  <si>
    <t>Montipora friabilis</t>
  </si>
  <si>
    <t>Montipora gaimardi</t>
  </si>
  <si>
    <t>Montipora granulosa</t>
  </si>
  <si>
    <t>Montipora grisea</t>
  </si>
  <si>
    <t>Montipora hirsuta</t>
  </si>
  <si>
    <t>Montipora hispida</t>
  </si>
  <si>
    <t>Montipora hoffmeisteri</t>
  </si>
  <si>
    <t>Montipora incrassata</t>
  </si>
  <si>
    <t>Montipora informis</t>
  </si>
  <si>
    <t>Montipora levis</t>
  </si>
  <si>
    <t>Montipora lobulata</t>
  </si>
  <si>
    <t>Montipora mactanensis</t>
  </si>
  <si>
    <t>Montipora malampaya</t>
  </si>
  <si>
    <t>Montipora millepora</t>
  </si>
  <si>
    <t>Montipora minuta</t>
  </si>
  <si>
    <t>Montipora mollis</t>
  </si>
  <si>
    <t>Montipora monasteriata</t>
  </si>
  <si>
    <t>Montipora nodosa</t>
  </si>
  <si>
    <t>Montipora orientalis</t>
  </si>
  <si>
    <t>Montipora peltiformis</t>
  </si>
  <si>
    <t>Montipora ramosa</t>
  </si>
  <si>
    <t>Montipora samarensis</t>
  </si>
  <si>
    <t>Montipora setosa</t>
  </si>
  <si>
    <t>Montipora socialis</t>
  </si>
  <si>
    <t>Montipora solanderi</t>
  </si>
  <si>
    <t>Montipora spongiosa</t>
  </si>
  <si>
    <t>Montipora spongodes</t>
  </si>
  <si>
    <t>Montipora spumosa</t>
  </si>
  <si>
    <t>Montipora stellata</t>
  </si>
  <si>
    <t>Montipora stilosa</t>
  </si>
  <si>
    <t>Montipora striata</t>
  </si>
  <si>
    <t>Montipora tortuosa</t>
  </si>
  <si>
    <t>Montipora tuberculosa</t>
  </si>
  <si>
    <t>Montipora turgescens</t>
  </si>
  <si>
    <t>Montipora turtlensis</t>
  </si>
  <si>
    <t>Montipora undata</t>
  </si>
  <si>
    <t>Montipora venosa</t>
  </si>
  <si>
    <t>Montipora verrucosa</t>
  </si>
  <si>
    <t>Montipora sp.</t>
  </si>
  <si>
    <t>Montipora spp.</t>
  </si>
  <si>
    <t>Mycedium elephantotus</t>
  </si>
  <si>
    <t>Mycedium robokaki</t>
  </si>
  <si>
    <t>Mycedium sp.</t>
  </si>
  <si>
    <t>Mycedium spp.</t>
  </si>
  <si>
    <t>Nemenzophyllia turbida</t>
  </si>
  <si>
    <t>Nemenzophyllia sp.</t>
  </si>
  <si>
    <t>Nemenzophyllia spp.</t>
  </si>
  <si>
    <t>Oulophyllia bennettae</t>
  </si>
  <si>
    <t>Oulophyllia crispa</t>
  </si>
  <si>
    <t>Oulophyllia sp.</t>
  </si>
  <si>
    <t>Oulophyllia spp.</t>
  </si>
  <si>
    <t>Pavona bipartita</t>
  </si>
  <si>
    <t>Pavona cactus</t>
  </si>
  <si>
    <t>Pavona clavus</t>
  </si>
  <si>
    <t>Pavona danai</t>
  </si>
  <si>
    <t>Pavona decussata</t>
  </si>
  <si>
    <t>Pavona diffluens</t>
  </si>
  <si>
    <t>Pavona divaricata</t>
  </si>
  <si>
    <t>Pavona duerdeni</t>
  </si>
  <si>
    <t>Pavona explanulata</t>
  </si>
  <si>
    <t>Pavona frondifera</t>
  </si>
  <si>
    <t>Pavona gigantea</t>
  </si>
  <si>
    <t>Pavona lata</t>
  </si>
  <si>
    <t>Pavona maldivensis</t>
  </si>
  <si>
    <t>Pavona minuta</t>
  </si>
  <si>
    <t>Pavona varians</t>
  </si>
  <si>
    <t>Pavona venosa</t>
  </si>
  <si>
    <t>Pavona xarifae</t>
  </si>
  <si>
    <t>Pavona sp.</t>
  </si>
  <si>
    <t>Pavona spp.</t>
  </si>
  <si>
    <t>Pectinia alcicornis</t>
  </si>
  <si>
    <t>Pectinia elongata</t>
  </si>
  <si>
    <t>Pectinia lactuca</t>
  </si>
  <si>
    <t>Pectinia paeonia</t>
  </si>
  <si>
    <t>Pectinia teres</t>
  </si>
  <si>
    <t>Pectinia sp.</t>
  </si>
  <si>
    <t>Pectinia spp.</t>
  </si>
  <si>
    <t>Physogyra exerta</t>
  </si>
  <si>
    <t>Physogyra lichtensteini</t>
  </si>
  <si>
    <t>Physogyra sp.</t>
  </si>
  <si>
    <t>Physogyra spp.</t>
  </si>
  <si>
    <t>Plerogyra eyrysepta</t>
  </si>
  <si>
    <t>Plerogyra simplex</t>
  </si>
  <si>
    <t>Plerogyra sinuosa</t>
  </si>
  <si>
    <t>Plerogyra turbida</t>
  </si>
  <si>
    <t>Plerogyra sp.</t>
  </si>
  <si>
    <t>Plerogyra spp.</t>
  </si>
  <si>
    <t>Pocillopora capitata</t>
  </si>
  <si>
    <t>Pocillopora damicornis</t>
  </si>
  <si>
    <t>Pocillopora elegans</t>
  </si>
  <si>
    <t>Pocillopora eydouxi</t>
  </si>
  <si>
    <t>Pocillopora meandrina</t>
  </si>
  <si>
    <t>Pocillopora verrucosa</t>
  </si>
  <si>
    <t>Pocillopora woodjonesi</t>
  </si>
  <si>
    <t>Pocillopora sp.</t>
  </si>
  <si>
    <t>Pocillopora spp.</t>
  </si>
  <si>
    <t>Porites annae</t>
  </si>
  <si>
    <t>Porites aranetai</t>
  </si>
  <si>
    <t>Porites astreoides</t>
  </si>
  <si>
    <t>Porites attenuata</t>
  </si>
  <si>
    <t>Porites australiensis</t>
  </si>
  <si>
    <t>Porites baueri</t>
  </si>
  <si>
    <t>Porites branneri</t>
  </si>
  <si>
    <t>Porites colonensis</t>
  </si>
  <si>
    <t>Porites compressa</t>
  </si>
  <si>
    <t>Porites cumulatus</t>
  </si>
  <si>
    <t>Porites cylindrica</t>
  </si>
  <si>
    <t>Porites deformis</t>
  </si>
  <si>
    <t>Porites densa</t>
  </si>
  <si>
    <t>Porites divaricata</t>
  </si>
  <si>
    <t>Porites echinulata</t>
  </si>
  <si>
    <t>Porites eridani</t>
  </si>
  <si>
    <t>Porites evermanni</t>
  </si>
  <si>
    <t>Porites favosa</t>
  </si>
  <si>
    <t>Porites furcata</t>
  </si>
  <si>
    <t>Porites gabonensis</t>
  </si>
  <si>
    <t>Porites heronensis</t>
  </si>
  <si>
    <t>Porites horizontalata</t>
  </si>
  <si>
    <t>Porites iwayamaensis</t>
  </si>
  <si>
    <t>Porites latistella</t>
  </si>
  <si>
    <t>Porites lichen</t>
  </si>
  <si>
    <t>Porites lobata</t>
  </si>
  <si>
    <t>Porites lutea</t>
  </si>
  <si>
    <t>Porites matthaii</t>
  </si>
  <si>
    <t>Porites mayeri</t>
  </si>
  <si>
    <t>Porites murrayensis</t>
  </si>
  <si>
    <t>Porites myrmidonensis</t>
  </si>
  <si>
    <t>Porites negrosensis</t>
  </si>
  <si>
    <t>Porites nigrescens</t>
  </si>
  <si>
    <t>Porites nodifera</t>
  </si>
  <si>
    <t>Porites okinawensis</t>
  </si>
  <si>
    <t>Porites panamensis</t>
  </si>
  <si>
    <t>Porites porites</t>
  </si>
  <si>
    <t>Porites rus</t>
  </si>
  <si>
    <t>Porites sillimaniani</t>
  </si>
  <si>
    <t>Porites solida</t>
  </si>
  <si>
    <t>Porites somaliensis</t>
  </si>
  <si>
    <t>Porites stephensoni</t>
  </si>
  <si>
    <t>Porites sverdrupi</t>
  </si>
  <si>
    <t>Porites undulata</t>
  </si>
  <si>
    <t>Porites vaughani</t>
  </si>
  <si>
    <t>Porites sp.</t>
  </si>
  <si>
    <t>Porites spp.</t>
  </si>
  <si>
    <t>Scolymia australis</t>
  </si>
  <si>
    <t>Scolymia cubensis</t>
  </si>
  <si>
    <t>Scolymia lacera</t>
  </si>
  <si>
    <t>Scolymia vitiensis</t>
  </si>
  <si>
    <t>Scolymia wellsii</t>
  </si>
  <si>
    <t>Scolymia sp.</t>
  </si>
  <si>
    <t>Scolymia spp.</t>
  </si>
  <si>
    <t>Seriatopora caliendrum</t>
  </si>
  <si>
    <t>Seriatopora hystrix</t>
  </si>
  <si>
    <t>Seriatopora sp.</t>
  </si>
  <si>
    <t>Seriatopora spp.</t>
  </si>
  <si>
    <t>Stylophora kuehlmanni</t>
  </si>
  <si>
    <t>Stylophora mamillata</t>
  </si>
  <si>
    <t>Stylophora mordax</t>
  </si>
  <si>
    <t>Stylophora pistillata</t>
  </si>
  <si>
    <t>Stylophora wellsi</t>
  </si>
  <si>
    <t>Stylophora sp.</t>
  </si>
  <si>
    <t>Stylophora spp.</t>
  </si>
  <si>
    <t>Symphyllia agaricia</t>
  </si>
  <si>
    <t>Symphyllia erythraea</t>
  </si>
  <si>
    <t>Symphyllia hassi</t>
  </si>
  <si>
    <t>Symphyllia radians</t>
  </si>
  <si>
    <t>Symphyllia recta</t>
  </si>
  <si>
    <t>Symphyllia valenciennesii</t>
  </si>
  <si>
    <t>Symphyllia wilsoni</t>
  </si>
  <si>
    <t>Symphyllia sp.</t>
  </si>
  <si>
    <t>Symphyllia spp.</t>
  </si>
  <si>
    <t>Trachyphyllia geoffroyi</t>
  </si>
  <si>
    <t>Trachyphyllia sp.</t>
  </si>
  <si>
    <t>Trachyphyllia spp.</t>
  </si>
  <si>
    <t>Tubastraea aurea</t>
  </si>
  <si>
    <t>Tubastraea coccinea</t>
  </si>
  <si>
    <t>Tubastraea diaphana</t>
  </si>
  <si>
    <t>Tubastraea faulkneri</t>
  </si>
  <si>
    <t>Tubastraea floreana</t>
  </si>
  <si>
    <t>Tubastraea micranthus</t>
  </si>
  <si>
    <t>Tubastraea tagusensis</t>
  </si>
  <si>
    <t>Tubastraea sp.</t>
  </si>
  <si>
    <t>Tubastraea spp.</t>
  </si>
  <si>
    <t>Tubipora musica</t>
  </si>
  <si>
    <t>Tubipora sp.</t>
  </si>
  <si>
    <t>Tubipora spp.</t>
  </si>
  <si>
    <t>Turbinariabifrons</t>
  </si>
  <si>
    <t>Turbinariaconspicua</t>
  </si>
  <si>
    <t>Turbinariacrater</t>
  </si>
  <si>
    <t>Turbinariafrondens</t>
  </si>
  <si>
    <t>Turbinariaheronensis</t>
  </si>
  <si>
    <t>Turbinariairregularis</t>
  </si>
  <si>
    <t>Turbinariamesenterina</t>
  </si>
  <si>
    <t>Turbinariamollis</t>
  </si>
  <si>
    <t>Turbinariaornata</t>
  </si>
  <si>
    <t>Turbinariapatula</t>
  </si>
  <si>
    <t>Turbinariapeltata</t>
  </si>
  <si>
    <t>Turbinariaradicalis</t>
  </si>
  <si>
    <t>Turbinariareniformis</t>
  </si>
  <si>
    <t>Turbinariastellulata</t>
  </si>
  <si>
    <t>Letargia</t>
  </si>
  <si>
    <t>Anorexia</t>
  </si>
  <si>
    <t>Nado errático</t>
  </si>
  <si>
    <t>Lesión aleta(s)</t>
  </si>
  <si>
    <t>Lesión cuerpo</t>
  </si>
  <si>
    <t>Equimosis aleta(s)</t>
  </si>
  <si>
    <t>Equimosis cuerpo</t>
  </si>
  <si>
    <t>Letargia, anorexia</t>
  </si>
  <si>
    <t>Boqueo en superficie</t>
  </si>
  <si>
    <t>Postración (fondo)</t>
  </si>
  <si>
    <t>Exoftalmia</t>
  </si>
  <si>
    <t>Piel pálida</t>
  </si>
  <si>
    <t>Piel oscura</t>
  </si>
  <si>
    <t>Aumento del mucus</t>
  </si>
  <si>
    <t>Punto Blanco (Ich)</t>
  </si>
  <si>
    <t>Velvet o Terciopelo</t>
  </si>
  <si>
    <t>Principal hallazgo observado</t>
  </si>
  <si>
    <t>Nado en tirabuzón</t>
  </si>
  <si>
    <t>Nivel de mortalidad</t>
  </si>
  <si>
    <t>Alta</t>
  </si>
  <si>
    <t>Prolonga cuarentena</t>
  </si>
  <si>
    <t>Alcance del hallazgo</t>
  </si>
  <si>
    <t>Generalizado</t>
  </si>
  <si>
    <t>Medio</t>
  </si>
  <si>
    <t>Aislado</t>
  </si>
  <si>
    <t>Media</t>
  </si>
  <si>
    <t>Baja</t>
  </si>
  <si>
    <t>Sin motalidad</t>
  </si>
  <si>
    <t>Mortalidad en buen estado de preservación, y coincide con registros y saldos</t>
  </si>
  <si>
    <t>Ac_Hallazgo</t>
  </si>
  <si>
    <t>Ppal_Hallazgo</t>
  </si>
  <si>
    <t>Alc_Hallazgo</t>
  </si>
  <si>
    <t>Nvl_Mortalidad</t>
  </si>
  <si>
    <t>Prolog_Cuar</t>
  </si>
  <si>
    <t>PPAL_HALLAZGO</t>
  </si>
  <si>
    <t>ALC_HALLAZGO</t>
  </si>
  <si>
    <t>NVL_MORT_HALLAZGO</t>
  </si>
  <si>
    <t>PROLONGA_CUAR</t>
  </si>
  <si>
    <t>ID Acuarios</t>
  </si>
  <si>
    <t>HALLAZGOS EN CONDICIÓN SANITARIA EN VISITA PARA LEVANTAMIENTO DE ACTA N°</t>
  </si>
  <si>
    <r>
      <t xml:space="preserve">IMPORTANTE, </t>
    </r>
    <r>
      <rPr>
        <b/>
        <sz val="11"/>
        <color rgb="FFFF0000"/>
        <rFont val="Calibri"/>
        <family val="2"/>
        <scheme val="minor"/>
      </rPr>
      <t>sólo escribir y seleccionar listas desplegables en casillas verdes (Item OC, ID acuarios, Información del tratamiento, eventos de relevancia, tratamiento preventivo y observaciones).</t>
    </r>
  </si>
  <si>
    <t>Rotulado de acuario incluye al menos ID acuario, Item OC (especie) y cantidad</t>
  </si>
  <si>
    <t>ID ACUARIOS que recibieron tratamiento</t>
  </si>
  <si>
    <t>ESPECIES involucradas</t>
  </si>
  <si>
    <t>Hongo visible</t>
  </si>
  <si>
    <t>Cantidad declarada</t>
  </si>
  <si>
    <t>Mortalidad dia 1</t>
  </si>
  <si>
    <t>Sem 2</t>
  </si>
  <si>
    <t>Suma Sem 1 (día 2 a 8)</t>
  </si>
  <si>
    <t>Suma Sem 2 (día 9 a 15)</t>
  </si>
  <si>
    <t>% mort dia 1</t>
  </si>
  <si>
    <t>% mort sem 1</t>
  </si>
  <si>
    <t>% mort sem 2</t>
  </si>
  <si>
    <t>Mortalidad 2 a 8  (Sem 1)</t>
  </si>
  <si>
    <t>Mortalidad 9 a 15 (Sem 2)</t>
  </si>
  <si>
    <t>% mortalidad periodo</t>
  </si>
  <si>
    <t>Día 1</t>
  </si>
  <si>
    <t>Sem 1</t>
  </si>
  <si>
    <t>Final</t>
  </si>
  <si>
    <t>MORT_DIA1</t>
  </si>
  <si>
    <t>MORT_SEM1</t>
  </si>
  <si>
    <t>MORT_SEM2</t>
  </si>
  <si>
    <t>Total</t>
  </si>
  <si>
    <t>Proveedor envió al Servicio nota de crédito (u otro) por real arribado antes del día 7</t>
  </si>
  <si>
    <t>Mort. Prom</t>
  </si>
  <si>
    <t>El manejo de mortalidad es ordenado e higiénicamente limpio</t>
  </si>
  <si>
    <t>Turbinaria sp.</t>
  </si>
  <si>
    <t>Turbinarias pp.</t>
  </si>
  <si>
    <t xml:space="preserve">Tridacna crocea </t>
  </si>
  <si>
    <t xml:space="preserve">Tridacna derasa </t>
  </si>
  <si>
    <t xml:space="preserve">Tridacna maxima </t>
  </si>
  <si>
    <t xml:space="preserve">Tridacna squamosa </t>
  </si>
  <si>
    <t>Acuarios en Ttos</t>
  </si>
  <si>
    <t>Acuarios x item</t>
  </si>
  <si>
    <t>Acuarios con Ttos</t>
  </si>
  <si>
    <t>SI - 5 días</t>
  </si>
  <si>
    <t>SI - 10 días</t>
  </si>
  <si>
    <t>SI - 15 días</t>
  </si>
  <si>
    <t>Antibiótico</t>
  </si>
  <si>
    <t>Antiparasitario</t>
  </si>
  <si>
    <t>Antimicótico</t>
  </si>
  <si>
    <t>Registrar los tratamientos efectuados a continuación de la especie y acuario(s) correspondiente(s). Para algún evento de relevancia a declarar según lista desplegable. Para tratamientos indicar item OC de la especie e ID de acuarios respectivos. Para eventos de relevancia y tratamientos preventivos indicar item OC de especies involucradas.</t>
  </si>
  <si>
    <t>Tipo de producto (obligatorio) (ver lista)</t>
  </si>
  <si>
    <t>N° de Items en OC</t>
  </si>
  <si>
    <t>Total acuarios</t>
  </si>
  <si>
    <t>Cantidad de individuos</t>
  </si>
  <si>
    <t>Declarados a importar</t>
  </si>
  <si>
    <t>Realmente arribados</t>
  </si>
  <si>
    <t>Finalizan cuarentena</t>
  </si>
  <si>
    <t>Total final</t>
  </si>
  <si>
    <t>Proveedor</t>
  </si>
  <si>
    <t>Titular Estación</t>
  </si>
  <si>
    <t>Causa mas probable de mortalidad  &gt;= 35%</t>
  </si>
  <si>
    <t>% sobrevida</t>
  </si>
  <si>
    <t xml:space="preserve"> de  levantamiento  de  cuarentena,   adjuntando  el  archivo  Excel  con  la   información registrada en las hojas "Acuario (Arribado-mortalidad)" y "Tratamientos-Eventos", mas fotografias de mortalidad por especie.  Luego de esto Sernapesca  programará visita de levantamiento a  partir del día hábil siguiente.</t>
  </si>
  <si>
    <t>EEUU</t>
  </si>
  <si>
    <t>Especies ornamentales</t>
  </si>
  <si>
    <r>
      <t xml:space="preserve">Categoría                             </t>
    </r>
    <r>
      <rPr>
        <sz val="8"/>
        <rFont val="Verdana"/>
        <family val="2"/>
      </rPr>
      <t>(según Res. Ex.)</t>
    </r>
  </si>
  <si>
    <r>
      <t xml:space="preserve">Especie </t>
    </r>
    <r>
      <rPr>
        <sz val="8"/>
        <rFont val="Verdana"/>
        <family val="2"/>
      </rPr>
      <t>(pez o cnidaria)</t>
    </r>
  </si>
  <si>
    <t>Cobre</t>
  </si>
  <si>
    <t>TEMPERATURA</t>
  </si>
  <si>
    <t>T° prom. (Celcius)</t>
  </si>
  <si>
    <t>BAJA</t>
  </si>
  <si>
    <t>Sphyrna corona</t>
  </si>
  <si>
    <t>Sphyrna couardi</t>
  </si>
  <si>
    <t>Sphyrna gilberti</t>
  </si>
  <si>
    <t>Sphyrna lewini</t>
  </si>
  <si>
    <t>Sphyrna media</t>
  </si>
  <si>
    <t>Sphyrna mokarran</t>
  </si>
  <si>
    <t>Sphyrna tiburo</t>
  </si>
  <si>
    <t>Sphyrna tudes</t>
  </si>
  <si>
    <t>Sphyrna zygaena</t>
  </si>
  <si>
    <t xml:space="preserve">Sphyrna </t>
  </si>
  <si>
    <t>SI (Col)</t>
  </si>
  <si>
    <t>Carcharhinus acronotus</t>
  </si>
  <si>
    <t>Carcharhinus albimarginatus</t>
  </si>
  <si>
    <t>Carcharhinus altimus</t>
  </si>
  <si>
    <t>Carcharhinus amblyrhynchoides</t>
  </si>
  <si>
    <t>Carcharhinus amblyrhynchos</t>
  </si>
  <si>
    <t>Carcharhinus amboinensis</t>
  </si>
  <si>
    <t>Carcharhinus borneensis</t>
  </si>
  <si>
    <t>Carcharhinus brachyurus</t>
  </si>
  <si>
    <t>Carcharhinus brevipinna</t>
  </si>
  <si>
    <t>Carcharhinus cautus</t>
  </si>
  <si>
    <t>Carcharhinus cerdale</t>
  </si>
  <si>
    <t>Carcharhinus coatesi</t>
  </si>
  <si>
    <t>Carcharhinus dussumieri</t>
  </si>
  <si>
    <t>Carcharhinus falciformis</t>
  </si>
  <si>
    <t>Carcharhinus fitzroyensis</t>
  </si>
  <si>
    <t>Carcharhinus galapagensis</t>
  </si>
  <si>
    <t>Carcharhinus hemiodon</t>
  </si>
  <si>
    <t>Carcharhinus humani</t>
  </si>
  <si>
    <t>Carcharhinus isodon</t>
  </si>
  <si>
    <t>Carcharhinus leiodon</t>
  </si>
  <si>
    <t>Carcharhinus leucas</t>
  </si>
  <si>
    <t>Carcharhinus limbatus</t>
  </si>
  <si>
    <t>Carcharhinus longimanus</t>
  </si>
  <si>
    <t>Carcharhinus macloti</t>
  </si>
  <si>
    <t>Carcharhinus macrops</t>
  </si>
  <si>
    <t>Carcharhinus melanopterus</t>
  </si>
  <si>
    <t>Carcharhinus obscurus</t>
  </si>
  <si>
    <t>Carcharhinus perezii</t>
  </si>
  <si>
    <t>Carcharhinus plumbeus</t>
  </si>
  <si>
    <t>Carcharhinus porosus</t>
  </si>
  <si>
    <t>Carcharhinus sealei</t>
  </si>
  <si>
    <t>Carcharhinus signatus</t>
  </si>
  <si>
    <t>Carcharhinus sorrah</t>
  </si>
  <si>
    <t>Carcharhinus tilstoni</t>
  </si>
  <si>
    <t>Carcharhinus tjutjot</t>
  </si>
  <si>
    <t xml:space="preserve">Carcharhinus </t>
  </si>
  <si>
    <t>Importador entregó el permiso CITES original (si corresponde) antes del día 3 hábil</t>
  </si>
  <si>
    <t>Importador entregó la declaración de ingreso (DIPS) antes del día 3 hábil post arribo</t>
  </si>
  <si>
    <t>Cumplimiento</t>
  </si>
  <si>
    <t>Puntaje NC</t>
  </si>
  <si>
    <t>% Cumplimiento</t>
  </si>
  <si>
    <t>PUNTAJE NC</t>
  </si>
  <si>
    <t>Puntaje CRITICIDAD</t>
  </si>
  <si>
    <t>Puntaje NC total</t>
  </si>
  <si>
    <t>PUNTAJE NC TOTAL</t>
  </si>
  <si>
    <t>No conformidades (NC) y  % de cumplimiento</t>
  </si>
  <si>
    <t>NC</t>
  </si>
  <si>
    <t>Cumpl</t>
  </si>
  <si>
    <t>Prom mort x items</t>
  </si>
  <si>
    <t>Mortalidad general</t>
  </si>
  <si>
    <r>
      <t xml:space="preserve">INFORMACIÓN DE EVENTOS DE RELEVANCIA </t>
    </r>
    <r>
      <rPr>
        <sz val="11"/>
        <color theme="1"/>
        <rFont val="Calibri"/>
        <family val="2"/>
        <scheme val="minor"/>
      </rPr>
      <t>(que explique altas mortalidades o enfermedad)</t>
    </r>
  </si>
  <si>
    <t>Hongos</t>
  </si>
  <si>
    <t>Lesión aletas</t>
  </si>
  <si>
    <t>Abdomen plano</t>
  </si>
  <si>
    <t>Los datos de actividades y procedimientos se registran en bitácora de estación</t>
  </si>
  <si>
    <t>Las condiciones de mantención permiten adecuada visibilidad de los peces</t>
  </si>
  <si>
    <r>
      <t xml:space="preserve">Nombre común o variedad </t>
    </r>
    <r>
      <rPr>
        <sz val="8"/>
        <rFont val="Verdana"/>
        <family val="2"/>
      </rPr>
      <t xml:space="preserve">(lote de especie ornamental)   </t>
    </r>
    <r>
      <rPr>
        <b/>
        <sz val="8"/>
        <rFont val="Verdana"/>
        <family val="2"/>
      </rPr>
      <t xml:space="preserve">                              </t>
    </r>
  </si>
  <si>
    <r>
      <t xml:space="preserve">Nombre común o variedad                                 </t>
    </r>
    <r>
      <rPr>
        <sz val="8"/>
        <rFont val="Verdana"/>
        <family val="2"/>
      </rPr>
      <t>(lote de especie ornamental)</t>
    </r>
  </si>
  <si>
    <t>Medio Natural</t>
  </si>
  <si>
    <t>Cultivo</t>
  </si>
  <si>
    <t>Fuente de las especies</t>
  </si>
  <si>
    <t>FUENTE_SPP</t>
  </si>
  <si>
    <t>Mal transporte</t>
  </si>
  <si>
    <t>XV - Arica y Parinacota</t>
  </si>
  <si>
    <t>I - Tarapacá</t>
  </si>
  <si>
    <t>II - Antofagasta</t>
  </si>
  <si>
    <t>III - Atacama</t>
  </si>
  <si>
    <t>IV - Coquimbo</t>
  </si>
  <si>
    <t>V - Valparaíso</t>
  </si>
  <si>
    <t>VI - O'Higgins</t>
  </si>
  <si>
    <t>VII - Maule</t>
  </si>
  <si>
    <t>VIII - Biobío</t>
  </si>
  <si>
    <t>IX - Araucanía</t>
  </si>
  <si>
    <t>XIV - Los Ríos</t>
  </si>
  <si>
    <t>X - Los Lagos</t>
  </si>
  <si>
    <t>XI - Aysén</t>
  </si>
  <si>
    <t>XII - Magallanes</t>
  </si>
  <si>
    <t>denisonii</t>
  </si>
  <si>
    <t>Aphyosemion gardneri</t>
  </si>
  <si>
    <t>ISKNV</t>
  </si>
  <si>
    <t>Astronotus ocellatus</t>
  </si>
  <si>
    <t>ISKNV-TRBIV</t>
  </si>
  <si>
    <t>VHS-VPC-ISKNV</t>
  </si>
  <si>
    <t>Epalzeorhynchos frenatum</t>
  </si>
  <si>
    <t>IDJ-Megalocytivirus</t>
  </si>
  <si>
    <t>Macropodus opercularis</t>
  </si>
  <si>
    <t>RSIV (IDJ)</t>
  </si>
  <si>
    <t>SUE-VHS-RSIV</t>
  </si>
  <si>
    <t>SUE-ISKNV</t>
  </si>
  <si>
    <t>SUE-RSIV-ISKNV</t>
  </si>
  <si>
    <t>Oxyeleotris marmorata</t>
  </si>
  <si>
    <t>Platax orbicularis</t>
  </si>
  <si>
    <t>Poecilia latipinna</t>
  </si>
  <si>
    <t>VPC-Megalocitovirus</t>
  </si>
  <si>
    <t>Pterapogon kauderni</t>
  </si>
  <si>
    <t>Pterophyllum altum</t>
  </si>
  <si>
    <t>Pterophyllum leopoldi</t>
  </si>
  <si>
    <t>Pterophyllum scalare</t>
  </si>
  <si>
    <t>Trichogaster leerii</t>
  </si>
  <si>
    <t>Trichogaster microlepis</t>
  </si>
  <si>
    <t>Xiphophorus hellerii</t>
  </si>
  <si>
    <t>Xiphophorus maculatus</t>
  </si>
  <si>
    <t>Wallago attu</t>
  </si>
  <si>
    <t>Wallago hexanema</t>
  </si>
  <si>
    <t>Wallago leerii</t>
  </si>
  <si>
    <t>Wallago maculatus</t>
  </si>
  <si>
    <t>Wallago micropogon</t>
  </si>
  <si>
    <t>SUE-ISKNV-TRBIV</t>
  </si>
  <si>
    <t>lalia</t>
  </si>
  <si>
    <t>Trichogaster lalius</t>
  </si>
  <si>
    <t>Duncanopsammia axifuga</t>
  </si>
  <si>
    <t>Megalocitovirus</t>
  </si>
  <si>
    <t>lamarck</t>
  </si>
  <si>
    <t>hectori</t>
  </si>
  <si>
    <t>conchonius</t>
  </si>
  <si>
    <t>Habita en ríos y estuarios salobres, así como en agua dulce</t>
  </si>
  <si>
    <t>XVI - Ñuble</t>
  </si>
  <si>
    <t>XIII - Metropolitana</t>
  </si>
  <si>
    <t>SignoTTo</t>
  </si>
  <si>
    <t>SIGNO_TTO</t>
  </si>
  <si>
    <t>Signo que impulsa tto</t>
  </si>
  <si>
    <t>Branquias rojas</t>
  </si>
  <si>
    <t>Mortalidad sin causa</t>
  </si>
  <si>
    <t>Hipotermia</t>
  </si>
  <si>
    <t>Aletas pegadas</t>
  </si>
  <si>
    <t>Cambios de temperatura</t>
  </si>
  <si>
    <t>Manchas blancas</t>
  </si>
  <si>
    <t>Signo principal observado que impulsó el tratamiento</t>
  </si>
  <si>
    <t>¿Otro? Escribalo en esta celda</t>
  </si>
  <si>
    <t>¿Otra? Escribirla aquí</t>
  </si>
  <si>
    <t>Día insp</t>
  </si>
  <si>
    <t>Mes insp</t>
  </si>
  <si>
    <t>Año insp</t>
  </si>
  <si>
    <t>REG_ESTACION</t>
  </si>
  <si>
    <t>DIA</t>
  </si>
  <si>
    <t>DIA_SEM</t>
  </si>
  <si>
    <t>FECHA_IMPO</t>
  </si>
  <si>
    <t>Aquamovl</t>
  </si>
  <si>
    <t>Ver_OC</t>
  </si>
  <si>
    <t>Versión</t>
  </si>
  <si>
    <t>Item declarados</t>
  </si>
  <si>
    <t>Item OC    = Número correlativo de la orden de cuarentena donde se declaró en específico una especie o variedad importada.</t>
  </si>
  <si>
    <t>IMPORTANTE</t>
  </si>
  <si>
    <t>Rótulo de acuarios que tuvieron tratamiento</t>
  </si>
  <si>
    <t>Declarar tambien Item OC de especies o variedades que no lleguen, indicando un "cero" en real arribado, y nada en ID acuario.</t>
  </si>
  <si>
    <t>+</t>
  </si>
  <si>
    <t>Estadío de desarrollo</t>
  </si>
  <si>
    <t>Juvenil</t>
  </si>
  <si>
    <t>Adulto</t>
  </si>
  <si>
    <t>EST_DESARROLLO</t>
  </si>
  <si>
    <r>
      <t xml:space="preserve">Sólo declarar casillas verdes (ID Acuario, Item OC, Real arribado por acuario, Temperatura promedio, y </t>
    </r>
    <r>
      <rPr>
        <u/>
        <sz val="9"/>
        <color rgb="FFFF0000"/>
        <rFont val="Verdana"/>
        <family val="2"/>
      </rPr>
      <t>listas desplegables</t>
    </r>
    <r>
      <rPr>
        <sz val="9"/>
        <color rgb="FFFF0000"/>
        <rFont val="Verdana"/>
        <family val="2"/>
      </rPr>
      <t xml:space="preserve"> para seleccionar Estadío de desarrollo, fuente de origen y Causa mas probable de muerte (si mortalidad de acuario supera el 35%).</t>
    </r>
  </si>
  <si>
    <t>rhomboocellatus</t>
  </si>
  <si>
    <t>Se entrega o confirma recepción de zoosanitario original antes del día 3 hábil de arribado</t>
  </si>
  <si>
    <t>Respaldos documentales coinciden con individuos importados (Factura y/o certificado)</t>
  </si>
  <si>
    <t>Año Acta</t>
  </si>
  <si>
    <t>jardinii</t>
  </si>
  <si>
    <t>nigroviridis</t>
  </si>
  <si>
    <t>diciembre 2024</t>
  </si>
  <si>
    <t>Los datos de mortalidad, tratamientos y eventos se envían en planilla de OC</t>
  </si>
  <si>
    <t>REGISTRO DE MUESTREO Y/O NECROPSIA</t>
  </si>
  <si>
    <t>Cantidad</t>
  </si>
  <si>
    <t>Tipo de muestra</t>
  </si>
  <si>
    <t>Pez vivo</t>
  </si>
  <si>
    <t>Muerto entero</t>
  </si>
  <si>
    <t>Organos</t>
  </si>
  <si>
    <t>Principal(es) hallazgo(s) a necropsia</t>
  </si>
  <si>
    <t>Descamación</t>
  </si>
  <si>
    <t>Piel eritematosa</t>
  </si>
  <si>
    <t>Piel con ulceras</t>
  </si>
  <si>
    <t>Aletas roídas</t>
  </si>
  <si>
    <t>Branquias pálidas</t>
  </si>
  <si>
    <t>Branquias congestivas</t>
  </si>
  <si>
    <t>Ascitis</t>
  </si>
  <si>
    <t>Ascitis sero-sanguinolenta</t>
  </si>
  <si>
    <t>Rinomegalia</t>
  </si>
  <si>
    <t>Esplenomegalia</t>
  </si>
  <si>
    <t>Hepatomegalia</t>
  </si>
  <si>
    <t>Ppal Hallazgo 1</t>
  </si>
  <si>
    <t>Ppal Hallazgo 2</t>
  </si>
  <si>
    <t>Petequias visceral</t>
  </si>
  <si>
    <t>Petequias cerebral</t>
  </si>
  <si>
    <t>travancoricus</t>
  </si>
  <si>
    <t>8) Otra. Especificar en OBS. (muestreo vigilancia, aforo, sacrificio y destrucción, etc.)</t>
  </si>
  <si>
    <t>tomentosus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</si>
</sst>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 &quot;de&quot;\ mmmm\ &quot;de&quot;\ yyyy"/>
    <numFmt numFmtId="165" formatCode="0.0%"/>
    <numFmt numFmtId="166" formatCode="[$-340A]d&quot; de &quot;mmmm&quot; de &quot;yyyy;@"/>
    <numFmt numFmtId="167" formatCode="dddd"/>
    <numFmt numFmtId="168" formatCode="0#&quot;.&quot;###&quot;.&quot;###&quot;-&quot;#"/>
    <numFmt numFmtId="169" formatCode="dd/mm/yyyy;@"/>
    <numFmt numFmtId="170" formatCode="d/m/yyyy"/>
    <numFmt numFmtId="171" formatCode="yyyy"/>
    <numFmt numFmtId="172" formatCode="mm/yy"/>
    <numFmt numFmtId="173" formatCode="mm"/>
    <numFmt numFmtId="174" formatCode="General;yy"/>
  </numFmts>
  <fonts count="123" x14ac:knownFonts="1">
    <font>
      <sz val="11"/>
      <color theme="1"/>
      <name val="Calibri"/>
      <family val="2"/>
      <scheme val="minor"/>
    </font>
    <font>
      <sz val="12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7"/>
      <name val="Verdana"/>
      <family val="2"/>
    </font>
    <font>
      <b/>
      <sz val="24"/>
      <color indexed="10"/>
      <name val="Verdana"/>
      <family val="2"/>
    </font>
    <font>
      <b/>
      <sz val="14"/>
      <name val="Verdana"/>
      <family val="2"/>
    </font>
    <font>
      <b/>
      <sz val="8"/>
      <name val="Verdana"/>
      <family val="2"/>
    </font>
    <font>
      <b/>
      <sz val="7"/>
      <name val="Verdana"/>
      <family val="2"/>
    </font>
    <font>
      <b/>
      <sz val="8"/>
      <color indexed="56"/>
      <name val="Verdana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8"/>
      <color indexed="60"/>
      <name val="Verdana"/>
      <family val="2"/>
    </font>
    <font>
      <b/>
      <sz val="11"/>
      <color indexed="60"/>
      <name val="Arial"/>
      <family val="2"/>
    </font>
    <font>
      <b/>
      <sz val="9"/>
      <name val="Verdana"/>
      <family val="2"/>
    </font>
    <font>
      <b/>
      <sz val="11"/>
      <color indexed="30"/>
      <name val="Arial"/>
      <family val="2"/>
    </font>
    <font>
      <b/>
      <sz val="10"/>
      <name val="Verdana"/>
      <family val="2"/>
    </font>
    <font>
      <i/>
      <sz val="10"/>
      <name val="Verdana"/>
      <family val="2"/>
    </font>
    <font>
      <b/>
      <sz val="6"/>
      <name val="Verdana"/>
      <family val="2"/>
    </font>
    <font>
      <b/>
      <sz val="7"/>
      <color indexed="10"/>
      <name val="Verdana"/>
      <family val="2"/>
    </font>
    <font>
      <sz val="9"/>
      <name val="Verdana"/>
      <family val="2"/>
    </font>
    <font>
      <i/>
      <sz val="9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i/>
      <sz val="10"/>
      <name val="Verdana"/>
      <family val="2"/>
    </font>
    <font>
      <b/>
      <i/>
      <sz val="8"/>
      <name val="Verdana"/>
      <family val="2"/>
    </font>
    <font>
      <i/>
      <sz val="10"/>
      <color indexed="10"/>
      <name val="Verdana"/>
      <family val="2"/>
    </font>
    <font>
      <sz val="10"/>
      <color theme="1"/>
      <name val="Calibri"/>
      <family val="2"/>
      <scheme val="minor"/>
    </font>
    <font>
      <i/>
      <sz val="8"/>
      <color indexed="10"/>
      <name val="Verdana"/>
      <family val="2"/>
    </font>
    <font>
      <sz val="8"/>
      <color theme="1"/>
      <name val="Calibri"/>
      <family val="2"/>
      <scheme val="minor"/>
    </font>
    <font>
      <b/>
      <i/>
      <sz val="8"/>
      <color indexed="30"/>
      <name val="Verdana"/>
      <family val="2"/>
    </font>
    <font>
      <b/>
      <sz val="11"/>
      <color theme="1"/>
      <name val="Calibri"/>
      <family val="2"/>
      <scheme val="minor"/>
    </font>
    <font>
      <i/>
      <sz val="11"/>
      <color indexed="8"/>
      <name val="Calibri"/>
      <family val="2"/>
    </font>
    <font>
      <b/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6"/>
      <color rgb="FF000000"/>
      <name val="Arial"/>
      <family val="2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4"/>
      <color rgb="FFFF0000"/>
      <name val="Verdana"/>
      <family val="2"/>
    </font>
    <font>
      <b/>
      <sz val="8"/>
      <color theme="5"/>
      <name val="Verdana"/>
      <family val="2"/>
    </font>
    <font>
      <sz val="11"/>
      <color theme="0"/>
      <name val="Calibri"/>
      <family val="2"/>
      <scheme val="minor"/>
    </font>
    <font>
      <b/>
      <sz val="14"/>
      <name val="Arial"/>
      <family val="2"/>
    </font>
    <font>
      <b/>
      <i/>
      <sz val="11"/>
      <color indexed="8"/>
      <name val="Calibri"/>
      <family val="2"/>
    </font>
    <font>
      <sz val="9"/>
      <color indexed="8"/>
      <name val="Calibri"/>
      <family val="2"/>
    </font>
    <font>
      <sz val="9"/>
      <name val="Calibri"/>
      <family val="2"/>
    </font>
    <font>
      <sz val="9"/>
      <color theme="0" tint="-0.34998626667073579"/>
      <name val="Calibri"/>
      <family val="2"/>
    </font>
    <font>
      <sz val="8"/>
      <name val="Calibri"/>
      <family val="2"/>
    </font>
    <font>
      <sz val="12"/>
      <name val="Calibri"/>
      <family val="2"/>
    </font>
    <font>
      <b/>
      <sz val="9"/>
      <name val="Calibri"/>
      <family val="2"/>
    </font>
    <font>
      <i/>
      <sz val="9"/>
      <name val="Calibri"/>
      <family val="2"/>
    </font>
    <font>
      <sz val="7"/>
      <name val="Calibri"/>
      <family val="2"/>
    </font>
    <font>
      <b/>
      <sz val="11"/>
      <name val="Calibri"/>
      <family val="2"/>
    </font>
    <font>
      <b/>
      <sz val="14"/>
      <name val="Calibri"/>
      <family val="2"/>
    </font>
    <font>
      <b/>
      <sz val="10"/>
      <name val="Calibri"/>
      <family val="2"/>
    </font>
    <font>
      <b/>
      <sz val="8"/>
      <name val="Calibri"/>
      <family val="2"/>
    </font>
    <font>
      <sz val="14"/>
      <name val="Calibri"/>
      <family val="2"/>
    </font>
    <font>
      <sz val="10"/>
      <name val="Calibri"/>
      <family val="2"/>
    </font>
    <font>
      <b/>
      <sz val="7"/>
      <name val="Calibri"/>
      <family val="2"/>
    </font>
    <font>
      <sz val="11"/>
      <name val="Calibri"/>
      <family val="2"/>
    </font>
    <font>
      <sz val="9"/>
      <color indexed="10"/>
      <name val="Calibri"/>
      <family val="2"/>
    </font>
    <font>
      <sz val="10.5"/>
      <name val="Calibri"/>
      <family val="2"/>
    </font>
    <font>
      <sz val="8"/>
      <color indexed="8"/>
      <name val="Calibri"/>
      <family val="2"/>
    </font>
    <font>
      <b/>
      <sz val="12"/>
      <name val="Calibri"/>
      <family val="2"/>
    </font>
    <font>
      <sz val="10"/>
      <color theme="1"/>
      <name val="Arial"/>
      <family val="2"/>
    </font>
    <font>
      <b/>
      <sz val="18"/>
      <color rgb="FF000000"/>
      <name val="Calibri"/>
      <family val="2"/>
    </font>
    <font>
      <b/>
      <sz val="11"/>
      <color rgb="FF000000"/>
      <name val="Calibri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18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indexed="30"/>
      <name val="Arial"/>
      <family val="2"/>
    </font>
    <font>
      <sz val="12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6"/>
      <name val="Verdana"/>
      <family val="2"/>
    </font>
    <font>
      <b/>
      <sz val="8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6"/>
      <color theme="5"/>
      <name val="Verdana"/>
      <family val="2"/>
    </font>
    <font>
      <b/>
      <sz val="10"/>
      <color theme="5"/>
      <name val="Verdana"/>
      <family val="2"/>
    </font>
    <font>
      <b/>
      <sz val="10"/>
      <color indexed="60"/>
      <name val="Arial"/>
      <family val="2"/>
    </font>
    <font>
      <b/>
      <sz val="10"/>
      <color indexed="30"/>
      <name val="Arial"/>
      <family val="2"/>
    </font>
    <font>
      <sz val="10"/>
      <color theme="1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sz val="22"/>
      <color theme="1"/>
      <name val="Verdana"/>
      <family val="2"/>
    </font>
    <font>
      <sz val="11"/>
      <color theme="1"/>
      <name val="Verdana"/>
      <family val="2"/>
    </font>
    <font>
      <b/>
      <sz val="24"/>
      <color rgb="FFFF0000"/>
      <name val="Verdana"/>
      <family val="2"/>
    </font>
    <font>
      <sz val="20"/>
      <color theme="1"/>
      <name val="Verdana"/>
      <family val="2"/>
    </font>
    <font>
      <sz val="12"/>
      <color theme="1"/>
      <name val="Verdana"/>
      <family val="2"/>
    </font>
    <font>
      <b/>
      <sz val="12"/>
      <color theme="1"/>
      <name val="Verdana"/>
      <family val="2"/>
    </font>
    <font>
      <b/>
      <sz val="12"/>
      <color rgb="FFC00000"/>
      <name val="Verdana"/>
      <family val="2"/>
    </font>
    <font>
      <sz val="7"/>
      <color theme="1"/>
      <name val="Verdana"/>
      <family val="2"/>
    </font>
    <font>
      <sz val="14"/>
      <color theme="1"/>
      <name val="Verdana"/>
      <family val="2"/>
    </font>
    <font>
      <b/>
      <sz val="16"/>
      <color theme="1"/>
      <name val="Verdana"/>
      <family val="2"/>
    </font>
    <font>
      <b/>
      <sz val="14"/>
      <color theme="1"/>
      <name val="Verdana"/>
      <family val="2"/>
    </font>
    <font>
      <u/>
      <sz val="11"/>
      <color theme="1"/>
      <name val="Verdana"/>
      <family val="2"/>
    </font>
    <font>
      <sz val="14"/>
      <color theme="1"/>
      <name val="Calibri"/>
      <family val="2"/>
      <scheme val="minor"/>
    </font>
    <font>
      <b/>
      <sz val="10"/>
      <color rgb="FFC00000"/>
      <name val="Verdana"/>
      <family val="2"/>
    </font>
    <font>
      <b/>
      <sz val="10"/>
      <color rgb="FFFF0000"/>
      <name val="Verdana"/>
      <family val="2"/>
    </font>
    <font>
      <b/>
      <sz val="10"/>
      <color rgb="FF0070C0"/>
      <name val="Verdana"/>
      <family val="2"/>
    </font>
    <font>
      <b/>
      <sz val="11"/>
      <name val="Verdana"/>
      <family val="2"/>
    </font>
    <font>
      <b/>
      <sz val="9"/>
      <color indexed="8"/>
      <name val="Calibri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name val="Verdana"/>
      <family val="2"/>
    </font>
    <font>
      <i/>
      <sz val="11"/>
      <name val="Verdana"/>
      <family val="2"/>
    </font>
    <font>
      <sz val="13"/>
      <color theme="1"/>
      <name val="Calibri"/>
      <family val="2"/>
      <scheme val="minor"/>
    </font>
    <font>
      <i/>
      <sz val="13"/>
      <color theme="1"/>
      <name val="Calibri"/>
      <family val="2"/>
      <scheme val="minor"/>
    </font>
    <font>
      <sz val="10.5"/>
      <color theme="1"/>
      <name val="Verdana"/>
      <family val="2"/>
    </font>
    <font>
      <b/>
      <sz val="8"/>
      <color indexed="60"/>
      <name val="Arial"/>
      <family val="2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sz val="9"/>
      <color rgb="FFFF0000"/>
      <name val="Verdana"/>
      <family val="2"/>
    </font>
    <font>
      <u/>
      <sz val="9"/>
      <color rgb="FFFF0000"/>
      <name val="Verdana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10"/>
      <color indexed="81"/>
      <name val="Tahoma"/>
      <charset val="1"/>
    </font>
    <font>
      <sz val="10"/>
      <color indexed="81"/>
      <name val="Tahoma"/>
      <charset val="1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FF"/>
        <bgColor indexed="42"/>
      </patternFill>
    </fill>
    <fill>
      <patternFill patternType="solid">
        <fgColor rgb="FFCCFFFF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/>
        <bgColor indexed="42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</fills>
  <borders count="1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ashed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 style="dashed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ashed">
        <color indexed="64"/>
      </right>
      <top style="dashed">
        <color indexed="64"/>
      </top>
      <bottom/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 style="double">
        <color indexed="64"/>
      </left>
      <right style="dashed">
        <color indexed="64"/>
      </right>
      <top style="double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ouble">
        <color indexed="64"/>
      </top>
      <bottom style="dashed">
        <color indexed="64"/>
      </bottom>
      <diagonal/>
    </border>
    <border>
      <left style="dashed">
        <color indexed="64"/>
      </left>
      <right style="thin">
        <color indexed="64"/>
      </right>
      <top style="double">
        <color indexed="64"/>
      </top>
      <bottom style="dashed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ashed">
        <color indexed="64"/>
      </bottom>
      <diagonal/>
    </border>
    <border>
      <left style="double">
        <color indexed="64"/>
      </left>
      <right style="dashed">
        <color indexed="64"/>
      </right>
      <top style="dashed">
        <color indexed="64"/>
      </top>
      <bottom/>
      <diagonal/>
    </border>
    <border>
      <left style="thin">
        <color indexed="64"/>
      </left>
      <right style="double">
        <color indexed="64"/>
      </right>
      <top style="dashed">
        <color indexed="64"/>
      </top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dashed">
        <color indexed="64"/>
      </bottom>
      <diagonal/>
    </border>
    <border>
      <left style="double">
        <color indexed="64"/>
      </left>
      <right style="dashed">
        <color indexed="64"/>
      </right>
      <top/>
      <bottom style="dashed">
        <color indexed="64"/>
      </bottom>
      <diagonal/>
    </border>
    <border>
      <left style="double">
        <color indexed="64"/>
      </left>
      <right style="dashed">
        <color indexed="64"/>
      </right>
      <top style="dashed">
        <color indexed="64"/>
      </top>
      <bottom style="double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ouble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ashed">
        <color indexed="64"/>
      </top>
      <bottom style="double">
        <color indexed="64"/>
      </bottom>
      <diagonal/>
    </border>
    <border>
      <left style="dashed">
        <color indexed="64"/>
      </left>
      <right/>
      <top style="double">
        <color indexed="64"/>
      </top>
      <bottom style="dashed">
        <color indexed="64"/>
      </bottom>
      <diagonal/>
    </border>
    <border>
      <left/>
      <right/>
      <top style="double">
        <color indexed="64"/>
      </top>
      <bottom style="dashed">
        <color indexed="64"/>
      </bottom>
      <diagonal/>
    </border>
    <border>
      <left/>
      <right style="thin">
        <color indexed="64"/>
      </right>
      <top style="double">
        <color indexed="64"/>
      </top>
      <bottom style="dashed">
        <color indexed="64"/>
      </bottom>
      <diagonal/>
    </border>
    <border>
      <left style="double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/>
      <top style="dashed">
        <color indexed="64"/>
      </top>
      <bottom style="double">
        <color indexed="64"/>
      </bottom>
      <diagonal/>
    </border>
    <border>
      <left/>
      <right/>
      <top style="dashed">
        <color indexed="64"/>
      </top>
      <bottom style="double">
        <color indexed="64"/>
      </bottom>
      <diagonal/>
    </border>
    <border>
      <left/>
      <right style="thin">
        <color indexed="64"/>
      </right>
      <top style="dashed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ashed">
        <color indexed="64"/>
      </bottom>
      <diagonal/>
    </border>
    <border>
      <left/>
      <right style="dashed">
        <color indexed="64"/>
      </right>
      <top style="double">
        <color indexed="64"/>
      </top>
      <bottom style="dashed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ashed">
        <color indexed="64"/>
      </top>
      <bottom style="double">
        <color indexed="64"/>
      </bottom>
      <diagonal/>
    </border>
    <border>
      <left/>
      <right style="dashed">
        <color indexed="64"/>
      </right>
      <top style="dashed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0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9" fontId="38" fillId="0" borderId="0" applyFont="0" applyFill="0" applyBorder="0" applyAlignment="0" applyProtection="0"/>
  </cellStyleXfs>
  <cellXfs count="930">
    <xf numFmtId="0" fontId="0" fillId="0" borderId="0" xfId="0"/>
    <xf numFmtId="0" fontId="16" fillId="2" borderId="0" xfId="0" applyFont="1" applyFill="1" applyAlignment="1">
      <alignment horizontal="left" vertical="center" shrinkToFit="1"/>
    </xf>
    <xf numFmtId="0" fontId="14" fillId="2" borderId="0" xfId="0" applyFont="1" applyFill="1" applyAlignment="1">
      <alignment horizontal="center" vertical="center" shrinkToFit="1"/>
    </xf>
    <xf numFmtId="0" fontId="17" fillId="2" borderId="0" xfId="0" applyFont="1" applyFill="1" applyAlignment="1">
      <alignment horizontal="left" vertical="center"/>
    </xf>
    <xf numFmtId="0" fontId="2" fillId="2" borderId="0" xfId="0" applyFont="1" applyFill="1" applyAlignment="1">
      <alignment vertical="center"/>
    </xf>
    <xf numFmtId="0" fontId="7" fillId="2" borderId="15" xfId="0" applyFont="1" applyFill="1" applyBorder="1" applyAlignment="1">
      <alignment horizontal="center" vertical="center" shrinkToFit="1"/>
    </xf>
    <xf numFmtId="3" fontId="7" fillId="2" borderId="0" xfId="0" applyNumberFormat="1" applyFont="1" applyFill="1" applyAlignment="1">
      <alignment horizontal="center" vertical="center" shrinkToFit="1"/>
    </xf>
    <xf numFmtId="0" fontId="32" fillId="0" borderId="0" xfId="0" applyFont="1"/>
    <xf numFmtId="0" fontId="36" fillId="0" borderId="0" xfId="0" applyFont="1" applyAlignment="1">
      <alignment horizontal="left" wrapText="1"/>
    </xf>
    <xf numFmtId="0" fontId="0" fillId="10" borderId="34" xfId="0" applyFill="1" applyBorder="1"/>
    <xf numFmtId="0" fontId="0" fillId="9" borderId="0" xfId="0" applyFill="1"/>
    <xf numFmtId="0" fontId="0" fillId="0" borderId="0" xfId="0" applyAlignment="1">
      <alignment horizontal="left" vertical="top"/>
    </xf>
    <xf numFmtId="0" fontId="0" fillId="11" borderId="0" xfId="0" applyFill="1"/>
    <xf numFmtId="0" fontId="0" fillId="10" borderId="35" xfId="0" applyFill="1" applyBorder="1"/>
    <xf numFmtId="0" fontId="0" fillId="9" borderId="35" xfId="0" applyFill="1" applyBorder="1"/>
    <xf numFmtId="0" fontId="37" fillId="0" borderId="0" xfId="0" applyFont="1"/>
    <xf numFmtId="0" fontId="7" fillId="2" borderId="36" xfId="0" applyFont="1" applyFill="1" applyBorder="1" applyAlignment="1">
      <alignment horizontal="center" vertical="center" shrinkToFit="1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16" fontId="0" fillId="0" borderId="2" xfId="0" applyNumberFormat="1" applyBorder="1" applyAlignment="1">
      <alignment horizontal="center" vertical="center" shrinkToFit="1"/>
    </xf>
    <xf numFmtId="167" fontId="29" fillId="0" borderId="2" xfId="0" applyNumberFormat="1" applyFont="1" applyBorder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0" fillId="0" borderId="0" xfId="0" applyAlignment="1">
      <alignment shrinkToFit="1"/>
    </xf>
    <xf numFmtId="0" fontId="0" fillId="0" borderId="16" xfId="0" applyBorder="1" applyAlignment="1">
      <alignment horizontal="center" vertical="center" shrinkToFit="1"/>
    </xf>
    <xf numFmtId="0" fontId="40" fillId="0" borderId="0" xfId="0" applyFont="1"/>
    <xf numFmtId="0" fontId="0" fillId="0" borderId="0" xfId="0" applyAlignment="1">
      <alignment vertical="center" wrapText="1"/>
    </xf>
    <xf numFmtId="0" fontId="0" fillId="0" borderId="0" xfId="0" applyAlignment="1">
      <alignment horizontal="left" vertical="center" wrapText="1"/>
    </xf>
    <xf numFmtId="0" fontId="31" fillId="0" borderId="0" xfId="0" applyFont="1" applyAlignment="1">
      <alignment vertical="center"/>
    </xf>
    <xf numFmtId="0" fontId="0" fillId="0" borderId="2" xfId="0" applyBorder="1" applyAlignment="1">
      <alignment horizontal="center" vertical="center" wrapText="1"/>
    </xf>
    <xf numFmtId="3" fontId="11" fillId="2" borderId="0" xfId="0" applyNumberFormat="1" applyFont="1" applyFill="1" applyAlignment="1">
      <alignment vertical="center" wrapText="1"/>
    </xf>
    <xf numFmtId="0" fontId="1" fillId="2" borderId="0" xfId="0" applyFont="1" applyFill="1" applyAlignment="1">
      <alignment vertical="center"/>
    </xf>
    <xf numFmtId="0" fontId="2" fillId="2" borderId="0" xfId="0" applyFont="1" applyFill="1" applyAlignment="1">
      <alignment horizontal="left" vertical="center"/>
    </xf>
    <xf numFmtId="0" fontId="16" fillId="2" borderId="0" xfId="0" applyFont="1" applyFill="1" applyAlignment="1">
      <alignment vertical="center"/>
    </xf>
    <xf numFmtId="0" fontId="33" fillId="0" borderId="0" xfId="0" applyFont="1"/>
    <xf numFmtId="0" fontId="31" fillId="0" borderId="0" xfId="0" applyFont="1"/>
    <xf numFmtId="0" fontId="1" fillId="2" borderId="0" xfId="0" applyFont="1" applyFill="1" applyAlignment="1">
      <alignment horizontal="left" vertical="center"/>
    </xf>
    <xf numFmtId="0" fontId="1" fillId="0" borderId="0" xfId="0" applyFont="1" applyAlignment="1">
      <alignment vertical="center"/>
    </xf>
    <xf numFmtId="0" fontId="3" fillId="2" borderId="0" xfId="0" applyFont="1" applyFill="1" applyAlignment="1">
      <alignment vertical="center"/>
    </xf>
    <xf numFmtId="3" fontId="3" fillId="2" borderId="0" xfId="0" applyNumberFormat="1" applyFont="1" applyFill="1" applyAlignment="1">
      <alignment horizontal="left" vertical="center"/>
    </xf>
    <xf numFmtId="0" fontId="32" fillId="11" borderId="0" xfId="0" applyFont="1" applyFill="1"/>
    <xf numFmtId="0" fontId="4" fillId="2" borderId="0" xfId="0" applyFont="1" applyFill="1" applyAlignment="1">
      <alignment vertical="center" wrapText="1"/>
    </xf>
    <xf numFmtId="0" fontId="6" fillId="2" borderId="0" xfId="0" applyFont="1" applyFill="1" applyAlignment="1">
      <alignment horizontal="center" vertical="center"/>
    </xf>
    <xf numFmtId="0" fontId="19" fillId="2" borderId="4" xfId="0" applyFont="1" applyFill="1" applyBorder="1" applyAlignment="1">
      <alignment vertical="center" textRotation="90" shrinkToFit="1"/>
    </xf>
    <xf numFmtId="0" fontId="18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8" fillId="12" borderId="0" xfId="0" applyFont="1" applyFill="1" applyAlignment="1">
      <alignment horizontal="center" vertical="center" wrapText="1"/>
    </xf>
    <xf numFmtId="2" fontId="18" fillId="0" borderId="0" xfId="0" applyNumberFormat="1" applyFont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0" fontId="0" fillId="8" borderId="0" xfId="0" applyFill="1"/>
    <xf numFmtId="0" fontId="4" fillId="8" borderId="0" xfId="0" applyFont="1" applyFill="1" applyAlignment="1">
      <alignment vertical="center" textRotation="90"/>
    </xf>
    <xf numFmtId="0" fontId="2" fillId="8" borderId="0" xfId="0" applyFont="1" applyFill="1" applyAlignment="1">
      <alignment vertical="center"/>
    </xf>
    <xf numFmtId="0" fontId="1" fillId="8" borderId="0" xfId="0" applyFont="1" applyFill="1" applyAlignment="1">
      <alignment vertical="center"/>
    </xf>
    <xf numFmtId="0" fontId="1" fillId="8" borderId="0" xfId="0" applyFont="1" applyFill="1" applyAlignment="1">
      <alignment horizontal="left" vertical="center"/>
    </xf>
    <xf numFmtId="0" fontId="2" fillId="8" borderId="0" xfId="0" applyFont="1" applyFill="1" applyAlignment="1">
      <alignment horizontal="center" vertical="center"/>
    </xf>
    <xf numFmtId="0" fontId="35" fillId="0" borderId="0" xfId="0" applyFont="1"/>
    <xf numFmtId="0" fontId="8" fillId="2" borderId="0" xfId="0" applyFont="1" applyFill="1" applyAlignment="1">
      <alignment vertical="center" wrapText="1"/>
    </xf>
    <xf numFmtId="0" fontId="9" fillId="2" borderId="0" xfId="0" applyFont="1" applyFill="1" applyAlignment="1">
      <alignment vertical="center"/>
    </xf>
    <xf numFmtId="0" fontId="7" fillId="2" borderId="0" xfId="0" applyFont="1" applyFill="1" applyAlignment="1">
      <alignment vertical="center" shrinkToFit="1"/>
    </xf>
    <xf numFmtId="3" fontId="10" fillId="2" borderId="0" xfId="0" applyNumberFormat="1" applyFont="1" applyFill="1" applyAlignment="1">
      <alignment vertical="center"/>
    </xf>
    <xf numFmtId="0" fontId="7" fillId="2" borderId="0" xfId="0" applyFont="1" applyFill="1" applyAlignment="1">
      <alignment horizontal="center" vertical="center" shrinkToFit="1"/>
    </xf>
    <xf numFmtId="165" fontId="12" fillId="2" borderId="0" xfId="0" applyNumberFormat="1" applyFont="1" applyFill="1" applyAlignment="1">
      <alignment vertical="center" shrinkToFit="1"/>
    </xf>
    <xf numFmtId="3" fontId="13" fillId="2" borderId="0" xfId="0" applyNumberFormat="1" applyFont="1" applyFill="1" applyAlignment="1">
      <alignment vertical="center"/>
    </xf>
    <xf numFmtId="3" fontId="15" fillId="2" borderId="0" xfId="0" applyNumberFormat="1" applyFont="1" applyFill="1" applyAlignment="1">
      <alignment vertical="center"/>
    </xf>
    <xf numFmtId="0" fontId="24" fillId="8" borderId="0" xfId="0" applyFont="1" applyFill="1" applyAlignment="1">
      <alignment vertical="center"/>
    </xf>
    <xf numFmtId="0" fontId="25" fillId="8" borderId="0" xfId="0" applyFont="1" applyFill="1" applyAlignment="1">
      <alignment vertical="center"/>
    </xf>
    <xf numFmtId="0" fontId="28" fillId="8" borderId="0" xfId="0" applyFont="1" applyFill="1" applyAlignment="1">
      <alignment shrinkToFit="1"/>
    </xf>
    <xf numFmtId="0" fontId="0" fillId="5" borderId="64" xfId="0" applyFill="1" applyBorder="1" applyAlignment="1" applyProtection="1">
      <alignment horizontal="center" vertical="center"/>
      <protection locked="0"/>
    </xf>
    <xf numFmtId="0" fontId="0" fillId="5" borderId="70" xfId="0" applyFill="1" applyBorder="1" applyAlignment="1" applyProtection="1">
      <alignment horizontal="center" vertical="center"/>
      <protection locked="0"/>
    </xf>
    <xf numFmtId="0" fontId="39" fillId="8" borderId="62" xfId="0" applyFont="1" applyFill="1" applyBorder="1" applyAlignment="1">
      <alignment horizontal="center" vertical="center"/>
    </xf>
    <xf numFmtId="0" fontId="0" fillId="7" borderId="2" xfId="0" applyFill="1" applyBorder="1" applyAlignment="1" applyProtection="1">
      <alignment horizontal="center" vertical="center"/>
      <protection locked="0"/>
    </xf>
    <xf numFmtId="0" fontId="45" fillId="12" borderId="85" xfId="0" applyFont="1" applyFill="1" applyBorder="1"/>
    <xf numFmtId="0" fontId="0" fillId="7" borderId="16" xfId="0" applyFill="1" applyBorder="1" applyAlignment="1" applyProtection="1">
      <alignment horizontal="center" vertical="center" wrapText="1"/>
      <protection locked="0"/>
    </xf>
    <xf numFmtId="0" fontId="46" fillId="2" borderId="0" xfId="0" applyFont="1" applyFill="1"/>
    <xf numFmtId="0" fontId="47" fillId="2" borderId="0" xfId="0" applyFont="1" applyFill="1" applyAlignment="1">
      <alignment horizontal="left"/>
    </xf>
    <xf numFmtId="0" fontId="47" fillId="2" borderId="0" xfId="0" applyFont="1" applyFill="1" applyAlignment="1">
      <alignment wrapText="1"/>
    </xf>
    <xf numFmtId="0" fontId="47" fillId="2" borderId="0" xfId="0" applyFont="1" applyFill="1"/>
    <xf numFmtId="0" fontId="48" fillId="0" borderId="0" xfId="0" applyFont="1"/>
    <xf numFmtId="0" fontId="46" fillId="0" borderId="0" xfId="0" applyFont="1"/>
    <xf numFmtId="0" fontId="49" fillId="2" borderId="0" xfId="0" applyFont="1" applyFill="1" applyAlignment="1">
      <alignment vertical="center" wrapText="1"/>
    </xf>
    <xf numFmtId="0" fontId="50" fillId="2" borderId="0" xfId="0" applyFont="1" applyFill="1" applyAlignment="1">
      <alignment horizontal="left"/>
    </xf>
    <xf numFmtId="0" fontId="50" fillId="2" borderId="0" xfId="0" applyFont="1" applyFill="1"/>
    <xf numFmtId="0" fontId="52" fillId="2" borderId="0" xfId="0" applyFont="1" applyFill="1" applyAlignment="1">
      <alignment horizontal="left"/>
    </xf>
    <xf numFmtId="0" fontId="53" fillId="2" borderId="0" xfId="0" applyFont="1" applyFill="1" applyAlignment="1">
      <alignment horizontal="left" vertical="center" wrapText="1"/>
    </xf>
    <xf numFmtId="0" fontId="47" fillId="2" borderId="0" xfId="0" applyFont="1" applyFill="1" applyAlignment="1">
      <alignment horizontal="center" vertical="center" wrapText="1"/>
    </xf>
    <xf numFmtId="14" fontId="51" fillId="2" borderId="0" xfId="0" applyNumberFormat="1" applyFont="1" applyFill="1" applyAlignment="1">
      <alignment horizontal="center" vertical="center" wrapText="1"/>
    </xf>
    <xf numFmtId="0" fontId="49" fillId="2" borderId="0" xfId="0" applyFont="1" applyFill="1" applyAlignment="1">
      <alignment vertical="center"/>
    </xf>
    <xf numFmtId="0" fontId="54" fillId="2" borderId="0" xfId="0" applyFont="1" applyFill="1"/>
    <xf numFmtId="0" fontId="49" fillId="2" borderId="0" xfId="0" applyFont="1" applyFill="1" applyAlignment="1">
      <alignment vertical="center" textRotation="90"/>
    </xf>
    <xf numFmtId="0" fontId="51" fillId="2" borderId="26" xfId="0" applyFont="1" applyFill="1" applyBorder="1" applyAlignment="1">
      <alignment horizontal="center" vertical="center"/>
    </xf>
    <xf numFmtId="0" fontId="62" fillId="2" borderId="0" xfId="0" applyFont="1" applyFill="1"/>
    <xf numFmtId="0" fontId="62" fillId="0" borderId="0" xfId="0" applyFont="1"/>
    <xf numFmtId="0" fontId="51" fillId="2" borderId="2" xfId="0" applyFont="1" applyFill="1" applyBorder="1" applyAlignment="1">
      <alignment horizontal="center" vertical="center"/>
    </xf>
    <xf numFmtId="0" fontId="64" fillId="2" borderId="0" xfId="0" applyFont="1" applyFill="1"/>
    <xf numFmtId="0" fontId="49" fillId="2" borderId="0" xfId="0" applyFont="1" applyFill="1"/>
    <xf numFmtId="0" fontId="47" fillId="2" borderId="0" xfId="0" applyFont="1" applyFill="1" applyAlignment="1">
      <alignment vertical="center" shrinkToFit="1"/>
    </xf>
    <xf numFmtId="0" fontId="47" fillId="2" borderId="0" xfId="0" applyFont="1" applyFill="1" applyAlignment="1">
      <alignment horizontal="left" vertical="top"/>
    </xf>
    <xf numFmtId="0" fontId="47" fillId="2" borderId="0" xfId="0" applyFont="1" applyFill="1" applyAlignment="1">
      <alignment horizontal="center"/>
    </xf>
    <xf numFmtId="0" fontId="47" fillId="0" borderId="0" xfId="0" applyFont="1" applyAlignment="1">
      <alignment horizontal="left"/>
    </xf>
    <xf numFmtId="0" fontId="47" fillId="0" borderId="0" xfId="0" applyFont="1"/>
    <xf numFmtId="0" fontId="51" fillId="2" borderId="0" xfId="0" applyFont="1" applyFill="1" applyAlignment="1">
      <alignment horizontal="center" wrapText="1"/>
    </xf>
    <xf numFmtId="0" fontId="51" fillId="2" borderId="0" xfId="0" applyFont="1" applyFill="1" applyAlignment="1">
      <alignment horizontal="center"/>
    </xf>
    <xf numFmtId="0" fontId="47" fillId="0" borderId="0" xfId="0" applyFont="1" applyAlignment="1">
      <alignment wrapText="1"/>
    </xf>
    <xf numFmtId="0" fontId="50" fillId="0" borderId="0" xfId="0" applyFont="1" applyAlignment="1">
      <alignment horizontal="left"/>
    </xf>
    <xf numFmtId="0" fontId="50" fillId="0" borderId="0" xfId="0" applyFont="1"/>
    <xf numFmtId="0" fontId="59" fillId="0" borderId="0" xfId="0" applyFont="1"/>
    <xf numFmtId="0" fontId="65" fillId="0" borderId="0" xfId="0" applyFont="1" applyAlignment="1">
      <alignment horizontal="center"/>
    </xf>
    <xf numFmtId="0" fontId="66" fillId="0" borderId="0" xfId="0" applyFont="1" applyAlignment="1">
      <alignment horizontal="center" vertical="center"/>
    </xf>
    <xf numFmtId="0" fontId="68" fillId="0" borderId="104" xfId="0" applyFont="1" applyBorder="1" applyAlignment="1">
      <alignment horizontal="center" vertical="center"/>
    </xf>
    <xf numFmtId="0" fontId="68" fillId="0" borderId="105" xfId="0" applyFont="1" applyBorder="1" applyAlignment="1">
      <alignment horizontal="center" vertical="center"/>
    </xf>
    <xf numFmtId="0" fontId="68" fillId="0" borderId="105" xfId="0" applyFont="1" applyBorder="1" applyAlignment="1">
      <alignment horizontal="center" vertical="center" shrinkToFit="1"/>
    </xf>
    <xf numFmtId="0" fontId="71" fillId="0" borderId="105" xfId="0" applyFont="1" applyBorder="1" applyAlignment="1">
      <alignment horizontal="center" vertical="center" shrinkToFit="1"/>
    </xf>
    <xf numFmtId="0" fontId="66" fillId="0" borderId="104" xfId="0" applyFont="1" applyBorder="1" applyAlignment="1">
      <alignment horizontal="center" vertical="center"/>
    </xf>
    <xf numFmtId="1" fontId="66" fillId="0" borderId="104" xfId="0" applyNumberFormat="1" applyFont="1" applyBorder="1" applyAlignment="1">
      <alignment horizontal="center" vertical="center"/>
    </xf>
    <xf numFmtId="49" fontId="66" fillId="0" borderId="104" xfId="0" applyNumberFormat="1" applyFont="1" applyBorder="1" applyAlignment="1">
      <alignment horizontal="center" vertical="center"/>
    </xf>
    <xf numFmtId="170" fontId="66" fillId="0" borderId="104" xfId="0" applyNumberFormat="1" applyFont="1" applyBorder="1" applyAlignment="1">
      <alignment horizontal="center" vertical="center"/>
    </xf>
    <xf numFmtId="10" fontId="66" fillId="0" borderId="104" xfId="0" applyNumberFormat="1" applyFont="1" applyBorder="1" applyAlignment="1">
      <alignment horizontal="center" vertical="center"/>
    </xf>
    <xf numFmtId="0" fontId="66" fillId="0" borderId="104" xfId="0" applyFont="1" applyBorder="1" applyAlignment="1">
      <alignment horizontal="center" vertical="center" shrinkToFit="1"/>
    </xf>
    <xf numFmtId="3" fontId="44" fillId="0" borderId="0" xfId="0" applyNumberFormat="1" applyFont="1" applyAlignment="1">
      <alignment vertical="center"/>
    </xf>
    <xf numFmtId="3" fontId="15" fillId="0" borderId="0" xfId="0" applyNumberFormat="1" applyFont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0" fillId="0" borderId="0" xfId="0" applyAlignment="1">
      <alignment vertical="center" shrinkToFit="1"/>
    </xf>
    <xf numFmtId="0" fontId="39" fillId="0" borderId="0" xfId="0" applyFont="1" applyAlignment="1">
      <alignment vertical="center" wrapText="1"/>
    </xf>
    <xf numFmtId="0" fontId="27" fillId="0" borderId="0" xfId="0" applyFont="1" applyAlignment="1">
      <alignment vertical="center" wrapText="1"/>
    </xf>
    <xf numFmtId="0" fontId="39" fillId="0" borderId="2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34" fillId="0" borderId="16" xfId="0" applyFont="1" applyBorder="1" applyAlignment="1">
      <alignment horizontal="center" vertical="center" shrinkToFit="1"/>
    </xf>
    <xf numFmtId="0" fontId="43" fillId="0" borderId="0" xfId="0" applyFont="1" applyAlignment="1">
      <alignment horizontal="center" vertical="center"/>
    </xf>
    <xf numFmtId="0" fontId="31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 shrinkToFit="1"/>
    </xf>
    <xf numFmtId="0" fontId="27" fillId="0" borderId="43" xfId="0" applyFont="1" applyBorder="1" applyAlignment="1">
      <alignment horizontal="center" vertical="center" wrapText="1"/>
    </xf>
    <xf numFmtId="0" fontId="39" fillId="0" borderId="43" xfId="0" applyFont="1" applyBorder="1" applyAlignment="1">
      <alignment horizontal="center" vertical="center" wrapText="1"/>
    </xf>
    <xf numFmtId="0" fontId="27" fillId="0" borderId="16" xfId="0" applyFont="1" applyBorder="1" applyAlignment="1">
      <alignment horizontal="center" vertical="center" wrapText="1" shrinkToFit="1"/>
    </xf>
    <xf numFmtId="0" fontId="27" fillId="0" borderId="16" xfId="0" applyFont="1" applyBorder="1" applyAlignment="1">
      <alignment horizontal="center" vertical="center" shrinkToFi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 shrinkToFit="1"/>
    </xf>
    <xf numFmtId="0" fontId="34" fillId="0" borderId="0" xfId="0" applyFont="1" applyAlignment="1">
      <alignment horizontal="center" wrapText="1" shrinkToFit="1"/>
    </xf>
    <xf numFmtId="0" fontId="0" fillId="0" borderId="0" xfId="0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wrapText="1"/>
      <protection locked="0"/>
    </xf>
    <xf numFmtId="0" fontId="29" fillId="0" borderId="2" xfId="0" applyFont="1" applyBorder="1" applyAlignment="1">
      <alignment horizontal="center" vertical="center" wrapText="1"/>
    </xf>
    <xf numFmtId="0" fontId="73" fillId="0" borderId="1" xfId="0" applyFont="1" applyBorder="1" applyAlignment="1">
      <alignment vertical="center" wrapText="1"/>
    </xf>
    <xf numFmtId="0" fontId="73" fillId="0" borderId="24" xfId="0" applyFont="1" applyBorder="1" applyAlignment="1">
      <alignment vertical="center" wrapText="1"/>
    </xf>
    <xf numFmtId="0" fontId="0" fillId="0" borderId="0" xfId="0" applyAlignment="1" applyProtection="1">
      <alignment horizontal="center" vertical="center" shrinkToFit="1"/>
      <protection locked="0"/>
    </xf>
    <xf numFmtId="0" fontId="27" fillId="0" borderId="0" xfId="0" applyFont="1" applyAlignment="1">
      <alignment horizontal="center" vertical="center" wrapText="1"/>
    </xf>
    <xf numFmtId="0" fontId="31" fillId="0" borderId="24" xfId="0" applyFont="1" applyBorder="1" applyAlignment="1">
      <alignment vertical="center" wrapText="1"/>
    </xf>
    <xf numFmtId="0" fontId="27" fillId="0" borderId="0" xfId="0" applyFont="1" applyAlignment="1">
      <alignment vertical="top" wrapText="1"/>
    </xf>
    <xf numFmtId="14" fontId="0" fillId="7" borderId="2" xfId="0" applyNumberFormat="1" applyFill="1" applyBorder="1" applyAlignment="1" applyProtection="1">
      <alignment horizontal="center" vertical="center" wrapText="1" shrinkToFit="1"/>
      <protection locked="0"/>
    </xf>
    <xf numFmtId="14" fontId="34" fillId="7" borderId="16" xfId="0" applyNumberFormat="1" applyFont="1" applyFill="1" applyBorder="1" applyAlignment="1" applyProtection="1">
      <alignment horizontal="center" wrapText="1" shrinkToFit="1"/>
      <protection locked="0"/>
    </xf>
    <xf numFmtId="0" fontId="0" fillId="7" borderId="16" xfId="0" applyFill="1" applyBorder="1" applyAlignment="1" applyProtection="1">
      <alignment horizontal="center" vertical="center" shrinkToFit="1"/>
      <protection locked="0"/>
    </xf>
    <xf numFmtId="0" fontId="0" fillId="7" borderId="2" xfId="0" applyFill="1" applyBorder="1" applyAlignment="1" applyProtection="1">
      <alignment horizontal="center" vertical="center" wrapText="1"/>
      <protection locked="0"/>
    </xf>
    <xf numFmtId="0" fontId="6" fillId="2" borderId="0" xfId="0" applyFont="1" applyFill="1" applyAlignment="1">
      <alignment vertical="center"/>
    </xf>
    <xf numFmtId="0" fontId="0" fillId="0" borderId="2" xfId="0" applyBorder="1" applyAlignment="1">
      <alignment horizontal="center" vertical="center" shrinkToFit="1"/>
    </xf>
    <xf numFmtId="0" fontId="0" fillId="0" borderId="0" xfId="0" applyAlignment="1">
      <alignment vertical="top" wrapText="1"/>
    </xf>
    <xf numFmtId="167" fontId="79" fillId="0" borderId="2" xfId="0" applyNumberFormat="1" applyFont="1" applyBorder="1" applyAlignment="1">
      <alignment horizontal="center" vertical="center" shrinkToFit="1"/>
    </xf>
    <xf numFmtId="16" fontId="37" fillId="0" borderId="2" xfId="0" applyNumberFormat="1" applyFont="1" applyBorder="1" applyAlignment="1">
      <alignment horizontal="center" vertical="center" shrinkToFit="1"/>
    </xf>
    <xf numFmtId="0" fontId="37" fillId="0" borderId="2" xfId="0" applyFont="1" applyBorder="1" applyAlignment="1">
      <alignment horizontal="center" vertical="center"/>
    </xf>
    <xf numFmtId="14" fontId="0" fillId="7" borderId="16" xfId="0" applyNumberFormat="1" applyFill="1" applyBorder="1" applyAlignment="1" applyProtection="1">
      <alignment horizontal="center" vertical="center" shrinkToFit="1"/>
      <protection locked="0"/>
    </xf>
    <xf numFmtId="0" fontId="0" fillId="9" borderId="34" xfId="0" applyFill="1" applyBorder="1"/>
    <xf numFmtId="0" fontId="0" fillId="9" borderId="106" xfId="0" applyFill="1" applyBorder="1"/>
    <xf numFmtId="0" fontId="0" fillId="10" borderId="106" xfId="0" applyFill="1" applyBorder="1"/>
    <xf numFmtId="0" fontId="0" fillId="0" borderId="34" xfId="0" applyBorder="1"/>
    <xf numFmtId="0" fontId="0" fillId="0" borderId="106" xfId="0" applyBorder="1"/>
    <xf numFmtId="0" fontId="0" fillId="0" borderId="35" xfId="0" applyBorder="1"/>
    <xf numFmtId="0" fontId="29" fillId="0" borderId="43" xfId="0" applyFont="1" applyBorder="1" applyAlignment="1">
      <alignment horizontal="center" vertical="center" shrinkToFit="1"/>
    </xf>
    <xf numFmtId="0" fontId="39" fillId="7" borderId="2" xfId="0" applyFont="1" applyFill="1" applyBorder="1" applyAlignment="1" applyProtection="1">
      <alignment horizontal="center" wrapText="1"/>
      <protection locked="0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center"/>
    </xf>
    <xf numFmtId="0" fontId="31" fillId="0" borderId="0" xfId="0" applyFont="1" applyAlignment="1">
      <alignment horizontal="center" vertical="center" shrinkToFit="1"/>
    </xf>
    <xf numFmtId="171" fontId="0" fillId="0" borderId="2" xfId="0" applyNumberFormat="1" applyBorder="1" applyAlignment="1">
      <alignment horizontal="center" vertical="center" shrinkToFit="1"/>
    </xf>
    <xf numFmtId="172" fontId="0" fillId="0" borderId="2" xfId="0" applyNumberFormat="1" applyBorder="1" applyAlignment="1">
      <alignment horizontal="center" vertical="center" shrinkToFit="1"/>
    </xf>
    <xf numFmtId="173" fontId="0" fillId="0" borderId="2" xfId="0" applyNumberFormat="1" applyBorder="1" applyAlignment="1">
      <alignment horizontal="center" vertical="center" shrinkToFit="1"/>
    </xf>
    <xf numFmtId="174" fontId="0" fillId="0" borderId="2" xfId="0" applyNumberFormat="1" applyBorder="1" applyAlignment="1">
      <alignment horizontal="center" vertical="center" shrinkToFit="1"/>
    </xf>
    <xf numFmtId="2" fontId="0" fillId="0" borderId="0" xfId="0" applyNumberFormat="1"/>
    <xf numFmtId="0" fontId="35" fillId="0" borderId="0" xfId="0" applyFont="1" applyAlignment="1">
      <alignment horizontal="center" vertical="center" shrinkToFit="1"/>
    </xf>
    <xf numFmtId="0" fontId="35" fillId="0" borderId="0" xfId="0" applyFont="1" applyAlignment="1">
      <alignment shrinkToFit="1"/>
    </xf>
    <xf numFmtId="3" fontId="44" fillId="2" borderId="0" xfId="0" applyNumberFormat="1" applyFont="1" applyFill="1" applyAlignment="1">
      <alignment vertical="center"/>
    </xf>
    <xf numFmtId="0" fontId="42" fillId="2" borderId="0" xfId="0" applyFont="1" applyFill="1" applyAlignment="1">
      <alignment vertical="center" shrinkToFit="1"/>
    </xf>
    <xf numFmtId="165" fontId="13" fillId="2" borderId="0" xfId="1" applyNumberFormat="1" applyFont="1" applyFill="1" applyBorder="1" applyAlignment="1" applyProtection="1">
      <alignment vertical="center"/>
    </xf>
    <xf numFmtId="0" fontId="20" fillId="0" borderId="0" xfId="0" applyFont="1" applyAlignment="1">
      <alignment horizontal="center" vertical="center" shrinkToFit="1"/>
    </xf>
    <xf numFmtId="3" fontId="2" fillId="2" borderId="0" xfId="0" applyNumberFormat="1" applyFont="1" applyFill="1" applyAlignment="1">
      <alignment vertical="center"/>
    </xf>
    <xf numFmtId="165" fontId="84" fillId="2" borderId="0" xfId="1" applyNumberFormat="1" applyFont="1" applyFill="1" applyBorder="1" applyAlignment="1" applyProtection="1">
      <alignment vertical="center"/>
    </xf>
    <xf numFmtId="3" fontId="85" fillId="2" borderId="0" xfId="0" applyNumberFormat="1" applyFont="1" applyFill="1" applyAlignment="1">
      <alignment vertical="center"/>
    </xf>
    <xf numFmtId="0" fontId="34" fillId="0" borderId="0" xfId="0" applyFont="1" applyAlignment="1">
      <alignment vertical="center" shrinkToFit="1"/>
    </xf>
    <xf numFmtId="0" fontId="0" fillId="0" borderId="107" xfId="0" applyBorder="1" applyAlignment="1">
      <alignment horizontal="center" vertical="center"/>
    </xf>
    <xf numFmtId="49" fontId="51" fillId="2" borderId="0" xfId="0" applyNumberFormat="1" applyFont="1" applyFill="1" applyAlignment="1">
      <alignment vertical="center" wrapText="1"/>
    </xf>
    <xf numFmtId="0" fontId="56" fillId="2" borderId="45" xfId="0" applyFont="1" applyFill="1" applyBorder="1" applyAlignment="1">
      <alignment vertical="center" wrapText="1"/>
    </xf>
    <xf numFmtId="0" fontId="56" fillId="2" borderId="46" xfId="0" applyFont="1" applyFill="1" applyBorder="1" applyAlignment="1">
      <alignment vertical="center" wrapText="1"/>
    </xf>
    <xf numFmtId="0" fontId="0" fillId="0" borderId="18" xfId="0" applyBorder="1" applyAlignment="1">
      <alignment horizontal="center" vertical="center"/>
    </xf>
    <xf numFmtId="0" fontId="31" fillId="17" borderId="24" xfId="0" applyFont="1" applyFill="1" applyBorder="1" applyAlignment="1">
      <alignment horizontal="center" vertical="center" shrinkToFit="1"/>
    </xf>
    <xf numFmtId="0" fontId="31" fillId="17" borderId="26" xfId="0" applyFont="1" applyFill="1" applyBorder="1" applyAlignment="1">
      <alignment horizontal="center" vertical="center" shrinkToFit="1"/>
    </xf>
    <xf numFmtId="0" fontId="73" fillId="17" borderId="26" xfId="0" applyFont="1" applyFill="1" applyBorder="1" applyAlignment="1">
      <alignment horizontal="center" vertical="center" shrinkToFit="1"/>
    </xf>
    <xf numFmtId="0" fontId="80" fillId="17" borderId="26" xfId="0" applyFont="1" applyFill="1" applyBorder="1" applyAlignment="1">
      <alignment horizontal="center" vertical="center" shrinkToFit="1"/>
    </xf>
    <xf numFmtId="0" fontId="81" fillId="17" borderId="21" xfId="0" applyFont="1" applyFill="1" applyBorder="1" applyAlignment="1">
      <alignment horizontal="center" vertical="center" shrinkToFit="1"/>
    </xf>
    <xf numFmtId="0" fontId="80" fillId="17" borderId="21" xfId="0" applyFont="1" applyFill="1" applyBorder="1" applyAlignment="1">
      <alignment horizontal="center" vertical="center" shrinkToFit="1"/>
    </xf>
    <xf numFmtId="0" fontId="0" fillId="0" borderId="22" xfId="0" applyBorder="1" applyAlignment="1">
      <alignment horizontal="center" vertical="center"/>
    </xf>
    <xf numFmtId="174" fontId="0" fillId="0" borderId="43" xfId="0" applyNumberFormat="1" applyBorder="1" applyAlignment="1">
      <alignment horizontal="center" vertical="center" shrinkToFit="1"/>
    </xf>
    <xf numFmtId="173" fontId="0" fillId="0" borderId="43" xfId="0" applyNumberFormat="1" applyBorder="1" applyAlignment="1">
      <alignment horizontal="center" vertical="center" shrinkToFit="1"/>
    </xf>
    <xf numFmtId="172" fontId="0" fillId="0" borderId="43" xfId="0" applyNumberFormat="1" applyBorder="1" applyAlignment="1">
      <alignment horizontal="center" vertical="center" shrinkToFit="1"/>
    </xf>
    <xf numFmtId="171" fontId="0" fillId="0" borderId="43" xfId="0" applyNumberFormat="1" applyBorder="1" applyAlignment="1">
      <alignment horizontal="center" vertical="center" shrinkToFit="1"/>
    </xf>
    <xf numFmtId="0" fontId="0" fillId="0" borderId="43" xfId="0" applyBorder="1" applyAlignment="1">
      <alignment horizontal="center" vertical="center" shrinkToFit="1"/>
    </xf>
    <xf numFmtId="0" fontId="0" fillId="0" borderId="23" xfId="0" applyBorder="1" applyAlignment="1">
      <alignment horizontal="center" vertical="center" shrinkToFit="1"/>
    </xf>
    <xf numFmtId="0" fontId="68" fillId="0" borderId="101" xfId="0" applyFont="1" applyBorder="1" applyAlignment="1">
      <alignment horizontal="center" vertical="center"/>
    </xf>
    <xf numFmtId="0" fontId="0" fillId="0" borderId="0" xfId="1" applyNumberFormat="1" applyFont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7" fillId="2" borderId="0" xfId="0" applyFont="1" applyFill="1" applyAlignment="1">
      <alignment horizontal="left" vertical="top" wrapText="1" shrinkToFit="1"/>
    </xf>
    <xf numFmtId="0" fontId="68" fillId="0" borderId="108" xfId="0" applyFont="1" applyBorder="1" applyAlignment="1">
      <alignment horizontal="center" vertical="center"/>
    </xf>
    <xf numFmtId="0" fontId="0" fillId="0" borderId="109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04" xfId="0" applyBorder="1" applyAlignment="1">
      <alignment horizontal="center" vertical="center"/>
    </xf>
    <xf numFmtId="0" fontId="66" fillId="0" borderId="2" xfId="0" applyFont="1" applyBorder="1" applyAlignment="1">
      <alignment horizontal="center" vertical="center"/>
    </xf>
    <xf numFmtId="0" fontId="70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31" fillId="0" borderId="2" xfId="0" applyFont="1" applyBorder="1" applyAlignment="1">
      <alignment horizontal="center"/>
    </xf>
    <xf numFmtId="0" fontId="31" fillId="0" borderId="2" xfId="0" applyFont="1" applyBorder="1" applyAlignment="1">
      <alignment horizontal="center" vertical="center"/>
    </xf>
    <xf numFmtId="0" fontId="29" fillId="18" borderId="16" xfId="0" applyFont="1" applyFill="1" applyBorder="1" applyAlignment="1">
      <alignment horizontal="center" vertical="center" wrapText="1"/>
    </xf>
    <xf numFmtId="0" fontId="18" fillId="12" borderId="2" xfId="0" applyFont="1" applyFill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12" borderId="2" xfId="0" applyFont="1" applyFill="1" applyBorder="1" applyAlignment="1">
      <alignment horizontal="center" vertical="center" shrinkToFit="1"/>
    </xf>
    <xf numFmtId="0" fontId="7" fillId="0" borderId="0" xfId="0" applyFont="1" applyAlignment="1">
      <alignment horizontal="center" vertical="center" shrinkToFit="1"/>
    </xf>
    <xf numFmtId="0" fontId="29" fillId="0" borderId="12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17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 shrinkToFit="1"/>
    </xf>
    <xf numFmtId="0" fontId="16" fillId="0" borderId="0" xfId="0" applyFont="1" applyAlignment="1">
      <alignment horizontal="center" vertical="center" shrinkToFit="1"/>
    </xf>
    <xf numFmtId="165" fontId="2" fillId="0" borderId="0" xfId="1" applyNumberFormat="1" applyFont="1" applyFill="1" applyBorder="1" applyAlignment="1" applyProtection="1">
      <alignment horizontal="center" vertical="center" shrinkToFit="1"/>
    </xf>
    <xf numFmtId="9" fontId="2" fillId="0" borderId="0" xfId="1" applyFont="1" applyFill="1" applyBorder="1" applyAlignment="1" applyProtection="1">
      <alignment horizontal="center" vertical="center" shrinkToFit="1"/>
    </xf>
    <xf numFmtId="0" fontId="88" fillId="0" borderId="15" xfId="0" applyFont="1" applyBorder="1" applyAlignment="1">
      <alignment horizontal="center" vertical="center" shrinkToFit="1"/>
    </xf>
    <xf numFmtId="0" fontId="88" fillId="0" borderId="2" xfId="0" applyFont="1" applyBorder="1" applyAlignment="1">
      <alignment horizontal="center" vertical="center" shrinkToFit="1"/>
    </xf>
    <xf numFmtId="0" fontId="88" fillId="0" borderId="84" xfId="0" applyFont="1" applyBorder="1" applyAlignment="1">
      <alignment horizontal="center" vertical="center" shrinkToFit="1"/>
    </xf>
    <xf numFmtId="0" fontId="90" fillId="0" borderId="0" xfId="0" applyFont="1" applyAlignment="1">
      <alignment horizontal="center" vertical="center"/>
    </xf>
    <xf numFmtId="0" fontId="90" fillId="0" borderId="0" xfId="0" applyFont="1"/>
    <xf numFmtId="0" fontId="92" fillId="0" borderId="0" xfId="0" applyFont="1" applyAlignment="1">
      <alignment horizontal="center"/>
    </xf>
    <xf numFmtId="0" fontId="90" fillId="0" borderId="12" xfId="0" applyFont="1" applyBorder="1" applyAlignment="1">
      <alignment horizontal="center" vertical="center" wrapText="1"/>
    </xf>
    <xf numFmtId="0" fontId="90" fillId="0" borderId="21" xfId="0" applyFont="1" applyBorder="1" applyAlignment="1">
      <alignment horizontal="center" vertical="center" wrapText="1"/>
    </xf>
    <xf numFmtId="10" fontId="86" fillId="0" borderId="0" xfId="1" applyNumberFormat="1" applyFont="1" applyBorder="1" applyAlignment="1" applyProtection="1">
      <alignment horizontal="center" vertical="center"/>
    </xf>
    <xf numFmtId="0" fontId="86" fillId="0" borderId="0" xfId="0" applyFont="1"/>
    <xf numFmtId="0" fontId="86" fillId="0" borderId="0" xfId="0" applyFont="1" applyAlignment="1">
      <alignment horizontal="center" vertical="center" shrinkToFit="1"/>
    </xf>
    <xf numFmtId="0" fontId="96" fillId="0" borderId="0" xfId="0" applyFont="1" applyAlignment="1">
      <alignment vertical="center" wrapText="1"/>
    </xf>
    <xf numFmtId="0" fontId="87" fillId="0" borderId="2" xfId="0" applyFont="1" applyBorder="1" applyAlignment="1">
      <alignment vertical="center" shrinkToFit="1"/>
    </xf>
    <xf numFmtId="0" fontId="88" fillId="0" borderId="116" xfId="0" applyFont="1" applyBorder="1" applyAlignment="1">
      <alignment horizontal="center" vertical="center" shrinkToFit="1"/>
    </xf>
    <xf numFmtId="0" fontId="88" fillId="0" borderId="43" xfId="0" applyFont="1" applyBorder="1" applyAlignment="1">
      <alignment horizontal="center" vertical="center" shrinkToFit="1"/>
    </xf>
    <xf numFmtId="0" fontId="88" fillId="0" borderId="114" xfId="0" applyFont="1" applyBorder="1" applyAlignment="1">
      <alignment horizontal="center" vertical="center" shrinkToFit="1"/>
    </xf>
    <xf numFmtId="0" fontId="7" fillId="0" borderId="15" xfId="0" applyFont="1" applyBorder="1" applyAlignment="1">
      <alignment horizontal="center" vertical="center" shrinkToFit="1"/>
    </xf>
    <xf numFmtId="0" fontId="7" fillId="0" borderId="36" xfId="0" applyFont="1" applyBorder="1" applyAlignment="1">
      <alignment horizontal="center" vertical="center" shrinkToFit="1"/>
    </xf>
    <xf numFmtId="0" fontId="7" fillId="0" borderId="90" xfId="0" applyFont="1" applyBorder="1" applyAlignment="1">
      <alignment horizontal="center" vertical="center" shrinkToFit="1"/>
    </xf>
    <xf numFmtId="0" fontId="94" fillId="0" borderId="0" xfId="0" applyFont="1" applyAlignment="1">
      <alignment horizontal="center" vertical="center" shrinkToFit="1"/>
    </xf>
    <xf numFmtId="3" fontId="98" fillId="0" borderId="0" xfId="0" applyNumberFormat="1" applyFont="1" applyAlignment="1">
      <alignment vertical="center"/>
    </xf>
    <xf numFmtId="3" fontId="95" fillId="0" borderId="0" xfId="0" applyNumberFormat="1" applyFont="1" applyAlignment="1">
      <alignment vertical="center"/>
    </xf>
    <xf numFmtId="14" fontId="94" fillId="0" borderId="0" xfId="0" applyNumberFormat="1" applyFont="1" applyAlignment="1">
      <alignment horizontal="center" vertical="center" shrinkToFit="1"/>
    </xf>
    <xf numFmtId="0" fontId="87" fillId="0" borderId="0" xfId="0" applyFont="1" applyAlignment="1">
      <alignment horizontal="center" vertical="center"/>
    </xf>
    <xf numFmtId="0" fontId="90" fillId="0" borderId="12" xfId="0" applyFont="1" applyBorder="1" applyAlignment="1">
      <alignment vertical="center" shrinkToFit="1"/>
    </xf>
    <xf numFmtId="3" fontId="99" fillId="0" borderId="0" xfId="0" applyNumberFormat="1" applyFont="1" applyAlignment="1">
      <alignment vertical="center"/>
    </xf>
    <xf numFmtId="0" fontId="90" fillId="0" borderId="12" xfId="0" applyFont="1" applyBorder="1"/>
    <xf numFmtId="3" fontId="97" fillId="0" borderId="0" xfId="0" applyNumberFormat="1" applyFont="1" applyAlignment="1">
      <alignment vertical="center"/>
    </xf>
    <xf numFmtId="0" fontId="87" fillId="0" borderId="0" xfId="0" applyFont="1" applyAlignment="1">
      <alignment vertical="center"/>
    </xf>
    <xf numFmtId="0" fontId="103" fillId="0" borderId="2" xfId="0" applyFont="1" applyBorder="1" applyAlignment="1">
      <alignment horizontal="center" vertical="center" shrinkToFit="1"/>
    </xf>
    <xf numFmtId="3" fontId="99" fillId="0" borderId="24" xfId="0" applyNumberFormat="1" applyFont="1" applyBorder="1" applyAlignment="1">
      <alignment horizontal="center" vertical="center" shrinkToFit="1"/>
    </xf>
    <xf numFmtId="3" fontId="90" fillId="0" borderId="13" xfId="0" applyNumberFormat="1" applyFont="1" applyBorder="1" applyAlignment="1">
      <alignment horizontal="center" vertical="center" shrinkToFit="1"/>
    </xf>
    <xf numFmtId="3" fontId="87" fillId="0" borderId="13" xfId="0" applyNumberFormat="1" applyFont="1" applyBorder="1" applyAlignment="1">
      <alignment horizontal="center" vertical="center" shrinkToFit="1"/>
    </xf>
    <xf numFmtId="165" fontId="104" fillId="0" borderId="2" xfId="1" applyNumberFormat="1" applyFont="1" applyBorder="1" applyAlignment="1" applyProtection="1">
      <alignment horizontal="center" vertical="center" shrinkToFit="1"/>
    </xf>
    <xf numFmtId="0" fontId="35" fillId="0" borderId="2" xfId="0" applyFont="1" applyBorder="1" applyAlignment="1">
      <alignment horizontal="center" vertical="center"/>
    </xf>
    <xf numFmtId="0" fontId="0" fillId="0" borderId="2" xfId="0" applyBorder="1"/>
    <xf numFmtId="0" fontId="69" fillId="0" borderId="102" xfId="0" applyFont="1" applyBorder="1"/>
    <xf numFmtId="0" fontId="46" fillId="0" borderId="2" xfId="0" applyFont="1" applyBorder="1" applyAlignment="1">
      <alignment horizontal="center" vertical="center"/>
    </xf>
    <xf numFmtId="0" fontId="106" fillId="0" borderId="2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51" fillId="0" borderId="2" xfId="0" applyFont="1" applyBorder="1" applyAlignment="1">
      <alignment horizontal="center" vertical="center"/>
    </xf>
    <xf numFmtId="0" fontId="51" fillId="0" borderId="17" xfId="0" applyFont="1" applyBorder="1" applyAlignment="1">
      <alignment horizontal="center" vertical="center"/>
    </xf>
    <xf numFmtId="0" fontId="66" fillId="0" borderId="118" xfId="0" applyFont="1" applyBorder="1" applyAlignment="1">
      <alignment horizontal="center" vertical="center"/>
    </xf>
    <xf numFmtId="0" fontId="68" fillId="0" borderId="101" xfId="0" applyFont="1" applyBorder="1" applyAlignment="1">
      <alignment vertical="center"/>
    </xf>
    <xf numFmtId="0" fontId="69" fillId="0" borderId="103" xfId="0" applyFont="1" applyBorder="1"/>
    <xf numFmtId="9" fontId="66" fillId="0" borderId="118" xfId="0" applyNumberFormat="1" applyFont="1" applyBorder="1" applyAlignment="1">
      <alignment horizontal="center" vertical="center"/>
    </xf>
    <xf numFmtId="9" fontId="66" fillId="0" borderId="104" xfId="0" applyNumberFormat="1" applyFont="1" applyBorder="1" applyAlignment="1">
      <alignment horizontal="center" vertical="center"/>
    </xf>
    <xf numFmtId="0" fontId="90" fillId="0" borderId="0" xfId="0" applyFont="1" applyAlignment="1">
      <alignment horizontal="center" vertical="center" wrapText="1"/>
    </xf>
    <xf numFmtId="0" fontId="90" fillId="0" borderId="0" xfId="0" applyFont="1" applyAlignment="1">
      <alignment horizontal="center" vertical="center" shrinkToFit="1"/>
    </xf>
    <xf numFmtId="0" fontId="86" fillId="5" borderId="64" xfId="0" applyFont="1" applyFill="1" applyBorder="1" applyAlignment="1" applyProtection="1">
      <alignment horizontal="center" vertical="center" shrinkToFit="1"/>
      <protection locked="0"/>
    </xf>
    <xf numFmtId="0" fontId="86" fillId="5" borderId="70" xfId="0" applyFont="1" applyFill="1" applyBorder="1" applyAlignment="1" applyProtection="1">
      <alignment horizontal="center" vertical="center" shrinkToFit="1"/>
      <protection locked="0"/>
    </xf>
    <xf numFmtId="0" fontId="2" fillId="2" borderId="0" xfId="0" applyFont="1" applyFill="1" applyAlignment="1">
      <alignment horizontal="left" vertical="top"/>
    </xf>
    <xf numFmtId="0" fontId="27" fillId="0" borderId="0" xfId="0" applyFont="1" applyAlignment="1">
      <alignment horizontal="left" vertical="top"/>
    </xf>
    <xf numFmtId="0" fontId="2" fillId="12" borderId="0" xfId="0" applyFont="1" applyFill="1" applyAlignment="1">
      <alignment horizontal="left" vertical="top" wrapText="1"/>
    </xf>
    <xf numFmtId="0" fontId="108" fillId="0" borderId="0" xfId="0" applyFont="1" applyAlignment="1">
      <alignment horizontal="left" vertical="top"/>
    </xf>
    <xf numFmtId="0" fontId="111" fillId="7" borderId="2" xfId="0" applyFont="1" applyFill="1" applyBorder="1" applyAlignment="1" applyProtection="1">
      <alignment horizontal="center" vertical="center"/>
      <protection locked="0"/>
    </xf>
    <xf numFmtId="0" fontId="111" fillId="0" borderId="16" xfId="0" applyFont="1" applyBorder="1" applyAlignment="1">
      <alignment horizontal="center" vertical="center" shrinkToFit="1"/>
    </xf>
    <xf numFmtId="0" fontId="112" fillId="0" borderId="16" xfId="0" applyFont="1" applyBorder="1" applyAlignment="1">
      <alignment horizontal="center" vertical="center" shrinkToFit="1"/>
    </xf>
    <xf numFmtId="0" fontId="111" fillId="7" borderId="16" xfId="0" applyFont="1" applyFill="1" applyBorder="1" applyAlignment="1" applyProtection="1">
      <alignment horizontal="center" vertical="center" shrinkToFit="1"/>
      <protection locked="0"/>
    </xf>
    <xf numFmtId="0" fontId="111" fillId="0" borderId="2" xfId="0" applyFont="1" applyBorder="1" applyAlignment="1">
      <alignment horizontal="center" vertical="center" shrinkToFit="1"/>
    </xf>
    <xf numFmtId="9" fontId="111" fillId="0" borderId="2" xfId="0" applyNumberFormat="1" applyFont="1" applyBorder="1" applyAlignment="1">
      <alignment horizontal="center" vertical="center" shrinkToFit="1"/>
    </xf>
    <xf numFmtId="0" fontId="111" fillId="0" borderId="2" xfId="0" applyFont="1" applyBorder="1" applyAlignment="1">
      <alignment horizontal="center" vertical="center"/>
    </xf>
    <xf numFmtId="0" fontId="0" fillId="0" borderId="2" xfId="0" applyBorder="1" applyAlignment="1">
      <alignment vertical="center" wrapText="1"/>
    </xf>
    <xf numFmtId="0" fontId="0" fillId="0" borderId="2" xfId="0" applyBorder="1" applyAlignment="1">
      <alignment horizontal="left" vertical="center" wrapText="1"/>
    </xf>
    <xf numFmtId="0" fontId="0" fillId="7" borderId="2" xfId="0" applyFill="1" applyBorder="1" applyAlignment="1" applyProtection="1">
      <alignment horizontal="center" vertical="center" shrinkToFit="1"/>
      <protection locked="0"/>
    </xf>
    <xf numFmtId="0" fontId="110" fillId="0" borderId="2" xfId="0" applyFont="1" applyBorder="1" applyAlignment="1">
      <alignment horizontal="center" vertical="center" shrinkToFit="1"/>
    </xf>
    <xf numFmtId="0" fontId="109" fillId="0" borderId="2" xfId="0" applyFont="1" applyBorder="1" applyAlignment="1">
      <alignment horizontal="center" vertical="center" shrinkToFit="1"/>
    </xf>
    <xf numFmtId="0" fontId="105" fillId="0" borderId="2" xfId="0" applyFont="1" applyBorder="1" applyAlignment="1">
      <alignment horizontal="center" vertical="center" shrinkToFit="1"/>
    </xf>
    <xf numFmtId="0" fontId="109" fillId="0" borderId="16" xfId="0" applyFont="1" applyBorder="1" applyAlignment="1">
      <alignment horizontal="center" vertical="center" shrinkToFit="1"/>
    </xf>
    <xf numFmtId="165" fontId="90" fillId="0" borderId="15" xfId="1" applyNumberFormat="1" applyFont="1" applyBorder="1" applyAlignment="1" applyProtection="1">
      <alignment horizontal="center" vertical="center"/>
    </xf>
    <xf numFmtId="165" fontId="90" fillId="0" borderId="2" xfId="1" applyNumberFormat="1" applyFont="1" applyBorder="1" applyAlignment="1" applyProtection="1">
      <alignment horizontal="center" vertical="center"/>
    </xf>
    <xf numFmtId="165" fontId="109" fillId="0" borderId="84" xfId="1" applyNumberFormat="1" applyFont="1" applyFill="1" applyBorder="1" applyAlignment="1" applyProtection="1">
      <alignment horizontal="center" vertical="center" shrinkToFit="1"/>
    </xf>
    <xf numFmtId="0" fontId="109" fillId="0" borderId="18" xfId="0" applyFont="1" applyBorder="1" applyAlignment="1">
      <alignment horizontal="center" vertical="center" shrinkToFit="1"/>
    </xf>
    <xf numFmtId="0" fontId="90" fillId="0" borderId="84" xfId="0" applyFont="1" applyBorder="1" applyAlignment="1">
      <alignment horizontal="left" vertical="center" indent="1" shrinkToFit="1"/>
    </xf>
    <xf numFmtId="0" fontId="110" fillId="0" borderId="40" xfId="0" applyFont="1" applyBorder="1" applyAlignment="1">
      <alignment horizontal="center" vertical="center" shrinkToFit="1"/>
    </xf>
    <xf numFmtId="0" fontId="109" fillId="0" borderId="40" xfId="0" applyFont="1" applyBorder="1" applyAlignment="1">
      <alignment horizontal="center" vertical="center" shrinkToFit="1"/>
    </xf>
    <xf numFmtId="0" fontId="105" fillId="0" borderId="40" xfId="0" applyFont="1" applyBorder="1" applyAlignment="1">
      <alignment horizontal="center" vertical="center" shrinkToFit="1"/>
    </xf>
    <xf numFmtId="0" fontId="109" fillId="0" borderId="37" xfId="0" applyFont="1" applyBorder="1" applyAlignment="1">
      <alignment horizontal="center" vertical="center" shrinkToFit="1"/>
    </xf>
    <xf numFmtId="165" fontId="90" fillId="0" borderId="36" xfId="1" applyNumberFormat="1" applyFont="1" applyBorder="1" applyAlignment="1" applyProtection="1">
      <alignment horizontal="center" vertical="center"/>
    </xf>
    <xf numFmtId="165" fontId="90" fillId="0" borderId="40" xfId="1" applyNumberFormat="1" applyFont="1" applyBorder="1" applyAlignment="1" applyProtection="1">
      <alignment horizontal="center" vertical="center"/>
    </xf>
    <xf numFmtId="165" fontId="109" fillId="0" borderId="51" xfId="1" applyNumberFormat="1" applyFont="1" applyFill="1" applyBorder="1" applyAlignment="1" applyProtection="1">
      <alignment horizontal="center" vertical="center" shrinkToFit="1"/>
    </xf>
    <xf numFmtId="0" fontId="90" fillId="0" borderId="51" xfId="0" applyFont="1" applyBorder="1" applyAlignment="1">
      <alignment horizontal="left" vertical="center" indent="1" shrinkToFit="1"/>
    </xf>
    <xf numFmtId="0" fontId="110" fillId="0" borderId="26" xfId="0" applyFont="1" applyBorder="1" applyAlignment="1">
      <alignment horizontal="center" vertical="center" shrinkToFit="1"/>
    </xf>
    <xf numFmtId="0" fontId="109" fillId="0" borderId="26" xfId="0" applyFont="1" applyBorder="1" applyAlignment="1">
      <alignment horizontal="center" vertical="center" shrinkToFit="1"/>
    </xf>
    <xf numFmtId="0" fontId="105" fillId="0" borderId="26" xfId="0" applyFont="1" applyBorder="1" applyAlignment="1">
      <alignment horizontal="center" vertical="center" shrinkToFit="1"/>
    </xf>
    <xf numFmtId="0" fontId="109" fillId="0" borderId="21" xfId="0" applyFont="1" applyBorder="1" applyAlignment="1">
      <alignment horizontal="center" vertical="center" shrinkToFit="1"/>
    </xf>
    <xf numFmtId="0" fontId="109" fillId="0" borderId="15" xfId="0" applyFont="1" applyBorder="1" applyAlignment="1">
      <alignment horizontal="center" vertical="center" shrinkToFit="1"/>
    </xf>
    <xf numFmtId="0" fontId="109" fillId="0" borderId="84" xfId="0" applyFont="1" applyBorder="1" applyAlignment="1">
      <alignment horizontal="center" vertical="center" shrinkToFit="1"/>
    </xf>
    <xf numFmtId="0" fontId="90" fillId="0" borderId="114" xfId="0" applyFont="1" applyBorder="1" applyAlignment="1">
      <alignment horizontal="left" vertical="center" indent="1" shrinkToFit="1"/>
    </xf>
    <xf numFmtId="0" fontId="90" fillId="0" borderId="115" xfId="0" applyFont="1" applyBorder="1" applyAlignment="1">
      <alignment horizontal="left" vertical="center" indent="1" shrinkToFit="1"/>
    </xf>
    <xf numFmtId="0" fontId="109" fillId="0" borderId="51" xfId="0" applyFont="1" applyBorder="1" applyAlignment="1">
      <alignment horizontal="center" vertical="center" shrinkToFit="1"/>
    </xf>
    <xf numFmtId="0" fontId="90" fillId="0" borderId="113" xfId="0" applyFont="1" applyBorder="1" applyAlignment="1">
      <alignment horizontal="left" vertical="center" indent="1" shrinkToFit="1"/>
    </xf>
    <xf numFmtId="0" fontId="105" fillId="0" borderId="15" xfId="0" applyFont="1" applyBorder="1" applyAlignment="1">
      <alignment horizontal="center" vertical="center" shrinkToFit="1"/>
    </xf>
    <xf numFmtId="0" fontId="105" fillId="0" borderId="36" xfId="0" applyFont="1" applyBorder="1" applyAlignment="1">
      <alignment horizontal="center" vertical="center" shrinkToFit="1"/>
    </xf>
    <xf numFmtId="0" fontId="90" fillId="0" borderId="1" xfId="0" applyFont="1" applyBorder="1" applyAlignment="1">
      <alignment horizontal="center" vertical="center" wrapText="1"/>
    </xf>
    <xf numFmtId="49" fontId="47" fillId="19" borderId="2" xfId="0" applyNumberFormat="1" applyFont="1" applyFill="1" applyBorder="1" applyAlignment="1" applyProtection="1">
      <alignment horizontal="center" vertical="center"/>
      <protection locked="0"/>
    </xf>
    <xf numFmtId="0" fontId="59" fillId="19" borderId="2" xfId="0" applyFont="1" applyFill="1" applyBorder="1" applyAlignment="1" applyProtection="1">
      <alignment horizontal="center" vertical="center" wrapText="1"/>
      <protection locked="0"/>
    </xf>
    <xf numFmtId="0" fontId="70" fillId="0" borderId="104" xfId="0" applyFont="1" applyBorder="1" applyAlignment="1">
      <alignment horizontal="center" vertical="center" shrinkToFit="1"/>
    </xf>
    <xf numFmtId="0" fontId="0" fillId="0" borderId="26" xfId="0" applyBorder="1" applyAlignment="1">
      <alignment horizontal="center" vertical="center" shrinkToFit="1"/>
    </xf>
    <xf numFmtId="14" fontId="31" fillId="17" borderId="26" xfId="0" applyNumberFormat="1" applyFont="1" applyFill="1" applyBorder="1" applyAlignment="1">
      <alignment horizontal="center" vertical="center" shrinkToFit="1"/>
    </xf>
    <xf numFmtId="14" fontId="0" fillId="0" borderId="2" xfId="0" applyNumberFormat="1" applyBorder="1" applyAlignment="1">
      <alignment horizontal="center" vertical="center" shrinkToFit="1"/>
    </xf>
    <xf numFmtId="14" fontId="0" fillId="0" borderId="43" xfId="0" applyNumberFormat="1" applyBorder="1" applyAlignment="1">
      <alignment horizontal="center" vertical="center" shrinkToFit="1"/>
    </xf>
    <xf numFmtId="14" fontId="0" fillId="0" borderId="0" xfId="0" applyNumberFormat="1" applyAlignment="1">
      <alignment horizontal="center" vertical="center"/>
    </xf>
    <xf numFmtId="2" fontId="73" fillId="17" borderId="26" xfId="1" applyNumberFormat="1" applyFont="1" applyFill="1" applyBorder="1" applyAlignment="1">
      <alignment horizontal="center" vertical="center" shrinkToFit="1"/>
    </xf>
    <xf numFmtId="2" fontId="73" fillId="17" borderId="21" xfId="1" applyNumberFormat="1" applyFont="1" applyFill="1" applyBorder="1" applyAlignment="1">
      <alignment horizontal="center" vertical="center" shrinkToFit="1"/>
    </xf>
    <xf numFmtId="2" fontId="0" fillId="0" borderId="2" xfId="1" applyNumberFormat="1" applyFont="1" applyBorder="1" applyAlignment="1">
      <alignment horizontal="center" vertical="center" shrinkToFit="1"/>
    </xf>
    <xf numFmtId="2" fontId="0" fillId="0" borderId="43" xfId="1" applyNumberFormat="1" applyFont="1" applyBorder="1" applyAlignment="1">
      <alignment horizontal="center" vertical="center" shrinkToFit="1"/>
    </xf>
    <xf numFmtId="2" fontId="0" fillId="0" borderId="43" xfId="0" applyNumberFormat="1" applyBorder="1" applyAlignment="1">
      <alignment horizontal="center" vertical="center" shrinkToFit="1"/>
    </xf>
    <xf numFmtId="2" fontId="107" fillId="0" borderId="43" xfId="0" applyNumberFormat="1" applyFont="1" applyBorder="1" applyAlignment="1">
      <alignment horizontal="center" vertical="center" shrinkToFit="1"/>
    </xf>
    <xf numFmtId="2" fontId="0" fillId="0" borderId="0" xfId="1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0" fontId="93" fillId="0" borderId="0" xfId="1" applyNumberFormat="1" applyFont="1" applyBorder="1" applyAlignment="1" applyProtection="1">
      <alignment vertical="center" shrinkToFit="1"/>
    </xf>
    <xf numFmtId="165" fontId="87" fillId="0" borderId="13" xfId="0" applyNumberFormat="1" applyFont="1" applyBorder="1" applyAlignment="1">
      <alignment horizontal="center" vertical="center" shrinkToFit="1"/>
    </xf>
    <xf numFmtId="165" fontId="87" fillId="0" borderId="24" xfId="0" applyNumberFormat="1" applyFont="1" applyBorder="1" applyAlignment="1">
      <alignment horizontal="center" vertical="center" shrinkToFit="1"/>
    </xf>
    <xf numFmtId="165" fontId="102" fillId="0" borderId="2" xfId="0" applyNumberFormat="1" applyFont="1" applyBorder="1" applyAlignment="1">
      <alignment horizontal="center" vertical="center" shrinkToFit="1"/>
    </xf>
    <xf numFmtId="165" fontId="102" fillId="0" borderId="16" xfId="0" applyNumberFormat="1" applyFont="1" applyBorder="1" applyAlignment="1">
      <alignment vertical="center" shrinkToFit="1"/>
    </xf>
    <xf numFmtId="0" fontId="73" fillId="0" borderId="2" xfId="0" applyFont="1" applyBorder="1" applyAlignment="1">
      <alignment horizontal="center" vertical="center" shrinkToFit="1"/>
    </xf>
    <xf numFmtId="0" fontId="70" fillId="0" borderId="103" xfId="0" applyFont="1" applyBorder="1" applyAlignment="1">
      <alignment horizontal="center" vertical="center"/>
    </xf>
    <xf numFmtId="0" fontId="66" fillId="0" borderId="103" xfId="0" applyFont="1" applyBorder="1" applyAlignment="1">
      <alignment horizontal="center" vertical="center"/>
    </xf>
    <xf numFmtId="0" fontId="29" fillId="0" borderId="0" xfId="0" applyFont="1" applyAlignment="1">
      <alignment vertical="top" wrapText="1"/>
    </xf>
    <xf numFmtId="0" fontId="29" fillId="0" borderId="0" xfId="0" applyFont="1"/>
    <xf numFmtId="0" fontId="29" fillId="0" borderId="0" xfId="0" applyFont="1" applyAlignment="1">
      <alignment vertical="center" wrapText="1"/>
    </xf>
    <xf numFmtId="0" fontId="29" fillId="0" borderId="0" xfId="0" applyFont="1" applyAlignment="1">
      <alignment vertical="center"/>
    </xf>
    <xf numFmtId="0" fontId="29" fillId="0" borderId="0" xfId="0" applyFont="1" applyAlignment="1">
      <alignment horizontal="center" vertical="center"/>
    </xf>
    <xf numFmtId="165" fontId="114" fillId="0" borderId="0" xfId="1" applyNumberFormat="1" applyFont="1" applyFill="1" applyBorder="1" applyAlignment="1" applyProtection="1">
      <alignment vertical="center"/>
    </xf>
    <xf numFmtId="0" fontId="31" fillId="0" borderId="0" xfId="0" applyFont="1" applyAlignment="1">
      <alignment horizontal="left" vertical="center"/>
    </xf>
    <xf numFmtId="0" fontId="115" fillId="0" borderId="0" xfId="0" quotePrefix="1" applyFont="1"/>
    <xf numFmtId="0" fontId="70" fillId="0" borderId="103" xfId="0" applyFont="1" applyBorder="1" applyAlignment="1">
      <alignment horizontal="center" vertical="center" shrinkToFit="1"/>
    </xf>
    <xf numFmtId="3" fontId="16" fillId="6" borderId="20" xfId="0" applyNumberFormat="1" applyFont="1" applyFill="1" applyBorder="1" applyAlignment="1" applyProtection="1">
      <alignment horizontal="center" vertical="center" shrinkToFit="1"/>
      <protection locked="0"/>
    </xf>
    <xf numFmtId="3" fontId="16" fillId="6" borderId="17" xfId="0" applyNumberFormat="1" applyFont="1" applyFill="1" applyBorder="1" applyAlignment="1" applyProtection="1">
      <alignment horizontal="center" vertical="center" shrinkToFit="1"/>
      <protection locked="0"/>
    </xf>
    <xf numFmtId="3" fontId="16" fillId="6" borderId="19" xfId="0" applyNumberFormat="1" applyFont="1" applyFill="1" applyBorder="1" applyAlignment="1" applyProtection="1">
      <alignment horizontal="center" vertical="center" shrinkToFit="1"/>
      <protection locked="0"/>
    </xf>
    <xf numFmtId="3" fontId="16" fillId="6" borderId="42" xfId="0" applyNumberFormat="1" applyFont="1" applyFill="1" applyBorder="1" applyAlignment="1" applyProtection="1">
      <alignment horizontal="center" vertical="center" shrinkToFit="1"/>
      <protection locked="0"/>
    </xf>
    <xf numFmtId="3" fontId="16" fillId="6" borderId="38" xfId="0" applyNumberFormat="1" applyFont="1" applyFill="1" applyBorder="1" applyAlignment="1" applyProtection="1">
      <alignment horizontal="center" vertical="center" shrinkToFit="1"/>
      <protection locked="0"/>
    </xf>
    <xf numFmtId="3" fontId="16" fillId="6" borderId="41" xfId="0" applyNumberFormat="1" applyFont="1" applyFill="1" applyBorder="1" applyAlignment="1" applyProtection="1">
      <alignment horizontal="center" vertical="center" shrinkToFit="1"/>
      <protection locked="0"/>
    </xf>
    <xf numFmtId="3" fontId="43" fillId="8" borderId="0" xfId="0" applyNumberFormat="1" applyFont="1" applyFill="1" applyAlignment="1">
      <alignment horizontal="center"/>
    </xf>
    <xf numFmtId="0" fontId="3" fillId="2" borderId="10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0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47" xfId="0" applyFont="1" applyFill="1" applyBorder="1" applyAlignment="1">
      <alignment horizontal="center" vertical="center" wrapText="1"/>
    </xf>
    <xf numFmtId="0" fontId="2" fillId="16" borderId="50" xfId="0" applyFont="1" applyFill="1" applyBorder="1" applyAlignment="1" applyProtection="1">
      <alignment horizontal="center" vertical="center" shrinkToFit="1"/>
      <protection locked="0"/>
    </xf>
    <xf numFmtId="0" fontId="2" fillId="2" borderId="50" xfId="0" applyFont="1" applyFill="1" applyBorder="1" applyAlignment="1">
      <alignment horizontal="center" vertical="center" shrinkToFit="1"/>
    </xf>
    <xf numFmtId="3" fontId="7" fillId="0" borderId="20" xfId="0" applyNumberFormat="1" applyFont="1" applyBorder="1" applyAlignment="1">
      <alignment horizontal="center" vertical="center" shrinkToFit="1"/>
    </xf>
    <xf numFmtId="3" fontId="7" fillId="0" borderId="19" xfId="0" applyNumberFormat="1" applyFont="1" applyBorder="1" applyAlignment="1">
      <alignment horizontal="center" vertical="center" shrinkToFit="1"/>
    </xf>
    <xf numFmtId="0" fontId="110" fillId="6" borderId="16" xfId="0" applyFont="1" applyFill="1" applyBorder="1" applyAlignment="1" applyProtection="1">
      <alignment horizontal="left" vertical="center" shrinkToFit="1"/>
      <protection locked="0"/>
    </xf>
    <xf numFmtId="0" fontId="34" fillId="0" borderId="17" xfId="0" applyFont="1" applyBorder="1" applyAlignment="1" applyProtection="1">
      <alignment horizontal="left"/>
      <protection locked="0"/>
    </xf>
    <xf numFmtId="0" fontId="34" fillId="0" borderId="19" xfId="0" applyFont="1" applyBorder="1" applyAlignment="1" applyProtection="1">
      <alignment horizontal="left"/>
      <protection locked="0"/>
    </xf>
    <xf numFmtId="0" fontId="18" fillId="2" borderId="10" xfId="0" applyFont="1" applyFill="1" applyBorder="1" applyAlignment="1">
      <alignment horizontal="center" vertical="center"/>
    </xf>
    <xf numFmtId="0" fontId="18" fillId="2" borderId="7" xfId="0" applyFont="1" applyFill="1" applyBorder="1" applyAlignment="1">
      <alignment horizontal="center" vertical="center"/>
    </xf>
    <xf numFmtId="0" fontId="18" fillId="2" borderId="9" xfId="0" applyFont="1" applyFill="1" applyBorder="1" applyAlignment="1">
      <alignment horizontal="center" vertical="center"/>
    </xf>
    <xf numFmtId="0" fontId="109" fillId="6" borderId="2" xfId="0" applyFont="1" applyFill="1" applyBorder="1" applyAlignment="1" applyProtection="1">
      <alignment horizontal="center" vertical="center" shrinkToFit="1"/>
      <protection locked="0"/>
    </xf>
    <xf numFmtId="0" fontId="7" fillId="2" borderId="10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3" fontId="44" fillId="2" borderId="2" xfId="0" applyNumberFormat="1" applyFont="1" applyFill="1" applyBorder="1" applyAlignment="1">
      <alignment horizontal="center" vertical="center"/>
    </xf>
    <xf numFmtId="0" fontId="5" fillId="3" borderId="28" xfId="0" applyFont="1" applyFill="1" applyBorder="1" applyAlignment="1" applyProtection="1">
      <alignment horizontal="center" vertical="center"/>
      <protection locked="0"/>
    </xf>
    <xf numFmtId="0" fontId="5" fillId="3" borderId="29" xfId="0" applyFont="1" applyFill="1" applyBorder="1" applyAlignment="1" applyProtection="1">
      <alignment horizontal="center" vertical="center"/>
      <protection locked="0"/>
    </xf>
    <xf numFmtId="0" fontId="5" fillId="3" borderId="48" xfId="0" applyFont="1" applyFill="1" applyBorder="1" applyAlignment="1" applyProtection="1">
      <alignment horizontal="center" vertical="center"/>
      <protection locked="0"/>
    </xf>
    <xf numFmtId="0" fontId="5" fillId="3" borderId="30" xfId="0" applyFont="1" applyFill="1" applyBorder="1" applyAlignment="1" applyProtection="1">
      <alignment horizontal="center" vertical="center"/>
      <protection locked="0"/>
    </xf>
    <xf numFmtId="0" fontId="5" fillId="3" borderId="31" xfId="0" applyFont="1" applyFill="1" applyBorder="1" applyAlignment="1" applyProtection="1">
      <alignment horizontal="center" vertical="center"/>
      <protection locked="0"/>
    </xf>
    <xf numFmtId="0" fontId="5" fillId="3" borderId="49" xfId="0" applyFont="1" applyFill="1" applyBorder="1" applyAlignment="1" applyProtection="1">
      <alignment horizontal="center" vertical="center"/>
      <protection locked="0"/>
    </xf>
    <xf numFmtId="0" fontId="3" fillId="2" borderId="28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2" borderId="48" xfId="0" applyFont="1" applyFill="1" applyBorder="1" applyAlignment="1">
      <alignment horizontal="center" vertical="center" wrapText="1"/>
    </xf>
    <xf numFmtId="0" fontId="3" fillId="2" borderId="30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2" borderId="49" xfId="0" applyFont="1" applyFill="1" applyBorder="1" applyAlignment="1">
      <alignment horizontal="center" vertical="center" wrapText="1"/>
    </xf>
    <xf numFmtId="168" fontId="7" fillId="5" borderId="1" xfId="0" applyNumberFormat="1" applyFont="1" applyFill="1" applyBorder="1" applyAlignment="1" applyProtection="1">
      <alignment horizontal="center" vertical="center" shrinkToFit="1"/>
      <protection locked="0"/>
    </xf>
    <xf numFmtId="0" fontId="7" fillId="5" borderId="1" xfId="0" applyFont="1" applyFill="1" applyBorder="1" applyAlignment="1" applyProtection="1">
      <alignment horizontal="center" vertical="center" shrinkToFit="1"/>
      <protection locked="0"/>
    </xf>
    <xf numFmtId="0" fontId="7" fillId="5" borderId="17" xfId="0" applyFont="1" applyFill="1" applyBorder="1" applyAlignment="1" applyProtection="1">
      <alignment horizontal="center" vertical="center" shrinkToFit="1"/>
      <protection locked="0"/>
    </xf>
    <xf numFmtId="164" fontId="7" fillId="2" borderId="1" xfId="0" applyNumberFormat="1" applyFont="1" applyFill="1" applyBorder="1" applyAlignment="1">
      <alignment horizontal="center" vertical="center" shrinkToFit="1"/>
    </xf>
    <xf numFmtId="0" fontId="6" fillId="2" borderId="0" xfId="0" applyFont="1" applyFill="1" applyAlignment="1">
      <alignment horizontal="center" vertical="center"/>
    </xf>
    <xf numFmtId="0" fontId="8" fillId="8" borderId="0" xfId="0" applyFont="1" applyFill="1" applyAlignment="1">
      <alignment horizontal="right" vertical="center" shrinkToFit="1"/>
    </xf>
    <xf numFmtId="164" fontId="7" fillId="5" borderId="1" xfId="0" applyNumberFormat="1" applyFont="1" applyFill="1" applyBorder="1" applyAlignment="1" applyProtection="1">
      <alignment horizontal="center" vertical="center" shrinkToFit="1"/>
      <protection locked="0"/>
    </xf>
    <xf numFmtId="164" fontId="7" fillId="5" borderId="17" xfId="0" applyNumberFormat="1" applyFont="1" applyFill="1" applyBorder="1" applyAlignment="1" applyProtection="1">
      <alignment horizontal="center" vertical="center" shrinkToFit="1"/>
      <protection locked="0"/>
    </xf>
    <xf numFmtId="0" fontId="7" fillId="2" borderId="0" xfId="0" applyFont="1" applyFill="1" applyAlignment="1">
      <alignment horizontal="left" vertical="center" shrinkToFit="1"/>
    </xf>
    <xf numFmtId="0" fontId="8" fillId="2" borderId="0" xfId="0" applyFont="1" applyFill="1" applyAlignment="1">
      <alignment horizontal="right" vertical="center" shrinkToFit="1"/>
    </xf>
    <xf numFmtId="0" fontId="8" fillId="2" borderId="2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right" vertical="center" shrinkToFit="1"/>
    </xf>
    <xf numFmtId="14" fontId="7" fillId="4" borderId="1" xfId="0" applyNumberFormat="1" applyFont="1" applyFill="1" applyBorder="1" applyAlignment="1" applyProtection="1">
      <alignment horizontal="center" vertical="center" shrinkToFit="1"/>
      <protection locked="0"/>
    </xf>
    <xf numFmtId="0" fontId="7" fillId="2" borderId="16" xfId="0" applyFont="1" applyFill="1" applyBorder="1" applyAlignment="1">
      <alignment horizontal="center" vertical="center" shrinkToFit="1"/>
    </xf>
    <xf numFmtId="0" fontId="7" fillId="2" borderId="18" xfId="0" applyFont="1" applyFill="1" applyBorder="1" applyAlignment="1">
      <alignment horizontal="center" vertical="center" shrinkToFit="1"/>
    </xf>
    <xf numFmtId="0" fontId="82" fillId="2" borderId="16" xfId="0" applyFont="1" applyFill="1" applyBorder="1" applyAlignment="1">
      <alignment horizontal="center" vertical="center" shrinkToFit="1"/>
    </xf>
    <xf numFmtId="0" fontId="82" fillId="2" borderId="18" xfId="0" applyFont="1" applyFill="1" applyBorder="1" applyAlignment="1">
      <alignment horizontal="center" vertical="center" shrinkToFit="1"/>
    </xf>
    <xf numFmtId="0" fontId="105" fillId="2" borderId="0" xfId="0" applyFont="1" applyFill="1" applyAlignment="1">
      <alignment horizontal="center" vertical="top"/>
    </xf>
    <xf numFmtId="0" fontId="77" fillId="0" borderId="44" xfId="0" applyFont="1" applyBorder="1" applyAlignment="1">
      <alignment horizontal="center" vertical="center"/>
    </xf>
    <xf numFmtId="0" fontId="77" fillId="0" borderId="45" xfId="0" applyFont="1" applyBorder="1" applyAlignment="1">
      <alignment horizontal="center" vertical="center"/>
    </xf>
    <xf numFmtId="0" fontId="77" fillId="0" borderId="46" xfId="0" applyFont="1" applyBorder="1" applyAlignment="1">
      <alignment horizontal="center" vertical="center"/>
    </xf>
    <xf numFmtId="3" fontId="43" fillId="8" borderId="7" xfId="0" applyNumberFormat="1" applyFont="1" applyFill="1" applyBorder="1" applyAlignment="1">
      <alignment horizontal="center"/>
    </xf>
    <xf numFmtId="3" fontId="7" fillId="0" borderId="42" xfId="0" applyNumberFormat="1" applyFont="1" applyBorder="1" applyAlignment="1">
      <alignment horizontal="center" vertical="center" shrinkToFit="1"/>
    </xf>
    <xf numFmtId="3" fontId="7" fillId="0" borderId="41" xfId="0" applyNumberFormat="1" applyFont="1" applyBorder="1" applyAlignment="1">
      <alignment horizontal="center" vertical="center" shrinkToFit="1"/>
    </xf>
    <xf numFmtId="0" fontId="109" fillId="6" borderId="16" xfId="0" applyFont="1" applyFill="1" applyBorder="1" applyAlignment="1" applyProtection="1">
      <alignment horizontal="center" vertical="center" shrinkToFit="1"/>
      <protection locked="0"/>
    </xf>
    <xf numFmtId="0" fontId="109" fillId="6" borderId="17" xfId="0" applyFont="1" applyFill="1" applyBorder="1" applyAlignment="1" applyProtection="1">
      <alignment horizontal="center" vertical="center" shrinkToFit="1"/>
      <protection locked="0"/>
    </xf>
    <xf numFmtId="0" fontId="109" fillId="6" borderId="18" xfId="0" applyFont="1" applyFill="1" applyBorder="1" applyAlignment="1" applyProtection="1">
      <alignment horizontal="center" vertical="center" shrinkToFit="1"/>
      <protection locked="0"/>
    </xf>
    <xf numFmtId="0" fontId="109" fillId="8" borderId="16" xfId="0" applyFont="1" applyFill="1" applyBorder="1" applyAlignment="1">
      <alignment horizontal="center" vertical="center" shrinkToFit="1"/>
    </xf>
    <xf numFmtId="0" fontId="109" fillId="8" borderId="17" xfId="0" applyFont="1" applyFill="1" applyBorder="1" applyAlignment="1">
      <alignment horizontal="center" vertical="center" shrinkToFit="1"/>
    </xf>
    <xf numFmtId="0" fontId="109" fillId="8" borderId="18" xfId="0" applyFont="1" applyFill="1" applyBorder="1" applyAlignment="1">
      <alignment horizontal="center" vertical="center" shrinkToFit="1"/>
    </xf>
    <xf numFmtId="0" fontId="110" fillId="6" borderId="16" xfId="0" applyFont="1" applyFill="1" applyBorder="1" applyAlignment="1" applyProtection="1">
      <alignment horizontal="right" vertical="center" shrinkToFit="1"/>
      <protection locked="0"/>
    </xf>
    <xf numFmtId="0" fontId="110" fillId="6" borderId="17" xfId="0" applyFont="1" applyFill="1" applyBorder="1" applyAlignment="1" applyProtection="1">
      <alignment horizontal="right" vertical="center" shrinkToFit="1"/>
      <protection locked="0"/>
    </xf>
    <xf numFmtId="0" fontId="110" fillId="6" borderId="18" xfId="0" applyFont="1" applyFill="1" applyBorder="1" applyAlignment="1" applyProtection="1">
      <alignment horizontal="right" vertical="center" shrinkToFit="1"/>
      <protection locked="0"/>
    </xf>
    <xf numFmtId="0" fontId="20" fillId="8" borderId="3" xfId="0" applyFont="1" applyFill="1" applyBorder="1" applyAlignment="1">
      <alignment horizontal="center" vertical="center"/>
    </xf>
    <xf numFmtId="0" fontId="28" fillId="8" borderId="12" xfId="0" applyFont="1" applyFill="1" applyBorder="1" applyAlignment="1">
      <alignment horizontal="left" vertical="top" wrapText="1" shrinkToFit="1"/>
    </xf>
    <xf numFmtId="0" fontId="28" fillId="8" borderId="0" xfId="0" applyFont="1" applyFill="1" applyAlignment="1">
      <alignment horizontal="left" vertical="top" wrapText="1" shrinkToFit="1"/>
    </xf>
    <xf numFmtId="0" fontId="28" fillId="8" borderId="13" xfId="0" applyFont="1" applyFill="1" applyBorder="1" applyAlignment="1">
      <alignment horizontal="left" vertical="top" wrapText="1" shrinkToFit="1"/>
    </xf>
    <xf numFmtId="0" fontId="28" fillId="8" borderId="21" xfId="0" applyFont="1" applyFill="1" applyBorder="1" applyAlignment="1">
      <alignment horizontal="left" vertical="top" wrapText="1" shrinkToFit="1"/>
    </xf>
    <xf numFmtId="0" fontId="28" fillId="8" borderId="1" xfId="0" applyFont="1" applyFill="1" applyBorder="1" applyAlignment="1">
      <alignment horizontal="left" vertical="top" wrapText="1" shrinkToFit="1"/>
    </xf>
    <xf numFmtId="0" fontId="28" fillId="8" borderId="24" xfId="0" applyFont="1" applyFill="1" applyBorder="1" applyAlignment="1">
      <alignment horizontal="left" vertical="top" wrapText="1" shrinkToFit="1"/>
    </xf>
    <xf numFmtId="0" fontId="24" fillId="8" borderId="0" xfId="0" applyFont="1" applyFill="1" applyAlignment="1">
      <alignment horizontal="center" vertical="center"/>
    </xf>
    <xf numFmtId="0" fontId="25" fillId="8" borderId="1" xfId="0" applyFont="1" applyFill="1" applyBorder="1" applyAlignment="1">
      <alignment horizontal="left" vertical="center"/>
    </xf>
    <xf numFmtId="0" fontId="28" fillId="8" borderId="23" xfId="0" applyFont="1" applyFill="1" applyBorder="1" applyAlignment="1">
      <alignment horizontal="center" shrinkToFit="1"/>
    </xf>
    <xf numFmtId="0" fontId="29" fillId="8" borderId="3" xfId="0" applyFont="1" applyFill="1" applyBorder="1"/>
    <xf numFmtId="166" fontId="30" fillId="8" borderId="3" xfId="0" applyNumberFormat="1" applyFont="1" applyFill="1" applyBorder="1" applyAlignment="1">
      <alignment horizontal="center" shrinkToFit="1"/>
    </xf>
    <xf numFmtId="166" fontId="26" fillId="8" borderId="3" xfId="0" applyNumberFormat="1" applyFont="1" applyFill="1" applyBorder="1" applyAlignment="1">
      <alignment horizontal="center" shrinkToFit="1"/>
    </xf>
    <xf numFmtId="0" fontId="27" fillId="8" borderId="3" xfId="0" applyFont="1" applyFill="1" applyBorder="1"/>
    <xf numFmtId="0" fontId="27" fillId="8" borderId="22" xfId="0" applyFont="1" applyFill="1" applyBorder="1"/>
    <xf numFmtId="0" fontId="2" fillId="8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86" fillId="5" borderId="66" xfId="0" applyFont="1" applyFill="1" applyBorder="1" applyAlignment="1" applyProtection="1">
      <alignment horizontal="center" vertical="center" shrinkToFit="1"/>
      <protection locked="0"/>
    </xf>
    <xf numFmtId="0" fontId="86" fillId="5" borderId="58" xfId="0" applyFont="1" applyFill="1" applyBorder="1" applyAlignment="1" applyProtection="1">
      <alignment horizontal="center" vertical="center" shrinkToFit="1"/>
      <protection locked="0"/>
    </xf>
    <xf numFmtId="0" fontId="86" fillId="5" borderId="50" xfId="0" applyFont="1" applyFill="1" applyBorder="1" applyAlignment="1" applyProtection="1">
      <alignment horizontal="center" vertical="center" shrinkToFit="1"/>
      <protection locked="0"/>
    </xf>
    <xf numFmtId="0" fontId="86" fillId="5" borderId="53" xfId="0" applyFont="1" applyFill="1" applyBorder="1" applyAlignment="1" applyProtection="1">
      <alignment horizontal="center" vertical="center" shrinkToFit="1"/>
      <protection locked="0"/>
    </xf>
    <xf numFmtId="0" fontId="86" fillId="5" borderId="74" xfId="0" applyFont="1" applyFill="1" applyBorder="1" applyAlignment="1" applyProtection="1">
      <alignment horizontal="center" vertical="center" shrinkToFit="1"/>
      <protection locked="0"/>
    </xf>
    <xf numFmtId="0" fontId="86" fillId="5" borderId="67" xfId="0" applyFont="1" applyFill="1" applyBorder="1" applyAlignment="1" applyProtection="1">
      <alignment horizontal="center" vertical="center" shrinkToFit="1"/>
      <protection locked="0"/>
    </xf>
    <xf numFmtId="0" fontId="86" fillId="5" borderId="68" xfId="0" applyFont="1" applyFill="1" applyBorder="1" applyAlignment="1" applyProtection="1">
      <alignment horizontal="center" vertical="center" shrinkToFit="1"/>
      <protection locked="0"/>
    </xf>
    <xf numFmtId="0" fontId="86" fillId="5" borderId="69" xfId="0" applyFont="1" applyFill="1" applyBorder="1" applyAlignment="1" applyProtection="1">
      <alignment horizontal="center" vertical="center" shrinkToFit="1"/>
      <protection locked="0"/>
    </xf>
    <xf numFmtId="0" fontId="86" fillId="5" borderId="63" xfId="0" applyFont="1" applyFill="1" applyBorder="1" applyAlignment="1" applyProtection="1">
      <alignment horizontal="center" vertical="center" shrinkToFit="1"/>
      <protection locked="0"/>
    </xf>
    <xf numFmtId="0" fontId="86" fillId="5" borderId="57" xfId="0" applyFont="1" applyFill="1" applyBorder="1" applyAlignment="1" applyProtection="1">
      <alignment horizontal="center" vertical="center" shrinkToFit="1"/>
      <protection locked="0"/>
    </xf>
    <xf numFmtId="0" fontId="4" fillId="8" borderId="4" xfId="0" applyFont="1" applyFill="1" applyBorder="1" applyAlignment="1">
      <alignment horizontal="center" vertical="center" textRotation="90"/>
    </xf>
    <xf numFmtId="49" fontId="4" fillId="8" borderId="4" xfId="0" applyNumberFormat="1" applyFont="1" applyFill="1" applyBorder="1" applyAlignment="1">
      <alignment vertical="center" textRotation="90"/>
    </xf>
    <xf numFmtId="0" fontId="7" fillId="2" borderId="27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2" borderId="32" xfId="0" applyFont="1" applyFill="1" applyBorder="1" applyAlignment="1">
      <alignment horizontal="center" vertical="center" shrinkToFit="1"/>
    </xf>
    <xf numFmtId="0" fontId="7" fillId="2" borderId="33" xfId="0" applyFont="1" applyFill="1" applyBorder="1" applyAlignment="1">
      <alignment horizontal="center" vertical="center" shrinkToFit="1"/>
    </xf>
    <xf numFmtId="0" fontId="8" fillId="2" borderId="5" xfId="0" applyFont="1" applyFill="1" applyBorder="1" applyAlignment="1">
      <alignment horizontal="center" vertical="center" textRotation="90" wrapText="1"/>
    </xf>
    <xf numFmtId="0" fontId="8" fillId="2" borderId="11" xfId="0" applyFont="1" applyFill="1" applyBorder="1" applyAlignment="1">
      <alignment horizontal="center" vertical="center" textRotation="90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2" fillId="5" borderId="65" xfId="0" applyFont="1" applyFill="1" applyBorder="1" applyAlignment="1" applyProtection="1">
      <alignment horizontal="center" vertical="center" shrinkToFit="1"/>
      <protection locked="0"/>
    </xf>
    <xf numFmtId="0" fontId="2" fillId="5" borderId="55" xfId="0" applyFont="1" applyFill="1" applyBorder="1" applyAlignment="1" applyProtection="1">
      <alignment horizontal="center" vertical="center" shrinkToFit="1"/>
      <protection locked="0"/>
    </xf>
    <xf numFmtId="0" fontId="2" fillId="5" borderId="52" xfId="0" applyFont="1" applyFill="1" applyBorder="1" applyAlignment="1" applyProtection="1">
      <alignment horizontal="center" vertical="center" shrinkToFit="1"/>
      <protection locked="0"/>
    </xf>
    <xf numFmtId="0" fontId="109" fillId="6" borderId="37" xfId="0" applyFont="1" applyFill="1" applyBorder="1" applyAlignment="1" applyProtection="1">
      <alignment horizontal="center" vertical="center" shrinkToFit="1"/>
      <protection locked="0"/>
    </xf>
    <xf numFmtId="0" fontId="109" fillId="6" borderId="38" xfId="0" applyFont="1" applyFill="1" applyBorder="1" applyAlignment="1" applyProtection="1">
      <alignment horizontal="center" vertical="center" shrinkToFit="1"/>
      <protection locked="0"/>
    </xf>
    <xf numFmtId="0" fontId="109" fillId="6" borderId="39" xfId="0" applyFont="1" applyFill="1" applyBorder="1" applyAlignment="1" applyProtection="1">
      <alignment horizontal="center" vertical="center" shrinkToFit="1"/>
      <protection locked="0"/>
    </xf>
    <xf numFmtId="0" fontId="109" fillId="6" borderId="40" xfId="0" applyFont="1" applyFill="1" applyBorder="1" applyAlignment="1" applyProtection="1">
      <alignment horizontal="center" vertical="center" shrinkToFit="1"/>
      <protection locked="0"/>
    </xf>
    <xf numFmtId="0" fontId="109" fillId="8" borderId="37" xfId="0" applyFont="1" applyFill="1" applyBorder="1" applyAlignment="1">
      <alignment horizontal="center" vertical="center" shrinkToFit="1"/>
    </xf>
    <xf numFmtId="0" fontId="109" fillId="8" borderId="38" xfId="0" applyFont="1" applyFill="1" applyBorder="1" applyAlignment="1">
      <alignment horizontal="center" vertical="center" shrinkToFit="1"/>
    </xf>
    <xf numFmtId="0" fontId="109" fillId="8" borderId="39" xfId="0" applyFont="1" applyFill="1" applyBorder="1" applyAlignment="1">
      <alignment horizontal="center" vertical="center" shrinkToFit="1"/>
    </xf>
    <xf numFmtId="0" fontId="110" fillId="6" borderId="37" xfId="0" applyFont="1" applyFill="1" applyBorder="1" applyAlignment="1" applyProtection="1">
      <alignment horizontal="right" vertical="center" shrinkToFit="1"/>
      <protection locked="0"/>
    </xf>
    <xf numFmtId="0" fontId="110" fillId="6" borderId="38" xfId="0" applyFont="1" applyFill="1" applyBorder="1" applyAlignment="1" applyProtection="1">
      <alignment horizontal="right" vertical="center" shrinkToFit="1"/>
      <protection locked="0"/>
    </xf>
    <xf numFmtId="0" fontId="110" fillId="6" borderId="39" xfId="0" applyFont="1" applyFill="1" applyBorder="1" applyAlignment="1" applyProtection="1">
      <alignment horizontal="right" vertical="center" shrinkToFit="1"/>
      <protection locked="0"/>
    </xf>
    <xf numFmtId="0" fontId="110" fillId="6" borderId="37" xfId="0" applyFont="1" applyFill="1" applyBorder="1" applyAlignment="1" applyProtection="1">
      <alignment horizontal="left" vertical="center" shrinkToFit="1"/>
      <protection locked="0"/>
    </xf>
    <xf numFmtId="0" fontId="34" fillId="0" borderId="38" xfId="0" applyFont="1" applyBorder="1" applyAlignment="1" applyProtection="1">
      <alignment horizontal="left"/>
      <protection locked="0"/>
    </xf>
    <xf numFmtId="0" fontId="34" fillId="0" borderId="41" xfId="0" applyFont="1" applyBorder="1" applyAlignment="1" applyProtection="1">
      <alignment horizontal="left"/>
      <protection locked="0"/>
    </xf>
    <xf numFmtId="0" fontId="86" fillId="5" borderId="54" xfId="0" applyFont="1" applyFill="1" applyBorder="1" applyAlignment="1" applyProtection="1">
      <alignment horizontal="center" vertical="center" shrinkToFit="1"/>
      <protection locked="0"/>
    </xf>
    <xf numFmtId="0" fontId="86" fillId="5" borderId="55" xfId="0" applyFont="1" applyFill="1" applyBorder="1" applyAlignment="1" applyProtection="1">
      <alignment horizontal="center" vertical="center" shrinkToFit="1"/>
      <protection locked="0"/>
    </xf>
    <xf numFmtId="0" fontId="86" fillId="5" borderId="56" xfId="0" applyFont="1" applyFill="1" applyBorder="1" applyAlignment="1" applyProtection="1">
      <alignment horizontal="center" vertical="center" shrinkToFit="1"/>
      <protection locked="0"/>
    </xf>
    <xf numFmtId="0" fontId="86" fillId="5" borderId="75" xfId="0" applyFont="1" applyFill="1" applyBorder="1" applyAlignment="1" applyProtection="1">
      <alignment horizontal="center" vertical="center" shrinkToFit="1"/>
      <protection locked="0"/>
    </xf>
    <xf numFmtId="0" fontId="86" fillId="5" borderId="76" xfId="0" applyFont="1" applyFill="1" applyBorder="1" applyAlignment="1" applyProtection="1">
      <alignment horizontal="center" vertical="center" shrinkToFit="1"/>
      <protection locked="0"/>
    </xf>
    <xf numFmtId="0" fontId="86" fillId="5" borderId="77" xfId="0" applyFont="1" applyFill="1" applyBorder="1" applyAlignment="1" applyProtection="1">
      <alignment horizontal="center" vertical="center" shrinkToFit="1"/>
      <protection locked="0"/>
    </xf>
    <xf numFmtId="0" fontId="76" fillId="8" borderId="0" xfId="0" applyFont="1" applyFill="1" applyAlignment="1">
      <alignment horizontal="left" wrapText="1"/>
    </xf>
    <xf numFmtId="0" fontId="0" fillId="8" borderId="59" xfId="0" applyFill="1" applyBorder="1" applyAlignment="1">
      <alignment horizontal="center" vertical="center"/>
    </xf>
    <xf numFmtId="0" fontId="0" fillId="8" borderId="60" xfId="0" applyFill="1" applyBorder="1" applyAlignment="1">
      <alignment horizontal="center" vertical="center"/>
    </xf>
    <xf numFmtId="0" fontId="0" fillId="8" borderId="61" xfId="0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83" fillId="2" borderId="16" xfId="0" applyFont="1" applyFill="1" applyBorder="1" applyAlignment="1">
      <alignment horizontal="center" vertical="center" shrinkToFit="1"/>
    </xf>
    <xf numFmtId="0" fontId="83" fillId="2" borderId="18" xfId="0" applyFont="1" applyFill="1" applyBorder="1" applyAlignment="1">
      <alignment horizontal="center" vertical="center" shrinkToFit="1"/>
    </xf>
    <xf numFmtId="3" fontId="83" fillId="2" borderId="16" xfId="0" applyNumberFormat="1" applyFont="1" applyFill="1" applyBorder="1" applyAlignment="1">
      <alignment horizontal="center" vertical="center" shrinkToFit="1"/>
    </xf>
    <xf numFmtId="0" fontId="24" fillId="8" borderId="7" xfId="0" applyFont="1" applyFill="1" applyBorder="1" applyAlignment="1">
      <alignment horizontal="center" vertical="center"/>
    </xf>
    <xf numFmtId="0" fontId="78" fillId="2" borderId="10" xfId="0" applyFont="1" applyFill="1" applyBorder="1" applyAlignment="1">
      <alignment horizontal="center" wrapText="1"/>
    </xf>
    <xf numFmtId="0" fontId="78" fillId="2" borderId="9" xfId="0" applyFont="1" applyFill="1" applyBorder="1" applyAlignment="1">
      <alignment horizontal="center" wrapText="1"/>
    </xf>
    <xf numFmtId="0" fontId="78" fillId="2" borderId="100" xfId="0" applyFont="1" applyFill="1" applyBorder="1" applyAlignment="1">
      <alignment horizontal="center" wrapText="1"/>
    </xf>
    <xf numFmtId="0" fontId="78" fillId="2" borderId="47" xfId="0" applyFont="1" applyFill="1" applyBorder="1" applyAlignment="1">
      <alignment horizontal="center" wrapText="1"/>
    </xf>
    <xf numFmtId="0" fontId="0" fillId="8" borderId="71" xfId="0" applyFill="1" applyBorder="1" applyAlignment="1">
      <alignment horizontal="center" vertical="center"/>
    </xf>
    <xf numFmtId="0" fontId="0" fillId="8" borderId="72" xfId="0" applyFill="1" applyBorder="1" applyAlignment="1">
      <alignment horizontal="center" vertical="center"/>
    </xf>
    <xf numFmtId="0" fontId="0" fillId="8" borderId="73" xfId="0" applyFill="1" applyBorder="1" applyAlignment="1">
      <alignment horizontal="center" vertical="center"/>
    </xf>
    <xf numFmtId="0" fontId="7" fillId="2" borderId="26" xfId="0" applyFont="1" applyFill="1" applyBorder="1" applyAlignment="1">
      <alignment horizontal="center" vertical="center" shrinkToFit="1"/>
    </xf>
    <xf numFmtId="0" fontId="7" fillId="2" borderId="25" xfId="0" applyFont="1" applyFill="1" applyBorder="1" applyAlignment="1">
      <alignment horizontal="center" vertical="center" shrinkToFit="1"/>
    </xf>
    <xf numFmtId="0" fontId="34" fillId="8" borderId="0" xfId="0" applyFont="1" applyFill="1" applyAlignment="1">
      <alignment horizontal="left" wrapText="1"/>
    </xf>
    <xf numFmtId="0" fontId="34" fillId="8" borderId="80" xfId="0" applyFont="1" applyFill="1" applyBorder="1" applyAlignment="1">
      <alignment horizontal="left" wrapText="1"/>
    </xf>
    <xf numFmtId="0" fontId="0" fillId="8" borderId="78" xfId="0" applyFill="1" applyBorder="1" applyAlignment="1">
      <alignment horizontal="center" vertical="center"/>
    </xf>
    <xf numFmtId="0" fontId="0" fillId="8" borderId="79" xfId="0" applyFill="1" applyBorder="1" applyAlignment="1">
      <alignment horizontal="center" vertical="center"/>
    </xf>
    <xf numFmtId="0" fontId="0" fillId="5" borderId="65" xfId="0" applyFill="1" applyBorder="1" applyAlignment="1" applyProtection="1">
      <alignment horizontal="center" vertical="center" shrinkToFit="1"/>
      <protection locked="0"/>
    </xf>
    <xf numFmtId="0" fontId="0" fillId="5" borderId="55" xfId="0" applyFill="1" applyBorder="1" applyAlignment="1" applyProtection="1">
      <alignment horizontal="center" vertical="center" shrinkToFit="1"/>
      <protection locked="0"/>
    </xf>
    <xf numFmtId="0" fontId="0" fillId="5" borderId="52" xfId="0" applyFill="1" applyBorder="1" applyAlignment="1" applyProtection="1">
      <alignment horizontal="center" vertical="center" shrinkToFit="1"/>
      <protection locked="0"/>
    </xf>
    <xf numFmtId="0" fontId="0" fillId="5" borderId="54" xfId="0" applyFill="1" applyBorder="1" applyAlignment="1" applyProtection="1">
      <alignment horizontal="center" vertical="center" shrinkToFit="1"/>
      <protection locked="0"/>
    </xf>
    <xf numFmtId="0" fontId="0" fillId="5" borderId="56" xfId="0" applyFill="1" applyBorder="1" applyAlignment="1" applyProtection="1">
      <alignment horizontal="center" vertical="center" shrinkToFit="1"/>
      <protection locked="0"/>
    </xf>
    <xf numFmtId="0" fontId="21" fillId="5" borderId="65" xfId="0" applyFont="1" applyFill="1" applyBorder="1" applyAlignment="1" applyProtection="1">
      <alignment horizontal="right" vertical="center" shrinkToFit="1"/>
      <protection locked="0"/>
    </xf>
    <xf numFmtId="0" fontId="21" fillId="5" borderId="55" xfId="0" applyFont="1" applyFill="1" applyBorder="1" applyAlignment="1" applyProtection="1">
      <alignment horizontal="right" vertical="center" shrinkToFit="1"/>
      <protection locked="0"/>
    </xf>
    <xf numFmtId="0" fontId="21" fillId="5" borderId="52" xfId="0" applyFont="1" applyFill="1" applyBorder="1" applyAlignment="1" applyProtection="1">
      <alignment horizontal="right" vertical="center" shrinkToFit="1"/>
      <protection locked="0"/>
    </xf>
    <xf numFmtId="0" fontId="109" fillId="8" borderId="40" xfId="0" applyFont="1" applyFill="1" applyBorder="1" applyAlignment="1">
      <alignment horizontal="center" vertical="center" shrinkToFit="1"/>
    </xf>
    <xf numFmtId="0" fontId="109" fillId="8" borderId="2" xfId="0" applyFont="1" applyFill="1" applyBorder="1" applyAlignment="1">
      <alignment horizontal="center" vertical="center" shrinkToFit="1"/>
    </xf>
    <xf numFmtId="0" fontId="7" fillId="8" borderId="1" xfId="0" applyFont="1" applyFill="1" applyBorder="1" applyAlignment="1">
      <alignment horizontal="center" vertical="center" shrinkToFit="1"/>
    </xf>
    <xf numFmtId="0" fontId="7" fillId="8" borderId="17" xfId="0" applyFont="1" applyFill="1" applyBorder="1" applyAlignment="1">
      <alignment horizontal="center" vertical="center" shrinkToFit="1"/>
    </xf>
    <xf numFmtId="0" fontId="7" fillId="8" borderId="0" xfId="0" applyFont="1" applyFill="1" applyAlignment="1">
      <alignment horizontal="left" vertical="center" shrinkToFit="1"/>
    </xf>
    <xf numFmtId="164" fontId="7" fillId="8" borderId="17" xfId="0" applyNumberFormat="1" applyFont="1" applyFill="1" applyBorder="1" applyAlignment="1">
      <alignment horizontal="center" vertical="center" shrinkToFit="1"/>
    </xf>
    <xf numFmtId="164" fontId="7" fillId="8" borderId="1" xfId="0" applyNumberFormat="1" applyFont="1" applyFill="1" applyBorder="1" applyAlignment="1">
      <alignment horizontal="center" vertical="center" shrinkToFit="1"/>
    </xf>
    <xf numFmtId="0" fontId="7" fillId="0" borderId="17" xfId="0" applyFont="1" applyBorder="1" applyAlignment="1">
      <alignment horizontal="center" vertical="center" shrinkToFit="1"/>
    </xf>
    <xf numFmtId="0" fontId="41" fillId="2" borderId="0" xfId="0" applyFont="1" applyFill="1" applyAlignment="1">
      <alignment horizontal="center" vertical="center"/>
    </xf>
    <xf numFmtId="0" fontId="5" fillId="8" borderId="28" xfId="0" applyFont="1" applyFill="1" applyBorder="1" applyAlignment="1">
      <alignment horizontal="center" vertical="center"/>
    </xf>
    <xf numFmtId="0" fontId="5" fillId="8" borderId="29" xfId="0" applyFont="1" applyFill="1" applyBorder="1" applyAlignment="1">
      <alignment horizontal="center" vertical="center"/>
    </xf>
    <xf numFmtId="0" fontId="5" fillId="8" borderId="48" xfId="0" applyFont="1" applyFill="1" applyBorder="1" applyAlignment="1">
      <alignment horizontal="center" vertical="center"/>
    </xf>
    <xf numFmtId="0" fontId="5" fillId="8" borderId="30" xfId="0" applyFont="1" applyFill="1" applyBorder="1" applyAlignment="1">
      <alignment horizontal="center" vertical="center"/>
    </xf>
    <xf numFmtId="0" fontId="5" fillId="8" borderId="31" xfId="0" applyFont="1" applyFill="1" applyBorder="1" applyAlignment="1">
      <alignment horizontal="center" vertical="center"/>
    </xf>
    <xf numFmtId="0" fontId="5" fillId="8" borderId="49" xfId="0" applyFont="1" applyFill="1" applyBorder="1" applyAlignment="1">
      <alignment horizontal="center" vertical="center"/>
    </xf>
    <xf numFmtId="14" fontId="7" fillId="13" borderId="1" xfId="0" applyNumberFormat="1" applyFont="1" applyFill="1" applyBorder="1" applyAlignment="1">
      <alignment horizontal="center" vertical="center" shrinkToFit="1"/>
    </xf>
    <xf numFmtId="0" fontId="7" fillId="8" borderId="0" xfId="0" applyFont="1" applyFill="1" applyAlignment="1">
      <alignment horizontal="right" vertical="center" shrinkToFit="1"/>
    </xf>
    <xf numFmtId="0" fontId="25" fillId="8" borderId="81" xfId="0" applyFont="1" applyFill="1" applyBorder="1" applyAlignment="1">
      <alignment horizontal="left" vertical="center"/>
    </xf>
    <xf numFmtId="0" fontId="28" fillId="8" borderId="3" xfId="0" applyFont="1" applyFill="1" applyBorder="1" applyAlignment="1">
      <alignment horizontal="center" shrinkToFit="1"/>
    </xf>
    <xf numFmtId="166" fontId="26" fillId="8" borderId="22" xfId="0" applyNumberFormat="1" applyFont="1" applyFill="1" applyBorder="1" applyAlignment="1">
      <alignment horizontal="center" shrinkToFit="1"/>
    </xf>
    <xf numFmtId="0" fontId="0" fillId="5" borderId="82" xfId="0" applyFill="1" applyBorder="1" applyAlignment="1" applyProtection="1">
      <alignment horizontal="center" vertical="center" shrinkToFit="1"/>
      <protection locked="0"/>
    </xf>
    <xf numFmtId="0" fontId="0" fillId="5" borderId="76" xfId="0" applyFill="1" applyBorder="1" applyAlignment="1" applyProtection="1">
      <alignment horizontal="center" vertical="center" shrinkToFit="1"/>
      <protection locked="0"/>
    </xf>
    <xf numFmtId="0" fontId="0" fillId="5" borderId="83" xfId="0" applyFill="1" applyBorder="1" applyAlignment="1" applyProtection="1">
      <alignment horizontal="center" vertical="center" shrinkToFit="1"/>
      <protection locked="0"/>
    </xf>
    <xf numFmtId="0" fontId="0" fillId="5" borderId="75" xfId="0" applyFill="1" applyBorder="1" applyAlignment="1" applyProtection="1">
      <alignment horizontal="center" vertical="center" shrinkToFit="1"/>
      <protection locked="0"/>
    </xf>
    <xf numFmtId="0" fontId="0" fillId="5" borderId="77" xfId="0" applyFill="1" applyBorder="1" applyAlignment="1" applyProtection="1">
      <alignment horizontal="center" vertical="center" shrinkToFit="1"/>
      <protection locked="0"/>
    </xf>
    <xf numFmtId="0" fontId="89" fillId="0" borderId="0" xfId="0" applyFont="1" applyAlignment="1">
      <alignment horizontal="center"/>
    </xf>
    <xf numFmtId="0" fontId="117" fillId="0" borderId="0" xfId="0" applyFont="1" applyAlignment="1">
      <alignment horizontal="left" vertical="center" wrapText="1"/>
    </xf>
    <xf numFmtId="0" fontId="116" fillId="0" borderId="0" xfId="0" applyFont="1" applyAlignment="1">
      <alignment horizontal="left" vertical="center"/>
    </xf>
    <xf numFmtId="0" fontId="113" fillId="0" borderId="0" xfId="0" applyFont="1" applyAlignment="1">
      <alignment horizontal="left" vertical="center" wrapText="1"/>
    </xf>
    <xf numFmtId="0" fontId="86" fillId="0" borderId="0" xfId="0" applyFont="1" applyAlignment="1">
      <alignment horizontal="left" vertical="center"/>
    </xf>
    <xf numFmtId="0" fontId="86" fillId="0" borderId="0" xfId="0" applyFont="1" applyAlignment="1">
      <alignment horizontal="left" vertical="center" wrapText="1"/>
    </xf>
    <xf numFmtId="0" fontId="33" fillId="0" borderId="43" xfId="0" applyFont="1" applyBorder="1" applyAlignment="1">
      <alignment horizontal="center" vertical="center"/>
    </xf>
    <xf numFmtId="0" fontId="33" fillId="0" borderId="26" xfId="0" applyFont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 shrinkToFit="1"/>
    </xf>
    <xf numFmtId="0" fontId="42" fillId="2" borderId="2" xfId="0" applyFont="1" applyFill="1" applyBorder="1" applyAlignment="1">
      <alignment horizontal="center" vertical="center" shrinkToFit="1"/>
    </xf>
    <xf numFmtId="3" fontId="72" fillId="2" borderId="2" xfId="0" applyNumberFormat="1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shrinkToFit="1"/>
    </xf>
    <xf numFmtId="165" fontId="42" fillId="2" borderId="2" xfId="0" applyNumberFormat="1" applyFont="1" applyFill="1" applyBorder="1" applyAlignment="1">
      <alignment horizontal="center" vertical="center" shrinkToFit="1"/>
    </xf>
    <xf numFmtId="165" fontId="114" fillId="2" borderId="2" xfId="1" applyNumberFormat="1" applyFont="1" applyFill="1" applyBorder="1" applyAlignment="1" applyProtection="1">
      <alignment horizontal="center" vertical="center"/>
    </xf>
    <xf numFmtId="0" fontId="80" fillId="0" borderId="23" xfId="0" applyFont="1" applyBorder="1" applyAlignment="1">
      <alignment horizontal="center" vertical="center" wrapText="1"/>
    </xf>
    <xf numFmtId="0" fontId="80" fillId="0" borderId="22" xfId="0" applyFont="1" applyBorder="1" applyAlignment="1">
      <alignment horizontal="center" vertical="center" wrapText="1"/>
    </xf>
    <xf numFmtId="0" fontId="80" fillId="0" borderId="21" xfId="0" applyFont="1" applyBorder="1" applyAlignment="1">
      <alignment horizontal="center" vertical="center" wrapText="1"/>
    </xf>
    <xf numFmtId="0" fontId="80" fillId="0" borderId="24" xfId="0" applyFont="1" applyBorder="1" applyAlignment="1">
      <alignment horizontal="center" vertical="center" wrapText="1"/>
    </xf>
    <xf numFmtId="0" fontId="101" fillId="7" borderId="23" xfId="0" applyFont="1" applyFill="1" applyBorder="1" applyAlignment="1" applyProtection="1">
      <alignment horizontal="left" vertical="top" wrapText="1"/>
      <protection locked="0"/>
    </xf>
    <xf numFmtId="0" fontId="101" fillId="7" borderId="3" xfId="0" applyFont="1" applyFill="1" applyBorder="1" applyAlignment="1" applyProtection="1">
      <alignment horizontal="left" vertical="top" wrapText="1"/>
      <protection locked="0"/>
    </xf>
    <xf numFmtId="0" fontId="101" fillId="7" borderId="22" xfId="0" applyFont="1" applyFill="1" applyBorder="1" applyAlignment="1" applyProtection="1">
      <alignment horizontal="left" vertical="top" wrapText="1"/>
      <protection locked="0"/>
    </xf>
    <xf numFmtId="0" fontId="101" fillId="7" borderId="12" xfId="0" applyFont="1" applyFill="1" applyBorder="1" applyAlignment="1" applyProtection="1">
      <alignment horizontal="left" vertical="top" wrapText="1"/>
      <protection locked="0"/>
    </xf>
    <xf numFmtId="0" fontId="101" fillId="7" borderId="0" xfId="0" applyFont="1" applyFill="1" applyAlignment="1" applyProtection="1">
      <alignment horizontal="left" vertical="top" wrapText="1"/>
      <protection locked="0"/>
    </xf>
    <xf numFmtId="0" fontId="101" fillId="7" borderId="13" xfId="0" applyFont="1" applyFill="1" applyBorder="1" applyAlignment="1" applyProtection="1">
      <alignment horizontal="left" vertical="top" wrapText="1"/>
      <protection locked="0"/>
    </xf>
    <xf numFmtId="0" fontId="101" fillId="7" borderId="21" xfId="0" applyFont="1" applyFill="1" applyBorder="1" applyAlignment="1" applyProtection="1">
      <alignment horizontal="left" vertical="top" wrapText="1"/>
      <protection locked="0"/>
    </xf>
    <xf numFmtId="0" fontId="101" fillId="7" borderId="1" xfId="0" applyFont="1" applyFill="1" applyBorder="1" applyAlignment="1" applyProtection="1">
      <alignment horizontal="left" vertical="top" wrapText="1"/>
      <protection locked="0"/>
    </xf>
    <xf numFmtId="0" fontId="101" fillId="7" borderId="24" xfId="0" applyFont="1" applyFill="1" applyBorder="1" applyAlignment="1" applyProtection="1">
      <alignment horizontal="left" vertical="top" wrapText="1"/>
      <protection locked="0"/>
    </xf>
    <xf numFmtId="0" fontId="0" fillId="7" borderId="16" xfId="0" applyFill="1" applyBorder="1" applyAlignment="1" applyProtection="1">
      <alignment horizontal="left" vertical="center" wrapText="1"/>
      <protection locked="0"/>
    </xf>
    <xf numFmtId="0" fontId="0" fillId="7" borderId="17" xfId="0" applyFill="1" applyBorder="1" applyAlignment="1" applyProtection="1">
      <alignment horizontal="left" vertical="center" wrapText="1"/>
      <protection locked="0"/>
    </xf>
    <xf numFmtId="0" fontId="0" fillId="7" borderId="18" xfId="0" applyFill="1" applyBorder="1" applyAlignment="1" applyProtection="1">
      <alignment horizontal="left" vertical="center" wrapText="1"/>
      <protection locked="0"/>
    </xf>
    <xf numFmtId="0" fontId="31" fillId="0" borderId="16" xfId="0" applyFont="1" applyBorder="1" applyAlignment="1">
      <alignment horizontal="center" vertical="center" wrapText="1"/>
    </xf>
    <xf numFmtId="0" fontId="31" fillId="0" borderId="17" xfId="0" applyFont="1" applyBorder="1" applyAlignment="1">
      <alignment horizontal="center" vertical="center" wrapText="1"/>
    </xf>
    <xf numFmtId="0" fontId="31" fillId="0" borderId="18" xfId="0" applyFont="1" applyBorder="1" applyAlignment="1">
      <alignment horizontal="center" vertical="center" wrapText="1"/>
    </xf>
    <xf numFmtId="0" fontId="75" fillId="0" borderId="0" xfId="0" applyFont="1" applyAlignment="1">
      <alignment horizontal="left" vertical="center" wrapText="1"/>
    </xf>
    <xf numFmtId="0" fontId="0" fillId="7" borderId="16" xfId="0" applyFill="1" applyBorder="1" applyAlignment="1" applyProtection="1">
      <alignment horizontal="left" vertical="top" wrapText="1"/>
      <protection locked="0"/>
    </xf>
    <xf numFmtId="0" fontId="0" fillId="7" borderId="17" xfId="0" applyFill="1" applyBorder="1" applyAlignment="1" applyProtection="1">
      <alignment horizontal="left" vertical="top" wrapText="1"/>
      <protection locked="0"/>
    </xf>
    <xf numFmtId="0" fontId="0" fillId="7" borderId="18" xfId="0" applyFill="1" applyBorder="1" applyAlignment="1" applyProtection="1">
      <alignment horizontal="left" vertical="top" wrapText="1"/>
      <protection locked="0"/>
    </xf>
    <xf numFmtId="0" fontId="73" fillId="0" borderId="2" xfId="0" applyFont="1" applyBorder="1" applyAlignment="1">
      <alignment horizontal="center" vertical="center" wrapText="1"/>
    </xf>
    <xf numFmtId="0" fontId="0" fillId="7" borderId="16" xfId="0" applyFill="1" applyBorder="1" applyAlignment="1" applyProtection="1">
      <alignment horizontal="center" vertical="center" shrinkToFit="1"/>
      <protection locked="0"/>
    </xf>
    <xf numFmtId="0" fontId="0" fillId="7" borderId="18" xfId="0" applyFill="1" applyBorder="1" applyAlignment="1" applyProtection="1">
      <alignment horizontal="center" vertical="center" shrinkToFit="1"/>
      <protection locked="0"/>
    </xf>
    <xf numFmtId="0" fontId="27" fillId="0" borderId="16" xfId="0" applyFont="1" applyBorder="1" applyAlignment="1">
      <alignment horizontal="center" vertical="center" wrapText="1"/>
    </xf>
    <xf numFmtId="0" fontId="27" fillId="0" borderId="17" xfId="0" applyFont="1" applyBorder="1" applyAlignment="1">
      <alignment horizontal="center" vertical="center" wrapText="1"/>
    </xf>
    <xf numFmtId="0" fontId="27" fillId="0" borderId="18" xfId="0" applyFont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31" fillId="0" borderId="2" xfId="0" applyFont="1" applyBorder="1" applyAlignment="1">
      <alignment horizontal="center" vertical="center" wrapText="1"/>
    </xf>
    <xf numFmtId="0" fontId="73" fillId="0" borderId="21" xfId="0" applyFont="1" applyBorder="1" applyAlignment="1">
      <alignment horizontal="center" vertical="center" wrapText="1"/>
    </xf>
    <xf numFmtId="0" fontId="73" fillId="0" borderId="1" xfId="0" applyFont="1" applyBorder="1" applyAlignment="1">
      <alignment horizontal="center" vertical="center" wrapText="1"/>
    </xf>
    <xf numFmtId="0" fontId="73" fillId="0" borderId="24" xfId="0" applyFont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0" fontId="90" fillId="0" borderId="0" xfId="0" applyFont="1" applyAlignment="1">
      <alignment horizontal="center" vertical="center" shrinkToFit="1"/>
    </xf>
    <xf numFmtId="0" fontId="14" fillId="2" borderId="32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6" fillId="2" borderId="98" xfId="0" applyFont="1" applyFill="1" applyBorder="1" applyAlignment="1">
      <alignment horizontal="center" vertical="center" wrapText="1"/>
    </xf>
    <xf numFmtId="0" fontId="16" fillId="2" borderId="16" xfId="0" applyFont="1" applyFill="1" applyBorder="1" applyAlignment="1">
      <alignment horizontal="center" vertical="center" wrapText="1"/>
    </xf>
    <xf numFmtId="0" fontId="8" fillId="0" borderId="86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20" fillId="8" borderId="0" xfId="0" applyFont="1" applyFill="1" applyAlignment="1">
      <alignment horizontal="center" vertical="center" shrinkToFit="1"/>
    </xf>
    <xf numFmtId="0" fontId="90" fillId="0" borderId="0" xfId="0" applyFont="1" applyAlignment="1">
      <alignment horizontal="center" vertical="center" wrapText="1"/>
    </xf>
    <xf numFmtId="0" fontId="91" fillId="0" borderId="0" xfId="0" applyFont="1" applyAlignment="1">
      <alignment horizontal="center" vertical="center"/>
    </xf>
    <xf numFmtId="0" fontId="8" fillId="0" borderId="5" xfId="0" applyFont="1" applyBorder="1" applyAlignment="1">
      <alignment horizontal="center" vertical="center" wrapText="1"/>
    </xf>
    <xf numFmtId="0" fontId="8" fillId="0" borderId="90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0" fontId="16" fillId="0" borderId="112" xfId="0" applyFont="1" applyBorder="1" applyAlignment="1">
      <alignment horizontal="center" vertical="center" wrapText="1"/>
    </xf>
    <xf numFmtId="0" fontId="16" fillId="0" borderId="25" xfId="0" applyFont="1" applyBorder="1" applyAlignment="1">
      <alignment horizontal="center" vertical="center" wrapText="1"/>
    </xf>
    <xf numFmtId="0" fontId="88" fillId="0" borderId="86" xfId="0" applyFont="1" applyBorder="1" applyAlignment="1">
      <alignment horizontal="center" vertical="center" shrinkToFit="1"/>
    </xf>
    <xf numFmtId="0" fontId="88" fillId="0" borderId="32" xfId="0" applyFont="1" applyBorder="1" applyAlignment="1">
      <alignment horizontal="center" vertical="center" shrinkToFit="1"/>
    </xf>
    <xf numFmtId="0" fontId="88" fillId="0" borderId="33" xfId="0" applyFont="1" applyBorder="1" applyAlignment="1">
      <alignment horizontal="center" vertical="center" shrinkToFit="1"/>
    </xf>
    <xf numFmtId="0" fontId="86" fillId="0" borderId="0" xfId="0" applyFont="1" applyAlignment="1">
      <alignment horizontal="center"/>
    </xf>
    <xf numFmtId="0" fontId="7" fillId="0" borderId="12" xfId="0" applyFont="1" applyBorder="1" applyAlignment="1">
      <alignment horizontal="center" vertical="center" wrapText="1"/>
    </xf>
    <xf numFmtId="0" fontId="14" fillId="2" borderId="43" xfId="0" applyFont="1" applyFill="1" applyBorder="1" applyAlignment="1">
      <alignment horizontal="center" vertical="center" wrapText="1"/>
    </xf>
    <xf numFmtId="0" fontId="16" fillId="2" borderId="23" xfId="0" applyFont="1" applyFill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100" fillId="0" borderId="43" xfId="0" applyFont="1" applyBorder="1" applyAlignment="1">
      <alignment horizontal="center" vertical="center"/>
    </xf>
    <xf numFmtId="0" fontId="92" fillId="0" borderId="0" xfId="0" applyFont="1" applyAlignment="1">
      <alignment horizontal="center"/>
    </xf>
    <xf numFmtId="0" fontId="16" fillId="2" borderId="32" xfId="0" applyFont="1" applyFill="1" applyBorder="1" applyAlignment="1">
      <alignment horizontal="center" vertical="center" wrapText="1"/>
    </xf>
    <xf numFmtId="0" fontId="16" fillId="2" borderId="43" xfId="0" applyFont="1" applyFill="1" applyBorder="1" applyAlignment="1">
      <alignment horizontal="center" vertical="center" wrapText="1"/>
    </xf>
    <xf numFmtId="0" fontId="16" fillId="2" borderId="32" xfId="0" applyFont="1" applyFill="1" applyBorder="1" applyAlignment="1">
      <alignment horizontal="center" vertical="center"/>
    </xf>
    <xf numFmtId="0" fontId="16" fillId="2" borderId="43" xfId="0" applyFont="1" applyFill="1" applyBorder="1" applyAlignment="1">
      <alignment horizontal="center" vertical="center"/>
    </xf>
    <xf numFmtId="0" fontId="16" fillId="0" borderId="6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00" fillId="0" borderId="23" xfId="0" applyFont="1" applyBorder="1" applyAlignment="1">
      <alignment horizontal="center" vertical="center" shrinkToFit="1"/>
    </xf>
    <xf numFmtId="0" fontId="100" fillId="0" borderId="3" xfId="0" applyFont="1" applyBorder="1" applyAlignment="1">
      <alignment horizontal="center" vertical="center" shrinkToFit="1"/>
    </xf>
    <xf numFmtId="0" fontId="100" fillId="0" borderId="23" xfId="0" applyFont="1" applyBorder="1" applyAlignment="1">
      <alignment horizontal="center" vertical="center"/>
    </xf>
    <xf numFmtId="0" fontId="100" fillId="0" borderId="3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 textRotation="90" wrapText="1"/>
    </xf>
    <xf numFmtId="0" fontId="8" fillId="0" borderId="90" xfId="0" applyFont="1" applyBorder="1" applyAlignment="1">
      <alignment horizontal="center" vertical="center" textRotation="90" wrapText="1"/>
    </xf>
    <xf numFmtId="0" fontId="16" fillId="2" borderId="2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/>
    </xf>
    <xf numFmtId="0" fontId="8" fillId="0" borderId="11" xfId="0" applyFont="1" applyBorder="1" applyAlignment="1">
      <alignment horizontal="center" vertical="center" textRotation="90" wrapText="1"/>
    </xf>
    <xf numFmtId="0" fontId="7" fillId="2" borderId="33" xfId="0" applyFont="1" applyFill="1" applyBorder="1" applyAlignment="1">
      <alignment horizontal="center" vertical="center" wrapText="1"/>
    </xf>
    <xf numFmtId="0" fontId="7" fillId="2" borderId="114" xfId="0" applyFont="1" applyFill="1" applyBorder="1" applyAlignment="1">
      <alignment horizontal="center" vertical="center" wrapText="1"/>
    </xf>
    <xf numFmtId="0" fontId="16" fillId="2" borderId="33" xfId="0" applyFont="1" applyFill="1" applyBorder="1" applyAlignment="1">
      <alignment horizontal="center" vertical="center" wrapText="1"/>
    </xf>
    <xf numFmtId="0" fontId="16" fillId="2" borderId="84" xfId="0" applyFont="1" applyFill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16" fillId="0" borderId="33" xfId="0" applyFont="1" applyBorder="1" applyAlignment="1">
      <alignment horizontal="center" vertical="center" wrapText="1"/>
    </xf>
    <xf numFmtId="0" fontId="16" fillId="0" borderId="84" xfId="0" applyFont="1" applyBorder="1" applyAlignment="1">
      <alignment horizontal="center" vertical="center" wrapText="1"/>
    </xf>
    <xf numFmtId="0" fontId="90" fillId="0" borderId="12" xfId="0" applyFont="1" applyBorder="1" applyAlignment="1">
      <alignment horizontal="center" vertical="center" shrinkToFit="1"/>
    </xf>
    <xf numFmtId="0" fontId="90" fillId="0" borderId="21" xfId="0" applyFont="1" applyBorder="1" applyAlignment="1">
      <alignment horizontal="center" vertical="center" shrinkToFit="1"/>
    </xf>
    <xf numFmtId="0" fontId="90" fillId="0" borderId="1" xfId="0" applyFont="1" applyBorder="1" applyAlignment="1">
      <alignment horizontal="center" vertical="center" shrinkToFit="1"/>
    </xf>
    <xf numFmtId="0" fontId="87" fillId="0" borderId="21" xfId="0" applyFont="1" applyBorder="1" applyAlignment="1">
      <alignment horizontal="center" vertical="center" shrinkToFit="1"/>
    </xf>
    <xf numFmtId="0" fontId="87" fillId="0" borderId="1" xfId="0" applyFont="1" applyBorder="1" applyAlignment="1">
      <alignment horizontal="center" vertical="center" shrinkToFit="1"/>
    </xf>
    <xf numFmtId="0" fontId="7" fillId="0" borderId="27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93" fillId="0" borderId="0" xfId="0" applyFont="1" applyAlignment="1">
      <alignment horizontal="left" vertical="center" shrinkToFit="1"/>
    </xf>
    <xf numFmtId="0" fontId="90" fillId="0" borderId="0" xfId="0" applyFont="1" applyAlignment="1">
      <alignment horizontal="left"/>
    </xf>
    <xf numFmtId="0" fontId="51" fillId="0" borderId="15" xfId="0" applyFont="1" applyBorder="1" applyAlignment="1">
      <alignment horizontal="center" vertical="center"/>
    </xf>
    <xf numFmtId="0" fontId="51" fillId="0" borderId="2" xfId="0" applyFont="1" applyBorder="1" applyAlignment="1">
      <alignment horizontal="center" vertical="center"/>
    </xf>
    <xf numFmtId="0" fontId="47" fillId="0" borderId="16" xfId="0" applyFont="1" applyBorder="1" applyAlignment="1" applyProtection="1">
      <alignment horizontal="center" vertical="center" shrinkToFit="1"/>
      <protection locked="0"/>
    </xf>
    <xf numFmtId="0" fontId="47" fillId="0" borderId="17" xfId="0" applyFont="1" applyBorder="1" applyAlignment="1" applyProtection="1">
      <alignment horizontal="center" vertical="center" shrinkToFit="1"/>
      <protection locked="0"/>
    </xf>
    <xf numFmtId="0" fontId="47" fillId="0" borderId="18" xfId="0" applyFont="1" applyBorder="1" applyAlignment="1" applyProtection="1">
      <alignment horizontal="center" vertical="center" shrinkToFit="1"/>
      <protection locked="0"/>
    </xf>
    <xf numFmtId="0" fontId="51" fillId="15" borderId="15" xfId="0" applyFont="1" applyFill="1" applyBorder="1" applyAlignment="1">
      <alignment horizontal="center" vertical="center"/>
    </xf>
    <xf numFmtId="0" fontId="51" fillId="15" borderId="2" xfId="0" applyFont="1" applyFill="1" applyBorder="1" applyAlignment="1">
      <alignment horizontal="center" vertical="center"/>
    </xf>
    <xf numFmtId="0" fontId="47" fillId="19" borderId="16" xfId="0" applyFont="1" applyFill="1" applyBorder="1" applyAlignment="1" applyProtection="1">
      <alignment horizontal="center" vertical="center" shrinkToFit="1"/>
      <protection locked="0"/>
    </xf>
    <xf numFmtId="0" fontId="47" fillId="19" borderId="17" xfId="0" applyFont="1" applyFill="1" applyBorder="1" applyAlignment="1" applyProtection="1">
      <alignment horizontal="center" vertical="center" shrinkToFit="1"/>
      <protection locked="0"/>
    </xf>
    <xf numFmtId="0" fontId="47" fillId="19" borderId="18" xfId="0" applyFont="1" applyFill="1" applyBorder="1" applyAlignment="1" applyProtection="1">
      <alignment horizontal="center" vertical="center" shrinkToFit="1"/>
      <protection locked="0"/>
    </xf>
    <xf numFmtId="0" fontId="47" fillId="19" borderId="2" xfId="0" applyFont="1" applyFill="1" applyBorder="1" applyAlignment="1" applyProtection="1">
      <alignment horizontal="center" vertical="center" shrinkToFit="1"/>
      <protection locked="0"/>
    </xf>
    <xf numFmtId="0" fontId="47" fillId="0" borderId="2" xfId="0" applyFont="1" applyBorder="1" applyAlignment="1" applyProtection="1">
      <alignment horizontal="center" vertical="center" shrinkToFit="1"/>
      <protection locked="0"/>
    </xf>
    <xf numFmtId="0" fontId="47" fillId="0" borderId="84" xfId="0" applyFont="1" applyBorder="1" applyAlignment="1" applyProtection="1">
      <alignment horizontal="center" vertical="center" shrinkToFit="1"/>
      <protection locked="0"/>
    </xf>
    <xf numFmtId="0" fontId="47" fillId="0" borderId="40" xfId="0" applyFont="1" applyBorder="1" applyAlignment="1" applyProtection="1">
      <alignment horizontal="center" vertical="center" shrinkToFit="1"/>
      <protection locked="0"/>
    </xf>
    <xf numFmtId="0" fontId="47" fillId="0" borderId="51" xfId="0" applyFont="1" applyBorder="1" applyAlignment="1" applyProtection="1">
      <alignment horizontal="center" vertical="center" shrinkToFit="1"/>
      <protection locked="0"/>
    </xf>
    <xf numFmtId="0" fontId="51" fillId="0" borderId="16" xfId="0" applyFont="1" applyBorder="1" applyAlignment="1" applyProtection="1">
      <alignment horizontal="center" vertical="center" shrinkToFit="1"/>
      <protection locked="0"/>
    </xf>
    <xf numFmtId="0" fontId="51" fillId="0" borderId="17" xfId="0" applyFont="1" applyBorder="1" applyAlignment="1" applyProtection="1">
      <alignment horizontal="center" vertical="center" shrinkToFit="1"/>
      <protection locked="0"/>
    </xf>
    <xf numFmtId="0" fontId="51" fillId="0" borderId="37" xfId="0" applyFont="1" applyBorder="1" applyAlignment="1" applyProtection="1">
      <alignment horizontal="center" vertical="center" shrinkToFit="1"/>
      <protection locked="0"/>
    </xf>
    <xf numFmtId="0" fontId="51" fillId="0" borderId="38" xfId="0" applyFont="1" applyBorder="1" applyAlignment="1" applyProtection="1">
      <alignment horizontal="center" vertical="center" shrinkToFit="1"/>
      <protection locked="0"/>
    </xf>
    <xf numFmtId="0" fontId="57" fillId="2" borderId="6" xfId="0" applyFont="1" applyFill="1" applyBorder="1" applyAlignment="1">
      <alignment horizontal="center" vertical="center" wrapText="1"/>
    </xf>
    <xf numFmtId="0" fontId="57" fillId="2" borderId="7" xfId="0" applyFont="1" applyFill="1" applyBorder="1" applyAlignment="1">
      <alignment horizontal="center" vertical="center" wrapText="1"/>
    </xf>
    <xf numFmtId="0" fontId="57" fillId="2" borderId="8" xfId="0" applyFont="1" applyFill="1" applyBorder="1" applyAlignment="1">
      <alignment horizontal="center" vertical="center" wrapText="1"/>
    </xf>
    <xf numFmtId="0" fontId="57" fillId="2" borderId="21" xfId="0" applyFont="1" applyFill="1" applyBorder="1" applyAlignment="1">
      <alignment horizontal="center" vertical="center" wrapText="1"/>
    </xf>
    <xf numFmtId="0" fontId="57" fillId="2" borderId="1" xfId="0" applyFont="1" applyFill="1" applyBorder="1" applyAlignment="1">
      <alignment horizontal="center" vertical="center" wrapText="1"/>
    </xf>
    <xf numFmtId="0" fontId="57" fillId="2" borderId="24" xfId="0" applyFont="1" applyFill="1" applyBorder="1" applyAlignment="1">
      <alignment horizontal="center" vertical="center" wrapText="1"/>
    </xf>
    <xf numFmtId="0" fontId="59" fillId="2" borderId="20" xfId="0" applyFont="1" applyFill="1" applyBorder="1" applyAlignment="1">
      <alignment horizontal="left" vertical="center" wrapText="1" indent="1"/>
    </xf>
    <xf numFmtId="0" fontId="59" fillId="2" borderId="17" xfId="0" applyFont="1" applyFill="1" applyBorder="1" applyAlignment="1">
      <alignment horizontal="left" vertical="center" wrapText="1" indent="1"/>
    </xf>
    <xf numFmtId="0" fontId="59" fillId="2" borderId="18" xfId="0" applyFont="1" applyFill="1" applyBorder="1" applyAlignment="1">
      <alignment horizontal="left" vertical="center" wrapText="1" indent="1"/>
    </xf>
    <xf numFmtId="0" fontId="49" fillId="2" borderId="16" xfId="0" applyFont="1" applyFill="1" applyBorder="1" applyAlignment="1">
      <alignment horizontal="center" vertical="center"/>
    </xf>
    <xf numFmtId="0" fontId="49" fillId="2" borderId="19" xfId="0" applyFont="1" applyFill="1" applyBorder="1" applyAlignment="1">
      <alignment horizontal="center" vertical="center"/>
    </xf>
    <xf numFmtId="0" fontId="56" fillId="2" borderId="87" xfId="0" applyFont="1" applyFill="1" applyBorder="1" applyAlignment="1">
      <alignment horizontal="center" vertical="center" wrapText="1"/>
    </xf>
    <xf numFmtId="0" fontId="56" fillId="2" borderId="88" xfId="0" applyFont="1" applyFill="1" applyBorder="1" applyAlignment="1">
      <alignment horizontal="center" vertical="center" wrapText="1"/>
    </xf>
    <xf numFmtId="0" fontId="56" fillId="2" borderId="89" xfId="0" applyFont="1" applyFill="1" applyBorder="1" applyAlignment="1">
      <alignment horizontal="center" vertical="center" wrapText="1"/>
    </xf>
    <xf numFmtId="0" fontId="47" fillId="2" borderId="40" xfId="0" applyFont="1" applyFill="1" applyBorder="1" applyAlignment="1" applyProtection="1">
      <alignment horizontal="center" vertical="center" shrinkToFit="1"/>
      <protection locked="0"/>
    </xf>
    <xf numFmtId="0" fontId="47" fillId="2" borderId="37" xfId="0" applyFont="1" applyFill="1" applyBorder="1" applyAlignment="1" applyProtection="1">
      <alignment horizontal="center" vertical="center" wrapText="1"/>
      <protection locked="0"/>
    </xf>
    <xf numFmtId="0" fontId="47" fillId="2" borderId="41" xfId="0" applyFont="1" applyFill="1" applyBorder="1" applyAlignment="1" applyProtection="1">
      <alignment horizontal="center" vertical="center" wrapText="1"/>
      <protection locked="0"/>
    </xf>
    <xf numFmtId="0" fontId="47" fillId="2" borderId="2" xfId="0" applyFont="1" applyFill="1" applyBorder="1" applyAlignment="1" applyProtection="1">
      <alignment horizontal="center" vertical="center" shrinkToFit="1"/>
      <protection locked="0"/>
    </xf>
    <xf numFmtId="0" fontId="47" fillId="2" borderId="16" xfId="0" applyFont="1" applyFill="1" applyBorder="1" applyAlignment="1" applyProtection="1">
      <alignment horizontal="center" vertical="center" wrapText="1"/>
      <protection locked="0"/>
    </xf>
    <xf numFmtId="0" fontId="47" fillId="2" borderId="19" xfId="0" applyFont="1" applyFill="1" applyBorder="1" applyAlignment="1" applyProtection="1">
      <alignment horizontal="center" vertical="center" wrapText="1"/>
      <protection locked="0"/>
    </xf>
    <xf numFmtId="0" fontId="56" fillId="2" borderId="86" xfId="0" applyFont="1" applyFill="1" applyBorder="1" applyAlignment="1">
      <alignment horizontal="center" vertical="center" wrapText="1"/>
    </xf>
    <xf numFmtId="0" fontId="56" fillId="2" borderId="32" xfId="0" applyFont="1" applyFill="1" applyBorder="1" applyAlignment="1">
      <alignment horizontal="center" vertical="center" wrapText="1"/>
    </xf>
    <xf numFmtId="0" fontId="56" fillId="2" borderId="36" xfId="0" applyFont="1" applyFill="1" applyBorder="1" applyAlignment="1">
      <alignment horizontal="center" vertical="center" wrapText="1"/>
    </xf>
    <xf numFmtId="0" fontId="56" fillId="2" borderId="40" xfId="0" applyFont="1" applyFill="1" applyBorder="1" applyAlignment="1">
      <alignment horizontal="center" vertical="center" wrapText="1"/>
    </xf>
    <xf numFmtId="0" fontId="60" fillId="2" borderId="32" xfId="0" applyFont="1" applyFill="1" applyBorder="1" applyAlignment="1">
      <alignment horizontal="center" vertical="center"/>
    </xf>
    <xf numFmtId="0" fontId="60" fillId="2" borderId="33" xfId="0" applyFont="1" applyFill="1" applyBorder="1" applyAlignment="1">
      <alignment horizontal="center" vertical="center"/>
    </xf>
    <xf numFmtId="0" fontId="54" fillId="2" borderId="96" xfId="0" applyFont="1" applyFill="1" applyBorder="1" applyAlignment="1">
      <alignment horizontal="center" vertical="center" wrapText="1"/>
    </xf>
    <xf numFmtId="0" fontId="54" fillId="2" borderId="81" xfId="0" applyFont="1" applyFill="1" applyBorder="1" applyAlignment="1">
      <alignment horizontal="center" vertical="center" wrapText="1"/>
    </xf>
    <xf numFmtId="0" fontId="54" fillId="2" borderId="97" xfId="0" applyFont="1" applyFill="1" applyBorder="1" applyAlignment="1">
      <alignment horizontal="center" vertical="center" wrapText="1"/>
    </xf>
    <xf numFmtId="0" fontId="60" fillId="2" borderId="98" xfId="0" applyFont="1" applyFill="1" applyBorder="1" applyAlignment="1">
      <alignment horizontal="center" vertical="center" shrinkToFit="1"/>
    </xf>
    <xf numFmtId="0" fontId="60" fillId="2" borderId="99" xfId="0" applyFont="1" applyFill="1" applyBorder="1" applyAlignment="1">
      <alignment horizontal="center" vertical="center" shrinkToFit="1"/>
    </xf>
    <xf numFmtId="0" fontId="56" fillId="14" borderId="40" xfId="0" applyFont="1" applyFill="1" applyBorder="1" applyAlignment="1">
      <alignment horizontal="center" vertical="center"/>
    </xf>
    <xf numFmtId="0" fontId="51" fillId="0" borderId="36" xfId="0" applyFont="1" applyBorder="1" applyAlignment="1">
      <alignment horizontal="center" vertical="center"/>
    </xf>
    <xf numFmtId="0" fontId="51" fillId="0" borderId="40" xfId="0" applyFont="1" applyBorder="1" applyAlignment="1">
      <alignment horizontal="center" vertical="center"/>
    </xf>
    <xf numFmtId="0" fontId="47" fillId="0" borderId="37" xfId="0" applyFont="1" applyBorder="1" applyAlignment="1" applyProtection="1">
      <alignment horizontal="center" vertical="center" shrinkToFit="1"/>
      <protection locked="0"/>
    </xf>
    <xf numFmtId="0" fontId="47" fillId="0" borderId="38" xfId="0" applyFont="1" applyBorder="1" applyAlignment="1" applyProtection="1">
      <alignment horizontal="center" vertical="center" shrinkToFit="1"/>
      <protection locked="0"/>
    </xf>
    <xf numFmtId="0" fontId="47" fillId="0" borderId="39" xfId="0" applyFont="1" applyBorder="1" applyAlignment="1" applyProtection="1">
      <alignment horizontal="center" vertical="center" shrinkToFit="1"/>
      <protection locked="0"/>
    </xf>
    <xf numFmtId="0" fontId="61" fillId="2" borderId="20" xfId="0" applyFont="1" applyFill="1" applyBorder="1" applyAlignment="1">
      <alignment horizontal="left" vertical="center" wrapText="1" indent="1"/>
    </xf>
    <xf numFmtId="0" fontId="61" fillId="2" borderId="17" xfId="0" applyFont="1" applyFill="1" applyBorder="1" applyAlignment="1">
      <alignment horizontal="left" vertical="center" wrapText="1" indent="1"/>
    </xf>
    <xf numFmtId="0" fontId="61" fillId="2" borderId="18" xfId="0" applyFont="1" applyFill="1" applyBorder="1" applyAlignment="1">
      <alignment horizontal="left" vertical="center" wrapText="1" indent="1"/>
    </xf>
    <xf numFmtId="0" fontId="49" fillId="2" borderId="2" xfId="0" applyFont="1" applyFill="1" applyBorder="1" applyAlignment="1">
      <alignment horizontal="center" vertical="center"/>
    </xf>
    <xf numFmtId="0" fontId="49" fillId="2" borderId="84" xfId="0" applyFont="1" applyFill="1" applyBorder="1" applyAlignment="1">
      <alignment horizontal="center" vertical="center"/>
    </xf>
    <xf numFmtId="0" fontId="59" fillId="2" borderId="92" xfId="0" applyFont="1" applyFill="1" applyBorder="1" applyAlignment="1">
      <alignment horizontal="center" vertical="center" wrapText="1"/>
    </xf>
    <xf numFmtId="0" fontId="59" fillId="2" borderId="3" xfId="0" applyFont="1" applyFill="1" applyBorder="1" applyAlignment="1">
      <alignment horizontal="center" vertical="center" wrapText="1"/>
    </xf>
    <xf numFmtId="0" fontId="59" fillId="2" borderId="93" xfId="0" applyFont="1" applyFill="1" applyBorder="1" applyAlignment="1">
      <alignment horizontal="center" vertical="center" wrapText="1"/>
    </xf>
    <xf numFmtId="0" fontId="59" fillId="2" borderId="80" xfId="0" applyFont="1" applyFill="1" applyBorder="1" applyAlignment="1">
      <alignment horizontal="center" vertical="center" wrapText="1"/>
    </xf>
    <xf numFmtId="0" fontId="47" fillId="2" borderId="3" xfId="0" applyFont="1" applyFill="1" applyBorder="1" applyAlignment="1" applyProtection="1">
      <alignment horizontal="left" vertical="top" wrapText="1"/>
      <protection locked="0"/>
    </xf>
    <xf numFmtId="0" fontId="47" fillId="2" borderId="91" xfId="0" applyFont="1" applyFill="1" applyBorder="1" applyAlignment="1" applyProtection="1">
      <alignment horizontal="left" vertical="top" wrapText="1"/>
      <protection locked="0"/>
    </xf>
    <xf numFmtId="0" fontId="47" fillId="2" borderId="80" xfId="0" applyFont="1" applyFill="1" applyBorder="1" applyAlignment="1" applyProtection="1">
      <alignment horizontal="left" vertical="top" wrapText="1"/>
      <protection locked="0"/>
    </xf>
    <xf numFmtId="0" fontId="47" fillId="2" borderId="95" xfId="0" applyFont="1" applyFill="1" applyBorder="1" applyAlignment="1" applyProtection="1">
      <alignment horizontal="left" vertical="top" wrapText="1"/>
      <protection locked="0"/>
    </xf>
    <xf numFmtId="49" fontId="49" fillId="19" borderId="2" xfId="0" applyNumberFormat="1" applyFont="1" applyFill="1" applyBorder="1" applyAlignment="1" applyProtection="1">
      <alignment horizontal="center" vertical="center"/>
      <protection locked="0"/>
    </xf>
    <xf numFmtId="49" fontId="49" fillId="2" borderId="2" xfId="0" applyNumberFormat="1" applyFont="1" applyFill="1" applyBorder="1" applyAlignment="1" applyProtection="1">
      <alignment horizontal="center" vertical="center"/>
      <protection locked="0"/>
    </xf>
    <xf numFmtId="0" fontId="54" fillId="2" borderId="20" xfId="0" applyFont="1" applyFill="1" applyBorder="1" applyAlignment="1">
      <alignment horizontal="center" vertical="center" wrapText="1"/>
    </xf>
    <xf numFmtId="0" fontId="54" fillId="2" borderId="17" xfId="0" applyFont="1" applyFill="1" applyBorder="1" applyAlignment="1">
      <alignment horizontal="center" vertical="center" wrapText="1"/>
    </xf>
    <xf numFmtId="0" fontId="54" fillId="2" borderId="18" xfId="0" applyFont="1" applyFill="1" applyBorder="1" applyAlignment="1">
      <alignment horizontal="center" vertical="center" wrapText="1"/>
    </xf>
    <xf numFmtId="0" fontId="60" fillId="2" borderId="16" xfId="0" applyFont="1" applyFill="1" applyBorder="1" applyAlignment="1">
      <alignment horizontal="center" vertical="center" shrinkToFit="1"/>
    </xf>
    <xf numFmtId="0" fontId="60" fillId="2" borderId="19" xfId="0" applyFont="1" applyFill="1" applyBorder="1" applyAlignment="1">
      <alignment horizontal="center" vertical="center" shrinkToFit="1"/>
    </xf>
    <xf numFmtId="49" fontId="49" fillId="2" borderId="84" xfId="0" applyNumberFormat="1" applyFont="1" applyFill="1" applyBorder="1" applyAlignment="1" applyProtection="1">
      <alignment horizontal="center" vertical="center"/>
      <protection locked="0"/>
    </xf>
    <xf numFmtId="0" fontId="47" fillId="2" borderId="20" xfId="0" applyFont="1" applyFill="1" applyBorder="1" applyAlignment="1">
      <alignment horizontal="left" vertical="center" wrapText="1"/>
    </xf>
    <xf numFmtId="0" fontId="47" fillId="2" borderId="17" xfId="0" applyFont="1" applyFill="1" applyBorder="1" applyAlignment="1">
      <alignment horizontal="left" vertical="center" wrapText="1"/>
    </xf>
    <xf numFmtId="0" fontId="47" fillId="2" borderId="18" xfId="0" applyFont="1" applyFill="1" applyBorder="1" applyAlignment="1">
      <alignment horizontal="left" vertical="center" wrapText="1"/>
    </xf>
    <xf numFmtId="0" fontId="59" fillId="2" borderId="14" xfId="0" applyFont="1" applyFill="1" applyBorder="1" applyAlignment="1">
      <alignment horizontal="center" vertical="center" wrapText="1"/>
    </xf>
    <xf numFmtId="0" fontId="59" fillId="2" borderId="0" xfId="0" applyFont="1" applyFill="1" applyAlignment="1">
      <alignment horizontal="center" vertical="center" wrapText="1"/>
    </xf>
    <xf numFmtId="0" fontId="47" fillId="2" borderId="0" xfId="0" applyFont="1" applyFill="1" applyAlignment="1" applyProtection="1">
      <alignment horizontal="left" vertical="top" wrapText="1"/>
      <protection locked="0"/>
    </xf>
    <xf numFmtId="0" fontId="47" fillId="2" borderId="4" xfId="0" applyFont="1" applyFill="1" applyBorder="1" applyAlignment="1" applyProtection="1">
      <alignment horizontal="left" vertical="top" wrapText="1"/>
      <protection locked="0"/>
    </xf>
    <xf numFmtId="0" fontId="47" fillId="2" borderId="100" xfId="0" applyFont="1" applyFill="1" applyBorder="1" applyAlignment="1">
      <alignment horizontal="left" vertical="center" wrapText="1"/>
    </xf>
    <xf numFmtId="0" fontId="47" fillId="2" borderId="1" xfId="0" applyFont="1" applyFill="1" applyBorder="1" applyAlignment="1">
      <alignment horizontal="left" vertical="center" wrapText="1"/>
    </xf>
    <xf numFmtId="0" fontId="47" fillId="2" borderId="24" xfId="0" applyFont="1" applyFill="1" applyBorder="1" applyAlignment="1">
      <alignment horizontal="left" vertical="center" wrapText="1"/>
    </xf>
    <xf numFmtId="0" fontId="53" fillId="19" borderId="3" xfId="0" applyFont="1" applyFill="1" applyBorder="1" applyAlignment="1" applyProtection="1">
      <alignment horizontal="center" vertical="center" wrapText="1"/>
      <protection locked="0"/>
    </xf>
    <xf numFmtId="0" fontId="53" fillId="19" borderId="22" xfId="0" applyFont="1" applyFill="1" applyBorder="1" applyAlignment="1" applyProtection="1">
      <alignment horizontal="center" vertical="center" wrapText="1"/>
      <protection locked="0"/>
    </xf>
    <xf numFmtId="0" fontId="53" fillId="19" borderId="1" xfId="0" applyFont="1" applyFill="1" applyBorder="1" applyAlignment="1" applyProtection="1">
      <alignment horizontal="center" vertical="center" wrapText="1"/>
      <protection locked="0"/>
    </xf>
    <xf numFmtId="0" fontId="53" fillId="19" borderId="24" xfId="0" applyFont="1" applyFill="1" applyBorder="1" applyAlignment="1" applyProtection="1">
      <alignment horizontal="center" vertical="center" wrapText="1"/>
      <protection locked="0"/>
    </xf>
    <xf numFmtId="0" fontId="47" fillId="0" borderId="2" xfId="0" applyFont="1" applyBorder="1" applyAlignment="1" applyProtection="1">
      <alignment horizontal="center" vertical="center"/>
      <protection locked="0"/>
    </xf>
    <xf numFmtId="0" fontId="51" fillId="0" borderId="2" xfId="0" applyFont="1" applyBorder="1" applyAlignment="1" applyProtection="1">
      <alignment horizontal="center" vertical="center"/>
      <protection locked="0"/>
    </xf>
    <xf numFmtId="0" fontId="47" fillId="15" borderId="16" xfId="0" applyFont="1" applyFill="1" applyBorder="1" applyAlignment="1">
      <alignment horizontal="center" vertical="center" shrinkToFit="1"/>
    </xf>
    <xf numFmtId="0" fontId="47" fillId="15" borderId="17" xfId="0" applyFont="1" applyFill="1" applyBorder="1" applyAlignment="1">
      <alignment horizontal="center" vertical="center" shrinkToFit="1"/>
    </xf>
    <xf numFmtId="0" fontId="47" fillId="15" borderId="18" xfId="0" applyFont="1" applyFill="1" applyBorder="1" applyAlignment="1">
      <alignment horizontal="center" vertical="center" shrinkToFit="1"/>
    </xf>
    <xf numFmtId="0" fontId="47" fillId="19" borderId="84" xfId="0" applyFont="1" applyFill="1" applyBorder="1" applyAlignment="1" applyProtection="1">
      <alignment horizontal="center" vertical="center" shrinkToFit="1"/>
      <protection locked="0"/>
    </xf>
    <xf numFmtId="0" fontId="53" fillId="2" borderId="2" xfId="0" applyFont="1" applyFill="1" applyBorder="1" applyAlignment="1">
      <alignment horizontal="center" vertical="center" wrapText="1"/>
    </xf>
    <xf numFmtId="0" fontId="53" fillId="2" borderId="84" xfId="0" applyFont="1" applyFill="1" applyBorder="1" applyAlignment="1">
      <alignment horizontal="center" vertical="center" wrapText="1"/>
    </xf>
    <xf numFmtId="9" fontId="53" fillId="2" borderId="2" xfId="0" applyNumberFormat="1" applyFont="1" applyFill="1" applyBorder="1" applyAlignment="1">
      <alignment horizontal="center" vertical="center" wrapText="1"/>
    </xf>
    <xf numFmtId="9" fontId="53" fillId="2" borderId="84" xfId="0" applyNumberFormat="1" applyFont="1" applyFill="1" applyBorder="1" applyAlignment="1">
      <alignment horizontal="center" vertical="center" wrapText="1"/>
    </xf>
    <xf numFmtId="0" fontId="47" fillId="2" borderId="20" xfId="0" applyFont="1" applyFill="1" applyBorder="1" applyAlignment="1">
      <alignment horizontal="left" vertical="center" shrinkToFit="1"/>
    </xf>
    <xf numFmtId="0" fontId="47" fillId="2" borderId="17" xfId="0" applyFont="1" applyFill="1" applyBorder="1" applyAlignment="1">
      <alignment horizontal="left" vertical="center" shrinkToFit="1"/>
    </xf>
    <xf numFmtId="0" fontId="47" fillId="2" borderId="18" xfId="0" applyFont="1" applyFill="1" applyBorder="1" applyAlignment="1">
      <alignment horizontal="left" vertical="center" shrinkToFit="1"/>
    </xf>
    <xf numFmtId="0" fontId="47" fillId="2" borderId="3" xfId="0" applyFont="1" applyFill="1" applyBorder="1" applyAlignment="1">
      <alignment horizontal="center"/>
    </xf>
    <xf numFmtId="0" fontId="53" fillId="19" borderId="3" xfId="0" applyFont="1" applyFill="1" applyBorder="1" applyAlignment="1" applyProtection="1">
      <alignment horizontal="left" vertical="center" wrapText="1"/>
      <protection locked="0"/>
    </xf>
    <xf numFmtId="0" fontId="53" fillId="19" borderId="91" xfId="0" applyFont="1" applyFill="1" applyBorder="1" applyAlignment="1" applyProtection="1">
      <alignment horizontal="left" vertical="center" wrapText="1"/>
      <protection locked="0"/>
    </xf>
    <xf numFmtId="0" fontId="53" fillId="19" borderId="80" xfId="0" applyFont="1" applyFill="1" applyBorder="1" applyAlignment="1" applyProtection="1">
      <alignment horizontal="left" vertical="center" wrapText="1"/>
      <protection locked="0"/>
    </xf>
    <xf numFmtId="0" fontId="53" fillId="19" borderId="95" xfId="0" applyFont="1" applyFill="1" applyBorder="1" applyAlignment="1" applyProtection="1">
      <alignment horizontal="left" vertical="center" wrapText="1"/>
      <protection locked="0"/>
    </xf>
    <xf numFmtId="0" fontId="60" fillId="2" borderId="23" xfId="0" applyFont="1" applyFill="1" applyBorder="1" applyAlignment="1">
      <alignment horizontal="center" vertical="center" shrinkToFit="1"/>
    </xf>
    <xf numFmtId="0" fontId="60" fillId="2" borderId="91" xfId="0" applyFont="1" applyFill="1" applyBorder="1" applyAlignment="1">
      <alignment horizontal="center" vertical="center" shrinkToFit="1"/>
    </xf>
    <xf numFmtId="0" fontId="60" fillId="2" borderId="12" xfId="0" applyFont="1" applyFill="1" applyBorder="1" applyAlignment="1">
      <alignment horizontal="center" vertical="center" shrinkToFit="1"/>
    </xf>
    <xf numFmtId="0" fontId="60" fillId="2" borderId="4" xfId="0" applyFont="1" applyFill="1" applyBorder="1" applyAlignment="1">
      <alignment horizontal="center" vertical="center" shrinkToFit="1"/>
    </xf>
    <xf numFmtId="0" fontId="60" fillId="2" borderId="21" xfId="0" applyFont="1" applyFill="1" applyBorder="1" applyAlignment="1">
      <alignment horizontal="center" vertical="center" shrinkToFit="1"/>
    </xf>
    <xf numFmtId="0" fontId="60" fillId="2" borderId="47" xfId="0" applyFont="1" applyFill="1" applyBorder="1" applyAlignment="1">
      <alignment horizontal="center" vertical="center" shrinkToFit="1"/>
    </xf>
    <xf numFmtId="0" fontId="54" fillId="2" borderId="16" xfId="0" applyFont="1" applyFill="1" applyBorder="1" applyAlignment="1">
      <alignment horizontal="center" vertical="center" wrapText="1"/>
    </xf>
    <xf numFmtId="0" fontId="63" fillId="2" borderId="20" xfId="0" applyFont="1" applyFill="1" applyBorder="1" applyAlignment="1">
      <alignment horizontal="left" vertical="center" wrapText="1" indent="1"/>
    </xf>
    <xf numFmtId="0" fontId="63" fillId="2" borderId="17" xfId="0" applyFont="1" applyFill="1" applyBorder="1" applyAlignment="1">
      <alignment horizontal="left" vertical="center" wrapText="1" indent="1"/>
    </xf>
    <xf numFmtId="0" fontId="63" fillId="2" borderId="18" xfId="0" applyFont="1" applyFill="1" applyBorder="1" applyAlignment="1">
      <alignment horizontal="left" vertical="center" wrapText="1" indent="1"/>
    </xf>
    <xf numFmtId="0" fontId="61" fillId="0" borderId="20" xfId="0" applyFont="1" applyBorder="1" applyAlignment="1">
      <alignment horizontal="left" vertical="center" wrapText="1" indent="1"/>
    </xf>
    <xf numFmtId="0" fontId="61" fillId="0" borderId="17" xfId="0" applyFont="1" applyBorder="1" applyAlignment="1">
      <alignment horizontal="left" vertical="center" wrapText="1" indent="1"/>
    </xf>
    <xf numFmtId="0" fontId="61" fillId="0" borderId="18" xfId="0" applyFont="1" applyBorder="1" applyAlignment="1">
      <alignment horizontal="left" vertical="center" wrapText="1" indent="1"/>
    </xf>
    <xf numFmtId="0" fontId="47" fillId="19" borderId="14" xfId="0" applyFont="1" applyFill="1" applyBorder="1" applyAlignment="1" applyProtection="1">
      <alignment horizontal="left" vertical="top" wrapText="1" shrinkToFit="1"/>
      <protection locked="0"/>
    </xf>
    <xf numFmtId="0" fontId="47" fillId="19" borderId="0" xfId="0" applyFont="1" applyFill="1" applyAlignment="1" applyProtection="1">
      <alignment horizontal="left" vertical="top" wrapText="1" shrinkToFit="1"/>
      <protection locked="0"/>
    </xf>
    <xf numFmtId="0" fontId="47" fillId="19" borderId="4" xfId="0" applyFont="1" applyFill="1" applyBorder="1" applyAlignment="1" applyProtection="1">
      <alignment horizontal="left" vertical="top" wrapText="1" shrinkToFit="1"/>
      <protection locked="0"/>
    </xf>
    <xf numFmtId="0" fontId="47" fillId="19" borderId="93" xfId="0" applyFont="1" applyFill="1" applyBorder="1" applyAlignment="1" applyProtection="1">
      <alignment horizontal="left" vertical="top" wrapText="1" shrinkToFit="1"/>
      <protection locked="0"/>
    </xf>
    <xf numFmtId="0" fontId="47" fillId="19" borderId="80" xfId="0" applyFont="1" applyFill="1" applyBorder="1" applyAlignment="1" applyProtection="1">
      <alignment horizontal="left" vertical="top" wrapText="1" shrinkToFit="1"/>
      <protection locked="0"/>
    </xf>
    <xf numFmtId="0" fontId="47" fillId="19" borderId="95" xfId="0" applyFont="1" applyFill="1" applyBorder="1" applyAlignment="1" applyProtection="1">
      <alignment horizontal="left" vertical="top" wrapText="1" shrinkToFit="1"/>
      <protection locked="0"/>
    </xf>
    <xf numFmtId="0" fontId="57" fillId="2" borderId="10" xfId="0" applyFont="1" applyFill="1" applyBorder="1" applyAlignment="1">
      <alignment horizontal="center" vertical="center" wrapText="1"/>
    </xf>
    <xf numFmtId="0" fontId="57" fillId="2" borderId="9" xfId="0" applyFont="1" applyFill="1" applyBorder="1" applyAlignment="1">
      <alignment horizontal="center" vertical="center" wrapText="1"/>
    </xf>
    <xf numFmtId="0" fontId="59" fillId="2" borderId="100" xfId="0" applyFont="1" applyFill="1" applyBorder="1" applyAlignment="1">
      <alignment horizontal="center" vertical="center" wrapText="1"/>
    </xf>
    <xf numFmtId="0" fontId="59" fillId="2" borderId="1" xfId="0" applyFont="1" applyFill="1" applyBorder="1" applyAlignment="1">
      <alignment horizontal="center" vertical="center" wrapText="1"/>
    </xf>
    <xf numFmtId="49" fontId="49" fillId="19" borderId="26" xfId="0" applyNumberFormat="1" applyFont="1" applyFill="1" applyBorder="1" applyAlignment="1" applyProtection="1">
      <alignment horizontal="center" vertical="center"/>
      <protection locked="0"/>
    </xf>
    <xf numFmtId="49" fontId="49" fillId="2" borderId="26" xfId="0" applyNumberFormat="1" applyFont="1" applyFill="1" applyBorder="1" applyAlignment="1" applyProtection="1">
      <alignment horizontal="center" vertical="center"/>
      <protection locked="0"/>
    </xf>
    <xf numFmtId="49" fontId="49" fillId="2" borderId="25" xfId="0" applyNumberFormat="1" applyFont="1" applyFill="1" applyBorder="1" applyAlignment="1" applyProtection="1">
      <alignment horizontal="center" vertical="center"/>
      <protection locked="0"/>
    </xf>
    <xf numFmtId="14" fontId="59" fillId="2" borderId="2" xfId="0" applyNumberFormat="1" applyFont="1" applyFill="1" applyBorder="1" applyAlignment="1" applyProtection="1">
      <alignment horizontal="center" vertical="center" shrinkToFit="1"/>
      <protection locked="0"/>
    </xf>
    <xf numFmtId="0" fontId="59" fillId="2" borderId="2" xfId="0" applyFont="1" applyFill="1" applyBorder="1" applyAlignment="1" applyProtection="1">
      <alignment horizontal="center" vertical="center" shrinkToFit="1"/>
      <protection locked="0"/>
    </xf>
    <xf numFmtId="0" fontId="59" fillId="2" borderId="16" xfId="0" applyFont="1" applyFill="1" applyBorder="1" applyAlignment="1">
      <alignment horizontal="center" vertical="center" wrapText="1"/>
    </xf>
    <xf numFmtId="0" fontId="59" fillId="2" borderId="19" xfId="0" applyFont="1" applyFill="1" applyBorder="1" applyAlignment="1">
      <alignment horizontal="center" vertical="center" wrapText="1"/>
    </xf>
    <xf numFmtId="9" fontId="59" fillId="2" borderId="37" xfId="0" applyNumberFormat="1" applyFont="1" applyFill="1" applyBorder="1" applyAlignment="1">
      <alignment horizontal="center" vertical="center" wrapText="1"/>
    </xf>
    <xf numFmtId="9" fontId="59" fillId="2" borderId="41" xfId="0" applyNumberFormat="1" applyFont="1" applyFill="1" applyBorder="1" applyAlignment="1">
      <alignment horizontal="center" vertical="center" wrapText="1"/>
    </xf>
    <xf numFmtId="0" fontId="59" fillId="2" borderId="36" xfId="0" applyFont="1" applyFill="1" applyBorder="1" applyAlignment="1" applyProtection="1">
      <alignment horizontal="center" vertical="center" shrinkToFit="1"/>
      <protection locked="0"/>
    </xf>
    <xf numFmtId="0" fontId="59" fillId="2" borderId="40" xfId="0" applyFont="1" applyFill="1" applyBorder="1" applyAlignment="1" applyProtection="1">
      <alignment horizontal="center" vertical="center" shrinkToFit="1"/>
      <protection locked="0"/>
    </xf>
    <xf numFmtId="14" fontId="59" fillId="2" borderId="40" xfId="0" applyNumberFormat="1" applyFont="1" applyFill="1" applyBorder="1" applyAlignment="1" applyProtection="1">
      <alignment horizontal="center" vertical="center" shrinkToFit="1"/>
      <protection locked="0"/>
    </xf>
    <xf numFmtId="0" fontId="51" fillId="2" borderId="27" xfId="0" applyFont="1" applyFill="1" applyBorder="1" applyAlignment="1">
      <alignment horizontal="center" vertical="center" wrapText="1"/>
    </xf>
    <xf numFmtId="0" fontId="51" fillId="2" borderId="26" xfId="0" applyFont="1" applyFill="1" applyBorder="1" applyAlignment="1">
      <alignment horizontal="center" vertical="center" wrapText="1"/>
    </xf>
    <xf numFmtId="0" fontId="51" fillId="0" borderId="6" xfId="0" applyFont="1" applyBorder="1" applyAlignment="1">
      <alignment horizontal="center" vertical="center" wrapText="1"/>
    </xf>
    <xf numFmtId="0" fontId="51" fillId="0" borderId="7" xfId="0" applyFont="1" applyBorder="1" applyAlignment="1">
      <alignment horizontal="center" vertical="center" wrapText="1"/>
    </xf>
    <xf numFmtId="0" fontId="51" fillId="0" borderId="9" xfId="0" applyFont="1" applyBorder="1" applyAlignment="1">
      <alignment horizontal="center" vertical="center" wrapText="1"/>
    </xf>
    <xf numFmtId="0" fontId="51" fillId="0" borderId="21" xfId="0" applyFont="1" applyBorder="1" applyAlignment="1">
      <alignment horizontal="center" vertical="center" wrapText="1"/>
    </xf>
    <xf numFmtId="0" fontId="51" fillId="0" borderId="1" xfId="0" applyFont="1" applyBorder="1" applyAlignment="1">
      <alignment horizontal="center" vertical="center" wrapText="1"/>
    </xf>
    <xf numFmtId="0" fontId="51" fillId="0" borderId="47" xfId="0" applyFont="1" applyBorder="1" applyAlignment="1">
      <alignment horizontal="center" vertical="center" wrapText="1"/>
    </xf>
    <xf numFmtId="0" fontId="59" fillId="19" borderId="23" xfId="0" applyFont="1" applyFill="1" applyBorder="1" applyAlignment="1" applyProtection="1">
      <alignment horizontal="center" vertical="center" wrapText="1"/>
      <protection locked="0"/>
    </xf>
    <xf numFmtId="0" fontId="59" fillId="19" borderId="3" xfId="0" applyFont="1" applyFill="1" applyBorder="1" applyAlignment="1" applyProtection="1">
      <alignment horizontal="center" vertical="center" wrapText="1"/>
      <protection locked="0"/>
    </xf>
    <xf numFmtId="0" fontId="59" fillId="19" borderId="22" xfId="0" applyFont="1" applyFill="1" applyBorder="1" applyAlignment="1" applyProtection="1">
      <alignment horizontal="center" vertical="center" wrapText="1"/>
      <protection locked="0"/>
    </xf>
    <xf numFmtId="0" fontId="59" fillId="19" borderId="117" xfId="0" applyFont="1" applyFill="1" applyBorder="1" applyAlignment="1" applyProtection="1">
      <alignment horizontal="center" vertical="center" wrapText="1"/>
      <protection locked="0"/>
    </xf>
    <xf numFmtId="0" fontId="59" fillId="19" borderId="80" xfId="0" applyFont="1" applyFill="1" applyBorder="1" applyAlignment="1" applyProtection="1">
      <alignment horizontal="center" vertical="center" wrapText="1"/>
      <protection locked="0"/>
    </xf>
    <xf numFmtId="0" fontId="59" fillId="19" borderId="94" xfId="0" applyFont="1" applyFill="1" applyBorder="1" applyAlignment="1" applyProtection="1">
      <alignment horizontal="center" vertical="center" wrapText="1"/>
      <protection locked="0"/>
    </xf>
    <xf numFmtId="0" fontId="59" fillId="2" borderId="51" xfId="0" applyFont="1" applyFill="1" applyBorder="1" applyAlignment="1" applyProtection="1">
      <alignment horizontal="center" vertical="center" shrinkToFit="1"/>
      <protection locked="0"/>
    </xf>
    <xf numFmtId="14" fontId="59" fillId="14" borderId="42" xfId="0" applyNumberFormat="1" applyFont="1" applyFill="1" applyBorder="1" applyAlignment="1">
      <alignment horizontal="center" vertical="center" shrinkToFit="1"/>
    </xf>
    <xf numFmtId="14" fontId="59" fillId="14" borderId="38" xfId="0" applyNumberFormat="1" applyFont="1" applyFill="1" applyBorder="1" applyAlignment="1">
      <alignment horizontal="center" vertical="center" shrinkToFit="1"/>
    </xf>
    <xf numFmtId="14" fontId="59" fillId="14" borderId="39" xfId="0" applyNumberFormat="1" applyFont="1" applyFill="1" applyBorder="1" applyAlignment="1">
      <alignment horizontal="center" vertical="center" shrinkToFit="1"/>
    </xf>
    <xf numFmtId="1" fontId="59" fillId="15" borderId="40" xfId="0" applyNumberFormat="1" applyFont="1" applyFill="1" applyBorder="1" applyAlignment="1">
      <alignment horizontal="center" vertical="center" shrinkToFit="1"/>
    </xf>
    <xf numFmtId="0" fontId="59" fillId="2" borderId="17" xfId="0" applyFont="1" applyFill="1" applyBorder="1" applyAlignment="1">
      <alignment horizontal="center" vertical="center" wrapText="1"/>
    </xf>
    <xf numFmtId="0" fontId="59" fillId="2" borderId="18" xfId="0" applyFont="1" applyFill="1" applyBorder="1" applyAlignment="1">
      <alignment horizontal="center" vertical="center" wrapText="1"/>
    </xf>
    <xf numFmtId="0" fontId="59" fillId="2" borderId="37" xfId="0" applyFont="1" applyFill="1" applyBorder="1" applyAlignment="1">
      <alignment horizontal="center" vertical="center" wrapText="1"/>
    </xf>
    <xf numFmtId="0" fontId="59" fillId="2" borderId="38" xfId="0" applyFont="1" applyFill="1" applyBorder="1" applyAlignment="1">
      <alignment horizontal="center" vertical="center" wrapText="1"/>
    </xf>
    <xf numFmtId="0" fontId="59" fillId="2" borderId="39" xfId="0" applyFont="1" applyFill="1" applyBorder="1" applyAlignment="1">
      <alignment horizontal="center" vertical="center" wrapText="1"/>
    </xf>
    <xf numFmtId="0" fontId="59" fillId="15" borderId="16" xfId="0" applyFont="1" applyFill="1" applyBorder="1" applyAlignment="1">
      <alignment horizontal="center" vertical="center" shrinkToFit="1"/>
    </xf>
    <xf numFmtId="0" fontId="59" fillId="15" borderId="17" xfId="0" applyFont="1" applyFill="1" applyBorder="1" applyAlignment="1">
      <alignment horizontal="center" vertical="center" shrinkToFit="1"/>
    </xf>
    <xf numFmtId="0" fontId="59" fillId="15" borderId="18" xfId="0" applyFont="1" applyFill="1" applyBorder="1" applyAlignment="1">
      <alignment horizontal="center" vertical="center" shrinkToFit="1"/>
    </xf>
    <xf numFmtId="0" fontId="59" fillId="15" borderId="2" xfId="0" applyFont="1" applyFill="1" applyBorder="1" applyAlignment="1">
      <alignment horizontal="center" vertical="center" shrinkToFit="1"/>
    </xf>
    <xf numFmtId="0" fontId="59" fillId="15" borderId="84" xfId="0" applyFont="1" applyFill="1" applyBorder="1" applyAlignment="1">
      <alignment horizontal="center" vertical="center" shrinkToFit="1"/>
    </xf>
    <xf numFmtId="14" fontId="59" fillId="14" borderId="20" xfId="0" applyNumberFormat="1" applyFont="1" applyFill="1" applyBorder="1" applyAlignment="1">
      <alignment horizontal="center" vertical="center" shrinkToFit="1"/>
    </xf>
    <xf numFmtId="14" fontId="59" fillId="14" borderId="17" xfId="0" applyNumberFormat="1" applyFont="1" applyFill="1" applyBorder="1" applyAlignment="1">
      <alignment horizontal="center" vertical="center" shrinkToFit="1"/>
    </xf>
    <xf numFmtId="14" fontId="59" fillId="14" borderId="18" xfId="0" applyNumberFormat="1" applyFont="1" applyFill="1" applyBorder="1" applyAlignment="1">
      <alignment horizontal="center" vertical="center" shrinkToFit="1"/>
    </xf>
    <xf numFmtId="0" fontId="51" fillId="0" borderId="15" xfId="0" applyFont="1" applyBorder="1" applyAlignment="1" applyProtection="1">
      <alignment horizontal="center" vertical="center"/>
      <protection locked="0"/>
    </xf>
    <xf numFmtId="0" fontId="56" fillId="2" borderId="23" xfId="0" applyFont="1" applyFill="1" applyBorder="1" applyAlignment="1">
      <alignment horizontal="center" vertical="center" wrapText="1"/>
    </xf>
    <xf numFmtId="0" fontId="56" fillId="2" borderId="3" xfId="0" applyFont="1" applyFill="1" applyBorder="1" applyAlignment="1">
      <alignment horizontal="center" vertical="center" wrapText="1"/>
    </xf>
    <xf numFmtId="0" fontId="56" fillId="2" borderId="91" xfId="0" applyFont="1" applyFill="1" applyBorder="1" applyAlignment="1">
      <alignment horizontal="center" vertical="center" wrapText="1"/>
    </xf>
    <xf numFmtId="0" fontId="56" fillId="2" borderId="21" xfId="0" applyFont="1" applyFill="1" applyBorder="1" applyAlignment="1">
      <alignment horizontal="center" vertical="center" wrapText="1"/>
    </xf>
    <xf numFmtId="0" fontId="56" fillId="2" borderId="1" xfId="0" applyFont="1" applyFill="1" applyBorder="1" applyAlignment="1">
      <alignment horizontal="center" vertical="center" wrapText="1"/>
    </xf>
    <xf numFmtId="0" fontId="56" fillId="2" borderId="47" xfId="0" applyFont="1" applyFill="1" applyBorder="1" applyAlignment="1">
      <alignment horizontal="center" vertical="center" wrapText="1"/>
    </xf>
    <xf numFmtId="0" fontId="56" fillId="2" borderId="92" xfId="0" applyFont="1" applyFill="1" applyBorder="1" applyAlignment="1">
      <alignment horizontal="center" vertical="center" wrapText="1"/>
    </xf>
    <xf numFmtId="0" fontId="56" fillId="2" borderId="22" xfId="0" applyFont="1" applyFill="1" applyBorder="1" applyAlignment="1">
      <alignment horizontal="center" vertical="center" wrapText="1"/>
    </xf>
    <xf numFmtId="0" fontId="56" fillId="2" borderId="93" xfId="0" applyFont="1" applyFill="1" applyBorder="1" applyAlignment="1">
      <alignment horizontal="center" vertical="center" wrapText="1"/>
    </xf>
    <xf numFmtId="0" fontId="56" fillId="2" borderId="80" xfId="0" applyFont="1" applyFill="1" applyBorder="1" applyAlignment="1">
      <alignment horizontal="center" vertical="center" wrapText="1"/>
    </xf>
    <xf numFmtId="0" fontId="56" fillId="2" borderId="94" xfId="0" applyFont="1" applyFill="1" applyBorder="1" applyAlignment="1">
      <alignment horizontal="center" vertical="center" wrapText="1"/>
    </xf>
    <xf numFmtId="0" fontId="56" fillId="2" borderId="20" xfId="0" applyFont="1" applyFill="1" applyBorder="1" applyAlignment="1">
      <alignment horizontal="center" vertical="center" wrapText="1"/>
    </xf>
    <xf numFmtId="0" fontId="56" fillId="2" borderId="17" xfId="0" applyFont="1" applyFill="1" applyBorder="1" applyAlignment="1">
      <alignment horizontal="center" vertical="center" wrapText="1"/>
    </xf>
    <xf numFmtId="0" fontId="56" fillId="2" borderId="18" xfId="0" applyFont="1" applyFill="1" applyBorder="1" applyAlignment="1">
      <alignment horizontal="center" vertical="center" wrapText="1"/>
    </xf>
    <xf numFmtId="1" fontId="50" fillId="14" borderId="20" xfId="0" applyNumberFormat="1" applyFont="1" applyFill="1" applyBorder="1" applyAlignment="1">
      <alignment horizontal="center" vertical="center" shrinkToFit="1"/>
    </xf>
    <xf numFmtId="1" fontId="50" fillId="14" borderId="17" xfId="0" applyNumberFormat="1" applyFont="1" applyFill="1" applyBorder="1" applyAlignment="1">
      <alignment horizontal="center" vertical="center" shrinkToFit="1"/>
    </xf>
    <xf numFmtId="1" fontId="50" fillId="14" borderId="18" xfId="0" applyNumberFormat="1" applyFont="1" applyFill="1" applyBorder="1" applyAlignment="1">
      <alignment horizontal="center" vertical="center" shrinkToFit="1"/>
    </xf>
    <xf numFmtId="0" fontId="56" fillId="2" borderId="16" xfId="0" applyFont="1" applyFill="1" applyBorder="1" applyAlignment="1">
      <alignment horizontal="center" vertical="center" wrapText="1"/>
    </xf>
    <xf numFmtId="0" fontId="59" fillId="14" borderId="16" xfId="0" applyFont="1" applyFill="1" applyBorder="1" applyAlignment="1">
      <alignment horizontal="center" vertical="center" wrapText="1"/>
    </xf>
    <xf numFmtId="0" fontId="59" fillId="14" borderId="17" xfId="0" applyFont="1" applyFill="1" applyBorder="1" applyAlignment="1">
      <alignment horizontal="center" vertical="center" wrapText="1"/>
    </xf>
    <xf numFmtId="0" fontId="59" fillId="14" borderId="18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>
      <alignment horizontal="center" vertical="center" wrapText="1"/>
    </xf>
    <xf numFmtId="0" fontId="56" fillId="2" borderId="45" xfId="0" applyFont="1" applyFill="1" applyBorder="1" applyAlignment="1">
      <alignment horizontal="center" vertical="center" wrapText="1"/>
    </xf>
    <xf numFmtId="0" fontId="56" fillId="2" borderId="46" xfId="0" applyFont="1" applyFill="1" applyBorder="1" applyAlignment="1">
      <alignment horizontal="center" vertical="center" wrapText="1"/>
    </xf>
    <xf numFmtId="0" fontId="47" fillId="0" borderId="40" xfId="0" applyFont="1" applyBorder="1" applyAlignment="1" applyProtection="1">
      <alignment horizontal="center" vertical="center"/>
      <protection locked="0"/>
    </xf>
    <xf numFmtId="0" fontId="57" fillId="2" borderId="47" xfId="0" applyFont="1" applyFill="1" applyBorder="1" applyAlignment="1">
      <alignment horizontal="center" vertical="center" wrapText="1"/>
    </xf>
    <xf numFmtId="0" fontId="47" fillId="19" borderId="19" xfId="0" applyFont="1" applyFill="1" applyBorder="1" applyAlignment="1" applyProtection="1">
      <alignment horizontal="center" vertical="center" shrinkToFit="1"/>
      <protection locked="0"/>
    </xf>
    <xf numFmtId="0" fontId="51" fillId="19" borderId="2" xfId="0" applyFont="1" applyFill="1" applyBorder="1" applyAlignment="1" applyProtection="1">
      <alignment horizontal="center" vertical="center"/>
      <protection locked="0"/>
    </xf>
    <xf numFmtId="0" fontId="47" fillId="2" borderId="86" xfId="0" applyFont="1" applyFill="1" applyBorder="1" applyAlignment="1">
      <alignment horizontal="center" vertical="center" wrapText="1"/>
    </xf>
    <xf numFmtId="0" fontId="47" fillId="2" borderId="32" xfId="0" applyFont="1" applyFill="1" applyBorder="1" applyAlignment="1">
      <alignment horizontal="center" vertical="center" wrapText="1"/>
    </xf>
    <xf numFmtId="49" fontId="51" fillId="19" borderId="32" xfId="0" applyNumberFormat="1" applyFont="1" applyFill="1" applyBorder="1" applyAlignment="1" applyProtection="1">
      <alignment horizontal="center" vertical="center" wrapText="1"/>
      <protection locked="0"/>
    </xf>
    <xf numFmtId="49" fontId="51" fillId="19" borderId="33" xfId="0" applyNumberFormat="1" applyFont="1" applyFill="1" applyBorder="1" applyAlignment="1" applyProtection="1">
      <alignment horizontal="center" vertical="center" wrapText="1"/>
      <protection locked="0"/>
    </xf>
    <xf numFmtId="0" fontId="47" fillId="2" borderId="36" xfId="0" applyFont="1" applyFill="1" applyBorder="1" applyAlignment="1">
      <alignment horizontal="center" vertical="center" wrapText="1"/>
    </xf>
    <xf numFmtId="0" fontId="47" fillId="2" borderId="40" xfId="0" applyFont="1" applyFill="1" applyBorder="1" applyAlignment="1">
      <alignment horizontal="center" vertical="center" wrapText="1"/>
    </xf>
    <xf numFmtId="14" fontId="51" fillId="19" borderId="40" xfId="0" applyNumberFormat="1" applyFont="1" applyFill="1" applyBorder="1" applyAlignment="1" applyProtection="1">
      <alignment horizontal="center" vertical="center" wrapText="1"/>
      <protection locked="0"/>
    </xf>
    <xf numFmtId="14" fontId="51" fillId="19" borderId="51" xfId="0" applyNumberFormat="1" applyFont="1" applyFill="1" applyBorder="1" applyAlignment="1" applyProtection="1">
      <alignment horizontal="center" vertical="center" wrapText="1"/>
      <protection locked="0"/>
    </xf>
    <xf numFmtId="0" fontId="55" fillId="2" borderId="0" xfId="0" applyFont="1" applyFill="1" applyAlignment="1">
      <alignment horizontal="center" vertical="center"/>
    </xf>
    <xf numFmtId="0" fontId="55" fillId="2" borderId="0" xfId="0" applyFont="1" applyFill="1" applyAlignment="1">
      <alignment horizontal="center"/>
    </xf>
    <xf numFmtId="0" fontId="56" fillId="2" borderId="90" xfId="0" applyFont="1" applyFill="1" applyBorder="1" applyAlignment="1">
      <alignment horizontal="center" vertical="center" wrapText="1"/>
    </xf>
    <xf numFmtId="0" fontId="56" fillId="2" borderId="26" xfId="0" applyFont="1" applyFill="1" applyBorder="1" applyAlignment="1">
      <alignment horizontal="center" vertical="center" wrapText="1"/>
    </xf>
    <xf numFmtId="0" fontId="56" fillId="2" borderId="25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>
      <alignment horizontal="right" vertical="center" wrapText="1"/>
    </xf>
    <xf numFmtId="0" fontId="56" fillId="2" borderId="45" xfId="0" applyFont="1" applyFill="1" applyBorder="1" applyAlignment="1">
      <alignment horizontal="right" vertical="center" wrapText="1"/>
    </xf>
    <xf numFmtId="0" fontId="56" fillId="2" borderId="7" xfId="0" applyFont="1" applyFill="1" applyBorder="1" applyAlignment="1">
      <alignment horizontal="right" vertical="center" wrapText="1"/>
    </xf>
    <xf numFmtId="0" fontId="58" fillId="14" borderId="15" xfId="0" applyFont="1" applyFill="1" applyBorder="1" applyAlignment="1">
      <alignment horizontal="center" vertical="center" shrinkToFit="1"/>
    </xf>
    <xf numFmtId="0" fontId="58" fillId="14" borderId="2" xfId="0" applyFont="1" applyFill="1" applyBorder="1" applyAlignment="1">
      <alignment horizontal="center" vertical="center" shrinkToFit="1"/>
    </xf>
    <xf numFmtId="0" fontId="58" fillId="14" borderId="23" xfId="0" applyFont="1" applyFill="1" applyBorder="1" applyAlignment="1">
      <alignment horizontal="center" vertical="center" wrapText="1"/>
    </xf>
    <xf numFmtId="0" fontId="58" fillId="14" borderId="3" xfId="0" applyFont="1" applyFill="1" applyBorder="1" applyAlignment="1">
      <alignment horizontal="center" vertical="center" wrapText="1"/>
    </xf>
    <xf numFmtId="0" fontId="58" fillId="14" borderId="91" xfId="0" applyFont="1" applyFill="1" applyBorder="1" applyAlignment="1">
      <alignment horizontal="center" vertical="center" wrapText="1"/>
    </xf>
    <xf numFmtId="0" fontId="58" fillId="14" borderId="21" xfId="0" applyFont="1" applyFill="1" applyBorder="1" applyAlignment="1">
      <alignment horizontal="center" vertical="center" wrapText="1"/>
    </xf>
    <xf numFmtId="0" fontId="58" fillId="14" borderId="1" xfId="0" applyFont="1" applyFill="1" applyBorder="1" applyAlignment="1">
      <alignment horizontal="center" vertical="center" wrapText="1"/>
    </xf>
    <xf numFmtId="0" fontId="58" fillId="14" borderId="47" xfId="0" applyFont="1" applyFill="1" applyBorder="1" applyAlignment="1">
      <alignment horizontal="center" vertical="center" wrapText="1"/>
    </xf>
    <xf numFmtId="0" fontId="51" fillId="2" borderId="6" xfId="0" applyFont="1" applyFill="1" applyBorder="1" applyAlignment="1">
      <alignment horizontal="center" vertical="center" wrapText="1"/>
    </xf>
    <xf numFmtId="0" fontId="51" fillId="2" borderId="7" xfId="0" applyFont="1" applyFill="1" applyBorder="1" applyAlignment="1">
      <alignment horizontal="center" vertical="center" wrapText="1"/>
    </xf>
    <xf numFmtId="0" fontId="51" fillId="2" borderId="8" xfId="0" applyFont="1" applyFill="1" applyBorder="1" applyAlignment="1">
      <alignment horizontal="center" vertical="center" wrapText="1"/>
    </xf>
    <xf numFmtId="0" fontId="51" fillId="2" borderId="21" xfId="0" applyFont="1" applyFill="1" applyBorder="1" applyAlignment="1">
      <alignment horizontal="center" vertical="center" wrapText="1"/>
    </xf>
    <xf numFmtId="0" fontId="51" fillId="2" borderId="1" xfId="0" applyFont="1" applyFill="1" applyBorder="1" applyAlignment="1">
      <alignment horizontal="center" vertical="center" wrapText="1"/>
    </xf>
    <xf numFmtId="0" fontId="51" fillId="2" borderId="24" xfId="0" applyFont="1" applyFill="1" applyBorder="1" applyAlignment="1">
      <alignment horizontal="center" vertical="center" wrapText="1"/>
    </xf>
    <xf numFmtId="0" fontId="51" fillId="0" borderId="2" xfId="0" applyFont="1" applyBorder="1" applyAlignment="1">
      <alignment horizontal="center" wrapText="1"/>
    </xf>
    <xf numFmtId="0" fontId="47" fillId="19" borderId="2" xfId="0" applyFont="1" applyFill="1" applyBorder="1" applyAlignment="1" applyProtection="1">
      <alignment horizontal="center" vertical="center"/>
      <protection locked="0"/>
    </xf>
    <xf numFmtId="0" fontId="51" fillId="19" borderId="15" xfId="0" applyFont="1" applyFill="1" applyBorder="1" applyAlignment="1" applyProtection="1">
      <alignment horizontal="center" vertical="center"/>
      <protection locked="0"/>
    </xf>
    <xf numFmtId="0" fontId="51" fillId="2" borderId="5" xfId="0" applyFont="1" applyFill="1" applyBorder="1" applyAlignment="1">
      <alignment horizontal="center" vertical="center" wrapText="1"/>
    </xf>
    <xf numFmtId="0" fontId="51" fillId="2" borderId="90" xfId="0" applyFont="1" applyFill="1" applyBorder="1" applyAlignment="1">
      <alignment horizontal="center" vertical="center" wrapText="1"/>
    </xf>
    <xf numFmtId="0" fontId="51" fillId="2" borderId="32" xfId="0" applyFont="1" applyFill="1" applyBorder="1" applyAlignment="1">
      <alignment horizontal="center" vertical="center" shrinkToFit="1"/>
    </xf>
    <xf numFmtId="0" fontId="51" fillId="2" borderId="33" xfId="0" applyFont="1" applyFill="1" applyBorder="1" applyAlignment="1">
      <alignment horizontal="center" vertical="center" shrinkToFit="1"/>
    </xf>
    <xf numFmtId="165" fontId="47" fillId="14" borderId="16" xfId="1" applyNumberFormat="1" applyFont="1" applyFill="1" applyBorder="1" applyAlignment="1" applyProtection="1">
      <alignment horizontal="center" vertical="center" wrapText="1"/>
    </xf>
    <xf numFmtId="165" fontId="47" fillId="14" borderId="19" xfId="1" applyNumberFormat="1" applyFont="1" applyFill="1" applyBorder="1" applyAlignment="1" applyProtection="1">
      <alignment horizontal="center" vertical="center" wrapText="1"/>
    </xf>
    <xf numFmtId="0" fontId="51" fillId="0" borderId="36" xfId="0" applyFont="1" applyBorder="1" applyAlignment="1" applyProtection="1">
      <alignment horizontal="center" vertical="center"/>
      <protection locked="0"/>
    </xf>
    <xf numFmtId="0" fontId="51" fillId="0" borderId="40" xfId="0" applyFont="1" applyBorder="1" applyAlignment="1" applyProtection="1">
      <alignment horizontal="center" vertical="center"/>
      <protection locked="0"/>
    </xf>
    <xf numFmtId="0" fontId="56" fillId="2" borderId="86" xfId="0" applyFont="1" applyFill="1" applyBorder="1" applyAlignment="1">
      <alignment horizontal="center" vertical="center" shrinkToFit="1"/>
    </xf>
    <xf numFmtId="0" fontId="56" fillId="2" borderId="32" xfId="0" applyFont="1" applyFill="1" applyBorder="1" applyAlignment="1">
      <alignment horizontal="center" vertical="center" shrinkToFit="1"/>
    </xf>
    <xf numFmtId="0" fontId="56" fillId="2" borderId="33" xfId="0" applyFont="1" applyFill="1" applyBorder="1" applyAlignment="1">
      <alignment horizontal="center" vertical="center" shrinkToFit="1"/>
    </xf>
    <xf numFmtId="0" fontId="51" fillId="2" borderId="86" xfId="0" applyFont="1" applyFill="1" applyBorder="1" applyAlignment="1">
      <alignment horizontal="center" vertical="center" shrinkToFit="1"/>
    </xf>
    <xf numFmtId="169" fontId="56" fillId="2" borderId="32" xfId="0" applyNumberFormat="1" applyFont="1" applyFill="1" applyBorder="1" applyAlignment="1">
      <alignment horizontal="center" vertical="center" shrinkToFit="1"/>
    </xf>
    <xf numFmtId="0" fontId="56" fillId="15" borderId="15" xfId="0" applyFont="1" applyFill="1" applyBorder="1" applyAlignment="1">
      <alignment horizontal="center" vertical="center" shrinkToFit="1"/>
    </xf>
    <xf numFmtId="0" fontId="56" fillId="15" borderId="2" xfId="0" applyFont="1" applyFill="1" applyBorder="1" applyAlignment="1">
      <alignment horizontal="center" vertical="center" shrinkToFit="1"/>
    </xf>
    <xf numFmtId="14" fontId="59" fillId="15" borderId="2" xfId="0" applyNumberFormat="1" applyFont="1" applyFill="1" applyBorder="1" applyAlignment="1">
      <alignment horizontal="center" vertical="center" shrinkToFit="1"/>
    </xf>
    <xf numFmtId="1" fontId="59" fillId="15" borderId="2" xfId="0" applyNumberFormat="1" applyFont="1" applyFill="1" applyBorder="1" applyAlignment="1">
      <alignment horizontal="center" vertical="center" shrinkToFit="1"/>
    </xf>
    <xf numFmtId="0" fontId="51" fillId="19" borderId="16" xfId="0" applyFont="1" applyFill="1" applyBorder="1" applyAlignment="1" applyProtection="1">
      <alignment horizontal="center" vertical="center" shrinkToFit="1"/>
      <protection locked="0"/>
    </xf>
    <xf numFmtId="0" fontId="51" fillId="19" borderId="17" xfId="0" applyFont="1" applyFill="1" applyBorder="1" applyAlignment="1" applyProtection="1">
      <alignment horizontal="center" vertical="center" shrinkToFit="1"/>
      <protection locked="0"/>
    </xf>
    <xf numFmtId="0" fontId="59" fillId="2" borderId="84" xfId="0" applyFont="1" applyFill="1" applyBorder="1" applyAlignment="1" applyProtection="1">
      <alignment horizontal="center" vertical="center" shrinkToFit="1"/>
      <protection locked="0"/>
    </xf>
    <xf numFmtId="0" fontId="59" fillId="2" borderId="15" xfId="0" applyFont="1" applyFill="1" applyBorder="1" applyAlignment="1" applyProtection="1">
      <alignment horizontal="center" vertical="center" shrinkToFit="1"/>
      <protection locked="0"/>
    </xf>
    <xf numFmtId="0" fontId="70" fillId="0" borderId="2" xfId="0" applyFont="1" applyBorder="1" applyAlignment="1">
      <alignment horizontal="center" vertical="center"/>
    </xf>
    <xf numFmtId="0" fontId="70" fillId="0" borderId="110" xfId="0" applyFont="1" applyBorder="1" applyAlignment="1">
      <alignment horizontal="center" vertical="center"/>
    </xf>
    <xf numFmtId="0" fontId="69" fillId="0" borderId="111" xfId="0" applyFont="1" applyBorder="1"/>
    <xf numFmtId="0" fontId="67" fillId="0" borderId="0" xfId="0" applyFont="1" applyAlignment="1">
      <alignment horizontal="center" vertical="center"/>
    </xf>
    <xf numFmtId="0" fontId="0" fillId="0" borderId="0" xfId="0"/>
    <xf numFmtId="0" fontId="68" fillId="0" borderId="101" xfId="0" applyFont="1" applyBorder="1" applyAlignment="1">
      <alignment horizontal="center" vertical="center"/>
    </xf>
    <xf numFmtId="0" fontId="69" fillId="0" borderId="102" xfId="0" applyFont="1" applyBorder="1"/>
    <xf numFmtId="0" fontId="69" fillId="0" borderId="103" xfId="0" applyFont="1" applyBorder="1"/>
    <xf numFmtId="0" fontId="68" fillId="0" borderId="102" xfId="0" applyFont="1" applyBorder="1" applyAlignment="1">
      <alignment horizontal="center" vertical="center"/>
    </xf>
    <xf numFmtId="0" fontId="68" fillId="0" borderId="103" xfId="0" applyFont="1" applyBorder="1" applyAlignment="1">
      <alignment horizontal="center" vertical="center"/>
    </xf>
    <xf numFmtId="0" fontId="68" fillId="0" borderId="2" xfId="0" applyFont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</cellXfs>
  <cellStyles count="2">
    <cellStyle name="Normal" xfId="0" builtinId="0"/>
    <cellStyle name="Porcentaje" xfId="1" builtinId="5"/>
  </cellStyles>
  <dxfs count="896">
    <dxf>
      <font>
        <color theme="0" tint="-0.24994659260841701"/>
      </font>
    </dxf>
    <dxf>
      <font>
        <color theme="0" tint="-0.24994659260841701"/>
      </font>
    </dxf>
    <dxf>
      <font>
        <color theme="0"/>
      </font>
    </dxf>
    <dxf>
      <font>
        <strike val="0"/>
        <color theme="0" tint="-0.499984740745262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/>
        <color rgb="FFC00000"/>
      </font>
    </dxf>
    <dxf>
      <font>
        <b/>
        <i/>
        <color rgb="FF0070C0"/>
      </font>
    </dxf>
    <dxf>
      <font>
        <b/>
        <i/>
        <color rgb="FFC00000"/>
      </font>
    </dxf>
    <dxf>
      <font>
        <b/>
        <i/>
        <color rgb="FFC00000"/>
      </font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/>
        <color rgb="FFFF0000"/>
      </font>
    </dxf>
    <dxf>
      <font>
        <color theme="0"/>
      </font>
    </dxf>
    <dxf>
      <font>
        <b/>
        <i val="0"/>
      </font>
      <fill>
        <patternFill>
          <bgColor rgb="FFFFC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0" formatCode="General"/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2" formatCode="0.00"/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0" formatCode="General"/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0" formatCode="General"/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0" formatCode="General"/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0" formatCode="General"/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0" formatCode="General"/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0" formatCode="General"/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0" formatCode="General"/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0" formatCode="General"/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0" formatCode="General"/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0" formatCode="General"/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71" formatCode="yyyy"/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72" formatCode="mm/yy"/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73" formatCode="mm"/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74" formatCode="General;yy"/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9" formatCode="dd/mm/yyyy"/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9" formatCode="dd/mm/yyyy"/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74" formatCode="General;yy"/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0" formatCode="General"/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1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6" tint="0.39997558519241921"/>
        </patternFill>
      </fill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Calibri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Calibri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Calibri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Calibri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Calibri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Calibri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Calibri"/>
        <scheme val="none"/>
      </font>
      <alignment horizontal="center" vertical="center" textRotation="0" wrapText="0" indent="0" justifyLastLine="0" shrinkToFit="0" readingOrder="0"/>
      <protection locked="1" hidden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numFmt numFmtId="0" formatCode="General"/>
      <alignment horizontal="center" vertical="center" textRotation="0" wrapText="0" relativeIndent="0" justifyLastLine="0" shrinkToFit="0" readingOrder="0"/>
    </dxf>
    <dxf>
      <numFmt numFmtId="0" formatCode="General"/>
      <alignment horizontal="center" vertical="center" textRotation="0" wrapText="0" relativeIndent="0" justifyLastLine="0" shrinkToFit="0" readingOrder="0"/>
    </dxf>
    <dxf>
      <numFmt numFmtId="0" formatCode="General"/>
      <alignment horizontal="center" vertical="center" textRotation="0" wrapText="0" relativeIndent="0" justifyLastLine="0" shrinkToFit="0" readingOrder="0"/>
    </dxf>
    <dxf>
      <numFmt numFmtId="0" formatCode="General"/>
      <alignment horizontal="center" vertical="center" textRotation="0" wrapText="0" relativeIndent="0" justifyLastLine="0" shrinkToFit="0" readingOrder="0"/>
    </dxf>
    <dxf>
      <numFmt numFmtId="0" formatCode="General"/>
      <alignment horizontal="center" vertical="center" textRotation="0" wrapText="0" relativeIndent="0" justifyLastLine="0" shrinkToFit="0" readingOrder="0"/>
    </dxf>
    <dxf>
      <alignment horizontal="center" vertical="center" textRotation="0" wrapText="0" relativeIndent="0" justifyLastLine="0" shrinkToFit="0" readingOrder="0"/>
    </dxf>
    <dxf>
      <numFmt numFmtId="0" formatCode="General"/>
      <alignment horizontal="center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rgb="FF000000"/>
          <bgColor auto="1"/>
        </patternFill>
      </fill>
      <alignment relativeIndent="0" justifyLastLine="0" readingOrder="0"/>
      <protection locked="1" hidden="0"/>
    </dxf>
    <dxf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rgb="FF000000"/>
          <bgColor auto="1"/>
        </patternFill>
      </fill>
      <alignment relativeIndent="0" justifyLastLine="0" readingOrder="0"/>
      <protection locked="1" hidden="0"/>
    </dxf>
    <dxf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rgb="FF000000"/>
          <bgColor auto="1"/>
        </patternFill>
      </fill>
      <alignment relativeIndent="0" justifyLastLine="0" readingOrder="0"/>
      <protection locked="1" hidden="0"/>
    </dxf>
    <dxf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rgb="FF000000"/>
          <bgColor auto="1"/>
        </patternFill>
      </fill>
      <alignment relativeIndent="0" justifyLastLine="0" readingOrder="0"/>
      <protection locked="1" hidden="0"/>
    </dxf>
    <dxf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rgb="FF000000"/>
          <bgColor auto="1"/>
        </patternFill>
      </fill>
      <alignment relativeIndent="0" justifyLastLine="0" readingOrder="0"/>
      <protection locked="1" hidden="0"/>
    </dxf>
    <dxf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rgb="FF000000"/>
          <bgColor auto="1"/>
        </patternFill>
      </fill>
      <alignment relativeIndent="0" justifyLastLine="0" readingOrder="0"/>
      <protection locked="1" hidden="0"/>
    </dxf>
    <dxf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rgb="FF000000"/>
          <bgColor auto="1"/>
        </patternFill>
      </fill>
      <alignment relativeIndent="0" justifyLastLine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Verdan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Verdan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protection locked="1" hidden="0"/>
    </dxf>
    <dxf>
      <protection locked="1" hidden="0"/>
    </dxf>
    <dxf>
      <fill>
        <patternFill patternType="none">
          <fgColor rgb="FF000000"/>
          <bgColor auto="1"/>
        </patternFill>
      </fill>
      <alignment relativeIndent="0" justifyLastLine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Verdan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border diagonalUp="0" diagonalDown="0">
        <left/>
        <right/>
        <top/>
        <bottom style="thin">
          <color theme="0"/>
        </bottom>
        <vertical/>
        <horizontal/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</dxf>
    <dxf>
      <alignment horizontal="left" vertical="top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auto="1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border outline="0">
        <bottom style="thick">
          <color theme="0"/>
        </bottom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theme="4"/>
          <bgColor theme="4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protection locked="1" hidden="0"/>
    </dxf>
    <dxf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relativeIndent="0" justifyLastLine="0" readingOrder="0"/>
      <protection locked="1" hidden="0"/>
    </dxf>
    <dxf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relativeIndent="0" justifyLastLine="0" readingOrder="0"/>
      <protection locked="1" hidden="0"/>
    </dxf>
    <dxf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relativeIndent="0" justifyLastLine="0" readingOrder="0"/>
      <protection locked="1" hidden="0"/>
    </dxf>
    <dxf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protection locked="1" hidden="0"/>
    </dxf>
    <dxf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relativeIndent="0" justifyLastLine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2" formatCode="0.0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dxf>
    <dxf>
      <numFmt numFmtId="2" formatCode="0.00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Verdan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Verdan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protection locked="1" hidden="0"/>
    </dxf>
    <dxf>
      <protection locked="1" hidden="0"/>
    </dxf>
    <dxf>
      <fill>
        <patternFill patternType="none">
          <fgColor indexed="64"/>
          <bgColor auto="1"/>
        </patternFill>
      </fill>
      <alignment relativeIndent="0" justifyLastLine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Verdan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Calibri"/>
        <scheme val="minor"/>
      </font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Calibri"/>
        <scheme val="minor"/>
      </font>
      <protection locked="1" hidden="0"/>
    </dxf>
  </dxfs>
  <tableStyles count="0" defaultTableStyle="TableStyleMedium9" defaultPivotStyle="PivotStyleLight16"/>
  <colors>
    <mruColors>
      <color rgb="FF99FF99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[202412xx-Orden_de_Cuarentena.xlsx]Gráfica mortalidad!Tabla dinámica5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Mortalidad día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'Gráfica mortalidad'!$AO$4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'Gráfica mortalidad'!$AN$5:$AN$19</c:f>
              <c:strCache>
                <c:ptCount val="15"/>
                <c:pt idx="0">
                  <c:v>1 </c:v>
                </c:pt>
                <c:pt idx="1">
                  <c:v>2 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 </c:v>
                </c:pt>
                <c:pt idx="6">
                  <c:v>7 </c:v>
                </c:pt>
                <c:pt idx="7">
                  <c:v>8 </c:v>
                </c:pt>
                <c:pt idx="8">
                  <c:v>9 </c:v>
                </c:pt>
                <c:pt idx="9">
                  <c:v>10 </c:v>
                </c:pt>
                <c:pt idx="10">
                  <c:v>11 </c:v>
                </c:pt>
                <c:pt idx="11">
                  <c:v>12 </c:v>
                </c:pt>
                <c:pt idx="12">
                  <c:v>13 </c:v>
                </c:pt>
                <c:pt idx="13">
                  <c:v>14 </c:v>
                </c:pt>
                <c:pt idx="14">
                  <c:v>15 </c:v>
                </c:pt>
              </c:strCache>
            </c:strRef>
          </c:cat>
          <c:val>
            <c:numRef>
              <c:f>'Gráfica mortalidad'!$AO$5:$AO$19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AA-4EA7-98AB-DCD167E3B4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7660600"/>
        <c:axId val="577660992"/>
      </c:barChart>
      <c:catAx>
        <c:axId val="577660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577660992"/>
        <c:crosses val="autoZero"/>
        <c:auto val="1"/>
        <c:lblAlgn val="ctr"/>
        <c:lblOffset val="100"/>
        <c:noMultiLvlLbl val="0"/>
      </c:catAx>
      <c:valAx>
        <c:axId val="577660992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577660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[202412xx-Orden_de_Cuarentena.xlsx]Gráfica mortalidad!Tabla dinámica5</c:name>
    <c:fmtId val="6"/>
  </c:pivotSource>
  <c:chart>
    <c:autoTitleDeleted val="1"/>
    <c:pivotFmts>
      <c:pivotFmt>
        <c:idx val="0"/>
      </c:pivotFmt>
      <c:pivotFmt>
        <c:idx val="1"/>
      </c:pivotFmt>
      <c:pivotFmt>
        <c:idx val="2"/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'Gráfica mortalidad'!$AO$4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'Gráfica mortalidad'!$AN$5:$AN$19</c:f>
              <c:strCache>
                <c:ptCount val="15"/>
                <c:pt idx="0">
                  <c:v>1 </c:v>
                </c:pt>
                <c:pt idx="1">
                  <c:v>2 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 </c:v>
                </c:pt>
                <c:pt idx="6">
                  <c:v>7 </c:v>
                </c:pt>
                <c:pt idx="7">
                  <c:v>8 </c:v>
                </c:pt>
                <c:pt idx="8">
                  <c:v>9 </c:v>
                </c:pt>
                <c:pt idx="9">
                  <c:v>10 </c:v>
                </c:pt>
                <c:pt idx="10">
                  <c:v>11 </c:v>
                </c:pt>
                <c:pt idx="11">
                  <c:v>12 </c:v>
                </c:pt>
                <c:pt idx="12">
                  <c:v>13 </c:v>
                </c:pt>
                <c:pt idx="13">
                  <c:v>14 </c:v>
                </c:pt>
                <c:pt idx="14">
                  <c:v>15 </c:v>
                </c:pt>
              </c:strCache>
            </c:strRef>
          </c:cat>
          <c:val>
            <c:numRef>
              <c:f>'Gráfica mortalidad'!$AO$5:$AO$19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9C-42DB-B9C2-57D8C58EBB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71606032"/>
        <c:axId val="571608384"/>
      </c:barChart>
      <c:catAx>
        <c:axId val="571606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571608384"/>
        <c:crosses val="autoZero"/>
        <c:auto val="1"/>
        <c:lblAlgn val="ctr"/>
        <c:lblOffset val="100"/>
        <c:noMultiLvlLbl val="0"/>
      </c:catAx>
      <c:valAx>
        <c:axId val="5716083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71606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[202412xx-Orden_de_Cuarentena.xlsx]Gráfica mortalidad!Tabla dinámica5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Mortalidad día</a:t>
            </a:r>
          </a:p>
        </c:rich>
      </c:tx>
      <c:overlay val="0"/>
    </c:title>
    <c:autoTitleDeleted val="0"/>
    <c:pivotFmts>
      <c:pivotFmt>
        <c:idx val="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'Gráfica mortalidad'!$AO$4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cat>
            <c:strRef>
              <c:f>'Gráfica mortalidad'!$AN$5:$AN$19</c:f>
              <c:strCache>
                <c:ptCount val="15"/>
                <c:pt idx="0">
                  <c:v>1 </c:v>
                </c:pt>
                <c:pt idx="1">
                  <c:v>2 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 </c:v>
                </c:pt>
                <c:pt idx="6">
                  <c:v>7 </c:v>
                </c:pt>
                <c:pt idx="7">
                  <c:v>8 </c:v>
                </c:pt>
                <c:pt idx="8">
                  <c:v>9 </c:v>
                </c:pt>
                <c:pt idx="9">
                  <c:v>10 </c:v>
                </c:pt>
                <c:pt idx="10">
                  <c:v>11 </c:v>
                </c:pt>
                <c:pt idx="11">
                  <c:v>12 </c:v>
                </c:pt>
                <c:pt idx="12">
                  <c:v>13 </c:v>
                </c:pt>
                <c:pt idx="13">
                  <c:v>14 </c:v>
                </c:pt>
                <c:pt idx="14">
                  <c:v>15 </c:v>
                </c:pt>
              </c:strCache>
            </c:strRef>
          </c:cat>
          <c:val>
            <c:numRef>
              <c:f>'Gráfica mortalidad'!$AO$5:$AO$19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0C-48DB-A50C-65B340FD2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1609952"/>
        <c:axId val="406644192"/>
      </c:barChart>
      <c:catAx>
        <c:axId val="571609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06644192"/>
        <c:crosses val="autoZero"/>
        <c:auto val="1"/>
        <c:lblAlgn val="ctr"/>
        <c:lblOffset val="100"/>
        <c:noMultiLvlLbl val="0"/>
      </c:catAx>
      <c:valAx>
        <c:axId val="4066441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71609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169740</xdr:colOff>
      <xdr:row>4</xdr:row>
      <xdr:rowOff>12212</xdr:rowOff>
    </xdr:to>
    <xdr:pic>
      <xdr:nvPicPr>
        <xdr:cNvPr id="2" name="Picture 181" descr="C:\Documents and Settings\psilva\Escritorio\logo_snpgobcl_paramail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0"/>
          <a:ext cx="836490" cy="8059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169740</xdr:colOff>
      <xdr:row>4</xdr:row>
      <xdr:rowOff>12212</xdr:rowOff>
    </xdr:to>
    <xdr:pic>
      <xdr:nvPicPr>
        <xdr:cNvPr id="2" name="Picture 181" descr="C:\Documents and Settings\psilva\Escritorio\logo_snpgobcl_paramail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0"/>
          <a:ext cx="836490" cy="8059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</xdr:colOff>
      <xdr:row>1</xdr:row>
      <xdr:rowOff>0</xdr:rowOff>
    </xdr:from>
    <xdr:to>
      <xdr:col>28</xdr:col>
      <xdr:colOff>409575</xdr:colOff>
      <xdr:row>8</xdr:row>
      <xdr:rowOff>179916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639640</xdr:colOff>
      <xdr:row>4</xdr:row>
      <xdr:rowOff>88412</xdr:rowOff>
    </xdr:to>
    <xdr:pic>
      <xdr:nvPicPr>
        <xdr:cNvPr id="2" name="Picture 181" descr="C:\Documents and Settings\psilva\Escritorio\logo_snpgobcl_paramail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0"/>
          <a:ext cx="830140" cy="812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138545</xdr:colOff>
      <xdr:row>50</xdr:row>
      <xdr:rowOff>43297</xdr:rowOff>
    </xdr:from>
    <xdr:to>
      <xdr:col>2</xdr:col>
      <xdr:colOff>630980</xdr:colOff>
      <xdr:row>54</xdr:row>
      <xdr:rowOff>148450</xdr:rowOff>
    </xdr:to>
    <xdr:pic>
      <xdr:nvPicPr>
        <xdr:cNvPr id="4" name="Picture 181" descr="C:\Documents and Settings\psilva\Escritorio\logo_snpgobcl_paramail.jpg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8545" y="9888683"/>
          <a:ext cx="830140" cy="8290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138545</xdr:colOff>
      <xdr:row>101</xdr:row>
      <xdr:rowOff>43297</xdr:rowOff>
    </xdr:from>
    <xdr:ext cx="830140" cy="829053"/>
    <xdr:pic>
      <xdr:nvPicPr>
        <xdr:cNvPr id="5" name="Picture 181" descr="C:\Documents and Settings\psilva\Escritorio\logo_snpgobcl_paramail.jpg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8545" y="9888683"/>
          <a:ext cx="830140" cy="8290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12</xdr:col>
      <xdr:colOff>1</xdr:colOff>
      <xdr:row>6</xdr:row>
      <xdr:rowOff>0</xdr:rowOff>
    </xdr:from>
    <xdr:to>
      <xdr:col>17</xdr:col>
      <xdr:colOff>0</xdr:colOff>
      <xdr:row>10</xdr:row>
      <xdr:rowOff>237067</xdr:rowOff>
    </xdr:to>
    <xdr:graphicFrame macro="">
      <xdr:nvGraphicFramePr>
        <xdr:cNvPr id="6" name="2 Gráfico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0</xdr:colOff>
      <xdr:row>0</xdr:row>
      <xdr:rowOff>47625</xdr:rowOff>
    </xdr:from>
    <xdr:to>
      <xdr:col>33</xdr:col>
      <xdr:colOff>47625</xdr:colOff>
      <xdr:row>6</xdr:row>
      <xdr:rowOff>9525</xdr:rowOff>
    </xdr:to>
    <xdr:pic>
      <xdr:nvPicPr>
        <xdr:cNvPr id="2" name="Picture 72" descr="C:\Documents and Settings\psilva\Escritorio\logo_snpgobcl_paramail.jpg">
          <a:extLst>
            <a:ext uri="{FF2B5EF4-FFF2-40B4-BE49-F238E27FC236}">
              <a16:creationId xmlns:a16="http://schemas.microsoft.com/office/drawing/2014/main" id="{00000000-0008-0000-0800-000001D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34200" y="47625"/>
          <a:ext cx="12858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47625</xdr:rowOff>
    </xdr:from>
    <xdr:to>
      <xdr:col>6</xdr:col>
      <xdr:colOff>47625</xdr:colOff>
      <xdr:row>6</xdr:row>
      <xdr:rowOff>19050</xdr:rowOff>
    </xdr:to>
    <xdr:pic>
      <xdr:nvPicPr>
        <xdr:cNvPr id="3" name="Picture 72" descr="C:\Documents and Settings\psilva\Escritorio\logo_snpgobcl_paramail.jpg">
          <a:extLst>
            <a:ext uri="{FF2B5EF4-FFF2-40B4-BE49-F238E27FC236}">
              <a16:creationId xmlns:a16="http://schemas.microsoft.com/office/drawing/2014/main" id="{00000000-0008-0000-0800-000002D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47625"/>
          <a:ext cx="128587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55</xdr:row>
      <xdr:rowOff>0</xdr:rowOff>
    </xdr:from>
    <xdr:to>
      <xdr:col>6</xdr:col>
      <xdr:colOff>200025</xdr:colOff>
      <xdr:row>55</xdr:row>
      <xdr:rowOff>57150</xdr:rowOff>
    </xdr:to>
    <xdr:pic>
      <xdr:nvPicPr>
        <xdr:cNvPr id="4" name="Picture 429">
          <a:extLst>
            <a:ext uri="{FF2B5EF4-FFF2-40B4-BE49-F238E27FC236}">
              <a16:creationId xmlns:a16="http://schemas.microsoft.com/office/drawing/2014/main" id="{00000000-0008-0000-0800-000003D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7650" y="11525250"/>
          <a:ext cx="1438275" cy="57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28</xdr:col>
      <xdr:colOff>0</xdr:colOff>
      <xdr:row>55</xdr:row>
      <xdr:rowOff>0</xdr:rowOff>
    </xdr:from>
    <xdr:to>
      <xdr:col>33</xdr:col>
      <xdr:colOff>200025</xdr:colOff>
      <xdr:row>55</xdr:row>
      <xdr:rowOff>57150</xdr:rowOff>
    </xdr:to>
    <xdr:pic>
      <xdr:nvPicPr>
        <xdr:cNvPr id="5" name="Picture 429">
          <a:extLst>
            <a:ext uri="{FF2B5EF4-FFF2-40B4-BE49-F238E27FC236}">
              <a16:creationId xmlns:a16="http://schemas.microsoft.com/office/drawing/2014/main" id="{00000000-0008-0000-0800-000004D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34200" y="11525250"/>
          <a:ext cx="1438275" cy="57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228600</xdr:colOff>
      <xdr:row>0</xdr:row>
      <xdr:rowOff>114300</xdr:rowOff>
    </xdr:from>
    <xdr:to>
      <xdr:col>52</xdr:col>
      <xdr:colOff>622300</xdr:colOff>
      <xdr:row>21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Pablo Silva Landeros" refreshedDate="45642.318508101853" createdVersion="3" refreshedVersion="8" minRefreshableVersion="3" recordCount="40" xr:uid="{00000000-000A-0000-FFFF-FFFF09000000}">
  <cacheSource type="worksheet">
    <worksheetSource ref="B3:AL43" sheet="Gráfica mortalidad"/>
  </cacheSource>
  <cacheFields count="37">
    <cacheField name="ID Acuario" numFmtId="0">
      <sharedItems containsSemiMixedTypes="0" containsString="0" containsNumber="1" containsInteger="1" minValue="0" maxValue="5" count="6">
        <n v="0"/>
        <n v="3" u="1"/>
        <n v="4" u="1"/>
        <n v="2" u="1"/>
        <n v="1" u="1"/>
        <n v="5" u="1"/>
      </sharedItems>
    </cacheField>
    <cacheField name="Item OC" numFmtId="0">
      <sharedItems containsSemiMixedTypes="0" containsString="0" containsNumber="1" containsInteger="1" minValue="0" maxValue="0"/>
    </cacheField>
    <cacheField name="Nombre común o variedad" numFmtId="0">
      <sharedItems/>
    </cacheField>
    <cacheField name="Especie" numFmtId="0">
      <sharedItems count="35">
        <s v=""/>
        <s v="Hypostomus plecostomus" u="1"/>
        <s v="Abramites " u="1"/>
        <s v="Acropora aculeus" u="1"/>
        <s v="Abudefduf lorenzi" u="1"/>
        <s v="Chelmon rostratus" u="1"/>
        <s v="Acanthodoras depressus" u="1"/>
        <s v="Paracheirodon innesi" u="1"/>
        <s v="Acropora humilis" u="1"/>
        <s v="Carassius auratus" u="1"/>
        <s v="Acanthastrea amakusensis" u="1"/>
        <s v="Penicillus capitatus  " u="1"/>
        <s v="Anubias barteri " u="1"/>
        <s v="Tridacna maxima " u="1"/>
        <s v="Rasbora heteromorpha" u="1"/>
        <s v="Niphates digitalis " u="1"/>
        <s v="Poecilia reticulata" u="1"/>
        <s v="Macrobrachium rosenbergii " u="1"/>
        <s v=" " u="1"/>
        <s v="Danio rerio" u="1"/>
        <s v="Abudefduf saxatilis" u="1"/>
        <s v="Abramites hypselonotus" u="1"/>
        <s v="Atyopsis spinipes " u="1"/>
        <s v="Acropora abrotanoides" u="1"/>
        <s v="Astraea tecta " u="1"/>
        <s v="Abramites eques" u="1"/>
        <s v="Acanthurus albimento" u="1"/>
        <s v="Cyprinus carpio" u="1"/>
        <s v="Acropora sp." u="1"/>
        <s v="Abudefduf conformis" u="1"/>
        <s v="Potamotrygon motoro" u="1"/>
        <s v="Oreaster reticulatus " u="1"/>
        <s v="Atya spinipes " u="1"/>
        <s v="Abudefduf concolor" u="1"/>
        <s v="Protula bispiralis " u="1"/>
      </sharedItems>
    </cacheField>
    <cacheField name="Real arribado por acuario" numFmtId="0">
      <sharedItems containsSemiMixedTypes="0" containsString="0" containsNumber="1" containsInteger="1" minValue="0" maxValue="0"/>
    </cacheField>
    <cacheField name="Mortalidad total" numFmtId="0">
      <sharedItems/>
    </cacheField>
    <cacheField name="Saldo x acuario" numFmtId="0">
      <sharedItems/>
    </cacheField>
    <cacheField name="1" numFmtId="0">
      <sharedItems containsSemiMixedTypes="0" containsString="0" containsNumber="1" containsInteger="1" minValue="0" maxValue="0"/>
    </cacheField>
    <cacheField name="2" numFmtId="0">
      <sharedItems containsSemiMixedTypes="0" containsString="0" containsNumber="1" containsInteger="1" minValue="0" maxValue="0"/>
    </cacheField>
    <cacheField name="3" numFmtId="0">
      <sharedItems containsSemiMixedTypes="0" containsString="0" containsNumber="1" containsInteger="1" minValue="0" maxValue="0"/>
    </cacheField>
    <cacheField name="4" numFmtId="0">
      <sharedItems containsSemiMixedTypes="0" containsString="0" containsNumber="1" containsInteger="1" minValue="0" maxValue="0"/>
    </cacheField>
    <cacheField name="5" numFmtId="0">
      <sharedItems containsSemiMixedTypes="0" containsString="0" containsNumber="1" containsInteger="1" minValue="0" maxValue="0"/>
    </cacheField>
    <cacheField name="6" numFmtId="0">
      <sharedItems containsSemiMixedTypes="0" containsString="0" containsNumber="1" containsInteger="1" minValue="0" maxValue="0"/>
    </cacheField>
    <cacheField name="7" numFmtId="0">
      <sharedItems containsSemiMixedTypes="0" containsString="0" containsNumber="1" containsInteger="1" minValue="0" maxValue="0"/>
    </cacheField>
    <cacheField name="8" numFmtId="0">
      <sharedItems containsSemiMixedTypes="0" containsString="0" containsNumber="1" containsInteger="1" minValue="0" maxValue="0"/>
    </cacheField>
    <cacheField name="9" numFmtId="0">
      <sharedItems containsSemiMixedTypes="0" containsString="0" containsNumber="1" containsInteger="1" minValue="0" maxValue="0"/>
    </cacheField>
    <cacheField name="10" numFmtId="0">
      <sharedItems containsSemiMixedTypes="0" containsString="0" containsNumber="1" containsInteger="1" minValue="0" maxValue="0"/>
    </cacheField>
    <cacheField name="11" numFmtId="0">
      <sharedItems containsSemiMixedTypes="0" containsString="0" containsNumber="1" containsInteger="1" minValue="0" maxValue="0"/>
    </cacheField>
    <cacheField name="12" numFmtId="0">
      <sharedItems containsSemiMixedTypes="0" containsString="0" containsNumber="1" containsInteger="1" minValue="0" maxValue="0"/>
    </cacheField>
    <cacheField name="13" numFmtId="0">
      <sharedItems containsSemiMixedTypes="0" containsString="0" containsNumber="1" containsInteger="1" minValue="0" maxValue="0"/>
    </cacheField>
    <cacheField name="14" numFmtId="0">
      <sharedItems containsSemiMixedTypes="0" containsString="0" containsNumber="1" containsInteger="1" minValue="0" maxValue="0"/>
    </cacheField>
    <cacheField name="15" numFmtId="0">
      <sharedItems containsSemiMixedTypes="0" containsString="0" containsNumber="1" containsInteger="1" minValue="0" maxValue="0"/>
    </cacheField>
    <cacheField name="16" numFmtId="0">
      <sharedItems containsSemiMixedTypes="0" containsString="0" containsNumber="1" containsInteger="1" minValue="0" maxValue="0"/>
    </cacheField>
    <cacheField name="17" numFmtId="0">
      <sharedItems containsSemiMixedTypes="0" containsString="0" containsNumber="1" containsInteger="1" minValue="0" maxValue="0"/>
    </cacheField>
    <cacheField name="18" numFmtId="0">
      <sharedItems containsSemiMixedTypes="0" containsString="0" containsNumber="1" containsInteger="1" minValue="0" maxValue="0"/>
    </cacheField>
    <cacheField name="19" numFmtId="0">
      <sharedItems containsSemiMixedTypes="0" containsString="0" containsNumber="1" containsInteger="1" minValue="0" maxValue="0"/>
    </cacheField>
    <cacheField name="20" numFmtId="0">
      <sharedItems containsSemiMixedTypes="0" containsString="0" containsNumber="1" containsInteger="1" minValue="0" maxValue="0"/>
    </cacheField>
    <cacheField name="21" numFmtId="0">
      <sharedItems containsSemiMixedTypes="0" containsString="0" containsNumber="1" containsInteger="1" minValue="0" maxValue="0"/>
    </cacheField>
    <cacheField name="22" numFmtId="0">
      <sharedItems containsSemiMixedTypes="0" containsString="0" containsNumber="1" containsInteger="1" minValue="0" maxValue="0"/>
    </cacheField>
    <cacheField name="23" numFmtId="0">
      <sharedItems containsSemiMixedTypes="0" containsString="0" containsNumber="1" containsInteger="1" minValue="0" maxValue="0"/>
    </cacheField>
    <cacheField name="24" numFmtId="0">
      <sharedItems containsSemiMixedTypes="0" containsString="0" containsNumber="1" containsInteger="1" minValue="0" maxValue="0"/>
    </cacheField>
    <cacheField name="25" numFmtId="0">
      <sharedItems containsSemiMixedTypes="0" containsString="0" containsNumber="1" containsInteger="1" minValue="0" maxValue="0"/>
    </cacheField>
    <cacheField name="26" numFmtId="0">
      <sharedItems containsSemiMixedTypes="0" containsString="0" containsNumber="1" containsInteger="1" minValue="0" maxValue="0"/>
    </cacheField>
    <cacheField name="27" numFmtId="0">
      <sharedItems containsSemiMixedTypes="0" containsString="0" containsNumber="1" containsInteger="1" minValue="0" maxValue="0"/>
    </cacheField>
    <cacheField name="28" numFmtId="0">
      <sharedItems containsSemiMixedTypes="0" containsString="0" containsNumber="1" containsInteger="1" minValue="0" maxValue="0"/>
    </cacheField>
    <cacheField name="29" numFmtId="0">
      <sharedItems containsSemiMixedTypes="0" containsString="0" containsNumber="1" containsInteger="1" minValue="0" maxValue="0"/>
    </cacheField>
    <cacheField name="30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0"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0000000}" name="Tabla dinámica5" cacheId="11" dataOnRows="1" applyNumberFormats="0" applyBorderFormats="0" applyFontFormats="0" applyPatternFormats="0" applyAlignmentFormats="0" applyWidthHeightFormats="1" dataCaption="Día Cuarentena" updatedVersion="8" minRefreshableVersion="3" showCalcMbrs="0" useAutoFormatting="1" itemPrintTitles="1" createdVersion="3" indent="0" outline="1" outlineData="1" multipleFieldFilters="0" chartFormat="11">
  <location ref="AN4:AO19" firstHeaderRow="1" firstDataRow="1" firstDataCol="1" rowPageCount="2" colPageCount="1"/>
  <pivotFields count="37">
    <pivotField axis="axisPage" multipleItemSelectionAllowed="1" showAll="0">
      <items count="7">
        <item x="0"/>
        <item m="1" x="4"/>
        <item m="1" x="3"/>
        <item m="1" x="1"/>
        <item m="1" x="2"/>
        <item m="1" x="5"/>
        <item t="default"/>
      </items>
    </pivotField>
    <pivotField showAll="0"/>
    <pivotField showAll="0"/>
    <pivotField axis="axisPage" multipleItemSelectionAllowed="1" showAll="0">
      <items count="36">
        <item x="0"/>
        <item m="1" x="29"/>
        <item m="1" x="3"/>
        <item m="1" x="32"/>
        <item m="1" x="21"/>
        <item m="1" x="4"/>
        <item m="1" x="18"/>
        <item m="1" x="2"/>
        <item m="1" x="25"/>
        <item m="1" x="15"/>
        <item m="1" x="22"/>
        <item m="1" x="27"/>
        <item m="1" x="28"/>
        <item m="1" x="16"/>
        <item m="1" x="9"/>
        <item m="1" x="30"/>
        <item m="1" x="20"/>
        <item m="1" x="7"/>
        <item m="1" x="33"/>
        <item m="1" x="5"/>
        <item m="1" x="1"/>
        <item m="1" x="19"/>
        <item m="1" x="10"/>
        <item m="1" x="13"/>
        <item m="1" x="8"/>
        <item m="1" x="17"/>
        <item m="1" x="34"/>
        <item m="1" x="31"/>
        <item m="1" x="24"/>
        <item m="1" x="11"/>
        <item m="1" x="12"/>
        <item m="1" x="26"/>
        <item m="1" x="23"/>
        <item m="1" x="14"/>
        <item m="1" x="6"/>
        <item t="default"/>
      </items>
    </pivotField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-2"/>
  </rowFields>
  <row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rowItems>
  <colItems count="1">
    <i/>
  </colItems>
  <pageFields count="2">
    <pageField fld="0" hier="-1"/>
    <pageField fld="3" hier="-1"/>
  </pageFields>
  <dataFields count="15">
    <dataField name="1 " fld="7" baseField="0" baseItem="0"/>
    <dataField name="2 " fld="8" baseField="0" baseItem="0"/>
    <dataField name="3 " fld="9" baseField="0" baseItem="0"/>
    <dataField name="4 " fld="10" baseField="0" baseItem="0"/>
    <dataField name="5 " fld="11" baseField="0" baseItem="0"/>
    <dataField name="6 " fld="12" baseField="0" baseItem="0"/>
    <dataField name="7 " fld="13" baseField="0" baseItem="0"/>
    <dataField name="8 " fld="14" baseField="0" baseItem="0"/>
    <dataField name="9 " fld="15" baseField="0" baseItem="0"/>
    <dataField name="10 " fld="16" baseField="0" baseItem="0"/>
    <dataField name="11 " fld="17" baseField="0" baseItem="0"/>
    <dataField name="12 " fld="18" baseField="0" baseItem="0"/>
    <dataField name="13 " fld="19" baseField="0" baseItem="0"/>
    <dataField name="14 " fld="20" baseField="0" baseItem="0"/>
    <dataField name="15 " fld="21" baseField="0" baseItem="0"/>
  </dataFields>
  <formats count="6">
    <format dxfId="43">
      <pivotArea outline="0" collapsedLevelsAreSubtotals="1" fieldPosition="0"/>
    </format>
    <format dxfId="42">
      <pivotArea dataOnly="0" labelOnly="1" outline="0" fieldPosition="0">
        <references count="1">
          <reference field="0" count="0"/>
        </references>
      </pivotArea>
    </format>
    <format dxfId="41">
      <pivotArea dataOnly="0" labelOnly="1" outline="0" fieldPosition="0">
        <references count="1">
          <reference field="3" count="0"/>
        </references>
      </pivotArea>
    </format>
    <format dxfId="40">
      <pivotArea outline="0" collapsedLevelsAreSubtotals="1" fieldPosition="0"/>
    </format>
    <format dxfId="39">
      <pivotArea dataOnly="0" labelOnly="1" outline="0" fieldPosition="0">
        <references count="1">
          <reference field="0" count="0"/>
        </references>
      </pivotArea>
    </format>
    <format dxfId="38">
      <pivotArea dataOnly="0" labelOnly="1" outline="0" fieldPosition="0">
        <references count="1">
          <reference field="3" count="0"/>
        </references>
      </pivotArea>
    </format>
  </formats>
  <chartFormats count="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Pez" displayName="Pez" ref="BN1:BN533" totalsRowShown="0" headerRowDxfId="895" dataDxfId="894">
  <autoFilter ref="BN1:BN533" xr:uid="{00000000-0009-0000-0100-000001000000}"/>
  <tableColumns count="1">
    <tableColumn id="1" xr3:uid="{00000000-0010-0000-0000-000001000000}" name="Pez" dataDxfId="893"/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1" xr:uid="{00000000-000C-0000-FFFF-FFFF09000000}" name="Item" displayName="Item" ref="AM13:BC59" totalsRowCount="1" headerRowDxfId="866" dataDxfId="865" totalsRowDxfId="864">
  <autoFilter ref="AM13:BC58" xr:uid="{00000000-0009-0000-0100-00004F020000}"/>
  <tableColumns count="17">
    <tableColumn id="1" xr3:uid="{00000000-0010-0000-0900-000001000000}" name="Item" dataDxfId="863" totalsRowDxfId="862"/>
    <tableColumn id="2" xr3:uid="{00000000-0010-0000-0900-000002000000}" name="Concatenado" dataDxfId="861" totalsRowDxfId="860"/>
    <tableColumn id="3" xr3:uid="{00000000-0010-0000-0900-000003000000}" name="nombre comun" dataDxfId="859" totalsRowDxfId="858">
      <calculatedColumnFormula>C14</calculatedColumnFormula>
    </tableColumn>
    <tableColumn id="4" xr3:uid="{00000000-0010-0000-0900-000004000000}" name="grupo" dataDxfId="857" totalsRowDxfId="856">
      <calculatedColumnFormula>J14</calculatedColumnFormula>
    </tableColumn>
    <tableColumn id="5" xr3:uid="{00000000-0010-0000-0900-000005000000}" name="ambiente" dataDxfId="855" totalsRowDxfId="854">
      <calculatedColumnFormula>IFERROR(N14,"")</calculatedColumnFormula>
    </tableColumn>
    <tableColumn id="6" xr3:uid="{00000000-0010-0000-0900-000006000000}" name="cantidad arribada" totalsRowFunction="sum" dataDxfId="853" totalsRowDxfId="852">
      <calculatedColumnFormula>SUMIF('Acuario (Arribado - mortalidad)'!$B$14:$B$90,'ORDEN DE CUARENTENA'!B14,'Acuario (Arribado - mortalidad)'!$F$14:$F$90)</calculatedColumnFormula>
    </tableColumn>
    <tableColumn id="7" xr3:uid="{00000000-0010-0000-0900-000007000000}" name="mortalidad acumulada" totalsRowFunction="sum" dataDxfId="851" totalsRowDxfId="850">
      <calculatedColumnFormula>IF(AR14&gt;0, IF(SUMIF('Acuario (Arribado - mortalidad)'!$B$14:$B$90,'ORDEN DE CUARENTENA'!B14,'Acuario (Arribado - mortalidad)'!$K$14:$K$90)=0, "0", SUMIF('Acuario (Arribado - mortalidad)'!$B$14:$B$90,'ORDEN DE CUARENTENA'!B14,'Acuario (Arribado - mortalidad)'!$K$14:$K$90)),"")</calculatedColumnFormula>
    </tableColumn>
    <tableColumn id="8" xr3:uid="{00000000-0010-0000-0900-000008000000}" name="saldo" totalsRowFunction="sum" dataDxfId="849" totalsRowDxfId="848">
      <calculatedColumnFormula>IF(AR14 = AS14,"0", SUMIF('Acuario (Arribado - mortalidad)'!$B$14:$B$90,'ORDEN DE CUARENTENA'!B14,'Acuario (Arribado - mortalidad)'!$G$14:$G$90))</calculatedColumnFormula>
    </tableColumn>
    <tableColumn id="9" xr3:uid="{00000000-0010-0000-0900-000009000000}" name="porcentaje mortalidad" totalsRowFunction="average" dataDxfId="847" totalsRowDxfId="846">
      <calculatedColumnFormula>IFERROR(Item[[#This Row],[mortalidad acumulada]]/Item[[#This Row],[cantidad arribada]],"")</calculatedColumnFormula>
    </tableColumn>
    <tableColumn id="10" xr3:uid="{00000000-0010-0000-0900-00000A000000}" name="Arribada resumen" totalsRowFunction="sum" dataDxfId="845" totalsRowDxfId="844">
      <calculatedColumnFormula>IF(ISTEXT(R14),IF(Item[[#This Row],[cantidad arribada]]=0,"No llega",Item[[#This Row],[cantidad arribada]]),)</calculatedColumnFormula>
    </tableColumn>
    <tableColumn id="11" xr3:uid="{00000000-0010-0000-0900-00000B000000}" name="Tratamiento Si o No" dataDxfId="843" totalsRowDxfId="842">
      <calculatedColumnFormula>#REF!</calculatedColumnFormula>
    </tableColumn>
    <tableColumn id="12" xr3:uid="{00000000-0010-0000-0900-00000C000000}" name="Mortalidad dia 1" totalsRowFunction="sum" dataDxfId="841" totalsRowDxfId="840">
      <calculatedColumnFormula>SUMIF('Acuario (Arribado - mortalidad)'!$B$14:$B$90,'ORDEN DE CUARENTENA'!B14,'Acuario (Arribado - mortalidad)'!$O$14:$O$90)</calculatedColumnFormula>
    </tableColumn>
    <tableColumn id="16" xr3:uid="{00000000-0010-0000-0900-000010000000}" name="Mortalidad 2 a 8  (Sem 1)" totalsRowFunction="sum" dataDxfId="839" totalsRowDxfId="838">
      <calculatedColumnFormula>SUMIF('Acuario (Arribado - mortalidad)'!$B$14:$B$90,'ORDEN DE CUARENTENA'!B14,'Acuario (Arribado - mortalidad)'!$BG$14:$BG$90)</calculatedColumnFormula>
    </tableColumn>
    <tableColumn id="17" xr3:uid="{00000000-0010-0000-0900-000011000000}" name="Mortalidad 9 a 15 (Sem 2)" totalsRowFunction="sum" dataDxfId="837" totalsRowDxfId="836">
      <calculatedColumnFormula>SUMIF('Acuario (Arribado - mortalidad)'!$B$14:$B$90,'ORDEN DE CUARENTENA'!B14,'Acuario (Arribado - mortalidad)'!$BH$14:$BH$90)</calculatedColumnFormula>
    </tableColumn>
    <tableColumn id="18" xr3:uid="{00000000-0010-0000-0900-000012000000}" name="% mort dia 1" totalsRowFunction="average" dataDxfId="835" totalsRowDxfId="834">
      <calculatedColumnFormula>IFERROR(Item[[#This Row],[Mortalidad dia 1]]/Item[[#This Row],[cantidad arribada]],"")</calculatedColumnFormula>
    </tableColumn>
    <tableColumn id="19" xr3:uid="{00000000-0010-0000-0900-000013000000}" name="% mort sem 1" totalsRowFunction="average" dataDxfId="833" totalsRowDxfId="832">
      <calculatedColumnFormula>IFERROR(Item[[#This Row],[Mortalidad 2 a 8  (Sem 1)]]/Item[[#This Row],[cantidad arribada]],"")</calculatedColumnFormula>
    </tableColumn>
    <tableColumn id="20" xr3:uid="{00000000-0010-0000-0900-000014000000}" name="% mort sem 2" totalsRowFunction="average" dataDxfId="831" totalsRowDxfId="830">
      <calculatedColumnFormula>IFERROR(Item[[#This Row],[Mortalidad 9 a 15 (Sem 2)]]/Item[[#This Row],[cantidad arribada]],"")</calculatedColumnFormula>
    </tableColumn>
  </tableColumns>
  <tableStyleInfo name="TableStyleMedium9" showFirstColumn="0" showLastColumn="0" showRowStripes="1" showColumnStripes="0"/>
</table>
</file>

<file path=xl/tables/table1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6" xr:uid="{00000000-000C-0000-FFFF-FFFF63000000}" name="Bunocephalus" displayName="Bunocephalus" ref="CL1:CL14" totalsRowShown="0" headerRowDxfId="733">
  <autoFilter ref="CL1:CL14" xr:uid="{00000000-0009-0000-0100-0000B0000000}"/>
  <tableColumns count="1">
    <tableColumn id="1" xr3:uid="{00000000-0010-0000-6300-000001000000}" name="Bunocephalus"/>
  </tableColumns>
  <tableStyleInfo name="TableStyleMedium9" showFirstColumn="0" showLastColumn="0" showRowStripes="1" showColumnStripes="0"/>
</table>
</file>

<file path=xl/tables/table1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7" xr:uid="{00000000-000C-0000-FFFF-FFFF64000000}" name="Butis" displayName="Butis" ref="CM1:CM7" totalsRowShown="0" headerRowDxfId="732">
  <autoFilter ref="CM1:CM7" xr:uid="{00000000-0009-0000-0100-0000B1000000}"/>
  <tableColumns count="1">
    <tableColumn id="1" xr3:uid="{00000000-0010-0000-6400-000001000000}" name="Butis"/>
  </tableColumns>
  <tableStyleInfo name="TableStyleMedium9" showFirstColumn="0" showLastColumn="0" showRowStripes="1" showColumnStripes="0"/>
</table>
</file>

<file path=xl/tables/table1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8" xr:uid="{00000000-000C-0000-FFFF-FFFF65000000}" name="Caenotropus" displayName="Caenotropus" ref="CN1:CN5" totalsRowShown="0" headerRowDxfId="731">
  <autoFilter ref="CN1:CN5" xr:uid="{00000000-0009-0000-0100-0000B2000000}"/>
  <tableColumns count="1">
    <tableColumn id="1" xr3:uid="{00000000-0010-0000-6500-000001000000}" name="Caenotropus"/>
  </tableColumns>
  <tableStyleInfo name="TableStyleMedium9" showFirstColumn="0" showLastColumn="0" showRowStripes="1" showColumnStripes="0"/>
</table>
</file>

<file path=xl/tables/table1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9" xr:uid="{00000000-000C-0000-FFFF-FFFF66000000}" name="Callichthys" displayName="Callichthys" ref="CO1:CO5" totalsRowShown="0" headerRowDxfId="730">
  <autoFilter ref="CO1:CO5" xr:uid="{00000000-0009-0000-0100-0000B3000000}"/>
  <tableColumns count="1">
    <tableColumn id="1" xr3:uid="{00000000-0010-0000-6600-000001000000}" name="Callichthys"/>
  </tableColumns>
  <tableStyleInfo name="TableStyleMedium9" showFirstColumn="0" showLastColumn="0" showRowStripes="1" showColumnStripes="0"/>
</table>
</file>

<file path=xl/tables/table1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0" xr:uid="{00000000-000C-0000-FFFF-FFFF67000000}" name="Callochromis" displayName="Callochromis" ref="CP1:CP4" totalsRowShown="0" headerRowDxfId="729">
  <autoFilter ref="CP1:CP4" xr:uid="{00000000-0009-0000-0100-0000B4000000}"/>
  <tableColumns count="1">
    <tableColumn id="1" xr3:uid="{00000000-0010-0000-6700-000001000000}" name="Callochromis"/>
  </tableColumns>
  <tableStyleInfo name="TableStyleMedium9" showFirstColumn="0" showLastColumn="0" showRowStripes="1" showColumnStripes="0"/>
</table>
</file>

<file path=xl/tables/table1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1" xr:uid="{00000000-000C-0000-FFFF-FFFF68000000}" name="Calloplesiops" displayName="Calloplesiops" ref="CQ1:CQ3" totalsRowShown="0" headerRowDxfId="728">
  <autoFilter ref="CQ1:CQ3" xr:uid="{00000000-0009-0000-0100-0000B5000000}"/>
  <tableColumns count="1">
    <tableColumn id="1" xr3:uid="{00000000-0010-0000-6800-000001000000}" name="Calloplesiops"/>
  </tableColumns>
  <tableStyleInfo name="TableStyleMedium9" showFirstColumn="0" showLastColumn="0" showRowStripes="1" showColumnStripes="0"/>
</table>
</file>

<file path=xl/tables/table1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2" xr:uid="{00000000-000C-0000-FFFF-FFFF69000000}" name="Calophysus" displayName="Calophysus" ref="CR1:CR2" totalsRowShown="0" headerRowDxfId="727">
  <autoFilter ref="CR1:CR2" xr:uid="{00000000-0009-0000-0100-0000B6000000}"/>
  <tableColumns count="1">
    <tableColumn id="1" xr3:uid="{00000000-0010-0000-6900-000001000000}" name="Calophysus"/>
  </tableColumns>
  <tableStyleInfo name="TableStyleMedium9" showFirstColumn="0" showLastColumn="0" showRowStripes="1" showColumnStripes="0"/>
</table>
</file>

<file path=xl/tables/table1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3" xr:uid="{00000000-000C-0000-FFFF-FFFF6A000000}" name="Campylomormyrus" displayName="Campylomormyrus" ref="CS1:CS16" totalsRowShown="0" headerRowDxfId="726">
  <autoFilter ref="CS1:CS16" xr:uid="{00000000-0009-0000-0100-0000B7000000}"/>
  <tableColumns count="1">
    <tableColumn id="1" xr3:uid="{00000000-0010-0000-6A00-000001000000}" name="Campylomormyrus"/>
  </tableColumns>
  <tableStyleInfo name="TableStyleMedium9" showFirstColumn="0" showLastColumn="0" showRowStripes="1" showColumnStripes="0"/>
</table>
</file>

<file path=xl/tables/table1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4" xr:uid="{00000000-000C-0000-FFFF-FFFF6B000000}" name="Canthigaster" displayName="Canthigaster" ref="CT1:CT38" totalsRowShown="0" headerRowDxfId="725">
  <autoFilter ref="CT1:CT38" xr:uid="{00000000-0009-0000-0100-0000B8000000}"/>
  <tableColumns count="1">
    <tableColumn id="1" xr3:uid="{00000000-0010-0000-6B00-000001000000}" name="Canthigaster"/>
  </tableColumns>
  <tableStyleInfo name="TableStyleMedium9" showFirstColumn="0" showLastColumn="0" showRowStripes="1" showColumnStripes="0"/>
</table>
</file>

<file path=xl/tables/table1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5" xr:uid="{00000000-000C-0000-FFFF-FFFF6C000000}" name="Capoeta" displayName="Capoeta" ref="CU1:CU35" totalsRowShown="0" headerRowDxfId="724">
  <autoFilter ref="CU1:CU35" xr:uid="{00000000-0009-0000-0100-0000B9000000}"/>
  <tableColumns count="1">
    <tableColumn id="1" xr3:uid="{00000000-0010-0000-6C00-000001000000}" name="Capoeta"/>
  </tableColumns>
  <tableStyleInfo name="TableStyleMedium9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A000000}" name="Alga" displayName="Alga" ref="BU1:BU6" totalsRowShown="0" headerRowDxfId="829" dataDxfId="828">
  <autoFilter ref="BU1:BU6" xr:uid="{00000000-0009-0000-0100-000003000000}"/>
  <tableColumns count="1">
    <tableColumn id="1" xr3:uid="{00000000-0010-0000-0A00-000001000000}" name="Alga" dataDxfId="827"/>
  </tableColumns>
  <tableStyleInfo name="TableStyleMedium9" showFirstColumn="0" showLastColumn="0" showRowStripes="1" showColumnStripes="0"/>
</table>
</file>

<file path=xl/tables/table1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7" xr:uid="{00000000-000C-0000-FFFF-FFFF6D000000}" name="Caquetaia" displayName="Caquetaia" ref="CV1:CV4" totalsRowShown="0" headerRowDxfId="723">
  <autoFilter ref="CV1:CV4" xr:uid="{00000000-0009-0000-0100-0000BB000000}"/>
  <tableColumns count="1">
    <tableColumn id="1" xr3:uid="{00000000-0010-0000-6D00-000001000000}" name="Caquetaia"/>
  </tableColumns>
  <tableStyleInfo name="TableStyleMedium9" showFirstColumn="0" showLastColumn="0" showRowStripes="1" showColumnStripes="0"/>
</table>
</file>

<file path=xl/tables/table1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8" xr:uid="{00000000-000C-0000-FFFF-FFFF6E000000}" name="Carassius" displayName="Carassius" ref="CW1:CW7" totalsRowShown="0" headerRowDxfId="722">
  <autoFilter ref="CW1:CW7" xr:uid="{00000000-0009-0000-0100-0000BC000000}"/>
  <tableColumns count="1">
    <tableColumn id="1" xr3:uid="{00000000-0010-0000-6E00-000001000000}" name="Carassius"/>
  </tableColumns>
  <tableStyleInfo name="TableStyleMedium9" showFirstColumn="0" showLastColumn="0" showRowStripes="1" showColumnStripes="0"/>
</table>
</file>

<file path=xl/tables/table1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9" xr:uid="{00000000-000C-0000-FFFF-FFFF6F000000}" name="Carcharhinus" displayName="Carcharhinus" ref="CX1:CX36" totalsRowShown="0" headerRowDxfId="721">
  <autoFilter ref="CX1:CX36" xr:uid="{00000000-0009-0000-0100-0000BD000000}"/>
  <tableColumns count="1">
    <tableColumn id="1" xr3:uid="{00000000-0010-0000-6F00-000001000000}" name="Carcharhinus"/>
  </tableColumns>
  <tableStyleInfo name="TableStyleMedium9" showFirstColumn="0" showLastColumn="0" showRowStripes="1" showColumnStripes="0"/>
</table>
</file>

<file path=xl/tables/table1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0" xr:uid="{00000000-000C-0000-FFFF-FFFF70000000}" name="Carnegiella" displayName="Carnegiella" ref="CY1:CY5" totalsRowShown="0" headerRowDxfId="720">
  <autoFilter ref="CY1:CY5" xr:uid="{00000000-0009-0000-0100-0000BE000000}"/>
  <tableColumns count="1">
    <tableColumn id="1" xr3:uid="{00000000-0010-0000-7000-000001000000}" name="Carnegiella"/>
  </tableColumns>
  <tableStyleInfo name="TableStyleMedium9" showFirstColumn="0" showLastColumn="0" showRowStripes="1" showColumnStripes="0"/>
</table>
</file>

<file path=xl/tables/table1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1" xr:uid="{00000000-000C-0000-FFFF-FFFF71000000}" name="Centropyge" displayName="Centropyge" ref="CZ1:CZ36" totalsRowShown="0" headerRowDxfId="719">
  <autoFilter ref="CZ1:CZ36" xr:uid="{00000000-0009-0000-0100-0000BF000000}"/>
  <tableColumns count="1">
    <tableColumn id="1" xr3:uid="{00000000-0010-0000-7100-000001000000}" name="Centropyge"/>
  </tableColumns>
  <tableStyleInfo name="TableStyleMedium9" showFirstColumn="0" showLastColumn="0" showRowStripes="1" showColumnStripes="0"/>
</table>
</file>

<file path=xl/tables/table1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2" xr:uid="{00000000-000C-0000-FFFF-FFFF72000000}" name="Cephalopholis" displayName="Cephalopholis" ref="DA1:DA25" totalsRowShown="0" headerRowDxfId="718">
  <autoFilter ref="DA1:DA25" xr:uid="{00000000-0009-0000-0100-0000C0000000}"/>
  <tableColumns count="1">
    <tableColumn id="1" xr3:uid="{00000000-0010-0000-7200-000001000000}" name="Cephalopholis"/>
  </tableColumns>
  <tableStyleInfo name="TableStyleMedium9" showFirstColumn="0" showLastColumn="0" showRowStripes="1" showColumnStripes="0"/>
</table>
</file>

<file path=xl/tables/table1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3" xr:uid="{00000000-000C-0000-FFFF-FFFF73000000}" name="Cetopsis" displayName="Cetopsis" ref="DB1:DB22" totalsRowShown="0" headerRowDxfId="717">
  <autoFilter ref="DB1:DB22" xr:uid="{00000000-0009-0000-0100-0000C1000000}"/>
  <tableColumns count="1">
    <tableColumn id="1" xr3:uid="{00000000-0010-0000-7300-000001000000}" name="Cetopsis"/>
  </tableColumns>
  <tableStyleInfo name="TableStyleMedium9" showFirstColumn="0" showLastColumn="0" showRowStripes="1" showColumnStripes="0"/>
</table>
</file>

<file path=xl/tables/table1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4" xr:uid="{00000000-000C-0000-FFFF-FFFF74000000}" name="Chaca" displayName="Chaca" ref="DC1:DC5" totalsRowShown="0" headerRowDxfId="716">
  <autoFilter ref="DC1:DC5" xr:uid="{00000000-0009-0000-0100-0000C2000000}"/>
  <tableColumns count="1">
    <tableColumn id="1" xr3:uid="{00000000-0010-0000-7400-000001000000}" name="Chaca"/>
  </tableColumns>
  <tableStyleInfo name="TableStyleMedium9" showFirstColumn="0" showLastColumn="0" showRowStripes="1" showColumnStripes="0"/>
</table>
</file>

<file path=xl/tables/table1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5" xr:uid="{00000000-000C-0000-FFFF-FFFF75000000}" name="Chaetodermis" displayName="Chaetodermis" ref="DD1:DD2" totalsRowShown="0" headerRowDxfId="715">
  <autoFilter ref="DD1:DD2" xr:uid="{00000000-0009-0000-0100-0000C3000000}"/>
  <tableColumns count="1">
    <tableColumn id="1" xr3:uid="{00000000-0010-0000-7500-000001000000}" name="Chaetodermis"/>
  </tableColumns>
  <tableStyleInfo name="TableStyleMedium9" showFirstColumn="0" showLastColumn="0" showRowStripes="1" showColumnStripes="0"/>
</table>
</file>

<file path=xl/tables/table1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6" xr:uid="{00000000-000C-0000-FFFF-FFFF76000000}" name="Chaetodipterus" displayName="Chaetodipterus" ref="DE1:DE4" totalsRowShown="0" headerRowDxfId="714">
  <autoFilter ref="DE1:DE4" xr:uid="{00000000-0009-0000-0100-0000C4000000}"/>
  <tableColumns count="1">
    <tableColumn id="1" xr3:uid="{00000000-0010-0000-7600-000001000000}" name="Chaetodipterus"/>
  </tableColumns>
  <tableStyleInfo name="TableStyleMedium9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5" xr:uid="{00000000-000C-0000-FFFF-FFFF0B000000}" name="SuscepEARs" displayName="SuscepEARs" ref="CB1:CC197" totalsRowShown="0" headerRowDxfId="826" dataDxfId="825">
  <autoFilter ref="CB1:CC197" xr:uid="{00000000-0009-0000-0100-000071020000}"/>
  <tableColumns count="2">
    <tableColumn id="1" xr3:uid="{00000000-0010-0000-0B00-000001000000}" name="SuscepEARs" dataDxfId="824"/>
    <tableColumn id="2" xr3:uid="{00000000-0010-0000-0B00-000002000000}" name="EARs" dataDxfId="823"/>
  </tableColumns>
  <tableStyleInfo name="TableStyleMedium9" showFirstColumn="0" showLastColumn="0" showRowStripes="1" showColumnStripes="0"/>
</table>
</file>

<file path=xl/tables/table1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7" xr:uid="{00000000-000C-0000-FFFF-FFFF77000000}" name="Chaetodon" displayName="Chaetodon" ref="DF1:DF88" totalsRowShown="0" headerRowDxfId="713">
  <autoFilter ref="DF1:DF88" xr:uid="{00000000-0009-0000-0100-0000C5000000}"/>
  <tableColumns count="1">
    <tableColumn id="1" xr3:uid="{00000000-0010-0000-7700-000001000000}" name="Chaetodon"/>
  </tableColumns>
  <tableStyleInfo name="TableStyleMedium9" showFirstColumn="0" showLastColumn="0" showRowStripes="1" showColumnStripes="0"/>
</table>
</file>

<file path=xl/tables/table1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8" xr:uid="{00000000-000C-0000-FFFF-FFFF78000000}" name="Chaetodontoplus" displayName="Chaetodontoplus" ref="DG1:DG16" totalsRowShown="0" headerRowDxfId="712">
  <autoFilter ref="DG1:DG16" xr:uid="{00000000-0009-0000-0100-0000C6000000}"/>
  <tableColumns count="1">
    <tableColumn id="1" xr3:uid="{00000000-0010-0000-7800-000001000000}" name="Chaetodontoplus"/>
  </tableColumns>
  <tableStyleInfo name="TableStyleMedium9" showFirstColumn="0" showLastColumn="0" showRowStripes="1" showColumnStripes="0"/>
</table>
</file>

<file path=xl/tables/table1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9" xr:uid="{00000000-000C-0000-FFFF-FFFF79000000}" name="Chaetostoma" displayName="Chaetostoma" ref="DH1:DH46" totalsRowShown="0" headerRowDxfId="711">
  <autoFilter ref="DH1:DH46" xr:uid="{00000000-0009-0000-0100-0000C7000000}"/>
  <tableColumns count="1">
    <tableColumn id="1" xr3:uid="{00000000-0010-0000-7900-000001000000}" name="Chaetostoma"/>
  </tableColumns>
  <tableStyleInfo name="TableStyleMedium9" showFirstColumn="0" showLastColumn="0" showRowStripes="1" showColumnStripes="0"/>
</table>
</file>

<file path=xl/tables/table1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0" xr:uid="{00000000-000C-0000-FFFF-FFFF7A000000}" name="Chalceus" displayName="Chalceus" ref="DI1:DI9" totalsRowShown="0" headerRowDxfId="710">
  <autoFilter ref="DI1:DI9" xr:uid="{00000000-0009-0000-0100-0000C8000000}"/>
  <tableColumns count="1">
    <tableColumn id="1" xr3:uid="{00000000-0010-0000-7A00-000001000000}" name="Chalceus"/>
  </tableColumns>
  <tableStyleInfo name="TableStyleMedium9" showFirstColumn="0" showLastColumn="0" showRowStripes="1" showColumnStripes="0"/>
</table>
</file>

<file path=xl/tables/table1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1" xr:uid="{00000000-000C-0000-FFFF-FFFF7B000000}" name="Chalinochromis" displayName="Chalinochromis" ref="DJ1:DJ4" totalsRowShown="0" headerRowDxfId="709">
  <autoFilter ref="DJ1:DJ4" xr:uid="{00000000-0009-0000-0100-0000C9000000}"/>
  <tableColumns count="1">
    <tableColumn id="1" xr3:uid="{00000000-0010-0000-7B00-000001000000}" name="Chalinochromis"/>
  </tableColumns>
  <tableStyleInfo name="TableStyleMedium9" showFirstColumn="0" showLastColumn="0" showRowStripes="1" showColumnStripes="0"/>
</table>
</file>

<file path=xl/tables/table1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2" xr:uid="{00000000-000C-0000-FFFF-FFFF7C000000}" name="Champsochromis" displayName="Champsochromis" ref="DK1:DK3" totalsRowShown="0" headerRowDxfId="708">
  <autoFilter ref="DK1:DK3" xr:uid="{00000000-0009-0000-0100-0000CA000000}"/>
  <tableColumns count="1">
    <tableColumn id="1" xr3:uid="{00000000-0010-0000-7C00-000001000000}" name="Champsochromis"/>
  </tableColumns>
  <tableStyleInfo name="TableStyleMedium9" showFirstColumn="0" showLastColumn="0" showRowStripes="1" showColumnStripes="0"/>
</table>
</file>

<file path=xl/tables/table1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3" xr:uid="{00000000-000C-0000-FFFF-FFFF7D000000}" name="Chanda" displayName="Chanda" ref="DL1:DL2" totalsRowShown="0" headerRowDxfId="707">
  <autoFilter ref="DL1:DL2" xr:uid="{00000000-0009-0000-0100-0000CB000000}"/>
  <tableColumns count="1">
    <tableColumn id="1" xr3:uid="{00000000-0010-0000-7D00-000001000000}" name="Chanda"/>
  </tableColumns>
  <tableStyleInfo name="TableStyleMedium9" showFirstColumn="0" showLastColumn="0" showRowStripes="1" showColumnStripes="0"/>
</table>
</file>

<file path=xl/tables/table1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4" xr:uid="{00000000-000C-0000-FFFF-FFFF7E000000}" name="Channa" displayName="Channa" ref="DM1:DM39" totalsRowShown="0" headerRowDxfId="706">
  <autoFilter ref="DM1:DM39" xr:uid="{00000000-0009-0000-0100-0000CC000000}"/>
  <tableColumns count="1">
    <tableColumn id="1" xr3:uid="{00000000-0010-0000-7E00-000001000000}" name="Channa"/>
  </tableColumns>
  <tableStyleInfo name="TableStyleMedium9" showFirstColumn="0" showLastColumn="0" showRowStripes="1" showColumnStripes="0"/>
</table>
</file>

<file path=xl/tables/table1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5" xr:uid="{00000000-000C-0000-FFFF-FFFF7F000000}" name="Characidium" displayName="Characidium" ref="DN1:DN65" totalsRowShown="0" headerRowDxfId="705">
  <autoFilter ref="DN1:DN65" xr:uid="{00000000-0009-0000-0100-0000CD000000}"/>
  <tableColumns count="1">
    <tableColumn id="1" xr3:uid="{00000000-0010-0000-7F00-000001000000}" name="Characidium"/>
  </tableColumns>
  <tableStyleInfo name="TableStyleMedium9" showFirstColumn="0" showLastColumn="0" showRowStripes="1" showColumnStripes="0"/>
</table>
</file>

<file path=xl/tables/table1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6" xr:uid="{00000000-000C-0000-FFFF-FFFF80000000}" name="Charax" displayName="Charax" ref="DO1:DO18" totalsRowShown="0" headerRowDxfId="704">
  <autoFilter ref="DO1:DO18" xr:uid="{00000000-0009-0000-0100-0000CE000000}"/>
  <tableColumns count="1">
    <tableColumn id="1" xr3:uid="{00000000-0010-0000-8000-000001000000}" name="Charax"/>
  </tableColumns>
  <tableStyleInfo name="TableStyleMedium9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00000000-000C-0000-FFFF-FFFF0C000000}" name="Abramites" displayName="Abramites" ref="A1:A3" totalsRowShown="0" headerRowDxfId="822">
  <autoFilter ref="A1:A3" xr:uid="{00000000-0009-0000-0100-00002F000000}"/>
  <tableColumns count="1">
    <tableColumn id="1" xr3:uid="{00000000-0010-0000-0C00-000001000000}" name="Abramites"/>
  </tableColumns>
  <tableStyleInfo name="TableStyleMedium9" showFirstColumn="0" showLastColumn="0" showRowStripes="1" showColumnStripes="0"/>
</table>
</file>

<file path=xl/tables/table1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7" xr:uid="{00000000-000C-0000-FFFF-FFFF81000000}" name="Cheilochromis" displayName="Cheilochromis" ref="DP1:DP2" totalsRowShown="0" headerRowDxfId="703">
  <autoFilter ref="DP1:DP2" xr:uid="{00000000-0009-0000-0100-0000CF000000}"/>
  <tableColumns count="1">
    <tableColumn id="1" xr3:uid="{00000000-0010-0000-8100-000001000000}" name="Cheilochromis"/>
  </tableColumns>
  <tableStyleInfo name="TableStyleMedium9" showFirstColumn="0" showLastColumn="0" showRowStripes="1" showColumnStripes="0"/>
</table>
</file>

<file path=xl/tables/table1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8" xr:uid="{00000000-000C-0000-FFFF-FFFF82000000}" name="Chela" displayName="Chela" ref="DQ1:DQ4" totalsRowShown="0" headerRowDxfId="702">
  <autoFilter ref="DQ1:DQ4" xr:uid="{00000000-0009-0000-0100-0000D0000000}"/>
  <tableColumns count="1">
    <tableColumn id="1" xr3:uid="{00000000-0010-0000-8200-000001000000}" name="Chela"/>
  </tableColumns>
  <tableStyleInfo name="TableStyleMedium9" showFirstColumn="0" showLastColumn="0" showRowStripes="1" showColumnStripes="0"/>
</table>
</file>

<file path=xl/tables/table1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9" xr:uid="{00000000-000C-0000-FFFF-FFFF83000000}" name="Chelmon" displayName="Chelmon" ref="DR1:DR4" totalsRowShown="0" headerRowDxfId="701">
  <autoFilter ref="DR1:DR4" xr:uid="{00000000-0009-0000-0100-0000D1000000}"/>
  <tableColumns count="1">
    <tableColumn id="1" xr3:uid="{00000000-0010-0000-8300-000001000000}" name="Chelmon"/>
  </tableColumns>
  <tableStyleInfo name="TableStyleMedium9" showFirstColumn="0" showLastColumn="0" showRowStripes="1" showColumnStripes="0"/>
</table>
</file>

<file path=xl/tables/table1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0" xr:uid="{00000000-000C-0000-FFFF-FFFF84000000}" name="Chelmonops" displayName="Chelmonops" ref="DS1:DS3" totalsRowShown="0" headerRowDxfId="700">
  <autoFilter ref="DS1:DS3" xr:uid="{00000000-0009-0000-0100-0000D2000000}"/>
  <tableColumns count="1">
    <tableColumn id="1" xr3:uid="{00000000-0010-0000-8400-000001000000}" name="Chelmonops"/>
  </tableColumns>
  <tableStyleInfo name="TableStyleMedium9" showFirstColumn="0" showLastColumn="0" showRowStripes="1" showColumnStripes="0"/>
</table>
</file>

<file path=xl/tables/table1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1" xr:uid="{00000000-000C-0000-FFFF-FFFF85000000}" name="Chilodus" displayName="Chilodus" ref="DT1:DT5" totalsRowShown="0" headerRowDxfId="699">
  <autoFilter ref="DT1:DT5" xr:uid="{00000000-0009-0000-0100-0000D3000000}"/>
  <tableColumns count="1">
    <tableColumn id="1" xr3:uid="{00000000-0010-0000-8500-000001000000}" name="Chilodus"/>
  </tableColumns>
  <tableStyleInfo name="TableStyleMedium9" showFirstColumn="0" showLastColumn="0" showRowStripes="1" showColumnStripes="0"/>
</table>
</file>

<file path=xl/tables/table1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2" xr:uid="{00000000-000C-0000-FFFF-FFFF86000000}" name="Chilomycterus" displayName="Chilomycterus" ref="DU1:DU6" totalsRowShown="0" headerRowDxfId="698">
  <autoFilter ref="DU1:DU6" xr:uid="{00000000-0009-0000-0100-0000D4000000}"/>
  <tableColumns count="1">
    <tableColumn id="1" xr3:uid="{00000000-0010-0000-8600-000001000000}" name="Chilomycterus"/>
  </tableColumns>
  <tableStyleInfo name="TableStyleMedium9" showFirstColumn="0" showLastColumn="0" showRowStripes="1" showColumnStripes="0"/>
</table>
</file>

<file path=xl/tables/table1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3" xr:uid="{00000000-000C-0000-FFFF-FFFF87000000}" name="Chiloscyllium" displayName="Chiloscyllium" ref="DV1:DV9" totalsRowShown="0" headerRowDxfId="697">
  <autoFilter ref="DV1:DV9" xr:uid="{00000000-0009-0000-0100-0000D5000000}"/>
  <tableColumns count="1">
    <tableColumn id="1" xr3:uid="{00000000-0010-0000-8700-000001000000}" name="Chiloscyllium"/>
  </tableColumns>
  <tableStyleInfo name="TableStyleMedium9" showFirstColumn="0" showLastColumn="0" showRowStripes="1" showColumnStripes="0"/>
</table>
</file>

<file path=xl/tables/table1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4" xr:uid="{00000000-000C-0000-FFFF-FFFF88000000}" name="Chilotilapia" displayName="Chilotilapia" ref="DW1:DW2" totalsRowShown="0" headerRowDxfId="696">
  <autoFilter ref="DW1:DW2" xr:uid="{00000000-0009-0000-0100-0000D6000000}"/>
  <tableColumns count="1">
    <tableColumn id="1" xr3:uid="{00000000-0010-0000-8800-000001000000}" name="Chilotilapia"/>
  </tableColumns>
  <tableStyleInfo name="TableStyleMedium9" showFirstColumn="0" showLastColumn="0" showRowStripes="1" showColumnStripes="0"/>
</table>
</file>

<file path=xl/tables/table1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5" xr:uid="{00000000-000C-0000-FFFF-FFFF89000000}" name="Chitala" displayName="Chitala" ref="DX1:DX7" totalsRowShown="0" headerRowDxfId="695">
  <autoFilter ref="DX1:DX7" xr:uid="{00000000-0009-0000-0100-0000D7000000}"/>
  <tableColumns count="1">
    <tableColumn id="1" xr3:uid="{00000000-0010-0000-8900-000001000000}" name="Chitala"/>
  </tableColumns>
  <tableStyleInfo name="TableStyleMedium9" showFirstColumn="0" showLastColumn="0" showRowStripes="1" showColumnStripes="0"/>
</table>
</file>

<file path=xl/tables/table1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6" xr:uid="{00000000-000C-0000-FFFF-FFFF8A000000}" name="Chromis" displayName="Chromis" ref="DZ1:DZ101" totalsRowShown="0" headerRowDxfId="694">
  <autoFilter ref="DZ1:DZ101" xr:uid="{00000000-0009-0000-0100-0000D8000000}"/>
  <tableColumns count="1">
    <tableColumn id="1" xr3:uid="{00000000-0010-0000-8A00-000001000000}" name="Chromis"/>
  </tableColumns>
  <tableStyleInfo name="TableStyleMedium9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00000000-000C-0000-FFFF-FFFF0D000000}" name="Abudefduf" displayName="Abudefduf" ref="B1:B21" totalsRowShown="0" headerRowDxfId="821">
  <autoFilter ref="B1:B21" xr:uid="{00000000-0009-0000-0100-00005A000000}"/>
  <tableColumns count="1">
    <tableColumn id="1" xr3:uid="{00000000-0010-0000-0D00-000001000000}" name="Abudefduf"/>
  </tableColumns>
  <tableStyleInfo name="TableStyleMedium9" showFirstColumn="0" showLastColumn="0" showRowStripes="1" showColumnStripes="0"/>
</table>
</file>

<file path=xl/tables/table1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7" xr:uid="{00000000-000C-0000-FFFF-FFFF8B000000}" name="Chrysiptera" displayName="Chrysiptera" ref="EA1:EA35" totalsRowShown="0" headerRowDxfId="693">
  <autoFilter ref="EA1:EA35" xr:uid="{00000000-0009-0000-0100-0000D9000000}"/>
  <tableColumns count="1">
    <tableColumn id="1" xr3:uid="{00000000-0010-0000-8B00-000001000000}" name="Chrysiptera"/>
  </tableColumns>
  <tableStyleInfo name="TableStyleMedium9" showFirstColumn="0" showLastColumn="0" showRowStripes="1" showColumnStripes="0"/>
</table>
</file>

<file path=xl/tables/table1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9" xr:uid="{00000000-000C-0000-FFFF-FFFF8C000000}" name="Cichla" displayName="Cichla" ref="EB1:EB16" totalsRowShown="0" headerRowDxfId="692">
  <autoFilter ref="EB1:EB16" xr:uid="{00000000-0009-0000-0100-0000DB000000}"/>
  <tableColumns count="1">
    <tableColumn id="1" xr3:uid="{00000000-0010-0000-8C00-000001000000}" name="Cichla"/>
  </tableColumns>
  <tableStyleInfo name="TableStyleMedium9" showFirstColumn="0" showLastColumn="0" showRowStripes="1" showColumnStripes="0"/>
</table>
</file>

<file path=xl/tables/table1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0" xr:uid="{00000000-000C-0000-FFFF-FFFF8D000000}" name="Cichlasoma" displayName="Cichlasoma" ref="EC1:EC18" totalsRowShown="0" headerRowDxfId="691">
  <autoFilter ref="EC1:EC18" xr:uid="{00000000-0009-0000-0100-0000DC000000}"/>
  <tableColumns count="1">
    <tableColumn id="1" xr3:uid="{00000000-0010-0000-8D00-000001000000}" name="Cichlasoma"/>
  </tableColumns>
  <tableStyleInfo name="TableStyleMedium9" showFirstColumn="0" showLastColumn="0" showRowStripes="1" showColumnStripes="0"/>
</table>
</file>

<file path=xl/tables/table1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1" xr:uid="{00000000-000C-0000-FFFF-FFFF8E000000}" name="Cirrhilabrus" displayName="Cirrhilabrus" ref="ED1:ED51" totalsRowShown="0" headerRowDxfId="690">
  <autoFilter ref="ED1:ED51" xr:uid="{00000000-0009-0000-0100-0000DD000000}"/>
  <tableColumns count="1">
    <tableColumn id="1" xr3:uid="{00000000-0010-0000-8E00-000001000000}" name="Cirrhilabrus"/>
  </tableColumns>
  <tableStyleInfo name="TableStyleMedium9" showFirstColumn="0" showLastColumn="0" showRowStripes="1" showColumnStripes="0"/>
</table>
</file>

<file path=xl/tables/table1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2" xr:uid="{00000000-000C-0000-FFFF-FFFF8F000000}" name="Cirrhitichthys" displayName="Cirrhitichthys" ref="EE1:EE9" totalsRowShown="0" headerRowDxfId="689">
  <autoFilter ref="EE1:EE9" xr:uid="{00000000-0009-0000-0100-0000DE000000}"/>
  <tableColumns count="1">
    <tableColumn id="1" xr3:uid="{00000000-0010-0000-8F00-000001000000}" name="Cirrhitichthys"/>
  </tableColumns>
  <tableStyleInfo name="TableStyleMedium9" showFirstColumn="0" showLastColumn="0" showRowStripes="1" showColumnStripes="0"/>
</table>
</file>

<file path=xl/tables/table1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3" xr:uid="{00000000-000C-0000-FFFF-FFFF90000000}" name="Cirrhitops" displayName="Cirrhitops" ref="EF1:EF4" totalsRowShown="0" headerRowDxfId="688">
  <autoFilter ref="EF1:EF4" xr:uid="{00000000-0009-0000-0100-0000DF000000}"/>
  <tableColumns count="1">
    <tableColumn id="1" xr3:uid="{00000000-0010-0000-9000-000001000000}" name="Cirrhitops"/>
  </tableColumns>
  <tableStyleInfo name="TableStyleMedium9" showFirstColumn="0" showLastColumn="0" showRowStripes="1" showColumnStripes="0"/>
</table>
</file>

<file path=xl/tables/table1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4" xr:uid="{00000000-000C-0000-FFFF-FFFF91000000}" name="Cirrhitus" displayName="Cirrhitus" ref="EG1:EG5" totalsRowShown="0" headerRowDxfId="687">
  <autoFilter ref="EG1:EG5" xr:uid="{00000000-0009-0000-0100-0000E0000000}"/>
  <tableColumns count="1">
    <tableColumn id="1" xr3:uid="{00000000-0010-0000-9100-000001000000}" name="Cirrhitus"/>
  </tableColumns>
  <tableStyleInfo name="TableStyleMedium9" showFirstColumn="0" showLastColumn="0" showRowStripes="1" showColumnStripes="0"/>
</table>
</file>

<file path=xl/tables/table1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5" xr:uid="{00000000-000C-0000-FFFF-FFFF92000000}" name="Cleithracara" displayName="Cleithracara" ref="EH1:EH2" totalsRowShown="0" headerRowDxfId="686">
  <autoFilter ref="EH1:EH2" xr:uid="{00000000-0009-0000-0100-0000E1000000}"/>
  <tableColumns count="1">
    <tableColumn id="1" xr3:uid="{00000000-0010-0000-9200-000001000000}" name="Cleithracara"/>
  </tableColumns>
  <tableStyleInfo name="TableStyleMedium9" showFirstColumn="0" showLastColumn="0" showRowStripes="1" showColumnStripes="0"/>
</table>
</file>

<file path=xl/tables/table1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6" xr:uid="{00000000-000C-0000-FFFF-FFFF93000000}" name="Cobitis" displayName="Cobitis" ref="EI1:EI87" totalsRowShown="0" headerRowDxfId="685">
  <autoFilter ref="EI1:EI87" xr:uid="{00000000-0009-0000-0100-0000E2000000}"/>
  <tableColumns count="1">
    <tableColumn id="1" xr3:uid="{00000000-0010-0000-9300-000001000000}" name="Cobitis"/>
  </tableColumns>
  <tableStyleInfo name="TableStyleMedium9" showFirstColumn="0" showLastColumn="0" showRowStripes="1" showColumnStripes="0"/>
</table>
</file>

<file path=xl/tables/table1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7" xr:uid="{00000000-000C-0000-FFFF-FFFF94000000}" name="Colomesus" displayName="Colomesus" ref="EJ1:EJ3" totalsRowShown="0" headerRowDxfId="684">
  <autoFilter ref="EJ1:EJ3" xr:uid="{00000000-0009-0000-0100-0000E3000000}"/>
  <tableColumns count="1">
    <tableColumn id="1" xr3:uid="{00000000-0010-0000-9400-000001000000}" name="Colomesus"/>
  </tableColumns>
  <tableStyleInfo name="TableStyleMedium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00000000-000C-0000-FFFF-FFFF0E000000}" name="Acanthicus" displayName="Acanthicus" ref="C1:C3" totalsRowShown="0" headerRowDxfId="820">
  <autoFilter ref="C1:C3" xr:uid="{00000000-0009-0000-0100-00005B000000}"/>
  <tableColumns count="1">
    <tableColumn id="1" xr3:uid="{00000000-0010-0000-0E00-000001000000}" name="Acanthicus"/>
  </tableColumns>
  <tableStyleInfo name="TableStyleMedium9" showFirstColumn="0" showLastColumn="0" showRowStripes="1" showColumnStripes="0"/>
</table>
</file>

<file path=xl/tables/table1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8" xr:uid="{00000000-000C-0000-FFFF-FFFF95000000}" name="Colossoma" displayName="Colossoma" ref="EK1:EK2" totalsRowShown="0" headerRowDxfId="683">
  <autoFilter ref="EK1:EK2" xr:uid="{00000000-0009-0000-0100-0000E4000000}"/>
  <tableColumns count="1">
    <tableColumn id="1" xr3:uid="{00000000-0010-0000-9500-000001000000}" name="Colossoma"/>
  </tableColumns>
  <tableStyleInfo name="TableStyleMedium9" showFirstColumn="0" showLastColumn="0" showRowStripes="1" showColumnStripes="0"/>
</table>
</file>

<file path=xl/tables/table1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9" xr:uid="{00000000-000C-0000-FFFF-FFFF96000000}" name="Copadichromis" displayName="Copadichromis" ref="EL1:EL26" totalsRowShown="0" headerRowDxfId="682">
  <autoFilter ref="EL1:EL26" xr:uid="{00000000-0009-0000-0100-0000E5000000}"/>
  <tableColumns count="1">
    <tableColumn id="1" xr3:uid="{00000000-0010-0000-9600-000001000000}" name="Copadichromis"/>
  </tableColumns>
  <tableStyleInfo name="TableStyleMedium9" showFirstColumn="0" showLastColumn="0" showRowStripes="1" showColumnStripes="0"/>
</table>
</file>

<file path=xl/tables/table1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0" xr:uid="{00000000-000C-0000-FFFF-FFFF97000000}" name="Copeina" displayName="Copeina" ref="EM1:EM3" totalsRowShown="0" headerRowDxfId="681">
  <autoFilter ref="EM1:EM3" xr:uid="{00000000-0009-0000-0100-0000E6000000}"/>
  <tableColumns count="1">
    <tableColumn id="1" xr3:uid="{00000000-0010-0000-9700-000001000000}" name="Copeina"/>
  </tableColumns>
  <tableStyleInfo name="TableStyleMedium9" showFirstColumn="0" showLastColumn="0" showRowStripes="1" showColumnStripes="0"/>
</table>
</file>

<file path=xl/tables/table1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1" xr:uid="{00000000-000C-0000-FFFF-FFFF98000000}" name="Copella" displayName="Copella" ref="EN1:EN10" totalsRowShown="0" headerRowDxfId="680">
  <autoFilter ref="EN1:EN10" xr:uid="{00000000-0009-0000-0100-0000E7000000}"/>
  <tableColumns count="1">
    <tableColumn id="1" xr3:uid="{00000000-0010-0000-9800-000001000000}" name="Copella"/>
  </tableColumns>
  <tableStyleInfo name="TableStyleMedium9" showFirstColumn="0" showLastColumn="0" showRowStripes="1" showColumnStripes="0"/>
</table>
</file>

<file path=xl/tables/table1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2" xr:uid="{00000000-000C-0000-FFFF-FFFF99000000}" name="Coradion" displayName="Coradion" ref="EO1:EO4" totalsRowShown="0" headerRowDxfId="679">
  <autoFilter ref="EO1:EO4" xr:uid="{00000000-0009-0000-0100-0000E8000000}"/>
  <tableColumns count="1">
    <tableColumn id="1" xr3:uid="{00000000-0010-0000-9900-000001000000}" name="Coradion"/>
  </tableColumns>
  <tableStyleInfo name="TableStyleMedium9" showFirstColumn="0" showLastColumn="0" showRowStripes="1" showColumnStripes="0"/>
</table>
</file>

<file path=xl/tables/table1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3" xr:uid="{00000000-000C-0000-FFFF-FFFF9A000000}" name="Coris" displayName="Coris" ref="EP1:EP28" totalsRowShown="0" headerRowDxfId="678">
  <autoFilter ref="EP1:EP28" xr:uid="{00000000-0009-0000-0100-0000E9000000}"/>
  <tableColumns count="1">
    <tableColumn id="1" xr3:uid="{00000000-0010-0000-9A00-000001000000}" name="Coris"/>
  </tableColumns>
  <tableStyleInfo name="TableStyleMedium9" showFirstColumn="0" showLastColumn="0" showRowStripes="1" showColumnStripes="0"/>
</table>
</file>

<file path=xl/tables/table1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4" xr:uid="{00000000-000C-0000-FFFF-FFFF9B000000}" name="Corydoras" displayName="Corydoras" ref="EQ1:EQ163" totalsRowShown="0" headerRowDxfId="677">
  <autoFilter ref="EQ1:EQ163" xr:uid="{00000000-0009-0000-0100-0000EA000000}"/>
  <tableColumns count="1">
    <tableColumn id="1" xr3:uid="{00000000-0010-0000-9B00-000001000000}" name="Corydoras"/>
  </tableColumns>
  <tableStyleInfo name="TableStyleMedium9" showFirstColumn="0" showLastColumn="0" showRowStripes="1" showColumnStripes="0"/>
</table>
</file>

<file path=xl/tables/table1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5" xr:uid="{00000000-000C-0000-FFFF-FFFF9C000000}" name="Corynopoma" displayName="Corynopoma" ref="ER1:ER2" totalsRowShown="0" headerRowDxfId="676">
  <autoFilter ref="ER1:ER2" xr:uid="{00000000-0009-0000-0100-0000EB000000}"/>
  <tableColumns count="1">
    <tableColumn id="1" xr3:uid="{00000000-0010-0000-9C00-000001000000}" name="Corynopoma"/>
  </tableColumns>
  <tableStyleInfo name="TableStyleMedium9" showFirstColumn="0" showLastColumn="0" showRowStripes="1" showColumnStripes="0"/>
</table>
</file>

<file path=xl/tables/table1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6" xr:uid="{00000000-000C-0000-FFFF-FFFF9D000000}" name="Coryphopterus" displayName="Coryphopterus" ref="ES1:ES14" totalsRowShown="0" headerRowDxfId="675">
  <autoFilter ref="ES1:ES14" xr:uid="{00000000-0009-0000-0100-0000EC000000}"/>
  <tableColumns count="1">
    <tableColumn id="1" xr3:uid="{00000000-0010-0000-9D00-000001000000}" name="Coryphopterus"/>
  </tableColumns>
  <tableStyleInfo name="TableStyleMedium9" showFirstColumn="0" showLastColumn="0" showRowStripes="1" showColumnStripes="0"/>
</table>
</file>

<file path=xl/tables/table1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7" xr:uid="{00000000-000C-0000-FFFF-FFFF9E000000}" name="Crenicara" displayName="Crenicara" ref="ET1:ET3" totalsRowShown="0" headerRowDxfId="674">
  <autoFilter ref="ET1:ET3" xr:uid="{00000000-0009-0000-0100-0000ED000000}"/>
  <tableColumns count="1">
    <tableColumn id="1" xr3:uid="{00000000-0010-0000-9E00-000001000000}" name="Crenicara"/>
  </tableColumns>
  <tableStyleInfo name="TableStyleMedium9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00000000-000C-0000-FFFF-FFFF0F000000}" name="Acanthodoras" displayName="Acanthodoras" ref="D1:D4" totalsRowShown="0" headerRowDxfId="819">
  <autoFilter ref="D1:D4" xr:uid="{00000000-0009-0000-0100-00005C000000}"/>
  <tableColumns count="1">
    <tableColumn id="1" xr3:uid="{00000000-0010-0000-0F00-000001000000}" name="Acanthodoras"/>
  </tableColumns>
  <tableStyleInfo name="TableStyleMedium9" showFirstColumn="0" showLastColumn="0" showRowStripes="1" showColumnStripes="0"/>
</table>
</file>

<file path=xl/tables/table1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8" xr:uid="{00000000-000C-0000-FFFF-FFFF9F000000}" name="Crenicichla" displayName="Crenicichla" ref="EU1:EU94" totalsRowShown="0" headerRowDxfId="673">
  <autoFilter ref="EU1:EU94" xr:uid="{00000000-0009-0000-0100-0000EE000000}"/>
  <tableColumns count="1">
    <tableColumn id="1" xr3:uid="{00000000-0010-0000-9F00-000001000000}" name="Crenicichla"/>
  </tableColumns>
  <tableStyleInfo name="TableStyleMedium9" showFirstColumn="0" showLastColumn="0" showRowStripes="1" showColumnStripes="0"/>
</table>
</file>

<file path=xl/tables/table1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9" xr:uid="{00000000-000C-0000-FFFF-FFFFA0000000}" name="Crenuchus" displayName="Crenuchus" ref="EV1:EV2" totalsRowShown="0" headerRowDxfId="672">
  <autoFilter ref="EV1:EV2" xr:uid="{00000000-0009-0000-0100-0000EF000000}"/>
  <tableColumns count="1">
    <tableColumn id="1" xr3:uid="{00000000-0010-0000-A000-000001000000}" name="Crenuchus"/>
  </tableColumns>
  <tableStyleInfo name="TableStyleMedium9" showFirstColumn="0" showLastColumn="0" showRowStripes="1" showColumnStripes="0"/>
</table>
</file>

<file path=xl/tables/table1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0" xr:uid="{00000000-000C-0000-FFFF-FFFFA1000000}" name="Cromileptes" displayName="Cromileptes" ref="EW1:EW2" totalsRowShown="0" headerRowDxfId="671">
  <autoFilter ref="EW1:EW2" xr:uid="{00000000-0009-0000-0100-0000F0000000}"/>
  <tableColumns count="1">
    <tableColumn id="1" xr3:uid="{00000000-0010-0000-A100-000001000000}" name="Cromileptes"/>
  </tableColumns>
  <tableStyleInfo name="TableStyleMedium9" showFirstColumn="0" showLastColumn="0" showRowStripes="1" showColumnStripes="0"/>
</table>
</file>

<file path=xl/tables/table1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1" xr:uid="{00000000-000C-0000-FFFF-FFFFA2000000}" name="Crossocheilus" displayName="Crossocheilus" ref="EX1:EX19" totalsRowShown="0" headerRowDxfId="670">
  <autoFilter ref="EX1:EX19" xr:uid="{00000000-0009-0000-0100-0000F1000000}"/>
  <tableColumns count="1">
    <tableColumn id="1" xr3:uid="{00000000-0010-0000-A200-000001000000}" name="Crossocheilus"/>
  </tableColumns>
  <tableStyleInfo name="TableStyleMedium9" showFirstColumn="0" showLastColumn="0" showRowStripes="1" showColumnStripes="0"/>
</table>
</file>

<file path=xl/tables/table1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2" xr:uid="{00000000-000C-0000-FFFF-FFFFA3000000}" name="Cryptocentrus" displayName="Cryptocentrus" ref="EY1:EY36" totalsRowShown="0" headerRowDxfId="669">
  <autoFilter ref="EY1:EY36" xr:uid="{00000000-0009-0000-0100-0000F2000000}"/>
  <tableColumns count="1">
    <tableColumn id="1" xr3:uid="{00000000-0010-0000-A300-000001000000}" name="Cryptocentrus"/>
  </tableColumns>
  <tableStyleInfo name="TableStyleMedium9" showFirstColumn="0" showLastColumn="0" showRowStripes="1" showColumnStripes="0"/>
</table>
</file>

<file path=xl/tables/table1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3" xr:uid="{00000000-000C-0000-FFFF-FFFFA4000000}" name="Ctenobrycon" displayName="Ctenobrycon" ref="EZ1:EZ6" totalsRowShown="0" headerRowDxfId="668">
  <autoFilter ref="EZ1:EZ6" xr:uid="{00000000-0009-0000-0100-0000F3000000}"/>
  <tableColumns count="1">
    <tableColumn id="1" xr3:uid="{00000000-0010-0000-A400-000001000000}" name="Ctenobrycon"/>
  </tableColumns>
  <tableStyleInfo name="TableStyleMedium9" showFirstColumn="0" showLastColumn="0" showRowStripes="1" showColumnStripes="0"/>
</table>
</file>

<file path=xl/tables/table1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4" xr:uid="{00000000-000C-0000-FFFF-FFFFA5000000}" name="Ctenochaetus" displayName="Ctenochaetus" ref="FA1:FA10" totalsRowShown="0" headerRowDxfId="667">
  <autoFilter ref="FA1:FA10" xr:uid="{00000000-0009-0000-0100-0000F4000000}"/>
  <tableColumns count="1">
    <tableColumn id="1" xr3:uid="{00000000-0010-0000-A500-000001000000}" name="Ctenochaetus"/>
  </tableColumns>
  <tableStyleInfo name="TableStyleMedium9" showFirstColumn="0" showLastColumn="0" showRowStripes="1" showColumnStripes="0"/>
</table>
</file>

<file path=xl/tables/table1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5" xr:uid="{00000000-000C-0000-FFFF-FFFFA6000000}" name="Ctenogobiops" displayName="Ctenogobiops" ref="FB1:FB10" totalsRowShown="0" headerRowDxfId="666">
  <autoFilter ref="FB1:FB10" xr:uid="{00000000-0009-0000-0100-0000F5000000}"/>
  <tableColumns count="1">
    <tableColumn id="1" xr3:uid="{00000000-0010-0000-A600-000001000000}" name="Ctenogobiops"/>
  </tableColumns>
  <tableStyleInfo name="TableStyleMedium9" showFirstColumn="0" showLastColumn="0" showRowStripes="1" showColumnStripes="0"/>
</table>
</file>

<file path=xl/tables/table1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6" xr:uid="{00000000-000C-0000-FFFF-FFFFA7000000}" name="Ctenolucius" displayName="Ctenolucius" ref="FC1:FC3" totalsRowShown="0" headerRowDxfId="665">
  <autoFilter ref="FC1:FC3" xr:uid="{00000000-0009-0000-0100-0000F6000000}"/>
  <tableColumns count="1">
    <tableColumn id="1" xr3:uid="{00000000-0010-0000-A700-000001000000}" name="Ctenolucius"/>
  </tableColumns>
  <tableStyleInfo name="TableStyleMedium9" showFirstColumn="0" showLastColumn="0" showRowStripes="1" showColumnStripes="0"/>
</table>
</file>

<file path=xl/tables/table1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7" xr:uid="{00000000-000C-0000-FFFF-FFFFA8000000}" name="Ctenopharyngodon" displayName="Ctenopharyngodon" ref="FD1:FD2" totalsRowShown="0" headerRowDxfId="664">
  <autoFilter ref="FD1:FD2" xr:uid="{00000000-0009-0000-0100-0000F7000000}"/>
  <tableColumns count="1">
    <tableColumn id="1" xr3:uid="{00000000-0010-0000-A800-000001000000}" name="Ctenopharyngodon"/>
  </tableColumns>
  <tableStyleInfo name="TableStyleMedium9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00000000-000C-0000-FFFF-FFFF10000000}" name="Acanthostracion" displayName="Acanthostracion" ref="E1:E5" totalsRowShown="0" headerRowDxfId="818">
  <autoFilter ref="E1:E5" xr:uid="{00000000-0009-0000-0100-00005D000000}"/>
  <tableColumns count="1">
    <tableColumn id="1" xr3:uid="{00000000-0010-0000-1000-000001000000}" name="Acanthostracion"/>
  </tableColumns>
  <tableStyleInfo name="TableStyleMedium9" showFirstColumn="0" showLastColumn="0" showRowStripes="1" showColumnStripes="0"/>
</table>
</file>

<file path=xl/tables/table1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8" xr:uid="{00000000-000C-0000-FFFF-FFFFA9000000}" name="Ctenopoma" displayName="Ctenopoma" ref="FF1:FF18" totalsRowShown="0" headerRowDxfId="663">
  <autoFilter ref="FF1:FF18" xr:uid="{00000000-0009-0000-0100-0000F8000000}"/>
  <tableColumns count="1">
    <tableColumn id="1" xr3:uid="{00000000-0010-0000-A900-000001000000}" name="Ctenopoma"/>
  </tableColumns>
  <tableStyleInfo name="TableStyleMedium9" showFirstColumn="0" showLastColumn="0" showRowStripes="1" showColumnStripes="0"/>
</table>
</file>

<file path=xl/tables/table1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9" xr:uid="{00000000-000C-0000-FFFF-FFFFAA000000}" name="Cyathopharynx" displayName="Cyathopharynx" ref="FG1:FG2" totalsRowShown="0" headerRowDxfId="662">
  <autoFilter ref="FG1:FG2" xr:uid="{00000000-0009-0000-0100-0000F9000000}"/>
  <tableColumns count="1">
    <tableColumn id="1" xr3:uid="{00000000-0010-0000-AA00-000001000000}" name="Cyathopharynx"/>
  </tableColumns>
  <tableStyleInfo name="TableStyleMedium9" showFirstColumn="0" showLastColumn="0" showRowStripes="1" showColumnStripes="0"/>
</table>
</file>

<file path=xl/tables/table1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0" xr:uid="{00000000-000C-0000-FFFF-FFFFAB000000}" name="Cynolebias" displayName="Cynolebias" ref="FH1:FH20" totalsRowShown="0" headerRowDxfId="661">
  <autoFilter ref="FH1:FH20" xr:uid="{00000000-0009-0000-0100-0000FA000000}"/>
  <tableColumns count="1">
    <tableColumn id="1" xr3:uid="{00000000-0010-0000-AB00-000001000000}" name="Cynolebias"/>
  </tableColumns>
  <tableStyleInfo name="TableStyleMedium9" showFirstColumn="0" showLastColumn="0" showRowStripes="1" showColumnStripes="0"/>
</table>
</file>

<file path=xl/tables/table1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1" xr:uid="{00000000-000C-0000-FFFF-FFFFAC000000}" name="Cynotilapia" displayName="Cynotilapia" ref="FI1:FI4" totalsRowShown="0" headerRowDxfId="660">
  <autoFilter ref="FI1:FI4" xr:uid="{00000000-0009-0000-0100-0000FB000000}"/>
  <tableColumns count="1">
    <tableColumn id="1" xr3:uid="{00000000-0010-0000-AC00-000001000000}" name="Cynotilapia"/>
  </tableColumns>
  <tableStyleInfo name="TableStyleMedium9" showFirstColumn="0" showLastColumn="0" showRowStripes="1" showColumnStripes="0"/>
</table>
</file>

<file path=xl/tables/table1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2" xr:uid="{00000000-000C-0000-FFFF-FFFFAD000000}" name="Cyphotilapia" displayName="Cyphotilapia" ref="FJ1:FJ3" totalsRowShown="0" headerRowDxfId="659">
  <autoFilter ref="FJ1:FJ3" xr:uid="{00000000-0009-0000-0100-0000FC000000}"/>
  <tableColumns count="1">
    <tableColumn id="1" xr3:uid="{00000000-0010-0000-AD00-000001000000}" name="Cyphotilapia"/>
  </tableColumns>
  <tableStyleInfo name="TableStyleMedium9" showFirstColumn="0" showLastColumn="0" showRowStripes="1" showColumnStripes="0"/>
</table>
</file>

<file path=xl/tables/table1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3" xr:uid="{00000000-000C-0000-FFFF-FFFFAE000000}" name="Cyprichromis" displayName="Cyprichromis" ref="FK1:FK6" totalsRowShown="0" headerRowDxfId="658">
  <autoFilter ref="FK1:FK6" xr:uid="{00000000-0009-0000-0100-0000FD000000}"/>
  <tableColumns count="1">
    <tableColumn id="1" xr3:uid="{00000000-0010-0000-AE00-000001000000}" name="Cyprichromis"/>
  </tableColumns>
  <tableStyleInfo name="TableStyleMedium9" showFirstColumn="0" showLastColumn="0" showRowStripes="1" showColumnStripes="0"/>
</table>
</file>

<file path=xl/tables/table1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4" xr:uid="{00000000-000C-0000-FFFF-FFFFAF000000}" name="Cyprinocirrhites" displayName="Cyprinocirrhites" ref="FL1:FL2" totalsRowShown="0" headerRowDxfId="657">
  <autoFilter ref="FL1:FL2" xr:uid="{00000000-0009-0000-0100-0000FE000000}"/>
  <tableColumns count="1">
    <tableColumn id="1" xr3:uid="{00000000-0010-0000-AF00-000001000000}" name="Cyprinocirrhites"/>
  </tableColumns>
  <tableStyleInfo name="TableStyleMedium9" showFirstColumn="0" showLastColumn="0" showRowStripes="1" showColumnStripes="0"/>
</table>
</file>

<file path=xl/tables/table1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5" xr:uid="{00000000-000C-0000-FFFF-FFFFB0000000}" name="Cyprinus" displayName="Cyprinus" ref="FM1:FM25" totalsRowShown="0" headerRowDxfId="656">
  <autoFilter ref="FM1:FM25" xr:uid="{00000000-0009-0000-0100-0000FF000000}"/>
  <tableColumns count="1">
    <tableColumn id="1" xr3:uid="{00000000-0010-0000-B000-000001000000}" name="Cyprinus"/>
  </tableColumns>
  <tableStyleInfo name="TableStyleMedium9" showFirstColumn="0" showLastColumn="0" showRowStripes="1" showColumnStripes="0"/>
</table>
</file>

<file path=xl/tables/table1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6" xr:uid="{00000000-000C-0000-FFFF-FFFFB1000000}" name="Cyrtocara" displayName="Cyrtocara" ref="FN1:FN2" totalsRowShown="0" headerRowDxfId="655">
  <autoFilter ref="FN1:FN2" xr:uid="{00000000-0009-0000-0100-000000010000}"/>
  <tableColumns count="1">
    <tableColumn id="1" xr3:uid="{00000000-0010-0000-B100-000001000000}" name="Cyrtocara"/>
  </tableColumns>
  <tableStyleInfo name="TableStyleMedium9" showFirstColumn="0" showLastColumn="0" showRowStripes="1" showColumnStripes="0"/>
</table>
</file>

<file path=xl/tables/table1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7" xr:uid="{00000000-000C-0000-FFFF-FFFFB2000000}" name="Dactyloptena" displayName="Dactyloptena" ref="FO1:FO7" totalsRowShown="0" headerRowDxfId="654">
  <autoFilter ref="FO1:FO7" xr:uid="{00000000-0009-0000-0100-000001010000}"/>
  <tableColumns count="1">
    <tableColumn id="1" xr3:uid="{00000000-0010-0000-B200-000001000000}" name="Dactyloptena"/>
  </tableColumns>
  <tableStyleInfo name="TableStyleMedium9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00000000-000C-0000-FFFF-FFFF11000000}" name="Acanthurus" displayName="Acanthurus" ref="F1:F40" totalsRowShown="0" headerRowDxfId="817">
  <autoFilter ref="F1:F40" xr:uid="{00000000-0009-0000-0100-00005E000000}"/>
  <tableColumns count="1">
    <tableColumn id="1" xr3:uid="{00000000-0010-0000-1100-000001000000}" name="Acanthurus"/>
  </tableColumns>
  <tableStyleInfo name="TableStyleMedium9" showFirstColumn="0" showLastColumn="0" showRowStripes="1" showColumnStripes="0"/>
</table>
</file>

<file path=xl/tables/table1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8" xr:uid="{00000000-000C-0000-FFFF-FFFFB3000000}" name="Danio" displayName="Danio" ref="FP1:FP27" totalsRowShown="0" headerRowDxfId="653">
  <autoFilter ref="FP1:FP27" xr:uid="{00000000-0009-0000-0100-000002010000}"/>
  <tableColumns count="1">
    <tableColumn id="1" xr3:uid="{00000000-0010-0000-B300-000001000000}" name="Danio"/>
  </tableColumns>
  <tableStyleInfo name="TableStyleMedium9" showFirstColumn="0" showLastColumn="0" showRowStripes="1" showColumnStripes="0"/>
</table>
</file>

<file path=xl/tables/table1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9" xr:uid="{00000000-000C-0000-FFFF-FFFFB4000000}" name="Dascyllus" displayName="Dascyllus" ref="FQ1:FQ11" totalsRowShown="0" headerRowDxfId="652">
  <autoFilter ref="FQ1:FQ11" xr:uid="{00000000-0009-0000-0100-000003010000}"/>
  <tableColumns count="1">
    <tableColumn id="1" xr3:uid="{00000000-0010-0000-B400-000001000000}" name="Dascyllus"/>
  </tableColumns>
  <tableStyleInfo name="TableStyleMedium9" showFirstColumn="0" showLastColumn="0" showRowStripes="1" showColumnStripes="0"/>
</table>
</file>

<file path=xl/tables/table1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0" xr:uid="{00000000-000C-0000-FFFF-FFFFB5000000}" name="Datnioides" displayName="Datnioides" ref="FR1:FR6" totalsRowShown="0" headerRowDxfId="651">
  <autoFilter ref="FR1:FR6" xr:uid="{00000000-0009-0000-0100-000004010000}"/>
  <tableColumns count="1">
    <tableColumn id="1" xr3:uid="{00000000-0010-0000-B500-000001000000}" name="Datnioides"/>
  </tableColumns>
  <tableStyleInfo name="TableStyleMedium9" showFirstColumn="0" showLastColumn="0" showRowStripes="1" showColumnStripes="0"/>
</table>
</file>

<file path=xl/tables/table1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1" xr:uid="{00000000-000C-0000-FFFF-FFFFB6000000}" name="Dekeyseria" displayName="Dekeyseria" ref="FS1:FS7" totalsRowShown="0" headerRowDxfId="650">
  <autoFilter ref="FS1:FS7" xr:uid="{00000000-0009-0000-0100-000005010000}"/>
  <tableColumns count="1">
    <tableColumn id="1" xr3:uid="{00000000-0010-0000-B600-000001000000}" name="Dekeyseria"/>
  </tableColumns>
  <tableStyleInfo name="TableStyleMedium9" showFirstColumn="0" showLastColumn="0" showRowStripes="1" showColumnStripes="0"/>
</table>
</file>

<file path=xl/tables/table1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2" xr:uid="{00000000-000C-0000-FFFF-FFFFB7000000}" name="Dendrochirus" displayName="Dendrochirus" ref="FT1:FT8" totalsRowShown="0" headerRowDxfId="649">
  <autoFilter ref="FT1:FT8" xr:uid="{00000000-0009-0000-0100-000006010000}"/>
  <tableColumns count="1">
    <tableColumn id="1" xr3:uid="{00000000-0010-0000-B700-000001000000}" name="Dendrochirus"/>
  </tableColumns>
  <tableStyleInfo name="TableStyleMedium9" showFirstColumn="0" showLastColumn="0" showRowStripes="1" showColumnStripes="0"/>
</table>
</file>

<file path=xl/tables/table1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3" xr:uid="{00000000-000C-0000-FFFF-FFFFB8000000}" name="Dermogenys" displayName="Dermogenys" ref="FU1:FU14" totalsRowShown="0" headerRowDxfId="648">
  <autoFilter ref="FU1:FU14" xr:uid="{00000000-0009-0000-0100-000007010000}"/>
  <tableColumns count="1">
    <tableColumn id="1" xr3:uid="{00000000-0010-0000-B800-000001000000}" name="Dermogenys"/>
  </tableColumns>
  <tableStyleInfo name="TableStyleMedium9" showFirstColumn="0" showLastColumn="0" showRowStripes="1" showColumnStripes="0"/>
</table>
</file>

<file path=xl/tables/table1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4" xr:uid="{00000000-000C-0000-FFFF-FFFFB9000000}" name="Devario" displayName="Devario" ref="FV1:FV42" totalsRowShown="0" headerRowDxfId="647">
  <autoFilter ref="FV1:FV42" xr:uid="{00000000-0009-0000-0100-000008010000}"/>
  <tableColumns count="1">
    <tableColumn id="1" xr3:uid="{00000000-0010-0000-B900-000001000000}" name="Devario"/>
  </tableColumns>
  <tableStyleInfo name="TableStyleMedium9" showFirstColumn="0" showLastColumn="0" showRowStripes="1" showColumnStripes="0"/>
</table>
</file>

<file path=xl/tables/table1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5" xr:uid="{00000000-000C-0000-FFFF-FFFFBA000000}" name="Dianema" displayName="Dianema" ref="FW1:FW3" totalsRowShown="0" headerRowDxfId="646">
  <autoFilter ref="FW1:FW3" xr:uid="{00000000-0009-0000-0100-000009010000}"/>
  <tableColumns count="1">
    <tableColumn id="1" xr3:uid="{00000000-0010-0000-BA00-000001000000}" name="Dianema"/>
  </tableColumns>
  <tableStyleInfo name="TableStyleMedium9" showFirstColumn="0" showLastColumn="0" showRowStripes="1" showColumnStripes="0"/>
</table>
</file>

<file path=xl/tables/table1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6" xr:uid="{00000000-000C-0000-FFFF-FFFFBB000000}" name="Dicrossus" displayName="Dicrossus" ref="FX1:FX6" totalsRowShown="0" headerRowDxfId="645">
  <autoFilter ref="FX1:FX6" xr:uid="{00000000-0009-0000-0100-00000A010000}"/>
  <tableColumns count="1">
    <tableColumn id="1" xr3:uid="{00000000-0010-0000-BB00-000001000000}" name="Dicrossus"/>
  </tableColumns>
  <tableStyleInfo name="TableStyleMedium9" showFirstColumn="0" showLastColumn="0" showRowStripes="1" showColumnStripes="0"/>
</table>
</file>

<file path=xl/tables/table1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7" xr:uid="{00000000-000C-0000-FFFF-FFFFBC000000}" name="Dimidiochromis" displayName="Dimidiochromis" ref="FY1:FY5" totalsRowShown="0" headerRowDxfId="644">
  <autoFilter ref="FY1:FY5" xr:uid="{00000000-0009-0000-0100-00000B010000}"/>
  <tableColumns count="1">
    <tableColumn id="1" xr3:uid="{00000000-0010-0000-BC00-000001000000}" name="Dimidiochromis"/>
  </tableColumns>
  <tableStyleInfo name="TableStyleMedium9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00000000-000C-0000-FFFF-FFFF12000000}" name="Acantopsis" displayName="Acantopsis" ref="G1:G9" totalsRowShown="0" headerRowDxfId="816">
  <autoFilter ref="G1:G9" xr:uid="{00000000-0009-0000-0100-00005F000000}"/>
  <tableColumns count="1">
    <tableColumn id="1" xr3:uid="{00000000-0010-0000-1200-000001000000}" name="Acantopsis"/>
  </tableColumns>
  <tableStyleInfo name="TableStyleMedium9" showFirstColumn="0" showLastColumn="0" showRowStripes="1" showColumnStripes="0"/>
</table>
</file>

<file path=xl/tables/table1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8" xr:uid="{00000000-000C-0000-FFFF-FFFFBD000000}" name="Diodon" displayName="Diodon" ref="FZ1:FZ6" totalsRowShown="0" headerRowDxfId="643">
  <autoFilter ref="FZ1:FZ6" xr:uid="{00000000-0009-0000-0100-00000C010000}"/>
  <tableColumns count="1">
    <tableColumn id="1" xr3:uid="{00000000-0010-0000-BD00-000001000000}" name="Diodon"/>
  </tableColumns>
  <tableStyleInfo name="TableStyleMedium9" showFirstColumn="0" showLastColumn="0" showRowStripes="1" showColumnStripes="0"/>
</table>
</file>

<file path=xl/tables/table1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9" xr:uid="{00000000-000C-0000-FFFF-FFFFBE000000}" name="Distichodus" displayName="Distichodus" ref="GA1:GA24" totalsRowShown="0" headerRowDxfId="642">
  <autoFilter ref="GA1:GA24" xr:uid="{00000000-0009-0000-0100-00000D010000}"/>
  <tableColumns count="1">
    <tableColumn id="1" xr3:uid="{00000000-0010-0000-BE00-000001000000}" name="Distichodus"/>
  </tableColumns>
  <tableStyleInfo name="TableStyleMedium9" showFirstColumn="0" showLastColumn="0" showRowStripes="1" showColumnStripes="0"/>
</table>
</file>

<file path=xl/tables/table1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0" xr:uid="{00000000-000C-0000-FFFF-FFFFBF000000}" name="Dunckerocampus" displayName="Dunckerocampus" ref="GB1:GB8" totalsRowShown="0" headerRowDxfId="641">
  <autoFilter ref="GB1:GB8" xr:uid="{00000000-0009-0000-0100-00000E010000}"/>
  <tableColumns count="1">
    <tableColumn id="1" xr3:uid="{00000000-0010-0000-BF00-000001000000}" name="Dunckerocampus"/>
  </tableColumns>
  <tableStyleInfo name="TableStyleMedium9" showFirstColumn="0" showLastColumn="0" showRowStripes="1" showColumnStripes="0"/>
</table>
</file>

<file path=xl/tables/table1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1" xr:uid="{00000000-000C-0000-FFFF-FFFFC0000000}" name="Echeneis" displayName="Echeneis" ref="GC1:GC3" totalsRowShown="0" headerRowDxfId="640">
  <autoFilter ref="GC1:GC3" xr:uid="{00000000-0009-0000-0100-00000F010000}"/>
  <tableColumns count="1">
    <tableColumn id="1" xr3:uid="{00000000-0010-0000-C000-000001000000}" name="Echeneis"/>
  </tableColumns>
  <tableStyleInfo name="TableStyleMedium9" showFirstColumn="0" showLastColumn="0" showRowStripes="1" showColumnStripes="0"/>
</table>
</file>

<file path=xl/tables/table1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2" xr:uid="{00000000-000C-0000-FFFF-FFFFC1000000}" name="Echidna" displayName="Echidna" ref="GD1:GD12" totalsRowShown="0" headerRowDxfId="639">
  <autoFilter ref="GD1:GD12" xr:uid="{00000000-0009-0000-0100-000010010000}"/>
  <tableColumns count="1">
    <tableColumn id="1" xr3:uid="{00000000-0010-0000-C100-000001000000}" name="Echidna"/>
  </tableColumns>
  <tableStyleInfo name="TableStyleMedium9" showFirstColumn="0" showLastColumn="0" showRowStripes="1" showColumnStripes="0"/>
</table>
</file>

<file path=xl/tables/table1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3" xr:uid="{00000000-000C-0000-FFFF-FFFFC2000000}" name="Ecsenius" displayName="Ecsenius" ref="GE1:GE54" totalsRowShown="0" headerRowDxfId="638">
  <autoFilter ref="GE1:GE54" xr:uid="{00000000-0009-0000-0100-000011010000}"/>
  <tableColumns count="1">
    <tableColumn id="1" xr3:uid="{00000000-0010-0000-C200-000001000000}" name="Ecsenius"/>
  </tableColumns>
  <tableStyleInfo name="TableStyleMedium9" showFirstColumn="0" showLastColumn="0" showRowStripes="1" showColumnStripes="0"/>
</table>
</file>

<file path=xl/tables/table1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4" xr:uid="{00000000-000C-0000-FFFF-FFFFC3000000}" name="Eigenmannia" displayName="Eigenmannia" ref="GF1:GF14" totalsRowShown="0" headerRowDxfId="637">
  <autoFilter ref="GF1:GF14" xr:uid="{00000000-0009-0000-0100-000012010000}"/>
  <tableColumns count="1">
    <tableColumn id="1" xr3:uid="{00000000-0010-0000-C300-000001000000}" name="Eigenmannia"/>
  </tableColumns>
  <tableStyleInfo name="TableStyleMedium9" showFirstColumn="0" showLastColumn="0" showRowStripes="1" showColumnStripes="0"/>
</table>
</file>

<file path=xl/tables/table1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5" xr:uid="{00000000-000C-0000-FFFF-FFFFC4000000}" name="Elacatinus" displayName="Elacatinus" ref="GG1:GG27" totalsRowShown="0" headerRowDxfId="636">
  <autoFilter ref="GG1:GG27" xr:uid="{00000000-0009-0000-0100-000013010000}"/>
  <tableColumns count="1">
    <tableColumn id="1" xr3:uid="{00000000-0010-0000-C400-000001000000}" name="Elacatinus"/>
  </tableColumns>
  <tableStyleInfo name="TableStyleMedium9" showFirstColumn="0" showLastColumn="0" showRowStripes="1" showColumnStripes="0"/>
</table>
</file>

<file path=xl/tables/table1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6" xr:uid="{00000000-000C-0000-FFFF-FFFFC5000000}" name="Electrophorus" displayName="Electrophorus" ref="GH1:GH2" totalsRowShown="0" headerRowDxfId="635">
  <autoFilter ref="GH1:GH2" xr:uid="{00000000-0009-0000-0100-000014010000}"/>
  <tableColumns count="1">
    <tableColumn id="1" xr3:uid="{00000000-0010-0000-C500-000001000000}" name="Electrophorus"/>
  </tableColumns>
  <tableStyleInfo name="TableStyleMedium9" showFirstColumn="0" showLastColumn="0" showRowStripes="1" showColumnStripes="0"/>
</table>
</file>

<file path=xl/tables/table1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7" xr:uid="{00000000-000C-0000-FFFF-FFFFC6000000}" name="Emblemaria" displayName="Emblemaria" ref="GI1:GI17" totalsRowShown="0" headerRowDxfId="634">
  <autoFilter ref="GI1:GI17" xr:uid="{00000000-0009-0000-0100-000015010000}"/>
  <tableColumns count="1">
    <tableColumn id="1" xr3:uid="{00000000-0010-0000-C600-000001000000}" name="Emblemaria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Cnidaria" displayName="Cnidaria" ref="BO1:BO75" totalsRowShown="0" headerRowDxfId="892" dataDxfId="891">
  <autoFilter ref="BO1:BO75" xr:uid="{00000000-0009-0000-0100-000002000000}"/>
  <tableColumns count="1">
    <tableColumn id="1" xr3:uid="{00000000-0010-0000-0100-000001000000}" name="Cnidaria" dataDxfId="890"/>
  </tableColumns>
  <tableStyleInfo name="TableStyleMedium9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00000000-000C-0000-FFFF-FFFF13000000}" name="Acarichthys" displayName="Acarichthys" ref="H1:H2" totalsRowShown="0" headerRowDxfId="815">
  <autoFilter ref="H1:H2" xr:uid="{00000000-0009-0000-0100-000060000000}"/>
  <tableColumns count="1">
    <tableColumn id="1" xr3:uid="{00000000-0010-0000-1300-000001000000}" name="Acarichthys"/>
  </tableColumns>
  <tableStyleInfo name="TableStyleMedium9" showFirstColumn="0" showLastColumn="0" showRowStripes="1" showColumnStripes="0"/>
</table>
</file>

<file path=xl/tables/table2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8" xr:uid="{00000000-000C-0000-FFFF-FFFFC7000000}" name="Enchelycore" displayName="Enchelycore" ref="GJ1:GJ13" totalsRowShown="0" headerRowDxfId="633">
  <autoFilter ref="GJ1:GJ13" xr:uid="{00000000-0009-0000-0100-000016010000}"/>
  <tableColumns count="1">
    <tableColumn id="1" xr3:uid="{00000000-0010-0000-C700-000001000000}" name="Enchelycore"/>
  </tableColumns>
  <tableStyleInfo name="TableStyleMedium9" showFirstColumn="0" showLastColumn="0" showRowStripes="1" showColumnStripes="0"/>
</table>
</file>

<file path=xl/tables/table2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9" xr:uid="{00000000-000C-0000-FFFF-FFFFC8000000}" name="Enneacampus" displayName="Enneacampus" ref="GK1:GK3" totalsRowShown="0" headerRowDxfId="632">
  <autoFilter ref="GK1:GK3" xr:uid="{00000000-0009-0000-0100-000017010000}"/>
  <tableColumns count="1">
    <tableColumn id="1" xr3:uid="{00000000-0010-0000-C800-000001000000}" name="Enneacampus"/>
  </tableColumns>
  <tableStyleInfo name="TableStyleMedium9" showFirstColumn="0" showLastColumn="0" showRowStripes="1" showColumnStripes="0"/>
</table>
</file>

<file path=xl/tables/table2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0" xr:uid="{00000000-000C-0000-FFFF-FFFFC9000000}" name="Enneacanthus" displayName="Enneacanthus" ref="GL1:GL4" totalsRowShown="0" headerRowDxfId="631">
  <autoFilter ref="GL1:GL4" xr:uid="{00000000-0009-0000-0100-000018010000}"/>
  <tableColumns count="1">
    <tableColumn id="1" xr3:uid="{00000000-0010-0000-C900-000001000000}" name="Enneacanthus"/>
  </tableColumns>
  <tableStyleInfo name="TableStyleMedium9" showFirstColumn="0" showLastColumn="0" showRowStripes="1" showColumnStripes="0"/>
</table>
</file>

<file path=xl/tables/table2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1" xr:uid="{00000000-000C-0000-FFFF-FFFFCA000000}" name="Epalzeorhynchos" displayName="Epalzeorhynchos" ref="GM1:GM5" totalsRowShown="0" headerRowDxfId="630">
  <autoFilter ref="GM1:GM5" xr:uid="{00000000-0009-0000-0100-000019010000}"/>
  <tableColumns count="1">
    <tableColumn id="1" xr3:uid="{00000000-0010-0000-CA00-000001000000}" name="Epalzeorhynchos"/>
  </tableColumns>
  <tableStyleInfo name="TableStyleMedium9" showFirstColumn="0" showLastColumn="0" showRowStripes="1" showColumnStripes="0"/>
</table>
</file>

<file path=xl/tables/table2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2" xr:uid="{00000000-000C-0000-FFFF-FFFFCB000000}" name="Epibulus" displayName="Epibulus" ref="GN1:GN3" totalsRowShown="0" headerRowDxfId="629">
  <autoFilter ref="GN1:GN3" xr:uid="{00000000-0009-0000-0100-00001A010000}"/>
  <tableColumns count="1">
    <tableColumn id="1" xr3:uid="{00000000-0010-0000-CB00-000001000000}" name="Epibulus"/>
  </tableColumns>
  <tableStyleInfo name="TableStyleMedium9" showFirstColumn="0" showLastColumn="0" showRowStripes="1" showColumnStripes="0"/>
</table>
</file>

<file path=xl/tables/table2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3" xr:uid="{00000000-000C-0000-FFFF-FFFFCC000000}" name="Epinephelus" displayName="Epinephelus" ref="GO1:GO88" totalsRowShown="0" headerRowDxfId="628">
  <autoFilter ref="GO1:GO88" xr:uid="{00000000-0009-0000-0100-00001B010000}"/>
  <tableColumns count="1">
    <tableColumn id="1" xr3:uid="{00000000-0010-0000-CC00-000001000000}" name="Epinephelus"/>
  </tableColumns>
  <tableStyleInfo name="TableStyleMedium9" showFirstColumn="0" showLastColumn="0" showRowStripes="1" showColumnStripes="0"/>
</table>
</file>

<file path=xl/tables/table2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4" xr:uid="{00000000-000C-0000-FFFF-FFFFCD000000}" name="Epiplatys" displayName="Epiplatys" ref="GP1:GP37" totalsRowShown="0" headerRowDxfId="627">
  <autoFilter ref="GP1:GP37" xr:uid="{00000000-0009-0000-0100-00001C010000}"/>
  <tableColumns count="1">
    <tableColumn id="1" xr3:uid="{00000000-0010-0000-CD00-000001000000}" name="Epiplatys"/>
  </tableColumns>
  <tableStyleInfo name="TableStyleMedium9" showFirstColumn="0" showLastColumn="0" showRowStripes="1" showColumnStripes="0"/>
</table>
</file>

<file path=xl/tables/table2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5" xr:uid="{00000000-000C-0000-FFFF-FFFFCE000000}" name="Equetus" displayName="Equetus" ref="GQ1:GQ3" totalsRowShown="0" headerRowDxfId="626">
  <autoFilter ref="GQ1:GQ3" xr:uid="{00000000-0009-0000-0100-00001D010000}"/>
  <tableColumns count="1">
    <tableColumn id="1" xr3:uid="{00000000-0010-0000-CE00-000001000000}" name="Equetus"/>
  </tableColumns>
  <tableStyleInfo name="TableStyleMedium9" showFirstColumn="0" showLastColumn="0" showRowStripes="1" showColumnStripes="0"/>
</table>
</file>

<file path=xl/tables/table2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6" xr:uid="{00000000-000C-0000-FFFF-FFFFCF000000}" name="Eremophilus" displayName="Eremophilus" ref="GR1:GR2" totalsRowShown="0" headerRowDxfId="625">
  <autoFilter ref="GR1:GR2" xr:uid="{00000000-0009-0000-0100-00001E010000}"/>
  <tableColumns count="1">
    <tableColumn id="1" xr3:uid="{00000000-0010-0000-CF00-000001000000}" name="Eremophilus"/>
  </tableColumns>
  <tableStyleInfo name="TableStyleMedium9" showFirstColumn="0" showLastColumn="0" showRowStripes="1" showColumnStripes="0"/>
</table>
</file>

<file path=xl/tables/table2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7" xr:uid="{00000000-000C-0000-FFFF-FFFFD0000000}" name="Eretmodus" displayName="Eretmodus" ref="GS1:GS3" totalsRowShown="0" headerRowDxfId="624">
  <autoFilter ref="GS1:GS3" xr:uid="{00000000-0009-0000-0100-00001F010000}"/>
  <tableColumns count="1">
    <tableColumn id="1" xr3:uid="{00000000-0010-0000-D000-000001000000}" name="Eretmodus"/>
  </tableColumns>
  <tableStyleInfo name="TableStyleMedium9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00000000-000C-0000-FFFF-FFFF14000000}" name="Acaronia" displayName="Acaronia" ref="I1:I3" totalsRowShown="0" headerRowDxfId="814">
  <autoFilter ref="I1:I3" xr:uid="{00000000-0009-0000-0100-000061000000}"/>
  <tableColumns count="1">
    <tableColumn id="1" xr3:uid="{00000000-0010-0000-1400-000001000000}" name="Acaronia"/>
  </tableColumns>
  <tableStyleInfo name="TableStyleMedium9" showFirstColumn="0" showLastColumn="0" showRowStripes="1" showColumnStripes="0"/>
</table>
</file>

<file path=xl/tables/table2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8" xr:uid="{00000000-000C-0000-FFFF-FFFFD1000000}" name="Erpetoichthys" displayName="Erpetoichthys" ref="GT1:GT2" totalsRowShown="0" headerRowDxfId="623">
  <autoFilter ref="GT1:GT2" xr:uid="{00000000-0009-0000-0100-000020010000}"/>
  <tableColumns count="1">
    <tableColumn id="1" xr3:uid="{00000000-0010-0000-D100-000001000000}" name="Erpetoichthys"/>
  </tableColumns>
  <tableStyleInfo name="TableStyleMedium9" showFirstColumn="0" showLastColumn="0" showRowStripes="1" showColumnStripes="0"/>
</table>
</file>

<file path=xl/tables/table2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9" xr:uid="{00000000-000C-0000-FFFF-FFFFD2000000}" name="Etroplus" displayName="Etroplus" ref="GU1:GU4" totalsRowShown="0" headerRowDxfId="622">
  <autoFilter ref="GU1:GU4" xr:uid="{00000000-0009-0000-0100-000021010000}"/>
  <tableColumns count="1">
    <tableColumn id="1" xr3:uid="{00000000-0010-0000-D200-000001000000}" name="Etroplus"/>
  </tableColumns>
  <tableStyleInfo name="TableStyleMedium9" showFirstColumn="0" showLastColumn="0" showRowStripes="1" showColumnStripes="0"/>
</table>
</file>

<file path=xl/tables/table2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0" xr:uid="{00000000-000C-0000-FFFF-FFFFD3000000}" name="Eurypegasus" displayName="Eurypegasus" ref="GV1:GV3" totalsRowShown="0" headerRowDxfId="621">
  <autoFilter ref="GV1:GV3" xr:uid="{00000000-0009-0000-0100-000022010000}"/>
  <tableColumns count="1">
    <tableColumn id="1" xr3:uid="{00000000-0010-0000-D300-000001000000}" name="Eurypegasus"/>
  </tableColumns>
  <tableStyleInfo name="TableStyleMedium9" showFirstColumn="0" showLastColumn="0" showRowStripes="1" showColumnStripes="0"/>
</table>
</file>

<file path=xl/tables/table2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1" xr:uid="{00000000-000C-0000-FFFF-FFFFD4000000}" name="Exallias" displayName="Exallias" ref="GW1:GW2" totalsRowShown="0" headerRowDxfId="620">
  <autoFilter ref="GW1:GW2" xr:uid="{00000000-0009-0000-0100-000023010000}"/>
  <tableColumns count="1">
    <tableColumn id="1" xr3:uid="{00000000-0010-0000-D400-000001000000}" name="Exallias"/>
  </tableColumns>
  <tableStyleInfo name="TableStyleMedium9" showFirstColumn="0" showLastColumn="0" showRowStripes="1" showColumnStripes="0"/>
</table>
</file>

<file path=xl/tables/table2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2" xr:uid="{00000000-000C-0000-FFFF-FFFFD5000000}" name="Exodon" displayName="Exodon" ref="GX1:GX2" totalsRowShown="0" headerRowDxfId="619">
  <autoFilter ref="GX1:GX2" xr:uid="{00000000-0009-0000-0100-000024010000}"/>
  <tableColumns count="1">
    <tableColumn id="1" xr3:uid="{00000000-0010-0000-D500-000001000000}" name="Exodon"/>
  </tableColumns>
  <tableStyleInfo name="TableStyleMedium9" showFirstColumn="0" showLastColumn="0" showRowStripes="1" showColumnStripes="0"/>
</table>
</file>

<file path=xl/tables/table2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3" xr:uid="{00000000-000C-0000-FFFF-FFFFD6000000}" name="Farlowella" displayName="Farlowella" ref="GY1:GY28" totalsRowShown="0" headerRowDxfId="618">
  <autoFilter ref="GY1:GY28" xr:uid="{00000000-0009-0000-0100-000025010000}"/>
  <tableColumns count="1">
    <tableColumn id="1" xr3:uid="{00000000-0010-0000-D600-000001000000}" name="Farlowella"/>
  </tableColumns>
  <tableStyleInfo name="TableStyleMedium9" showFirstColumn="0" showLastColumn="0" showRowStripes="1" showColumnStripes="0"/>
</table>
</file>

<file path=xl/tables/table2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4" xr:uid="{00000000-000C-0000-FFFF-FFFFD7000000}" name="Forcipiger" displayName="Forcipiger" ref="GZ1:GZ4" totalsRowShown="0" headerRowDxfId="617">
  <autoFilter ref="GZ1:GZ4" xr:uid="{00000000-0009-0000-0100-000026010000}"/>
  <tableColumns count="1">
    <tableColumn id="1" xr3:uid="{00000000-0010-0000-D700-000001000000}" name="Forcipiger"/>
  </tableColumns>
  <tableStyleInfo name="TableStyleMedium9" showFirstColumn="0" showLastColumn="0" showRowStripes="1" showColumnStripes="0"/>
</table>
</file>

<file path=xl/tables/table2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5" xr:uid="{00000000-000C-0000-FFFF-FFFFD8000000}" name="Fossorochromis" displayName="Fossorochromis" ref="HA1:HA2" totalsRowShown="0" headerRowDxfId="616">
  <autoFilter ref="HA1:HA2" xr:uid="{00000000-0009-0000-0100-000027010000}"/>
  <tableColumns count="1">
    <tableColumn id="1" xr3:uid="{00000000-0010-0000-D800-000001000000}" name="Fossorochromis"/>
  </tableColumns>
  <tableStyleInfo name="TableStyleMedium9" showFirstColumn="0" showLastColumn="0" showRowStripes="1" showColumnStripes="0"/>
</table>
</file>

<file path=xl/tables/table2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6" xr:uid="{00000000-000C-0000-FFFF-FFFFD9000000}" name="Fundulopanchax" displayName="Fundulopanchax" ref="HB1:HB30" totalsRowShown="0" headerRowDxfId="615">
  <autoFilter ref="HB1:HB30" xr:uid="{00000000-0009-0000-0100-000028010000}"/>
  <tableColumns count="1">
    <tableColumn id="1" xr3:uid="{00000000-0010-0000-D900-000001000000}" name="Fundulopanchax"/>
  </tableColumns>
  <tableStyleInfo name="TableStyleMedium9" showFirstColumn="0" showLastColumn="0" showRowStripes="1" showColumnStripes="0"/>
</table>
</file>

<file path=xl/tables/table2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7" xr:uid="{00000000-000C-0000-FFFF-FFFFDA000000}" name="Garra" displayName="Garra" ref="HC1:HC135" totalsRowShown="0" headerRowDxfId="614">
  <autoFilter ref="HC1:HC135" xr:uid="{00000000-0009-0000-0100-000029010000}"/>
  <tableColumns count="1">
    <tableColumn id="1" xr3:uid="{00000000-0010-0000-DA00-000001000000}" name="Garra"/>
  </tableColumns>
  <tableStyleInfo name="TableStyleMedium9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00000000-000C-0000-FFFF-FFFF15000000}" name="Acestrorhynchus" displayName="Acestrorhynchus" ref="J1:J15" totalsRowShown="0" headerRowDxfId="813">
  <autoFilter ref="J1:J15" xr:uid="{00000000-0009-0000-0100-000062000000}"/>
  <tableColumns count="1">
    <tableColumn id="1" xr3:uid="{00000000-0010-0000-1500-000001000000}" name="Acestrorhynchus"/>
  </tableColumns>
  <tableStyleInfo name="TableStyleMedium9" showFirstColumn="0" showLastColumn="0" showRowStripes="1" showColumnStripes="0"/>
</table>
</file>

<file path=xl/tables/table2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8" xr:uid="{00000000-000C-0000-FFFF-FFFFDB000000}" name="Gasteropelecus" displayName="Gasteropelecus" ref="HD1:HD4" totalsRowShown="0" headerRowDxfId="613">
  <autoFilter ref="HD1:HD4" xr:uid="{00000000-0009-0000-0100-00002A010000}"/>
  <tableColumns count="1">
    <tableColumn id="1" xr3:uid="{00000000-0010-0000-DB00-000001000000}" name="Gasteropelecus"/>
  </tableColumns>
  <tableStyleInfo name="TableStyleMedium9" showFirstColumn="0" showLastColumn="0" showRowStripes="1" showColumnStripes="0"/>
</table>
</file>

<file path=xl/tables/table2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9" xr:uid="{00000000-000C-0000-FFFF-FFFFDC000000}" name="Gasterosteus" displayName="Gasterosteus" ref="HE1:HE7" totalsRowShown="0" headerRowDxfId="612">
  <autoFilter ref="HE1:HE7" xr:uid="{00000000-0009-0000-0100-00002B010000}"/>
  <tableColumns count="1">
    <tableColumn id="1" xr3:uid="{00000000-0010-0000-DC00-000001000000}" name="Gasterosteus"/>
  </tableColumns>
  <tableStyleInfo name="TableStyleMedium9" showFirstColumn="0" showLastColumn="0" showRowStripes="1" showColumnStripes="0"/>
</table>
</file>

<file path=xl/tables/table2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0" xr:uid="{00000000-000C-0000-FFFF-FFFFDD000000}" name="Geophagus" displayName="Geophagus" ref="HF1:HF28" totalsRowShown="0" headerRowDxfId="611">
  <autoFilter ref="HF1:HF28" xr:uid="{00000000-0009-0000-0100-00002C010000}"/>
  <tableColumns count="1">
    <tableColumn id="1" xr3:uid="{00000000-0010-0000-DD00-000001000000}" name="Geophagus"/>
  </tableColumns>
  <tableStyleInfo name="TableStyleMedium9" showFirstColumn="0" showLastColumn="0" showRowStripes="1" showColumnStripes="0"/>
</table>
</file>

<file path=xl/tables/table2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1" xr:uid="{00000000-000C-0000-FFFF-FFFFDE000000}" name="Gephyrocharax" displayName="Gephyrocharax" ref="HG1:HG14" totalsRowShown="0" headerRowDxfId="610">
  <autoFilter ref="HG1:HG14" xr:uid="{00000000-0009-0000-0100-00002D010000}"/>
  <tableColumns count="1">
    <tableColumn id="1" xr3:uid="{00000000-0010-0000-DE00-000001000000}" name="Gephyrocharax"/>
  </tableColumns>
  <tableStyleInfo name="TableStyleMedium9" showFirstColumn="0" showLastColumn="0" showRowStripes="1" showColumnStripes="0"/>
</table>
</file>

<file path=xl/tables/table2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2" xr:uid="{00000000-000C-0000-FFFF-FFFFDF000000}" name="Ginglymostoma" displayName="Ginglymostoma" ref="HH1:HH3" totalsRowShown="0" headerRowDxfId="609">
  <autoFilter ref="HH1:HH3" xr:uid="{00000000-0009-0000-0100-00002E010000}"/>
  <tableColumns count="1">
    <tableColumn id="1" xr3:uid="{00000000-0010-0000-DF00-000001000000}" name="Ginglymostoma"/>
  </tableColumns>
  <tableStyleInfo name="TableStyleMedium9" showFirstColumn="0" showLastColumn="0" showRowStripes="1" showColumnStripes="0"/>
</table>
</file>

<file path=xl/tables/table2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3" xr:uid="{00000000-000C-0000-FFFF-FFFFE0000000}" name="Glossolepis" displayName="Glossolepis" ref="HI1:HI10" totalsRowShown="0" headerRowDxfId="608">
  <autoFilter ref="HI1:HI10" xr:uid="{00000000-0009-0000-0100-00002F010000}"/>
  <tableColumns count="1">
    <tableColumn id="1" xr3:uid="{00000000-0010-0000-E000-000001000000}" name="Glossolepis"/>
  </tableColumns>
  <tableStyleInfo name="TableStyleMedium9" showFirstColumn="0" showLastColumn="0" showRowStripes="1" showColumnStripes="0"/>
</table>
</file>

<file path=xl/tables/table2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4" xr:uid="{00000000-000C-0000-FFFF-FFFFE1000000}" name="Gnathochromis" displayName="Gnathochromis" ref="HJ1:HJ3" totalsRowShown="0" headerRowDxfId="607">
  <autoFilter ref="HJ1:HJ3" xr:uid="{00000000-0009-0000-0100-000030010000}"/>
  <tableColumns count="1">
    <tableColumn id="1" xr3:uid="{00000000-0010-0000-E100-000001000000}" name="Gnathochromis"/>
  </tableColumns>
  <tableStyleInfo name="TableStyleMedium9" showFirstColumn="0" showLastColumn="0" showRowStripes="1" showColumnStripes="0"/>
</table>
</file>

<file path=xl/tables/table2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5" xr:uid="{00000000-000C-0000-FFFF-FFFFE2000000}" name="Gnathonemus" displayName="Gnathonemus" ref="HK1:HK5" totalsRowShown="0" headerRowDxfId="606">
  <autoFilter ref="HK1:HK5" xr:uid="{00000000-0009-0000-0100-000031010000}"/>
  <tableColumns count="1">
    <tableColumn id="1" xr3:uid="{00000000-0010-0000-E200-000001000000}" name="Gnathonemus"/>
  </tableColumns>
  <tableStyleInfo name="TableStyleMedium9" showFirstColumn="0" showLastColumn="0" showRowStripes="1" showColumnStripes="0"/>
</table>
</file>

<file path=xl/tables/table2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6" xr:uid="{00000000-000C-0000-FFFF-FFFFE3000000}" name="Gobioides" displayName="Gobioides" ref="HL1:HL6" totalsRowShown="0" headerRowDxfId="605">
  <autoFilter ref="HL1:HL6" xr:uid="{00000000-0009-0000-0100-000032010000}"/>
  <tableColumns count="1">
    <tableColumn id="1" xr3:uid="{00000000-0010-0000-E300-000001000000}" name="Gobioides"/>
  </tableColumns>
  <tableStyleInfo name="TableStyleMedium9" showFirstColumn="0" showLastColumn="0" showRowStripes="1" showColumnStripes="0"/>
</table>
</file>

<file path=xl/tables/table2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7" xr:uid="{00000000-000C-0000-FFFF-FFFFE4000000}" name="Gobiodon" displayName="Gobiodon" ref="HM1:HM28" totalsRowShown="0" headerRowDxfId="604">
  <autoFilter ref="HM1:HM28" xr:uid="{00000000-0009-0000-0100-000033010000}"/>
  <tableColumns count="1">
    <tableColumn id="1" xr3:uid="{00000000-0010-0000-E400-000001000000}" name="Gobiodon"/>
  </tableColumns>
  <tableStyleInfo name="TableStyleMedium9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00000000-000C-0000-FFFF-FFFF16000000}" name="Achirus" displayName="Achirus" ref="K1:K10" totalsRowShown="0" headerRowDxfId="812">
  <autoFilter ref="K1:K10" xr:uid="{00000000-0009-0000-0100-000063000000}"/>
  <tableColumns count="1">
    <tableColumn id="1" xr3:uid="{00000000-0010-0000-1600-000001000000}" name="Achirus"/>
  </tableColumns>
  <tableStyleInfo name="TableStyleMedium9" showFirstColumn="0" showLastColumn="0" showRowStripes="1" showColumnStripes="0"/>
</table>
</file>

<file path=xl/tables/table2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8" xr:uid="{00000000-000C-0000-FFFF-FFFFE5000000}" name="Gobiosoma" displayName="Gobiosoma" ref="HN1:HN19" totalsRowShown="0" headerRowDxfId="603">
  <autoFilter ref="HN1:HN19" xr:uid="{00000000-0009-0000-0100-000034010000}"/>
  <tableColumns count="1">
    <tableColumn id="1" xr3:uid="{00000000-0010-0000-E500-000001000000}" name="Gobiosoma"/>
  </tableColumns>
  <tableStyleInfo name="TableStyleMedium9" showFirstColumn="0" showLastColumn="0" showRowStripes="1" showColumnStripes="0"/>
</table>
</file>

<file path=xl/tables/table2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9" xr:uid="{00000000-000C-0000-FFFF-FFFFE6000000}" name="Gomphosus" displayName="Gomphosus" ref="HO1:HO3" totalsRowShown="0" headerRowDxfId="602">
  <autoFilter ref="HO1:HO3" xr:uid="{00000000-0009-0000-0100-000035010000}"/>
  <tableColumns count="1">
    <tableColumn id="1" xr3:uid="{00000000-0010-0000-E600-000001000000}" name="Gomphosus"/>
  </tableColumns>
  <tableStyleInfo name="TableStyleMedium9" showFirstColumn="0" showLastColumn="0" showRowStripes="1" showColumnStripes="0"/>
</table>
</file>

<file path=xl/tables/table2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0" xr:uid="{00000000-000C-0000-FFFF-FFFFE7000000}" name="Gramma" displayName="Gramma" ref="HP1:HP6" totalsRowShown="0" headerRowDxfId="601">
  <autoFilter ref="HP1:HP6" xr:uid="{00000000-0009-0000-0100-000036010000}"/>
  <tableColumns count="1">
    <tableColumn id="1" xr3:uid="{00000000-0010-0000-E700-000001000000}" name="Gramma"/>
  </tableColumns>
  <tableStyleInfo name="TableStyleMedium9" showFirstColumn="0" showLastColumn="0" showRowStripes="1" showColumnStripes="0"/>
</table>
</file>

<file path=xl/tables/table2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1" xr:uid="{00000000-000C-0000-FFFF-FFFFE8000000}" name="Grammistes" displayName="Grammistes" ref="HQ1:HQ2" totalsRowShown="0" headerRowDxfId="600">
  <autoFilter ref="HQ1:HQ2" xr:uid="{00000000-0009-0000-0100-000037010000}"/>
  <tableColumns count="1">
    <tableColumn id="1" xr3:uid="{00000000-0010-0000-E800-000001000000}" name="Grammistes"/>
  </tableColumns>
  <tableStyleInfo name="TableStyleMedium9" showFirstColumn="0" showLastColumn="0" showRowStripes="1" showColumnStripes="0"/>
</table>
</file>

<file path=xl/tables/table2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2" xr:uid="{00000000-000C-0000-FFFF-FFFFE9000000}" name="Greenwoodochromis" displayName="Greenwoodochromis" ref="HR1:HR3" totalsRowShown="0" headerRowDxfId="599">
  <autoFilter ref="HR1:HR3" xr:uid="{00000000-0009-0000-0100-000038010000}"/>
  <tableColumns count="1">
    <tableColumn id="1" xr3:uid="{00000000-0010-0000-E900-000001000000}" name="Greenwoodochromis"/>
  </tableColumns>
  <tableStyleInfo name="TableStyleMedium9" showFirstColumn="0" showLastColumn="0" showRowStripes="1" showColumnStripes="0"/>
</table>
</file>

<file path=xl/tables/table2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3" xr:uid="{00000000-000C-0000-FFFF-FFFFEA000000}" name="Gymnocorymbus" displayName="Gymnocorymbus" ref="HS1:HS5" totalsRowShown="0" headerRowDxfId="598">
  <autoFilter ref="HS1:HS5" xr:uid="{00000000-0009-0000-0100-000039010000}"/>
  <tableColumns count="1">
    <tableColumn id="1" xr3:uid="{00000000-0010-0000-EA00-000001000000}" name="Gymnocorymbus"/>
  </tableColumns>
  <tableStyleInfo name="TableStyleMedium9" showFirstColumn="0" showLastColumn="0" showRowStripes="1" showColumnStripes="0"/>
</table>
</file>

<file path=xl/tables/table2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4" xr:uid="{00000000-000C-0000-FFFF-FFFFEB000000}" name="Gymnogeophagus" displayName="Gymnogeophagus" ref="HT1:HT12" totalsRowShown="0" headerRowDxfId="597">
  <autoFilter ref="HT1:HT12" xr:uid="{00000000-0009-0000-0100-00003A010000}"/>
  <tableColumns count="1">
    <tableColumn id="1" xr3:uid="{00000000-0010-0000-EB00-000001000000}" name="Gymnogeophagus"/>
  </tableColumns>
  <tableStyleInfo name="TableStyleMedium9" showFirstColumn="0" showLastColumn="0" showRowStripes="1" showColumnStripes="0"/>
</table>
</file>

<file path=xl/tables/table2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5" xr:uid="{00000000-000C-0000-FFFF-FFFFEC000000}" name="Gymnomuraena" displayName="Gymnomuraena" ref="HU1:HU2" totalsRowShown="0" headerRowDxfId="596">
  <autoFilter ref="HU1:HU2" xr:uid="{00000000-0009-0000-0100-00003B010000}"/>
  <tableColumns count="1">
    <tableColumn id="1" xr3:uid="{00000000-0010-0000-EC00-000001000000}" name="Gymnomuraena"/>
  </tableColumns>
  <tableStyleInfo name="TableStyleMedium9" showFirstColumn="0" showLastColumn="0" showRowStripes="1" showColumnStripes="0"/>
</table>
</file>

<file path=xl/tables/table2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6" xr:uid="{00000000-000C-0000-FFFF-FFFFED000000}" name="Gymnothorax" displayName="Gymnothorax" ref="HV1:HV125" totalsRowShown="0" headerRowDxfId="595">
  <autoFilter ref="HV1:HV125" xr:uid="{00000000-0009-0000-0100-00003C010000}"/>
  <tableColumns count="1">
    <tableColumn id="1" xr3:uid="{00000000-0010-0000-ED00-000001000000}" name="Gymnothorax"/>
  </tableColumns>
  <tableStyleInfo name="TableStyleMedium9" showFirstColumn="0" showLastColumn="0" showRowStripes="1" showColumnStripes="0"/>
</table>
</file>

<file path=xl/tables/table2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7" xr:uid="{00000000-000C-0000-FFFF-FFFFEE000000}" name="Gymnotus" displayName="Gymnotus" ref="HW1:HW40" totalsRowShown="0" headerRowDxfId="594">
  <autoFilter ref="HW1:HW40" xr:uid="{00000000-0009-0000-0100-00003D010000}"/>
  <tableColumns count="1">
    <tableColumn id="1" xr3:uid="{00000000-0010-0000-EE00-000001000000}" name="Gymnotus"/>
  </tableColumns>
  <tableStyleInfo name="TableStyleMedium9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00000000-000C-0000-FFFF-FFFF17000000}" name="Aequidens" displayName="Aequidens" ref="L1:L19" totalsRowShown="0" headerRowDxfId="811">
  <autoFilter ref="L1:L19" xr:uid="{00000000-0009-0000-0100-000064000000}"/>
  <tableColumns count="1">
    <tableColumn id="1" xr3:uid="{00000000-0010-0000-1700-000001000000}" name="Aequidens"/>
  </tableColumns>
  <tableStyleInfo name="TableStyleMedium9" showFirstColumn="0" showLastColumn="0" showRowStripes="1" showColumnStripes="0"/>
</table>
</file>

<file path=xl/tables/table2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8" xr:uid="{00000000-000C-0000-FFFF-FFFFEF000000}" name="Gyrinocheilus" displayName="Gyrinocheilus" ref="HX1:HX4" totalsRowShown="0" headerRowDxfId="593">
  <autoFilter ref="HX1:HX4" xr:uid="{00000000-0009-0000-0100-00003E010000}"/>
  <tableColumns count="1">
    <tableColumn id="1" xr3:uid="{00000000-0010-0000-EF00-000001000000}" name="Gyrinocheilus"/>
  </tableColumns>
  <tableStyleInfo name="TableStyleMedium9" showFirstColumn="0" showLastColumn="0" showRowStripes="1" showColumnStripes="0"/>
</table>
</file>

<file path=xl/tables/table2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9" xr:uid="{00000000-000C-0000-FFFF-FFFFF0000000}" name="Halichoeres" displayName="Halichoeres" ref="HY1:HY80" totalsRowShown="0" headerRowDxfId="592">
  <autoFilter ref="HY1:HY80" xr:uid="{00000000-0009-0000-0100-00003F010000}"/>
  <tableColumns count="1">
    <tableColumn id="1" xr3:uid="{00000000-0010-0000-F000-000001000000}" name="Halichoeres"/>
  </tableColumns>
  <tableStyleInfo name="TableStyleMedium9" showFirstColumn="0" showLastColumn="0" showRowStripes="1" showColumnStripes="0"/>
</table>
</file>

<file path=xl/tables/table2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0" xr:uid="{00000000-000C-0000-FFFF-FFFFF1000000}" name="Hampala" displayName="Hampala" ref="HZ1:HZ8" totalsRowShown="0" headerRowDxfId="591">
  <autoFilter ref="HZ1:HZ8" xr:uid="{00000000-0009-0000-0100-000040010000}"/>
  <tableColumns count="1">
    <tableColumn id="1" xr3:uid="{00000000-0010-0000-F100-000001000000}" name="Hampala"/>
  </tableColumns>
  <tableStyleInfo name="TableStyleMedium9" showFirstColumn="0" showLastColumn="0" showRowStripes="1" showColumnStripes="0"/>
</table>
</file>

<file path=xl/tables/table2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1" xr:uid="{00000000-000C-0000-FFFF-FFFFF2000000}" name="Haplochromis" displayName="Haplochromis" ref="IA1:IA230" totalsRowShown="0" headerRowDxfId="590">
  <autoFilter ref="IA1:IA230" xr:uid="{00000000-0009-0000-0100-000041010000}"/>
  <tableColumns count="1">
    <tableColumn id="1" xr3:uid="{00000000-0010-0000-F200-000001000000}" name="Haplochromis"/>
  </tableColumns>
  <tableStyleInfo name="TableStyleMedium9" showFirstColumn="0" showLastColumn="0" showRowStripes="1" showColumnStripes="0"/>
</table>
</file>

<file path=xl/tables/table2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2" xr:uid="{00000000-000C-0000-FFFF-FFFFF3000000}" name="Hasemania" displayName="Hasemania" ref="IB1:IB10" totalsRowShown="0" headerRowDxfId="589">
  <autoFilter ref="IB1:IB10" xr:uid="{00000000-0009-0000-0100-000042010000}"/>
  <tableColumns count="1">
    <tableColumn id="1" xr3:uid="{00000000-0010-0000-F300-000001000000}" name="Hasemania"/>
  </tableColumns>
  <tableStyleInfo name="TableStyleMedium9" showFirstColumn="0" showLastColumn="0" showRowStripes="1" showColumnStripes="0"/>
</table>
</file>

<file path=xl/tables/table2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3" xr:uid="{00000000-000C-0000-FFFF-FFFFF4000000}" name="Helostoma" displayName="Helostoma" ref="IC1:IC2" totalsRowShown="0" headerRowDxfId="588">
  <autoFilter ref="IC1:IC2" xr:uid="{00000000-0009-0000-0100-000043010000}"/>
  <tableColumns count="1">
    <tableColumn id="1" xr3:uid="{00000000-0010-0000-F400-000001000000}" name="Helostoma"/>
  </tableColumns>
  <tableStyleInfo name="TableStyleMedium9" showFirstColumn="0" showLastColumn="0" showRowStripes="1" showColumnStripes="0"/>
</table>
</file>

<file path=xl/tables/table2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4" xr:uid="{00000000-000C-0000-FFFF-FFFFF5000000}" name="Hemibagrus" displayName="Hemibagrus" ref="ID1:ID42" totalsRowShown="0" headerRowDxfId="587">
  <autoFilter ref="ID1:ID42" xr:uid="{00000000-0009-0000-0100-000044010000}"/>
  <tableColumns count="1">
    <tableColumn id="1" xr3:uid="{00000000-0010-0000-F500-000001000000}" name="Hemibagrus"/>
  </tableColumns>
  <tableStyleInfo name="TableStyleMedium9" showFirstColumn="0" showLastColumn="0" showRowStripes="1" showColumnStripes="0"/>
</table>
</file>

<file path=xl/tables/table2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5" xr:uid="{00000000-000C-0000-FFFF-FFFFF6000000}" name="Hemichromis" displayName="Hemichromis" ref="IE1:IE13" totalsRowShown="0" headerRowDxfId="586">
  <autoFilter ref="IE1:IE13" xr:uid="{00000000-0009-0000-0100-000045010000}"/>
  <tableColumns count="1">
    <tableColumn id="1" xr3:uid="{00000000-0010-0000-F600-000001000000}" name="Hemichromis"/>
  </tableColumns>
  <tableStyleInfo name="TableStyleMedium9" showFirstColumn="0" showLastColumn="0" showRowStripes="1" showColumnStripes="0"/>
</table>
</file>

<file path=xl/tables/table2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6" xr:uid="{00000000-000C-0000-FFFF-FFFFF7000000}" name="Hemigrammus" displayName="Hemigrammus" ref="IF1:IF59" totalsRowShown="0" headerRowDxfId="585">
  <autoFilter ref="IF1:IF59" xr:uid="{00000000-0009-0000-0100-000046010000}"/>
  <tableColumns count="1">
    <tableColumn id="1" xr3:uid="{00000000-0010-0000-F700-000001000000}" name="Hemigrammus"/>
  </tableColumns>
  <tableStyleInfo name="TableStyleMedium9" showFirstColumn="0" showLastColumn="0" showRowStripes="1" showColumnStripes="0"/>
</table>
</file>

<file path=xl/tables/table2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7" xr:uid="{00000000-000C-0000-FFFF-FFFFF8000000}" name="Hemiodontichthys" displayName="Hemiodontichthys" ref="IG1:IG2" totalsRowShown="0" headerRowDxfId="584">
  <autoFilter ref="IG1:IG2" xr:uid="{00000000-0009-0000-0100-000047010000}"/>
  <tableColumns count="1">
    <tableColumn id="1" xr3:uid="{00000000-0010-0000-F800-000001000000}" name="Hemiodontichthys"/>
  </tableColumns>
  <tableStyleInfo name="TableStyleMedium9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00000000-000C-0000-FFFF-FFFF18000000}" name="Agamyxis" displayName="Agamyxis" ref="M1:M3" totalsRowShown="0" headerRowDxfId="810">
  <autoFilter ref="M1:M3" xr:uid="{00000000-0009-0000-0100-000065000000}"/>
  <tableColumns count="1">
    <tableColumn id="1" xr3:uid="{00000000-0010-0000-1800-000001000000}" name="Agamyxis"/>
  </tableColumns>
  <tableStyleInfo name="TableStyleMedium9" showFirstColumn="0" showLastColumn="0" showRowStripes="1" showColumnStripes="0"/>
</table>
</file>

<file path=xl/tables/table2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8" xr:uid="{00000000-000C-0000-FFFF-FFFFF9000000}" name="Hemiodus" displayName="Hemiodus" ref="IH1:IH22" totalsRowShown="0" headerRowDxfId="583">
  <autoFilter ref="IH1:IH22" xr:uid="{00000000-0009-0000-0100-000048010000}"/>
  <tableColumns count="1">
    <tableColumn id="1" xr3:uid="{00000000-0010-0000-F900-000001000000}" name="Hemiodus"/>
  </tableColumns>
  <tableStyleInfo name="TableStyleMedium9" showFirstColumn="0" showLastColumn="0" showRowStripes="1" showColumnStripes="0"/>
</table>
</file>

<file path=xl/tables/table2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9" xr:uid="{00000000-000C-0000-FFFF-FFFFFA000000}" name="Hemisorubim" displayName="Hemisorubim" ref="II1:II2" totalsRowShown="0" headerRowDxfId="582">
  <autoFilter ref="II1:II2" xr:uid="{00000000-0009-0000-0100-000049010000}"/>
  <tableColumns count="1">
    <tableColumn id="1" xr3:uid="{00000000-0010-0000-FA00-000001000000}" name="Hemisorubim"/>
  </tableColumns>
  <tableStyleInfo name="TableStyleMedium9" showFirstColumn="0" showLastColumn="0" showRowStripes="1" showColumnStripes="0"/>
</table>
</file>

<file path=xl/tables/table2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0" xr:uid="{00000000-000C-0000-FFFF-FFFFFB000000}" name="Hemitaurichthys" displayName="Hemitaurichthys" ref="IJ1:IJ5" totalsRowShown="0" headerRowDxfId="581">
  <autoFilter ref="IJ1:IJ5" xr:uid="{00000000-0009-0000-0100-00004A010000}"/>
  <tableColumns count="1">
    <tableColumn id="1" xr3:uid="{00000000-0010-0000-FB00-000001000000}" name="Hemitaurichthys"/>
  </tableColumns>
  <tableStyleInfo name="TableStyleMedium9" showFirstColumn="0" showLastColumn="0" showRowStripes="1" showColumnStripes="0"/>
</table>
</file>

<file path=xl/tables/table2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1" xr:uid="{00000000-000C-0000-FFFF-FFFFFC000000}" name="Heniochus" displayName="Heniochus" ref="IK1:IK9" totalsRowShown="0" headerRowDxfId="580">
  <autoFilter ref="IK1:IK9" xr:uid="{00000000-0009-0000-0100-00004B010000}"/>
  <tableColumns count="1">
    <tableColumn id="1" xr3:uid="{00000000-0010-0000-FC00-000001000000}" name="Heniochus"/>
  </tableColumns>
  <tableStyleInfo name="TableStyleMedium9" showFirstColumn="0" showLastColumn="0" showRowStripes="1" showColumnStripes="0"/>
</table>
</file>

<file path=xl/tables/table2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2" xr:uid="{00000000-000C-0000-FFFF-FFFFFD000000}" name="Heros" displayName="Heros" ref="IL1:IL7" totalsRowShown="0" headerRowDxfId="579">
  <autoFilter ref="IL1:IL7" xr:uid="{00000000-0009-0000-0100-00004C010000}"/>
  <tableColumns count="1">
    <tableColumn id="1" xr3:uid="{00000000-0010-0000-FD00-000001000000}" name="Heros"/>
  </tableColumns>
  <tableStyleInfo name="TableStyleMedium9" showFirstColumn="0" showLastColumn="0" showRowStripes="1" showColumnStripes="0"/>
</table>
</file>

<file path=xl/tables/table2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4" xr:uid="{00000000-000C-0000-FFFF-FFFFFE000000}" name="Hippocampus" displayName="Hippocampus" ref="IM1:IM56" totalsRowShown="0" headerRowDxfId="578">
  <autoFilter ref="IM1:IM56" xr:uid="{00000000-0009-0000-0100-00004E010000}"/>
  <tableColumns count="1">
    <tableColumn id="1" xr3:uid="{00000000-0010-0000-FE00-000001000000}" name="Hippocampus"/>
  </tableColumns>
  <tableStyleInfo name="TableStyleMedium9" showFirstColumn="0" showLastColumn="0" showRowStripes="1" showColumnStripes="0"/>
</table>
</file>

<file path=xl/tables/table2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5" xr:uid="{00000000-000C-0000-FFFF-FFFFFF000000}" name="Histrio" displayName="Histrio" ref="IN1:IN2" totalsRowShown="0" headerRowDxfId="577">
  <autoFilter ref="IN1:IN2" xr:uid="{00000000-0009-0000-0100-00004F010000}"/>
  <tableColumns count="1">
    <tableColumn id="1" xr3:uid="{00000000-0010-0000-FF00-000001000000}" name="Histrio"/>
  </tableColumns>
  <tableStyleInfo name="TableStyleMedium9" showFirstColumn="0" showLastColumn="0" showRowStripes="1" showColumnStripes="0"/>
</table>
</file>

<file path=xl/tables/table2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6" xr:uid="{00000000-000C-0000-FFFF-FFFF00010000}" name="Holacanthus" displayName="Holacanthus" ref="IO1:IO9" totalsRowShown="0" headerRowDxfId="576">
  <autoFilter ref="IO1:IO9" xr:uid="{00000000-0009-0000-0100-000050010000}"/>
  <tableColumns count="1">
    <tableColumn id="1" xr3:uid="{00000000-0010-0000-0001-000001000000}" name="Holacanthus"/>
  </tableColumns>
  <tableStyleInfo name="TableStyleMedium9" showFirstColumn="0" showLastColumn="0" showRowStripes="1" showColumnStripes="0"/>
</table>
</file>

<file path=xl/tables/table2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7" xr:uid="{00000000-000C-0000-FFFF-FFFF01010000}" name="Homaloptera" displayName="Homaloptera" ref="IP1:IP7" totalsRowShown="0" headerRowDxfId="575">
  <autoFilter ref="IP1:IP7" xr:uid="{00000000-0009-0000-0100-000051010000}"/>
  <tableColumns count="1">
    <tableColumn id="1" xr3:uid="{00000000-0010-0000-0101-000001000000}" name="Homaloptera"/>
  </tableColumns>
  <tableStyleInfo name="TableStyleMedium9" showFirstColumn="0" showLastColumn="0" showRowStripes="1" showColumnStripes="0"/>
</table>
</file>

<file path=xl/tables/table2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8" xr:uid="{00000000-000C-0000-FFFF-FFFF02010000}" name="Hoplosternum" displayName="Hoplosternum" ref="IQ1:IQ4" totalsRowShown="0" headerRowDxfId="574">
  <autoFilter ref="IQ1:IQ4" xr:uid="{00000000-0009-0000-0100-000052010000}"/>
  <tableColumns count="1">
    <tableColumn id="1" xr3:uid="{00000000-0010-0000-0201-000001000000}" name="Hoplosternum"/>
  </tableColumns>
  <tableStyleInfo name="TableStyleMedium9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00000000-000C-0000-FFFF-FFFF19000000}" name="Aguarunichthys" displayName="Aguarunichthys" ref="N1:N4" totalsRowShown="0" headerRowDxfId="809">
  <autoFilter ref="N1:N4" xr:uid="{00000000-0009-0000-0100-000066000000}"/>
  <tableColumns count="1">
    <tableColumn id="1" xr3:uid="{00000000-0010-0000-1900-000001000000}" name="Aguarunichthys"/>
  </tableColumns>
  <tableStyleInfo name="TableStyleMedium9" showFirstColumn="0" showLastColumn="0" showRowStripes="1" showColumnStripes="0"/>
</table>
</file>

<file path=xl/tables/table2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9" xr:uid="{00000000-000C-0000-FFFF-FFFF03010000}" name="Horabagrus" displayName="Horabagrus" ref="IR1:IR4" totalsRowShown="0" headerRowDxfId="573">
  <autoFilter ref="IR1:IR4" xr:uid="{00000000-0009-0000-0100-000053010000}"/>
  <tableColumns count="1">
    <tableColumn id="1" xr3:uid="{00000000-0010-0000-0301-000001000000}" name="Horabagrus"/>
  </tableColumns>
  <tableStyleInfo name="TableStyleMedium9" showFirstColumn="0" showLastColumn="0" showRowStripes="1" showColumnStripes="0"/>
</table>
</file>

<file path=xl/tables/table2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0" xr:uid="{00000000-000C-0000-FFFF-FFFF04010000}" name="Hydrolycus" displayName="Hydrolycus" ref="IS1:IS5" totalsRowShown="0" headerRowDxfId="572">
  <autoFilter ref="IS1:IS5" xr:uid="{00000000-0009-0000-0100-000054010000}"/>
  <tableColumns count="1">
    <tableColumn id="1" xr3:uid="{00000000-0010-0000-0401-000001000000}" name="Hydrolycus"/>
  </tableColumns>
  <tableStyleInfo name="TableStyleMedium9" showFirstColumn="0" showLastColumn="0" showRowStripes="1" showColumnStripes="0"/>
</table>
</file>

<file path=xl/tables/table2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1" xr:uid="{00000000-000C-0000-FFFF-FFFF05010000}" name="Hyphessobrycon" displayName="Hyphessobrycon" ref="IT1:IT141" totalsRowShown="0" headerRowDxfId="571">
  <autoFilter ref="IT1:IT141" xr:uid="{00000000-0009-0000-0100-000055010000}"/>
  <tableColumns count="1">
    <tableColumn id="1" xr3:uid="{00000000-0010-0000-0501-000001000000}" name="Hyphessobrycon"/>
  </tableColumns>
  <tableStyleInfo name="TableStyleMedium9" showFirstColumn="0" showLastColumn="0" showRowStripes="1" showColumnStripes="0"/>
</table>
</file>

<file path=xl/tables/table2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2" xr:uid="{00000000-000C-0000-FFFF-FFFF06010000}" name="Hypoclinemus" displayName="Hypoclinemus" ref="IU1:IU2" totalsRowShown="0" headerRowDxfId="570">
  <autoFilter ref="IU1:IU2" xr:uid="{00000000-0009-0000-0100-000056010000}"/>
  <tableColumns count="1">
    <tableColumn id="1" xr3:uid="{00000000-0010-0000-0601-000001000000}" name="Hypoclinemus"/>
  </tableColumns>
  <tableStyleInfo name="TableStyleMedium9" showFirstColumn="0" showLastColumn="0" showRowStripes="1" showColumnStripes="0"/>
</table>
</file>

<file path=xl/tables/table2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3" xr:uid="{00000000-000C-0000-FFFF-FFFF07010000}" name="Hypoplectrus" displayName="Hypoplectrus" ref="IV1:IV18" totalsRowShown="0" headerRowDxfId="569">
  <autoFilter ref="IV1:IV18" xr:uid="{00000000-0009-0000-0100-000057010000}"/>
  <tableColumns count="1">
    <tableColumn id="1" xr3:uid="{00000000-0010-0000-0701-000001000000}" name="Hypoplectrus"/>
  </tableColumns>
  <tableStyleInfo name="TableStyleMedium9" showFirstColumn="0" showLastColumn="0" showRowStripes="1" showColumnStripes="0"/>
</table>
</file>

<file path=xl/tables/table2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4" xr:uid="{00000000-000C-0000-FFFF-FFFF08010000}" name="Hypoptopoma" displayName="Hypoptopoma" ref="IW1:IW16" totalsRowShown="0" headerRowDxfId="568">
  <autoFilter ref="IW1:IW16" xr:uid="{00000000-0009-0000-0100-000058010000}"/>
  <tableColumns count="1">
    <tableColumn id="1" xr3:uid="{00000000-0010-0000-0801-000001000000}" name="Hypoptopoma"/>
  </tableColumns>
  <tableStyleInfo name="TableStyleMedium9" showFirstColumn="0" showLastColumn="0" showRowStripes="1" showColumnStripes="0"/>
</table>
</file>

<file path=xl/tables/table2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6" xr:uid="{00000000-000C-0000-FFFF-FFFF09010000}" name="Hypostomus" displayName="Hypostomus" ref="IX1:IX149" totalsRowShown="0" headerRowDxfId="567">
  <autoFilter ref="IX1:IX149" xr:uid="{00000000-0009-0000-0100-00005A010000}"/>
  <tableColumns count="1">
    <tableColumn id="1" xr3:uid="{00000000-0010-0000-0901-000001000000}" name="Hypostomus"/>
  </tableColumns>
  <tableStyleInfo name="TableStyleMedium9" showFirstColumn="0" showLastColumn="0" showRowStripes="1" showColumnStripes="0"/>
</table>
</file>

<file path=xl/tables/table2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7" xr:uid="{00000000-000C-0000-FFFF-FFFF0A010000}" name="Hypselecara" displayName="Hypselecara" ref="IY1:IY3" totalsRowShown="0" headerRowDxfId="566">
  <autoFilter ref="IY1:IY3" xr:uid="{00000000-0009-0000-0100-00005B010000}"/>
  <tableColumns count="1">
    <tableColumn id="1" xr3:uid="{00000000-0010-0000-0A01-000001000000}" name="Hypselecara"/>
  </tableColumns>
  <tableStyleInfo name="TableStyleMedium9" showFirstColumn="0" showLastColumn="0" showRowStripes="1" showColumnStripes="0"/>
</table>
</file>

<file path=xl/tables/table2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8" xr:uid="{00000000-000C-0000-FFFF-FFFF0B010000}" name="Iguanodectes" displayName="Iguanodectes" ref="IZ1:IZ9" totalsRowShown="0" headerRowDxfId="565">
  <autoFilter ref="IZ1:IZ9" xr:uid="{00000000-0009-0000-0100-00005C010000}"/>
  <tableColumns count="1">
    <tableColumn id="1" xr3:uid="{00000000-0010-0000-0B01-000001000000}" name="Iguanodectes"/>
  </tableColumns>
  <tableStyleInfo name="TableStyleMedium9" showFirstColumn="0" showLastColumn="0" showRowStripes="1" showColumnStripes="0"/>
</table>
</file>

<file path=xl/tables/table2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9" xr:uid="{00000000-000C-0000-FFFF-FFFF0C010000}" name="Indostomus" displayName="Indostomus" ref="JA1:JA4" totalsRowShown="0" headerRowDxfId="564">
  <autoFilter ref="JA1:JA4" xr:uid="{00000000-0009-0000-0100-00005D010000}"/>
  <tableColumns count="1">
    <tableColumn id="1" xr3:uid="{00000000-0010-0000-0C01-000001000000}" name="Indostomus"/>
  </tableColumns>
  <tableStyleInfo name="TableStyleMedium9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00000000-000C-0000-FFFF-FFFF1A000000}" name="Alectis" displayName="Alectis" ref="O1:O4" totalsRowShown="0" headerRowDxfId="808">
  <autoFilter ref="O1:O4" xr:uid="{00000000-0009-0000-0100-000067000000}"/>
  <tableColumns count="1">
    <tableColumn id="1" xr3:uid="{00000000-0010-0000-1A00-000001000000}" name="Alectis"/>
  </tableColumns>
  <tableStyleInfo name="TableStyleMedium9" showFirstColumn="0" showLastColumn="0" showRowStripes="1" showColumnStripes="0"/>
</table>
</file>

<file path=xl/tables/table2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0" xr:uid="{00000000-000C-0000-FFFF-FFFF0D010000}" name="Inpaichthys" displayName="Inpaichthys" ref="JC1:JC2" totalsRowShown="0" headerRowDxfId="563">
  <autoFilter ref="JC1:JC2" xr:uid="{00000000-0009-0000-0100-00005E010000}"/>
  <tableColumns count="1">
    <tableColumn id="1" xr3:uid="{00000000-0010-0000-0D01-000001000000}" name="Inpaichthys"/>
  </tableColumns>
  <tableStyleInfo name="TableStyleMedium9" showFirstColumn="0" showLastColumn="0" showRowStripes="1" showColumnStripes="0"/>
</table>
</file>

<file path=xl/tables/table2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1" xr:uid="{00000000-000C-0000-FFFF-FFFF0E010000}" name="Iodotropheus" displayName="Iodotropheus" ref="JD1:JD4" totalsRowShown="0" headerRowDxfId="562">
  <autoFilter ref="JD1:JD4" xr:uid="{00000000-0009-0000-0100-00005F010000}"/>
  <tableColumns count="1">
    <tableColumn id="1" xr3:uid="{00000000-0010-0000-0E01-000001000000}" name="Iodotropheus"/>
  </tableColumns>
  <tableStyleInfo name="TableStyleMedium9" showFirstColumn="0" showLastColumn="0" showRowStripes="1" showColumnStripes="0"/>
</table>
</file>

<file path=xl/tables/table2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2" xr:uid="{00000000-000C-0000-FFFF-FFFF0F010000}" name="Iriatherina" displayName="Iriatherina" ref="JE1:JE2" totalsRowShown="0" headerRowDxfId="561">
  <autoFilter ref="JE1:JE2" xr:uid="{00000000-0009-0000-0100-000060010000}"/>
  <tableColumns count="1">
    <tableColumn id="1" xr3:uid="{00000000-0010-0000-0F01-000001000000}" name="Iriatherina"/>
  </tableColumns>
  <tableStyleInfo name="TableStyleMedium9" showFirstColumn="0" showLastColumn="0" showRowStripes="1" showColumnStripes="0"/>
</table>
</file>

<file path=xl/tables/table2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3" xr:uid="{00000000-000C-0000-FFFF-FFFF10010000}" name="Istiblennius" displayName="Istiblennius" ref="JF1:JF15" totalsRowShown="0" headerRowDxfId="560">
  <autoFilter ref="JF1:JF15" xr:uid="{00000000-0009-0000-0100-000061010000}"/>
  <tableColumns count="1">
    <tableColumn id="1" xr3:uid="{00000000-0010-0000-1001-000001000000}" name="Istiblennius"/>
  </tableColumns>
  <tableStyleInfo name="TableStyleMedium9" showFirstColumn="0" showLastColumn="0" showRowStripes="1" showColumnStripes="0"/>
</table>
</file>

<file path=xl/tables/table2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4" xr:uid="{00000000-000C-0000-FFFF-FFFF11010000}" name="Jordanella" displayName="Jordanella" ref="JG1:JG2" totalsRowShown="0" headerRowDxfId="559">
  <autoFilter ref="JG1:JG2" xr:uid="{00000000-0009-0000-0100-000062010000}"/>
  <tableColumns count="1">
    <tableColumn id="1" xr3:uid="{00000000-0010-0000-1101-000001000000}" name="Jordanella"/>
  </tableColumns>
  <tableStyleInfo name="TableStyleMedium9" showFirstColumn="0" showLastColumn="0" showRowStripes="1" showColumnStripes="0"/>
</table>
</file>

<file path=xl/tables/table2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5" xr:uid="{00000000-000C-0000-FFFF-FFFF12010000}" name="Julidochromis" displayName="Julidochromis" ref="JH1:JH7" totalsRowShown="0" headerRowDxfId="558">
  <autoFilter ref="JH1:JH7" xr:uid="{00000000-0009-0000-0100-000063010000}"/>
  <tableColumns count="1">
    <tableColumn id="1" xr3:uid="{00000000-0010-0000-1201-000001000000}" name="Julidochromis"/>
  </tableColumns>
  <tableStyleInfo name="TableStyleMedium9" showFirstColumn="0" showLastColumn="0" showRowStripes="1" showColumnStripes="0"/>
</table>
</file>

<file path=xl/tables/table2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6" xr:uid="{00000000-000C-0000-FFFF-FFFF13010000}" name="Kryptopterus" displayName="Kryptopterus" ref="JI1:JI20" totalsRowShown="0" headerRowDxfId="557">
  <autoFilter ref="JI1:JI20" xr:uid="{00000000-0009-0000-0100-000064010000}"/>
  <tableColumns count="1">
    <tableColumn id="1" xr3:uid="{00000000-0010-0000-1301-000001000000}" name="Kryptopterus"/>
  </tableColumns>
  <tableStyleInfo name="TableStyleMedium9" showFirstColumn="0" showLastColumn="0" showRowStripes="1" showColumnStripes="0"/>
</table>
</file>

<file path=xl/tables/table2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7" xr:uid="{00000000-000C-0000-FFFF-FFFF14010000}" name="Labeo" displayName="Labeo" ref="JJ1:JJ106" totalsRowShown="0" headerRowDxfId="556">
  <autoFilter ref="JJ1:JJ106" xr:uid="{00000000-0009-0000-0100-000065010000}"/>
  <tableColumns count="1">
    <tableColumn id="1" xr3:uid="{00000000-0010-0000-1401-000001000000}" name="Labeo"/>
  </tableColumns>
  <tableStyleInfo name="TableStyleMedium9" showFirstColumn="0" showLastColumn="0" showRowStripes="1" showColumnStripes="0"/>
</table>
</file>

<file path=xl/tables/table2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8" xr:uid="{00000000-000C-0000-FFFF-FFFF15010000}" name="Labeotropheus" displayName="Labeotropheus" ref="JK1:JK3" totalsRowShown="0" headerRowDxfId="555">
  <autoFilter ref="JK1:JK3" xr:uid="{00000000-0009-0000-0100-000066010000}"/>
  <tableColumns count="1">
    <tableColumn id="1" xr3:uid="{00000000-0010-0000-1501-000001000000}" name="Labeotropheus"/>
  </tableColumns>
  <tableStyleInfo name="TableStyleMedium9" showFirstColumn="0" showLastColumn="0" showRowStripes="1" showColumnStripes="0"/>
</table>
</file>

<file path=xl/tables/table2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9" xr:uid="{00000000-000C-0000-FFFF-FFFF16010000}" name="Labidochromis" displayName="Labidochromis" ref="JL1:JL19" totalsRowShown="0" headerRowDxfId="554">
  <autoFilter ref="JL1:JL19" xr:uid="{00000000-0009-0000-0100-000067010000}"/>
  <tableColumns count="1">
    <tableColumn id="1" xr3:uid="{00000000-0010-0000-1601-000001000000}" name="Labidochromis"/>
  </tableColumns>
  <tableStyleInfo name="TableStyleMedium9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00000000-000C-0000-FFFF-FFFF1B000000}" name="Alestopetersius" displayName="Alestopetersius" ref="P1:P11" totalsRowShown="0" headerRowDxfId="807">
  <autoFilter ref="P1:P11" xr:uid="{00000000-0009-0000-0100-000068000000}"/>
  <tableColumns count="1">
    <tableColumn id="1" xr3:uid="{00000000-0010-0000-1B00-000001000000}" name="Alestopetersius"/>
  </tableColumns>
  <tableStyleInfo name="TableStyleMedium9" showFirstColumn="0" showLastColumn="0" showRowStripes="1" showColumnStripes="0"/>
</table>
</file>

<file path=xl/tables/table2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0" xr:uid="{00000000-000C-0000-FFFF-FFFF17010000}" name="Labrichthys" displayName="Labrichthys" ref="JM1:JM2" totalsRowShown="0" headerRowDxfId="553">
  <autoFilter ref="JM1:JM2" xr:uid="{00000000-0009-0000-0100-000068010000}"/>
  <tableColumns count="1">
    <tableColumn id="1" xr3:uid="{00000000-0010-0000-1701-000001000000}" name="Labrichthys"/>
  </tableColumns>
  <tableStyleInfo name="TableStyleMedium9" showFirstColumn="0" showLastColumn="0" showRowStripes="1" showColumnStripes="0"/>
</table>
</file>

<file path=xl/tables/table2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1" xr:uid="{00000000-000C-0000-FFFF-FFFF18010000}" name="Labroides" displayName="Labroides" ref="JN1:JN6" totalsRowShown="0" headerRowDxfId="552">
  <autoFilter ref="JN1:JN6" xr:uid="{00000000-0009-0000-0100-000069010000}"/>
  <tableColumns count="1">
    <tableColumn id="1" xr3:uid="{00000000-0010-0000-1801-000001000000}" name="Labroides"/>
  </tableColumns>
  <tableStyleInfo name="TableStyleMedium9" showFirstColumn="0" showLastColumn="0" showRowStripes="1" showColumnStripes="0"/>
</table>
</file>

<file path=xl/tables/table2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2" xr:uid="{00000000-000C-0000-FFFF-FFFF19010000}" name="Lactophrys" displayName="Lactophrys" ref="JO1:JO4" totalsRowShown="0" headerRowDxfId="551">
  <autoFilter ref="JO1:JO4" xr:uid="{00000000-0009-0000-0100-00006A010000}"/>
  <tableColumns count="1">
    <tableColumn id="1" xr3:uid="{00000000-0010-0000-1901-000001000000}" name="Lactophrys"/>
  </tableColumns>
  <tableStyleInfo name="TableStyleMedium9" showFirstColumn="0" showLastColumn="0" showRowStripes="1" showColumnStripes="0"/>
</table>
</file>

<file path=xl/tables/table2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3" xr:uid="{00000000-000C-0000-FFFF-FFFF1A010000}" name="Lactoria" displayName="Lactoria" ref="JP1:JP5" totalsRowShown="0" headerRowDxfId="550">
  <autoFilter ref="JP1:JP5" xr:uid="{00000000-0009-0000-0100-00006B010000}"/>
  <tableColumns count="1">
    <tableColumn id="1" xr3:uid="{00000000-0010-0000-1A01-000001000000}" name="Lactoria"/>
  </tableColumns>
  <tableStyleInfo name="TableStyleMedium9" showFirstColumn="0" showLastColumn="0" showRowStripes="1" showColumnStripes="0"/>
</table>
</file>

<file path=xl/tables/table2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4" xr:uid="{00000000-000C-0000-FFFF-FFFF1B010000}" name="Laetacara" displayName="Laetacara" ref="JQ1:JQ8" totalsRowShown="0" headerRowDxfId="549">
  <autoFilter ref="JQ1:JQ8" xr:uid="{00000000-0009-0000-0100-00006C010000}"/>
  <tableColumns count="1">
    <tableColumn id="1" xr3:uid="{00000000-0010-0000-1B01-000001000000}" name="Laetacara"/>
  </tableColumns>
  <tableStyleInfo name="TableStyleMedium9" showFirstColumn="0" showLastColumn="0" showRowStripes="1" showColumnStripes="0"/>
</table>
</file>

<file path=xl/tables/table2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5" xr:uid="{00000000-000C-0000-FFFF-FFFF1C010000}" name="Lamontichthys" displayName="Lamontichthys" ref="JR1:JR7" totalsRowShown="0" headerRowDxfId="548">
  <autoFilter ref="JR1:JR7" xr:uid="{00000000-0009-0000-0100-00006D010000}"/>
  <tableColumns count="1">
    <tableColumn id="1" xr3:uid="{00000000-0010-0000-1C01-000001000000}" name="Lamontichthys"/>
  </tableColumns>
  <tableStyleInfo name="TableStyleMedium9" showFirstColumn="0" showLastColumn="0" showRowStripes="1" showColumnStripes="0"/>
</table>
</file>

<file path=xl/tables/table2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6" xr:uid="{00000000-000C-0000-FFFF-FFFF1D010000}" name="Lamprologus" displayName="Lamprologus" ref="JS1:JS21" totalsRowShown="0" headerRowDxfId="547">
  <autoFilter ref="JS1:JS21" xr:uid="{00000000-0009-0000-0100-00006E010000}"/>
  <tableColumns count="1">
    <tableColumn id="1" xr3:uid="{00000000-0010-0000-1D01-000001000000}" name="Lamprologus"/>
  </tableColumns>
  <tableStyleInfo name="TableStyleMedium9" showFirstColumn="0" showLastColumn="0" showRowStripes="1" showColumnStripes="0"/>
</table>
</file>

<file path=xl/tables/table2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7" xr:uid="{00000000-000C-0000-FFFF-FFFF1E010000}" name="Leiarius" displayName="Leiarius" ref="JT1:JT5" totalsRowShown="0" headerRowDxfId="546">
  <autoFilter ref="JT1:JT5" xr:uid="{00000000-0009-0000-0100-00006F010000}"/>
  <tableColumns count="1">
    <tableColumn id="1" xr3:uid="{00000000-0010-0000-1E01-000001000000}" name="Leiarius"/>
  </tableColumns>
  <tableStyleInfo name="TableStyleMedium9" showFirstColumn="0" showLastColumn="0" showRowStripes="1" showColumnStripes="0"/>
</table>
</file>

<file path=xl/tables/table2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8" xr:uid="{00000000-000C-0000-FFFF-FFFF1F010000}" name="Lepidiolamprologus" displayName="Lepidiolamprologus" ref="JU1:JU12" totalsRowShown="0" headerRowDxfId="545">
  <autoFilter ref="JU1:JU12" xr:uid="{00000000-0009-0000-0100-000070010000}"/>
  <tableColumns count="1">
    <tableColumn id="1" xr3:uid="{00000000-0010-0000-1F01-000001000000}" name="Lepidiolamprologus"/>
  </tableColumns>
  <tableStyleInfo name="TableStyleMedium9" showFirstColumn="0" showLastColumn="0" showRowStripes="1" showColumnStripes="0"/>
</table>
</file>

<file path=xl/tables/table2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9" xr:uid="{00000000-000C-0000-FFFF-FFFF20010000}" name="Lepidosiren" displayName="Lepidosiren" ref="JV1:JV2" totalsRowShown="0" headerRowDxfId="544">
  <autoFilter ref="JV1:JV2" xr:uid="{00000000-0009-0000-0100-000071010000}"/>
  <tableColumns count="1">
    <tableColumn id="1" xr3:uid="{00000000-0010-0000-2001-000001000000}" name="Lepidosiren"/>
  </tableColumns>
  <tableStyleInfo name="TableStyleMedium9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00000000-000C-0000-FFFF-FFFF1C000000}" name="Altolamprologus" displayName="Altolamprologus" ref="Q1:Q3" totalsRowShown="0" headerRowDxfId="806">
  <autoFilter ref="Q1:Q3" xr:uid="{00000000-0009-0000-0100-000069000000}"/>
  <tableColumns count="1">
    <tableColumn id="1" xr3:uid="{00000000-0010-0000-1C00-000001000000}" name="Altolamprologus"/>
  </tableColumns>
  <tableStyleInfo name="TableStyleMedium9" showFirstColumn="0" showLastColumn="0" showRowStripes="1" showColumnStripes="0"/>
</table>
</file>

<file path=xl/tables/table2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0" xr:uid="{00000000-000C-0000-FFFF-FFFF21010000}" name="Lepisosteus" displayName="Lepisosteus" ref="JW1:JW5" totalsRowShown="0" headerRowDxfId="543">
  <autoFilter ref="JW1:JW5" xr:uid="{00000000-0009-0000-0100-000072010000}"/>
  <tableColumns count="1">
    <tableColumn id="1" xr3:uid="{00000000-0010-0000-2101-000001000000}" name="Lepisosteus"/>
  </tableColumns>
  <tableStyleInfo name="TableStyleMedium9" showFirstColumn="0" showLastColumn="0" showRowStripes="1" showColumnStripes="0"/>
</table>
</file>

<file path=xl/tables/table2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1" xr:uid="{00000000-000C-0000-FFFF-FFFF22010000}" name="Lepomis" displayName="Lepomis" ref="JX1:JX14" totalsRowShown="0" headerRowDxfId="542">
  <autoFilter ref="JX1:JX14" xr:uid="{00000000-0009-0000-0100-000073010000}"/>
  <tableColumns count="1">
    <tableColumn id="1" xr3:uid="{00000000-0010-0000-2201-000001000000}" name="Lepomis"/>
  </tableColumns>
  <tableStyleInfo name="TableStyleMedium9" showFirstColumn="0" showLastColumn="0" showRowStripes="1" showColumnStripes="0"/>
</table>
</file>

<file path=xl/tables/table2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2" xr:uid="{00000000-000C-0000-FFFF-FFFF23010000}" name="Leporacanthicus" displayName="Leporacanthicus" ref="JY1:JY5" totalsRowShown="0" headerRowDxfId="541">
  <autoFilter ref="JY1:JY5" xr:uid="{00000000-0009-0000-0100-000074010000}"/>
  <tableColumns count="1">
    <tableColumn id="1" xr3:uid="{00000000-0010-0000-2301-000001000000}" name="Leporacanthicus"/>
  </tableColumns>
  <tableStyleInfo name="TableStyleMedium9" showFirstColumn="0" showLastColumn="0" showRowStripes="1" showColumnStripes="0"/>
</table>
</file>

<file path=xl/tables/table2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3" xr:uid="{00000000-000C-0000-FFFF-FFFF24010000}" name="Leporinus" displayName="Leporinus" ref="JZ1:JZ92" totalsRowShown="0" headerRowDxfId="540">
  <autoFilter ref="JZ1:JZ92" xr:uid="{00000000-0009-0000-0100-000075010000}"/>
  <tableColumns count="1">
    <tableColumn id="1" xr3:uid="{00000000-0010-0000-2401-000001000000}" name="Leporinus"/>
  </tableColumns>
  <tableStyleInfo name="TableStyleMedium9" showFirstColumn="0" showLastColumn="0" showRowStripes="1" showColumnStripes="0"/>
</table>
</file>

<file path=xl/tables/table2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4" xr:uid="{00000000-000C-0000-FFFF-FFFF25010000}" name="Leptobarbus" displayName="Leptobarbus" ref="KA1:KA6" totalsRowShown="0" headerRowDxfId="539">
  <autoFilter ref="KA1:KA6" xr:uid="{00000000-0009-0000-0100-000076010000}"/>
  <tableColumns count="1">
    <tableColumn id="1" xr3:uid="{00000000-0010-0000-2501-000001000000}" name="Leptobarbus"/>
  </tableColumns>
  <tableStyleInfo name="TableStyleMedium9" showFirstColumn="0" showLastColumn="0" showRowStripes="1" showColumnStripes="0"/>
</table>
</file>

<file path=xl/tables/table2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5" xr:uid="{00000000-000C-0000-FFFF-FFFF26010000}" name="Leptobotia" displayName="Leptobotia" ref="KB1:KB14" totalsRowShown="0" headerRowDxfId="538">
  <autoFilter ref="KB1:KB14" xr:uid="{00000000-0009-0000-0100-000077010000}"/>
  <tableColumns count="1">
    <tableColumn id="1" xr3:uid="{00000000-0010-0000-2601-000001000000}" name="Leptobotia"/>
  </tableColumns>
  <tableStyleInfo name="TableStyleMedium9" showFirstColumn="0" showLastColumn="0" showRowStripes="1" showColumnStripes="0"/>
</table>
</file>

<file path=xl/tables/table2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6" xr:uid="{00000000-000C-0000-FFFF-FFFF27010000}" name="Lethrinops" displayName="Lethrinops" ref="KC1:KC25" totalsRowShown="0" headerRowDxfId="537">
  <autoFilter ref="KC1:KC25" xr:uid="{00000000-0009-0000-0100-000078010000}"/>
  <tableColumns count="1">
    <tableColumn id="1" xr3:uid="{00000000-0010-0000-2701-000001000000}" name="Lethrinops"/>
  </tableColumns>
  <tableStyleInfo name="TableStyleMedium9" showFirstColumn="0" showLastColumn="0" showRowStripes="1" showColumnStripes="0"/>
</table>
</file>

<file path=xl/tables/table2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7" xr:uid="{00000000-000C-0000-FFFF-FFFF28010000}" name="Limia" displayName="Limia" ref="KD1:KD22" totalsRowShown="0" headerRowDxfId="536">
  <autoFilter ref="KD1:KD22" xr:uid="{00000000-0009-0000-0100-000079010000}"/>
  <tableColumns count="1">
    <tableColumn id="1" xr3:uid="{00000000-0010-0000-2801-000001000000}" name="Limia"/>
  </tableColumns>
  <tableStyleInfo name="TableStyleMedium9" showFirstColumn="0" showLastColumn="0" showRowStripes="1" showColumnStripes="0"/>
</table>
</file>

<file path=xl/tables/table2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8" xr:uid="{00000000-000C-0000-FFFF-FFFF29010000}" name="Liopropoma" displayName="Liopropoma" ref="KE1:KE32" totalsRowShown="0" headerRowDxfId="535">
  <autoFilter ref="KE1:KE32" xr:uid="{00000000-0009-0000-0100-00007A010000}"/>
  <tableColumns count="1">
    <tableColumn id="1" xr3:uid="{00000000-0010-0000-2901-000001000000}" name="Liopropoma"/>
  </tableColumns>
  <tableStyleInfo name="TableStyleMedium9" showFirstColumn="0" showLastColumn="0" showRowStripes="1" showColumnStripes="0"/>
</table>
</file>

<file path=xl/tables/table2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9" xr:uid="{00000000-000C-0000-FFFF-FFFF2A010000}" name="Liosomadoras" displayName="Liosomadoras" ref="KF1:KF3" totalsRowShown="0" headerRowDxfId="534">
  <autoFilter ref="KF1:KF3" xr:uid="{00000000-0009-0000-0100-00007B010000}"/>
  <tableColumns count="1">
    <tableColumn id="1" xr3:uid="{00000000-0010-0000-2A01-000001000000}" name="Liosomadoras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2000000}" name="Arthropoda" displayName="Arthropoda" ref="BQ1:BQ36" totalsRowShown="0" headerRowDxfId="889" dataDxfId="888">
  <autoFilter ref="BQ1:BQ36" xr:uid="{00000000-0009-0000-0100-000004000000}"/>
  <tableColumns count="1">
    <tableColumn id="1" xr3:uid="{00000000-0010-0000-0200-000001000000}" name="Arthropoda" dataDxfId="887"/>
  </tableColumns>
  <tableStyleInfo name="TableStyleMedium9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00000000-000C-0000-FFFF-FFFF1D000000}" name="Amblydoras" displayName="Amblydoras" ref="R1:R6" totalsRowShown="0" headerRowDxfId="805">
  <autoFilter ref="R1:R6" xr:uid="{00000000-0009-0000-0100-00006A000000}"/>
  <tableColumns count="1">
    <tableColumn id="1" xr3:uid="{00000000-0010-0000-1D00-000001000000}" name="Amblydoras"/>
  </tableColumns>
  <tableStyleInfo name="TableStyleMedium9" showFirstColumn="0" showLastColumn="0" showRowStripes="1" showColumnStripes="0"/>
</table>
</file>

<file path=xl/tables/table3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0" xr:uid="{00000000-000C-0000-FFFF-FFFF2B010000}" name="Lipophrys" displayName="Lipophrys" ref="KG1:KG3" totalsRowShown="0" headerRowDxfId="533">
  <autoFilter ref="KG1:KG3" xr:uid="{00000000-0009-0000-0100-00007C010000}"/>
  <tableColumns count="1">
    <tableColumn id="1" xr3:uid="{00000000-0010-0000-2B01-000001000000}" name="Lipophrys"/>
  </tableColumns>
  <tableStyleInfo name="TableStyleMedium9" showFirstColumn="0" showLastColumn="0" showRowStripes="1" showColumnStripes="0"/>
</table>
</file>

<file path=xl/tables/table3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1" xr:uid="{00000000-000C-0000-FFFF-FFFF2C010000}" name="Tabla381" displayName="Tabla381" ref="KH1:KH2" totalsRowShown="0" headerRowDxfId="532">
  <autoFilter ref="KH1:KH2" xr:uid="{00000000-0009-0000-0100-00007D010000}"/>
  <tableColumns count="1">
    <tableColumn id="1" xr3:uid="{00000000-0010-0000-2C01-000001000000}" name="Lobochilotes"/>
  </tableColumns>
  <tableStyleInfo name="TableStyleMedium9" showFirstColumn="0" showLastColumn="0" showRowStripes="1" showColumnStripes="0"/>
</table>
</file>

<file path=xl/tables/table3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2" xr:uid="{00000000-000C-0000-FFFF-FFFF2D010000}" name="Luciocephalus" displayName="Luciocephalus" ref="KI1:KI3" totalsRowShown="0" headerRowDxfId="531">
  <autoFilter ref="KI1:KI3" xr:uid="{00000000-0009-0000-0100-00007E010000}"/>
  <tableColumns count="1">
    <tableColumn id="1" xr3:uid="{00000000-0010-0000-2D01-000001000000}" name="Luciocephalus"/>
  </tableColumns>
  <tableStyleInfo name="TableStyleMedium9" showFirstColumn="0" showLastColumn="0" showRowStripes="1" showColumnStripes="0"/>
</table>
</file>

<file path=xl/tables/table3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3" xr:uid="{00000000-000C-0000-FFFF-FFFF2E010000}" name="Luciosoma" displayName="Luciosoma" ref="KJ1:KJ6" totalsRowShown="0" headerRowDxfId="530">
  <autoFilter ref="KJ1:KJ6" xr:uid="{00000000-0009-0000-0100-00007F010000}"/>
  <tableColumns count="1">
    <tableColumn id="1" xr3:uid="{00000000-0010-0000-2E01-000001000000}" name="Luciosoma"/>
  </tableColumns>
  <tableStyleInfo name="TableStyleMedium9" showFirstColumn="0" showLastColumn="0" showRowStripes="1" showColumnStripes="0"/>
</table>
</file>

<file path=xl/tables/table3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4" xr:uid="{00000000-000C-0000-FFFF-FFFF2F010000}" name="Lutjanus" displayName="Lutjanus" ref="KK1:KK73" totalsRowShown="0" headerRowDxfId="529">
  <autoFilter ref="KK1:KK73" xr:uid="{00000000-0009-0000-0100-000080010000}"/>
  <tableColumns count="1">
    <tableColumn id="1" xr3:uid="{00000000-0010-0000-2F01-000001000000}" name="Lutjanus"/>
  </tableColumns>
  <tableStyleInfo name="TableStyleMedium9" showFirstColumn="0" showLastColumn="0" showRowStripes="1" showColumnStripes="0"/>
</table>
</file>

<file path=xl/tables/table3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5" xr:uid="{00000000-000C-0000-FFFF-FFFF30010000}" name="Lythrypnus" displayName="Lythrypnus" ref="KM1:KM21" totalsRowShown="0" headerRowDxfId="528">
  <autoFilter ref="KM1:KM21" xr:uid="{00000000-0009-0000-0100-000081010000}"/>
  <tableColumns count="1">
    <tableColumn id="1" xr3:uid="{00000000-0010-0000-3001-000001000000}" name="Lythrypnus"/>
  </tableColumns>
  <tableStyleInfo name="TableStyleMedium9" showFirstColumn="0" showLastColumn="0" showRowStripes="1" showColumnStripes="0"/>
</table>
</file>

<file path=xl/tables/table3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6" xr:uid="{00000000-000C-0000-FFFF-FFFF31010000}" name="Macrognathus" displayName="Macrognathus" ref="KN1:KN25" totalsRowShown="0" headerRowDxfId="527">
  <autoFilter ref="KN1:KN25" xr:uid="{00000000-0009-0000-0100-000082010000}"/>
  <tableColumns count="1">
    <tableColumn id="1" xr3:uid="{00000000-0010-0000-3101-000001000000}" name="Macrognathus"/>
  </tableColumns>
  <tableStyleInfo name="TableStyleMedium9" showFirstColumn="0" showLastColumn="0" showRowStripes="1" showColumnStripes="0"/>
</table>
</file>

<file path=xl/tables/table3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7" xr:uid="{00000000-000C-0000-FFFF-FFFF32010000}" name="Macropharyngodon" displayName="Macropharyngodon" ref="KO1:KO13" totalsRowShown="0" headerRowDxfId="526">
  <autoFilter ref="KO1:KO13" xr:uid="{00000000-0009-0000-0100-000083010000}"/>
  <tableColumns count="1">
    <tableColumn id="1" xr3:uid="{00000000-0010-0000-3201-000001000000}" name="Macropharyngodon"/>
  </tableColumns>
  <tableStyleInfo name="TableStyleMedium9" showFirstColumn="0" showLastColumn="0" showRowStripes="1" showColumnStripes="0"/>
</table>
</file>

<file path=xl/tables/table3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8" xr:uid="{00000000-000C-0000-FFFF-FFFF33010000}" name="Macropodus" displayName="Macropodus" ref="KP1:KP10" totalsRowShown="0" headerRowDxfId="525">
  <autoFilter ref="KP1:KP10" xr:uid="{00000000-0009-0000-0100-000084010000}"/>
  <tableColumns count="1">
    <tableColumn id="1" xr3:uid="{00000000-0010-0000-3301-000001000000}" name="Macropodus"/>
  </tableColumns>
  <tableStyleInfo name="TableStyleMedium9" showFirstColumn="0" showLastColumn="0" showRowStripes="1" showColumnStripes="0"/>
</table>
</file>

<file path=xl/tables/table3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9" xr:uid="{00000000-000C-0000-FFFF-FFFF34010000}" name="Malacoctenus" displayName="Malacoctenus" ref="KQ1:KQ24" totalsRowShown="0" headerRowDxfId="524">
  <autoFilter ref="KQ1:KQ24" xr:uid="{00000000-0009-0000-0100-000085010000}"/>
  <tableColumns count="1">
    <tableColumn id="1" xr3:uid="{00000000-0010-0000-3401-000001000000}" name="Malacoctenus"/>
  </tableColumns>
  <tableStyleInfo name="TableStyleMedium9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00000000-000C-0000-FFFF-FFFF1E000000}" name="Amblyeleotris" displayName="Amblyeleotris" ref="S1:S39" totalsRowShown="0" headerRowDxfId="804">
  <autoFilter ref="S1:S39" xr:uid="{00000000-0009-0000-0100-00006B000000}"/>
  <tableColumns count="1">
    <tableColumn id="1" xr3:uid="{00000000-0010-0000-1E00-000001000000}" name="Amblyeleotris"/>
  </tableColumns>
  <tableStyleInfo name="TableStyleMedium9" showFirstColumn="0" showLastColumn="0" showRowStripes="1" showColumnStripes="0"/>
</table>
</file>

<file path=xl/tables/table3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0" xr:uid="{00000000-000C-0000-FFFF-FFFF35010000}" name="Marosatherina" displayName="Marosatherina" ref="KR1:KR2" totalsRowShown="0" headerRowDxfId="523">
  <autoFilter ref="KR1:KR2" xr:uid="{00000000-0009-0000-0100-000086010000}"/>
  <tableColumns count="1">
    <tableColumn id="1" xr3:uid="{00000000-0010-0000-3501-000001000000}" name="Marosatherina"/>
  </tableColumns>
  <tableStyleInfo name="TableStyleMedium9" showFirstColumn="0" showLastColumn="0" showRowStripes="1" showColumnStripes="0"/>
</table>
</file>

<file path=xl/tables/table3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1" xr:uid="{00000000-000C-0000-FFFF-FFFF36010000}" name="Mastacembelus" displayName="Mastacembelus" ref="KS1:KS62" totalsRowShown="0" headerRowDxfId="522">
  <autoFilter ref="KS1:KS62" xr:uid="{00000000-0009-0000-0100-000087010000}"/>
  <tableColumns count="1">
    <tableColumn id="1" xr3:uid="{00000000-0010-0000-3601-000001000000}" name="Mastacembelus"/>
  </tableColumns>
  <tableStyleInfo name="TableStyleMedium9" showFirstColumn="0" showLastColumn="0" showRowStripes="1" showColumnStripes="0"/>
</table>
</file>

<file path=xl/tables/table3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2" xr:uid="{00000000-000C-0000-FFFF-FFFF37010000}" name="Maylandia" displayName="Maylandia" ref="KT1:KT36" totalsRowShown="0" headerRowDxfId="521">
  <autoFilter ref="KT1:KT36" xr:uid="{00000000-0009-0000-0100-000088010000}"/>
  <tableColumns count="1">
    <tableColumn id="1" xr3:uid="{00000000-0010-0000-3701-000001000000}" name="Maylandia"/>
  </tableColumns>
  <tableStyleInfo name="TableStyleMedium9" showFirstColumn="0" showLastColumn="0" showRowStripes="1" showColumnStripes="0"/>
</table>
</file>

<file path=xl/tables/table3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3" xr:uid="{00000000-000C-0000-FFFF-FFFF38010000}" name="Meiacanthus" displayName="Meiacanthus" ref="KU1:KU29" totalsRowShown="0" headerRowDxfId="520">
  <autoFilter ref="KU1:KU29" xr:uid="{00000000-0009-0000-0100-000089010000}"/>
  <tableColumns count="1">
    <tableColumn id="1" xr3:uid="{00000000-0010-0000-3801-000001000000}" name="Meiacanthus"/>
  </tableColumns>
  <tableStyleInfo name="TableStyleMedium9" showFirstColumn="0" showLastColumn="0" showRowStripes="1" showColumnStripes="0"/>
</table>
</file>

<file path=xl/tables/table3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4" xr:uid="{00000000-000C-0000-FFFF-FFFF39010000}" name="Melanocharacidium" displayName="Melanocharacidium" ref="KV1:KV10" totalsRowShown="0" headerRowDxfId="519">
  <autoFilter ref="KV1:KV10" xr:uid="{00000000-0009-0000-0100-00008A010000}"/>
  <tableColumns count="1">
    <tableColumn id="1" xr3:uid="{00000000-0010-0000-3901-000001000000}" name="Melanocharacidium"/>
  </tableColumns>
  <tableStyleInfo name="TableStyleMedium9" showFirstColumn="0" showLastColumn="0" showRowStripes="1" showColumnStripes="0"/>
</table>
</file>

<file path=xl/tables/table3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5" xr:uid="{00000000-000C-0000-FFFF-FFFF3A010000}" name="Melanochromis" displayName="Melanochromis" ref="KW1:KW16" totalsRowShown="0" headerRowDxfId="518">
  <autoFilter ref="KW1:KW16" xr:uid="{00000000-0009-0000-0100-00008B010000}"/>
  <tableColumns count="1">
    <tableColumn id="1" xr3:uid="{00000000-0010-0000-3A01-000001000000}" name="Melanochromis"/>
  </tableColumns>
  <tableStyleInfo name="TableStyleMedium9" showFirstColumn="0" showLastColumn="0" showRowStripes="1" showColumnStripes="0"/>
</table>
</file>

<file path=xl/tables/table3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6" xr:uid="{00000000-000C-0000-FFFF-FFFF3B010000}" name="Melanotaenia" displayName="Melanotaenia" ref="KX1:KX68" totalsRowShown="0" headerRowDxfId="517">
  <autoFilter ref="KX1:KX68" xr:uid="{00000000-0009-0000-0100-00008C010000}"/>
  <tableColumns count="1">
    <tableColumn id="1" xr3:uid="{00000000-0010-0000-3B01-000001000000}" name="Melanotaenia"/>
  </tableColumns>
  <tableStyleInfo name="TableStyleMedium9" showFirstColumn="0" showLastColumn="0" showRowStripes="1" showColumnStripes="0"/>
</table>
</file>

<file path=xl/tables/table3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7" xr:uid="{00000000-000C-0000-FFFF-FFFF3C010000}" name="Melichthys" displayName="Melichthys" ref="KY1:KY4" totalsRowShown="0" headerRowDxfId="516">
  <autoFilter ref="KY1:KY4" xr:uid="{00000000-0009-0000-0100-00008D010000}"/>
  <tableColumns count="1">
    <tableColumn id="1" xr3:uid="{00000000-0010-0000-3C01-000001000000}" name="Melichthys"/>
  </tableColumns>
  <tableStyleInfo name="TableStyleMedium9" showFirstColumn="0" showLastColumn="0" showRowStripes="1" showColumnStripes="0"/>
</table>
</file>

<file path=xl/tables/table3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8" xr:uid="{00000000-000C-0000-FFFF-FFFF3D010000}" name="Mesonauta" displayName="Mesonauta" ref="LA1:LA7" totalsRowShown="0" headerRowDxfId="515">
  <autoFilter ref="LA1:LA7" xr:uid="{00000000-0009-0000-0100-00008E010000}"/>
  <tableColumns count="1">
    <tableColumn id="1" xr3:uid="{00000000-0010-0000-3D01-000001000000}" name="Mesonauta"/>
  </tableColumns>
  <tableStyleInfo name="TableStyleMedium9" showFirstColumn="0" showLastColumn="0" showRowStripes="1" showColumnStripes="0"/>
</table>
</file>

<file path=xl/tables/table3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9" xr:uid="{00000000-000C-0000-FFFF-FFFF3E010000}" name="Mesonoemacheilus" displayName="Mesonoemacheilus" ref="LB1:LB4" totalsRowShown="0" headerRowDxfId="514">
  <autoFilter ref="LB1:LB4" xr:uid="{00000000-0009-0000-0100-00008F010000}"/>
  <tableColumns count="1">
    <tableColumn id="1" xr3:uid="{00000000-0010-0000-3E01-000001000000}" name="Mesonoemacheilus"/>
  </tableColumns>
  <tableStyleInfo name="TableStyleMedium9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00000000-000C-0000-FFFF-FFFF1F000000}" name="Amblygobius" displayName="Amblygobius" ref="T1:T16" totalsRowShown="0" headerRowDxfId="803">
  <autoFilter ref="T1:T16" xr:uid="{00000000-0009-0000-0100-00006C000000}"/>
  <tableColumns count="1">
    <tableColumn id="1" xr3:uid="{00000000-0010-0000-1F00-000001000000}" name="Amblygobius"/>
  </tableColumns>
  <tableStyleInfo name="TableStyleMedium9" showFirstColumn="0" showLastColumn="0" showRowStripes="1" showColumnStripes="0"/>
</table>
</file>

<file path=xl/tables/table3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0" xr:uid="{00000000-000C-0000-FFFF-FFFF3F010000}" name="Metynnis" displayName="Metynnis" ref="LC1:LC15" totalsRowShown="0" headerRowDxfId="513">
  <autoFilter ref="LC1:LC15" xr:uid="{00000000-0009-0000-0100-000090010000}"/>
  <tableColumns count="1">
    <tableColumn id="1" xr3:uid="{00000000-0010-0000-3F01-000001000000}" name="Metynnis"/>
  </tableColumns>
  <tableStyleInfo name="TableStyleMedium9" showFirstColumn="0" showLastColumn="0" showRowStripes="1" showColumnStripes="0"/>
</table>
</file>

<file path=xl/tables/table3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1" xr:uid="{00000000-000C-0000-FFFF-FFFF40010000}" name="Microctenopoma" displayName="Microctenopoma" ref="LD1:LD13" totalsRowShown="0" headerRowDxfId="512">
  <autoFilter ref="LD1:LD13" xr:uid="{00000000-0009-0000-0100-000091010000}"/>
  <tableColumns count="1">
    <tableColumn id="1" xr3:uid="{00000000-0010-0000-4001-000001000000}" name="Microctenopoma"/>
  </tableColumns>
  <tableStyleInfo name="TableStyleMedium9" showFirstColumn="0" showLastColumn="0" showRowStripes="1" showColumnStripes="0"/>
</table>
</file>

<file path=xl/tables/table3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2" xr:uid="{00000000-000C-0000-FFFF-FFFF41010000}" name="Microglanis" displayName="Microglanis" ref="LE1:LE24" totalsRowShown="0" headerRowDxfId="511">
  <autoFilter ref="LE1:LE24" xr:uid="{00000000-0009-0000-0100-000092010000}"/>
  <tableColumns count="1">
    <tableColumn id="1" xr3:uid="{00000000-0010-0000-4101-000001000000}" name="Microglanis"/>
  </tableColumns>
  <tableStyleInfo name="TableStyleMedium9" showFirstColumn="0" showLastColumn="0" showRowStripes="1" showColumnStripes="0"/>
</table>
</file>

<file path=xl/tables/table3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3" xr:uid="{00000000-000C-0000-FFFF-FFFF42010000}" name="Microrasbora" displayName="Microrasbora" ref="LF1:LF4" totalsRowShown="0" headerRowDxfId="510">
  <autoFilter ref="LF1:LF4" xr:uid="{00000000-0009-0000-0100-000093010000}"/>
  <tableColumns count="1">
    <tableColumn id="1" xr3:uid="{00000000-0010-0000-4201-000001000000}" name="Microrasbora"/>
  </tableColumns>
  <tableStyleInfo name="TableStyleMedium9" showFirstColumn="0" showLastColumn="0" showRowStripes="1" showColumnStripes="0"/>
</table>
</file>

<file path=xl/tables/table3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4" xr:uid="{00000000-000C-0000-FFFF-FFFF43010000}" name="Microspathodon" displayName="Microspathodon" ref="LG1:LG5" totalsRowShown="0" headerRowDxfId="509">
  <autoFilter ref="LG1:LG5" xr:uid="{00000000-0009-0000-0100-000094010000}"/>
  <tableColumns count="1">
    <tableColumn id="1" xr3:uid="{00000000-0010-0000-4301-000001000000}" name="Microspathodon"/>
  </tableColumns>
  <tableStyleInfo name="TableStyleMedium9" showFirstColumn="0" showLastColumn="0" showRowStripes="1" showColumnStripes="0"/>
</table>
</file>

<file path=xl/tables/table3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5" xr:uid="{00000000-000C-0000-FFFF-FFFF44010000}" name="Mikrogeophagus" displayName="Mikrogeophagus" ref="LH1:LH3" totalsRowShown="0" headerRowDxfId="508">
  <autoFilter ref="LH1:LH3" xr:uid="{00000000-0009-0000-0100-000095010000}"/>
  <tableColumns count="1">
    <tableColumn id="1" xr3:uid="{00000000-0010-0000-4401-000001000000}" name="Mikrogeophagus"/>
  </tableColumns>
  <tableStyleInfo name="TableStyleMedium9" showFirstColumn="0" showLastColumn="0" showRowStripes="1" showColumnStripes="0"/>
</table>
</file>

<file path=xl/tables/table3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6" xr:uid="{00000000-000C-0000-FFFF-FFFF45010000}" name="Misgurnus" displayName="Misgurnus" ref="LI1:LI9" totalsRowShown="0" headerRowDxfId="507">
  <autoFilter ref="LI1:LI9" xr:uid="{00000000-0009-0000-0100-000096010000}"/>
  <tableColumns count="1">
    <tableColumn id="1" xr3:uid="{00000000-0010-0000-4501-000001000000}" name="Misgurnus"/>
  </tableColumns>
  <tableStyleInfo name="TableStyleMedium9" showFirstColumn="0" showLastColumn="0" showRowStripes="1" showColumnStripes="0"/>
</table>
</file>

<file path=xl/tables/table3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7" xr:uid="{00000000-000C-0000-FFFF-FFFF46010000}" name="Moenkhausia" displayName="Moenkhausia" ref="LJ1:LJ83" totalsRowShown="0" headerRowDxfId="506">
  <autoFilter ref="LJ1:LJ83" xr:uid="{00000000-0009-0000-0100-000097010000}"/>
  <tableColumns count="1">
    <tableColumn id="1" xr3:uid="{00000000-0010-0000-4601-000001000000}" name="Moenkhausia"/>
  </tableColumns>
  <tableStyleInfo name="TableStyleMedium9" showFirstColumn="0" showLastColumn="0" showRowStripes="1" showColumnStripes="0"/>
</table>
</file>

<file path=xl/tables/table3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8" xr:uid="{00000000-000C-0000-FFFF-FFFF47010000}" name="Monacanthus" displayName="Monacanthus" ref="LK1:LK4" totalsRowShown="0" headerRowDxfId="505">
  <autoFilter ref="LK1:LK4" xr:uid="{00000000-0009-0000-0100-000098010000}"/>
  <tableColumns count="1">
    <tableColumn id="1" xr3:uid="{00000000-0010-0000-4701-000001000000}" name="Monacanthus"/>
  </tableColumns>
  <tableStyleInfo name="TableStyleMedium9" showFirstColumn="0" showLastColumn="0" showRowStripes="1" showColumnStripes="0"/>
</table>
</file>

<file path=xl/tables/table3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9" xr:uid="{00000000-000C-0000-FFFF-FFFF48010000}" name="Monocirrhus" displayName="Monocirrhus" ref="LL1:LL2" totalsRowShown="0" headerRowDxfId="504">
  <autoFilter ref="LL1:LL2" xr:uid="{00000000-0009-0000-0100-000099010000}"/>
  <tableColumns count="1">
    <tableColumn id="1" xr3:uid="{00000000-0010-0000-4801-000001000000}" name="Monocirrhus"/>
  </tableColumns>
  <tableStyleInfo name="TableStyleMedium9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00000000-000C-0000-FFFF-FFFF20000000}" name="Amphilophus" displayName="Amphilophus" ref="U1:U17" totalsRowShown="0" headerRowDxfId="802">
  <autoFilter ref="U1:U17" xr:uid="{00000000-0009-0000-0100-00006D000000}"/>
  <tableColumns count="1">
    <tableColumn id="1" xr3:uid="{00000000-0010-0000-2000-000001000000}" name="Amphilophus"/>
  </tableColumns>
  <tableStyleInfo name="TableStyleMedium9" showFirstColumn="0" showLastColumn="0" showRowStripes="1" showColumnStripes="0"/>
</table>
</file>

<file path=xl/tables/table3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0" xr:uid="{00000000-000C-0000-FFFF-FFFF49010000}" name="Monodactylus" displayName="Monodactylus" ref="LM1:LM5" totalsRowShown="0" headerRowDxfId="503">
  <autoFilter ref="LM1:LM5" xr:uid="{00000000-0009-0000-0100-00009A010000}"/>
  <tableColumns count="1">
    <tableColumn id="1" xr3:uid="{00000000-0010-0000-4901-000001000000}" name="Monodactylus"/>
  </tableColumns>
  <tableStyleInfo name="TableStyleMedium9" showFirstColumn="0" showLastColumn="0" showRowStripes="1" showColumnStripes="0"/>
</table>
</file>

<file path=xl/tables/table3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1" xr:uid="{00000000-000C-0000-FFFF-FFFF4A010000}" name="Monopterus" displayName="Monopterus" ref="LN1:LN15" totalsRowShown="0" headerRowDxfId="502">
  <autoFilter ref="LN1:LN15" xr:uid="{00000000-0009-0000-0100-00009B010000}"/>
  <tableColumns count="1">
    <tableColumn id="1" xr3:uid="{00000000-0010-0000-4A01-000001000000}" name="Monopterus"/>
  </tableColumns>
  <tableStyleInfo name="TableStyleMedium9" showFirstColumn="0" showLastColumn="0" showRowStripes="1" showColumnStripes="0"/>
</table>
</file>

<file path=xl/tables/table3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2" xr:uid="{00000000-000C-0000-FFFF-FFFF4B010000}" name="Myleus" displayName="Myleus" ref="LO1:LO7" totalsRowShown="0" headerRowDxfId="501">
  <autoFilter ref="LO1:LO7" xr:uid="{00000000-0009-0000-0100-00009C010000}"/>
  <tableColumns count="1">
    <tableColumn id="1" xr3:uid="{00000000-0010-0000-4B01-000001000000}" name="Myleus"/>
  </tableColumns>
  <tableStyleInfo name="TableStyleMedium9" showFirstColumn="0" showLastColumn="0" showRowStripes="1" showColumnStripes="0"/>
</table>
</file>

<file path=xl/tables/table3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3" xr:uid="{00000000-000C-0000-FFFF-FFFF4C010000}" name="Myloplus" displayName="Myloplus" ref="LP1:LP14" totalsRowShown="0" headerRowDxfId="500">
  <autoFilter ref="LP1:LP14" xr:uid="{00000000-0009-0000-0100-00009D010000}"/>
  <tableColumns count="1">
    <tableColumn id="1" xr3:uid="{00000000-0010-0000-4C01-000001000000}" name="Myloplus"/>
  </tableColumns>
  <tableStyleInfo name="TableStyleMedium9" showFirstColumn="0" showLastColumn="0" showRowStripes="1" showColumnStripes="0"/>
</table>
</file>

<file path=xl/tables/table3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4" xr:uid="{00000000-000C-0000-FFFF-FFFF4D010000}" name="Mylossoma" displayName="Mylossoma" ref="LQ1:LQ4" totalsRowShown="0" headerRowDxfId="499">
  <autoFilter ref="LQ1:LQ4" xr:uid="{00000000-0009-0000-0100-00009E010000}"/>
  <tableColumns count="1">
    <tableColumn id="1" xr3:uid="{00000000-0010-0000-4D01-000001000000}" name="Mylossoma"/>
  </tableColumns>
  <tableStyleInfo name="TableStyleMedium9" showFirstColumn="0" showLastColumn="0" showRowStripes="1" showColumnStripes="0"/>
</table>
</file>

<file path=xl/tables/table3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5" xr:uid="{00000000-000C-0000-FFFF-FFFF4E010000}" name="Myrichthys" displayName="Myrichthys" ref="LR1:LR13" totalsRowShown="0" headerRowDxfId="498">
  <autoFilter ref="LR1:LR13" xr:uid="{00000000-0009-0000-0100-00009F010000}"/>
  <tableColumns count="1">
    <tableColumn id="1" xr3:uid="{00000000-0010-0000-4E01-000001000000}" name="Myrichthys"/>
  </tableColumns>
  <tableStyleInfo name="TableStyleMedium9" showFirstColumn="0" showLastColumn="0" showRowStripes="1" showColumnStripes="0"/>
</table>
</file>

<file path=xl/tables/table3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6" xr:uid="{00000000-000C-0000-FFFF-FFFF4F010000}" name="Mystus" displayName="Mystus" ref="LS1:LS49" totalsRowShown="0" headerRowDxfId="497">
  <autoFilter ref="LS1:LS49" xr:uid="{00000000-0009-0000-0100-0000A0010000}"/>
  <tableColumns count="1">
    <tableColumn id="1" xr3:uid="{00000000-0010-0000-4F01-000001000000}" name="Mystus"/>
  </tableColumns>
  <tableStyleInfo name="TableStyleMedium9" showFirstColumn="0" showLastColumn="0" showRowStripes="1" showColumnStripes="0"/>
</table>
</file>

<file path=xl/tables/table3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7" xr:uid="{00000000-000C-0000-FFFF-FFFF50010000}" name="Nandopsis" displayName="Nandopsis" ref="LT1:LT4" totalsRowShown="0" headerRowDxfId="496">
  <autoFilter ref="LT1:LT4" xr:uid="{00000000-0009-0000-0100-0000A1010000}"/>
  <tableColumns count="1">
    <tableColumn id="1" xr3:uid="{00000000-0010-0000-5001-000001000000}" name="Nandopsis"/>
  </tableColumns>
  <tableStyleInfo name="TableStyleMedium9" showFirstColumn="0" showLastColumn="0" showRowStripes="1" showColumnStripes="0"/>
</table>
</file>

<file path=xl/tables/table3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8" xr:uid="{00000000-000C-0000-FFFF-FFFF51010000}" name="Nandus" displayName="Nandus" ref="LU1:LU8" totalsRowShown="0" headerRowDxfId="495">
  <autoFilter ref="LU1:LU8" xr:uid="{00000000-0009-0000-0100-0000A2010000}"/>
  <tableColumns count="1">
    <tableColumn id="1" xr3:uid="{00000000-0010-0000-5101-000001000000}" name="Nandus"/>
  </tableColumns>
  <tableStyleInfo name="TableStyleMedium9" showFirstColumn="0" showLastColumn="0" showRowStripes="1" showColumnStripes="0"/>
</table>
</file>

<file path=xl/tables/table3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9" xr:uid="{00000000-000C-0000-FFFF-FFFF52010000}" name="Nannacara" displayName="Nannacara" ref="LV1:LV7" totalsRowShown="0" headerRowDxfId="494">
  <autoFilter ref="LV1:LV7" xr:uid="{00000000-0009-0000-0100-0000A3010000}"/>
  <tableColumns count="1">
    <tableColumn id="1" xr3:uid="{00000000-0010-0000-5201-000001000000}" name="Nannacara"/>
  </tableColumns>
  <tableStyleInfo name="TableStyleMedium9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00000000-000C-0000-FFFF-FFFF21000000}" name="Amphiprion" displayName="Amphiprion" ref="V1:V30" totalsRowShown="0" headerRowDxfId="801">
  <autoFilter ref="V1:V30" xr:uid="{00000000-0009-0000-0100-00006E000000}"/>
  <tableColumns count="1">
    <tableColumn id="1" xr3:uid="{00000000-0010-0000-2100-000001000000}" name="Amphiprion"/>
  </tableColumns>
  <tableStyleInfo name="TableStyleMedium9" showFirstColumn="0" showLastColumn="0" showRowStripes="1" showColumnStripes="0"/>
</table>
</file>

<file path=xl/tables/table3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0" xr:uid="{00000000-000C-0000-FFFF-FFFF53010000}" name="Nannostomus" displayName="Nannostomus" ref="LW1:LW21" totalsRowShown="0" headerRowDxfId="493">
  <autoFilter ref="LW1:LW21" xr:uid="{00000000-0009-0000-0100-0000A4010000}"/>
  <tableColumns count="1">
    <tableColumn id="1" xr3:uid="{00000000-0010-0000-5301-000001000000}" name="Nannostomus"/>
  </tableColumns>
  <tableStyleInfo name="TableStyleMedium9" showFirstColumn="0" showLastColumn="0" showRowStripes="1" showColumnStripes="0"/>
</table>
</file>

<file path=xl/tables/table3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1" xr:uid="{00000000-000C-0000-FFFF-FFFF54010000}" name="Nanochromis" displayName="Nanochromis" ref="LX1:LX9" totalsRowShown="0" headerRowDxfId="492">
  <autoFilter ref="LX1:LX9" xr:uid="{00000000-0009-0000-0100-0000A5010000}"/>
  <tableColumns count="1">
    <tableColumn id="1" xr3:uid="{00000000-0010-0000-5401-000001000000}" name="Nanochromis"/>
  </tableColumns>
  <tableStyleInfo name="TableStyleMedium9" showFirstColumn="0" showLastColumn="0" showRowStripes="1" showColumnStripes="0"/>
</table>
</file>

<file path=xl/tables/table3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2" xr:uid="{00000000-000C-0000-FFFF-FFFF55010000}" name="Narcine" displayName="Narcine" ref="LY1:LY22" totalsRowShown="0" headerRowDxfId="491">
  <autoFilter ref="LY1:LY22" xr:uid="{00000000-0009-0000-0100-0000A6010000}"/>
  <tableColumns count="1">
    <tableColumn id="1" xr3:uid="{00000000-0010-0000-5501-000001000000}" name="Narcine"/>
  </tableColumns>
  <tableStyleInfo name="TableStyleMedium9" showFirstColumn="0" showLastColumn="0" showRowStripes="1" showColumnStripes="0"/>
</table>
</file>

<file path=xl/tables/table3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3" xr:uid="{00000000-000C-0000-FFFF-FFFF56010000}" name="Naso" displayName="Naso" ref="LZ1:LZ21" totalsRowShown="0" headerRowDxfId="490">
  <autoFilter ref="LZ1:LZ21" xr:uid="{00000000-0009-0000-0100-0000A7010000}"/>
  <tableColumns count="1">
    <tableColumn id="1" xr3:uid="{00000000-0010-0000-5601-000001000000}" name="Naso"/>
  </tableColumns>
  <tableStyleInfo name="TableStyleMedium9" showFirstColumn="0" showLastColumn="0" showRowStripes="1" showColumnStripes="0"/>
</table>
</file>

<file path=xl/tables/table3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4" xr:uid="{00000000-000C-0000-FFFF-FFFF57010000}" name="Negaprion" displayName="Negaprion" ref="MA1:MA3" totalsRowShown="0" headerRowDxfId="489">
  <autoFilter ref="MA1:MA3" xr:uid="{00000000-0009-0000-0100-0000A8010000}"/>
  <tableColumns count="1">
    <tableColumn id="1" xr3:uid="{00000000-0010-0000-5701-000001000000}" name="Negaprion"/>
  </tableColumns>
  <tableStyleInfo name="TableStyleMedium9" showFirstColumn="0" showLastColumn="0" showRowStripes="1" showColumnStripes="0"/>
</table>
</file>

<file path=xl/tables/table3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5" xr:uid="{00000000-000C-0000-FFFF-FFFF58010000}" name="Nemacheilus" displayName="Nemacheilus" ref="MB1:MB53" totalsRowShown="0" headerRowDxfId="488">
  <autoFilter ref="MB1:MB53" xr:uid="{00000000-0009-0000-0100-0000A9010000}"/>
  <tableColumns count="1">
    <tableColumn id="1" xr3:uid="{00000000-0010-0000-5801-000001000000}" name="Nemacheilus"/>
  </tableColumns>
  <tableStyleInfo name="TableStyleMedium9" showFirstColumn="0" showLastColumn="0" showRowStripes="1" showColumnStripes="0"/>
</table>
</file>

<file path=xl/tables/table3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6" xr:uid="{00000000-000C-0000-FFFF-FFFF59010000}" name="Nemadoras" displayName="Nemadoras" ref="MC1:MC5" totalsRowShown="0" headerRowDxfId="487">
  <autoFilter ref="MC1:MC5" xr:uid="{00000000-0009-0000-0100-0000AA010000}"/>
  <tableColumns count="1">
    <tableColumn id="1" xr3:uid="{00000000-0010-0000-5901-000001000000}" name="Nemadoras"/>
  </tableColumns>
  <tableStyleInfo name="TableStyleMedium9" showFirstColumn="0" showLastColumn="0" showRowStripes="1" showColumnStripes="0"/>
</table>
</file>

<file path=xl/tables/table3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7" xr:uid="{00000000-000C-0000-FFFF-FFFF5A010000}" name="Nemateleotris" displayName="Nemateleotris" ref="MD1:MD4" totalsRowShown="0" headerRowDxfId="486">
  <autoFilter ref="MD1:MD4" xr:uid="{00000000-0009-0000-0100-0000AB010000}"/>
  <tableColumns count="1">
    <tableColumn id="1" xr3:uid="{00000000-0010-0000-5A01-000001000000}" name="Nemateleotris"/>
  </tableColumns>
  <tableStyleInfo name="TableStyleMedium9" showFirstColumn="0" showLastColumn="0" showRowStripes="1" showColumnStripes="0"/>
</table>
</file>

<file path=xl/tables/table3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8" xr:uid="{00000000-000C-0000-FFFF-FFFF5B010000}" name="Nematobrycon" displayName="Nematobrycon" ref="ME1:ME3" totalsRowShown="0" headerRowDxfId="485">
  <autoFilter ref="ME1:ME3" xr:uid="{00000000-0009-0000-0100-0000AC010000}"/>
  <tableColumns count="1">
    <tableColumn id="1" xr3:uid="{00000000-0010-0000-5B01-000001000000}" name="Nematobrycon"/>
  </tableColumns>
  <tableStyleInfo name="TableStyleMedium9" showFirstColumn="0" showLastColumn="0" showRowStripes="1" showColumnStripes="0"/>
</table>
</file>

<file path=xl/tables/table3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9" xr:uid="{00000000-000C-0000-FFFF-FFFF5C010000}" name="Nematolebias" displayName="Nematolebias" ref="MF1:MF4" totalsRowShown="0" headerRowDxfId="484">
  <autoFilter ref="MF1:MF4" xr:uid="{00000000-0009-0000-0100-0000AD010000}"/>
  <tableColumns count="1">
    <tableColumn id="1" xr3:uid="{00000000-0010-0000-5C01-000001000000}" name="Nematolebias"/>
  </tableColumns>
  <tableStyleInfo name="TableStyleMedium9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00000000-000C-0000-FFFF-FFFF22000000}" name="Anabas" displayName="Anabas" ref="W1:W3" totalsRowShown="0" headerRowDxfId="800">
  <autoFilter ref="W1:W3" xr:uid="{00000000-0009-0000-0100-00006F000000}"/>
  <tableColumns count="1">
    <tableColumn id="1" xr3:uid="{00000000-0010-0000-2200-000001000000}" name="Anabas"/>
  </tableColumns>
  <tableStyleInfo name="TableStyleMedium9" showFirstColumn="0" showLastColumn="0" showRowStripes="1" showColumnStripes="0"/>
</table>
</file>

<file path=xl/tables/table3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0" xr:uid="{00000000-000C-0000-FFFF-FFFF5D010000}" name="Neocirrhites" displayName="Neocirrhites" ref="MG1:MG2" totalsRowShown="0" headerRowDxfId="483">
  <autoFilter ref="MG1:MG2" xr:uid="{00000000-0009-0000-0100-0000AE010000}"/>
  <tableColumns count="1">
    <tableColumn id="1" xr3:uid="{00000000-0010-0000-5D01-000001000000}" name="Neocirrhites"/>
  </tableColumns>
  <tableStyleInfo name="TableStyleMedium9" showFirstColumn="0" showLastColumn="0" showRowStripes="1" showColumnStripes="0"/>
</table>
</file>

<file path=xl/tables/table3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1" xr:uid="{00000000-000C-0000-FFFF-FFFF5E010000}" name="Neoglyphidodon" displayName="Neoglyphidodon" ref="MH1:MH10" totalsRowShown="0" headerRowDxfId="482">
  <autoFilter ref="MH1:MH10" xr:uid="{00000000-0009-0000-0100-0000AF010000}"/>
  <tableColumns count="1">
    <tableColumn id="1" xr3:uid="{00000000-0010-0000-5E01-000001000000}" name="Neoglyphidodon"/>
  </tableColumns>
  <tableStyleInfo name="TableStyleMedium9" showFirstColumn="0" showLastColumn="0" showRowStripes="1" showColumnStripes="0"/>
</table>
</file>

<file path=xl/tables/table3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2" xr:uid="{00000000-000C-0000-FFFF-FFFF5F010000}" name="Neolamprologus" displayName="Neolamprologus" ref="MI1:MI47" totalsRowShown="0" headerRowDxfId="481">
  <autoFilter ref="MI1:MI47" xr:uid="{00000000-0009-0000-0100-0000B0010000}"/>
  <tableColumns count="1">
    <tableColumn id="1" xr3:uid="{00000000-0010-0000-5F01-000001000000}" name="Neolamprologus"/>
  </tableColumns>
  <tableStyleInfo name="TableStyleMedium9" showFirstColumn="0" showLastColumn="0" showRowStripes="1" showColumnStripes="0"/>
</table>
</file>

<file path=xl/tables/table3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3" xr:uid="{00000000-000C-0000-FFFF-FFFF60010000}" name="Neoniphon" displayName="Neoniphon" ref="MJ1:MJ6" totalsRowShown="0" headerRowDxfId="480">
  <autoFilter ref="MJ1:MJ6" xr:uid="{00000000-0009-0000-0100-0000B1010000}"/>
  <tableColumns count="1">
    <tableColumn id="1" xr3:uid="{00000000-0010-0000-6001-000001000000}" name="Neoniphon"/>
  </tableColumns>
  <tableStyleInfo name="TableStyleMedium9" showFirstColumn="0" showLastColumn="0" showRowStripes="1" showColumnStripes="0"/>
</table>
</file>

<file path=xl/tables/table3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4" xr:uid="{00000000-000C-0000-FFFF-FFFF61010000}" name="Neosynchiropus" displayName="Neosynchiropus" ref="MK1:MK4" totalsRowShown="0" headerRowDxfId="479">
  <autoFilter ref="MK1:MK4" xr:uid="{00000000-0009-0000-0100-0000B2010000}"/>
  <tableColumns count="1">
    <tableColumn id="1" xr3:uid="{00000000-0010-0000-6101-000001000000}" name="Neosynchiropus"/>
  </tableColumns>
  <tableStyleInfo name="TableStyleMedium9" showFirstColumn="0" showLastColumn="0" showRowStripes="1" showColumnStripes="0"/>
</table>
</file>

<file path=xl/tables/table3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5" xr:uid="{00000000-000C-0000-FFFF-FFFF62010000}" name="Nimbochromis" displayName="Nimbochromis" ref="ML1:ML6" totalsRowShown="0" headerRowDxfId="478">
  <autoFilter ref="ML1:ML6" xr:uid="{00000000-0009-0000-0100-0000B3010000}"/>
  <tableColumns count="1">
    <tableColumn id="1" xr3:uid="{00000000-0010-0000-6201-000001000000}" name="Nimbochromis"/>
  </tableColumns>
  <tableStyleInfo name="TableStyleMedium9" showFirstColumn="0" showLastColumn="0" showRowStripes="1" showColumnStripes="0"/>
</table>
</file>

<file path=xl/tables/table3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6" xr:uid="{00000000-000C-0000-FFFF-FFFF63010000}" name="Nomorhamphus" displayName="Nomorhamphus" ref="MM1:MM22" totalsRowShown="0" headerRowDxfId="477">
  <autoFilter ref="MM1:MM22" xr:uid="{00000000-0009-0000-0100-0000B4010000}"/>
  <tableColumns count="1">
    <tableColumn id="1" xr3:uid="{00000000-0010-0000-6301-000001000000}" name="Nomorhamphus"/>
  </tableColumns>
  <tableStyleInfo name="TableStyleMedium9" showFirstColumn="0" showLastColumn="0" showRowStripes="1" showColumnStripes="0"/>
</table>
</file>

<file path=xl/tables/table3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7" xr:uid="{00000000-000C-0000-FFFF-FFFF64010000}" name="Notesthes" displayName="Notesthes" ref="MN1:MN2" totalsRowShown="0" headerRowDxfId="476">
  <autoFilter ref="MN1:MN2" xr:uid="{00000000-0009-0000-0100-0000B5010000}"/>
  <tableColumns count="1">
    <tableColumn id="1" xr3:uid="{00000000-0010-0000-6401-000001000000}" name="Notesthes"/>
  </tableColumns>
  <tableStyleInfo name="TableStyleMedium9" showFirstColumn="0" showLastColumn="0" showRowStripes="1" showColumnStripes="0"/>
</table>
</file>

<file path=xl/tables/table3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8" xr:uid="{00000000-000C-0000-FFFF-FFFF65010000}" name="Nothobranchius" displayName="Nothobranchius" ref="MO1:MO76" totalsRowShown="0" headerRowDxfId="475">
  <autoFilter ref="MO1:MO76" xr:uid="{00000000-0009-0000-0100-0000B6010000}"/>
  <tableColumns count="1">
    <tableColumn id="1" xr3:uid="{00000000-0010-0000-6501-000001000000}" name="Nothobranchius"/>
  </tableColumns>
  <tableStyleInfo name="TableStyleMedium9" showFirstColumn="0" showLastColumn="0" showRowStripes="1" showColumnStripes="0"/>
</table>
</file>

<file path=xl/tables/table3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9" xr:uid="{00000000-000C-0000-FFFF-FFFF66010000}" name="Notopterus" displayName="Notopterus" ref="MP1:MP2" totalsRowShown="0" headerRowDxfId="474">
  <autoFilter ref="MP1:MP2" xr:uid="{00000000-0009-0000-0100-0000B7010000}"/>
  <tableColumns count="1">
    <tableColumn id="1" xr3:uid="{00000000-0010-0000-6601-000001000000}" name="Notopterus"/>
  </tableColumns>
  <tableStyleInfo name="TableStyleMedium9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00000000-000C-0000-FFFF-FFFF23000000}" name="Anableps" displayName="Anableps" ref="X1:X4" totalsRowShown="0" headerRowDxfId="799">
  <autoFilter ref="X1:X4" xr:uid="{00000000-0009-0000-0100-000070000000}"/>
  <tableColumns count="1">
    <tableColumn id="1" xr3:uid="{00000000-0010-0000-2300-000001000000}" name="Anableps"/>
  </tableColumns>
  <tableStyleInfo name="TableStyleMedium9" showFirstColumn="0" showLastColumn="0" showRowStripes="1" showColumnStripes="0"/>
</table>
</file>

<file path=xl/tables/table3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0" xr:uid="{00000000-000C-0000-FFFF-FFFF67010000}" name="Novaculichthys" displayName="Novaculichthys" ref="MQ1:MQ2" totalsRowShown="0" headerRowDxfId="473">
  <autoFilter ref="MQ1:MQ2" xr:uid="{00000000-0009-0000-0100-0000B8010000}"/>
  <tableColumns count="1">
    <tableColumn id="1" xr3:uid="{00000000-0010-0000-6701-000001000000}" name="Novaculichthys"/>
  </tableColumns>
  <tableStyleInfo name="TableStyleMedium9" showFirstColumn="0" showLastColumn="0" showRowStripes="1" showColumnStripes="0"/>
</table>
</file>

<file path=xl/tables/table3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1" xr:uid="{00000000-000C-0000-FFFF-FFFF68010000}" name="Odonus" displayName="Odonus" ref="MR1:MR2" totalsRowShown="0" headerRowDxfId="472">
  <autoFilter ref="MR1:MR2" xr:uid="{00000000-0009-0000-0100-0000B9010000}"/>
  <tableColumns count="1">
    <tableColumn id="1" xr3:uid="{00000000-0010-0000-6801-000001000000}" name="Odonus"/>
  </tableColumns>
  <tableStyleInfo name="TableStyleMedium9" showFirstColumn="0" showLastColumn="0" showRowStripes="1" showColumnStripes="0"/>
</table>
</file>

<file path=xl/tables/table3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2" xr:uid="{00000000-000C-0000-FFFF-FFFF69010000}" name="Ompok" displayName="Ompok" ref="MS1:MS29" totalsRowShown="0" headerRowDxfId="471">
  <autoFilter ref="MS1:MS29" xr:uid="{00000000-0009-0000-0100-0000BA010000}"/>
  <tableColumns count="1">
    <tableColumn id="1" xr3:uid="{00000000-0010-0000-6901-000001000000}" name="Ompok"/>
  </tableColumns>
  <tableStyleInfo name="TableStyleMedium9" showFirstColumn="0" showLastColumn="0" showRowStripes="1" showColumnStripes="0"/>
</table>
</file>

<file path=xl/tables/table3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3" xr:uid="{00000000-000C-0000-FFFF-FFFF6A010000}" name="Ophthalmotilapia" displayName="Ophthalmotilapia" ref="MT1:MT5" totalsRowShown="0" headerRowDxfId="470">
  <autoFilter ref="MT1:MT5" xr:uid="{00000000-0009-0000-0100-0000BB010000}"/>
  <tableColumns count="1">
    <tableColumn id="1" xr3:uid="{00000000-0010-0000-6A01-000001000000}" name="Ophthalmotilapia"/>
  </tableColumns>
  <tableStyleInfo name="TableStyleMedium9" showFirstColumn="0" showLastColumn="0" showRowStripes="1" showColumnStripes="0"/>
</table>
</file>

<file path=xl/tables/table3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4" xr:uid="{00000000-000C-0000-FFFF-FFFF6B010000}" name="Opistognathus" displayName="Opistognathus" ref="MU1:MU67" totalsRowShown="0" headerRowDxfId="469">
  <autoFilter ref="MU1:MU67" xr:uid="{00000000-0009-0000-0100-0000BC010000}"/>
  <tableColumns count="1">
    <tableColumn id="1" xr3:uid="{00000000-0010-0000-6B01-000001000000}" name="Opistognathus"/>
  </tableColumns>
  <tableStyleInfo name="TableStyleMedium9" showFirstColumn="0" showLastColumn="0" showRowStripes="1" showColumnStripes="0"/>
</table>
</file>

<file path=xl/tables/table3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5" xr:uid="{00000000-000C-0000-FFFF-FFFF6C010000}" name="Oryzias" displayName="Oryzias" ref="MV1:MV34" totalsRowShown="0" headerRowDxfId="468">
  <autoFilter ref="MV1:MV34" xr:uid="{00000000-0009-0000-0100-0000BD010000}"/>
  <tableColumns count="1">
    <tableColumn id="1" xr3:uid="{00000000-0010-0000-6C01-000001000000}" name="Oryzias"/>
  </tableColumns>
  <tableStyleInfo name="TableStyleMedium9" showFirstColumn="0" showLastColumn="0" showRowStripes="1" showColumnStripes="0"/>
</table>
</file>

<file path=xl/tables/table3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6" xr:uid="{00000000-000C-0000-FFFF-FFFF6D010000}" name="Osphronemus" displayName="Osphronemus" ref="MW1:MW5" totalsRowShown="0" headerRowDxfId="467">
  <autoFilter ref="MW1:MW5" xr:uid="{00000000-0009-0000-0100-0000BE010000}"/>
  <tableColumns count="1">
    <tableColumn id="1" xr3:uid="{00000000-0010-0000-6D01-000001000000}" name="Osphronemus"/>
  </tableColumns>
  <tableStyleInfo name="TableStyleMedium9" showFirstColumn="0" showLastColumn="0" showRowStripes="1" showColumnStripes="0"/>
</table>
</file>

<file path=xl/tables/table3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7" xr:uid="{00000000-000C-0000-FFFF-FFFF6E010000}" name="Osteochilus" displayName="Osteochilus" ref="MX1:MX36" totalsRowShown="0" headerRowDxfId="466">
  <autoFilter ref="MX1:MX36" xr:uid="{00000000-0009-0000-0100-0000BF010000}"/>
  <tableColumns count="1">
    <tableColumn id="1" xr3:uid="{00000000-0010-0000-6E01-000001000000}" name="Osteochilus"/>
  </tableColumns>
  <tableStyleInfo name="TableStyleMedium9" showFirstColumn="0" showLastColumn="0" showRowStripes="1" showColumnStripes="0"/>
</table>
</file>

<file path=xl/tables/table3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8" xr:uid="{00000000-000C-0000-FFFF-FFFF6F010000}" name="Osteoglossum" displayName="Osteoglossum" ref="MY1:MY5" totalsRowShown="0" headerRowDxfId="465">
  <autoFilter ref="MY1:MY5" xr:uid="{00000000-0009-0000-0100-0000C0010000}"/>
  <tableColumns count="1">
    <tableColumn id="1" xr3:uid="{00000000-0010-0000-6F01-000001000000}" name="Osteoglossum"/>
  </tableColumns>
  <tableStyleInfo name="TableStyleMedium9" showFirstColumn="0" showLastColumn="0" showRowStripes="1" showColumnStripes="0"/>
</table>
</file>

<file path=xl/tables/table3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9" xr:uid="{00000000-000C-0000-FFFF-FFFF70010000}" name="Ostracion" displayName="Ostracion" ref="MZ1:MZ9" totalsRowShown="0" headerRowDxfId="464">
  <autoFilter ref="MZ1:MZ9" xr:uid="{00000000-0009-0000-0100-0000C1010000}"/>
  <tableColumns count="1">
    <tableColumn id="1" xr3:uid="{00000000-0010-0000-7001-000001000000}" name="Ostracion"/>
  </tableColumns>
  <tableStyleInfo name="TableStyleMedium9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00000000-000C-0000-FFFF-FFFF24000000}" name="Anadoras" displayName="Anadoras" ref="Y1:Y5" totalsRowShown="0" headerRowDxfId="798">
  <autoFilter ref="Y1:Y5" xr:uid="{00000000-0009-0000-0100-000071000000}"/>
  <tableColumns count="1">
    <tableColumn id="1" xr3:uid="{00000000-0010-0000-2400-000001000000}" name="Anadoras"/>
  </tableColumns>
  <tableStyleInfo name="TableStyleMedium9" showFirstColumn="0" showLastColumn="0" showRowStripes="1" showColumnStripes="0"/>
</table>
</file>

<file path=xl/tables/table3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0" xr:uid="{00000000-000C-0000-FFFF-FFFF71010000}" name="Otocinclus" displayName="Otocinclus" ref="NA1:NA19" totalsRowShown="0" headerRowDxfId="463">
  <autoFilter ref="NA1:NA19" xr:uid="{00000000-0009-0000-0100-0000C2010000}"/>
  <tableColumns count="1">
    <tableColumn id="1" xr3:uid="{00000000-0010-0000-7101-000001000000}" name="Otocinclus"/>
  </tableColumns>
  <tableStyleInfo name="TableStyleMedium9" showFirstColumn="0" showLastColumn="0" showRowStripes="1" showColumnStripes="0"/>
</table>
</file>

<file path=xl/tables/table3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1" xr:uid="{00000000-000C-0000-FFFF-FFFF72010000}" name="Tabla451" displayName="Tabla451" ref="NB1:NB15" totalsRowShown="0" headerRowDxfId="462">
  <autoFilter ref="NB1:NB15" xr:uid="{00000000-0009-0000-0100-0000C3010000}"/>
  <tableColumns count="1">
    <tableColumn id="1" xr3:uid="{00000000-0010-0000-7201-000001000000}" name="Otopharynx"/>
  </tableColumns>
  <tableStyleInfo name="TableStyleMedium9" showFirstColumn="0" showLastColumn="0" showRowStripes="1" showColumnStripes="0"/>
</table>
</file>

<file path=xl/tables/table3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2" xr:uid="{00000000-000C-0000-FFFF-FFFF73010000}" name="Oxycirrhites" displayName="Oxycirrhites" ref="NC1:NC2" totalsRowShown="0" headerRowDxfId="461">
  <autoFilter ref="NC1:NC2" xr:uid="{00000000-0009-0000-0100-0000C4010000}"/>
  <tableColumns count="1">
    <tableColumn id="1" xr3:uid="{00000000-0010-0000-7301-000001000000}" name="Oxycirrhites"/>
  </tableColumns>
  <tableStyleInfo name="TableStyleMedium9" showFirstColumn="0" showLastColumn="0" showRowStripes="1" showColumnStripes="0"/>
</table>
</file>

<file path=xl/tables/table3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3" xr:uid="{00000000-000C-0000-FFFF-FFFF74010000}" name="Oxyeleotris" displayName="Oxyeleotris" ref="ND1:ND19" totalsRowShown="0" headerRowDxfId="460">
  <autoFilter ref="ND1:ND19" xr:uid="{00000000-0009-0000-0100-0000C5010000}"/>
  <tableColumns count="1">
    <tableColumn id="1" xr3:uid="{00000000-0010-0000-7401-000001000000}" name="Oxyeleotris"/>
  </tableColumns>
  <tableStyleInfo name="TableStyleMedium9" showFirstColumn="0" showLastColumn="0" showRowStripes="1" showColumnStripes="0"/>
</table>
</file>

<file path=xl/tables/table3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4" xr:uid="{00000000-000C-0000-FFFF-FFFF75010000}" name="Oxymonacanthus" displayName="Oxymonacanthus" ref="NE1:NE3" totalsRowShown="0" headerRowDxfId="459">
  <autoFilter ref="NE1:NE3" xr:uid="{00000000-0009-0000-0100-0000C6010000}"/>
  <tableColumns count="1">
    <tableColumn id="1" xr3:uid="{00000000-0010-0000-7501-000001000000}" name="Oxymonacanthus"/>
  </tableColumns>
  <tableStyleInfo name="TableStyleMedium9" showFirstColumn="0" showLastColumn="0" showRowStripes="1" showColumnStripes="0"/>
</table>
</file>

<file path=xl/tables/table3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5" xr:uid="{00000000-000C-0000-FFFF-FFFF76010000}" name="Panaque" displayName="Panaque" ref="NF1:NF8" totalsRowShown="0" headerRowDxfId="458">
  <autoFilter ref="NF1:NF8" xr:uid="{00000000-0009-0000-0100-0000C7010000}"/>
  <tableColumns count="1">
    <tableColumn id="1" xr3:uid="{00000000-0010-0000-7601-000001000000}" name="Panaque"/>
  </tableColumns>
  <tableStyleInfo name="TableStyleMedium9" showFirstColumn="0" showLastColumn="0" showRowStripes="1" showColumnStripes="0"/>
</table>
</file>

<file path=xl/tables/table3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6" xr:uid="{00000000-000C-0000-FFFF-FFFF77010000}" name="Pangasius" displayName="Pangasius" ref="NG1:NG23" totalsRowShown="0" headerRowDxfId="457">
  <autoFilter ref="NG1:NG23" xr:uid="{00000000-0009-0000-0100-0000C8010000}"/>
  <tableColumns count="1">
    <tableColumn id="1" xr3:uid="{00000000-0010-0000-7701-000001000000}" name="Pangasius"/>
  </tableColumns>
  <tableStyleInfo name="TableStyleMedium9" showFirstColumn="0" showLastColumn="0" showRowStripes="1" showColumnStripes="0"/>
</table>
</file>

<file path=xl/tables/table3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7" xr:uid="{00000000-000C-0000-FFFF-FFFF78010000}" name="Pangio" displayName="Pangio" ref="NH1:NH35" totalsRowShown="0" headerRowDxfId="456">
  <autoFilter ref="NH1:NH35" xr:uid="{00000000-0009-0000-0100-0000C9010000}"/>
  <tableColumns count="1">
    <tableColumn id="1" xr3:uid="{00000000-0010-0000-7801-000001000000}" name="Pangio"/>
  </tableColumns>
  <tableStyleInfo name="TableStyleMedium9" showFirstColumn="0" showLastColumn="0" showRowStripes="1" showColumnStripes="0"/>
</table>
</file>

<file path=xl/tables/table3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8" xr:uid="{00000000-000C-0000-FFFF-FFFF79010000}" name="Pantodon" displayName="Pantodon" ref="NI1:NI2" totalsRowShown="0" headerRowDxfId="455">
  <autoFilter ref="NI1:NI2" xr:uid="{00000000-0009-0000-0100-0000CA010000}"/>
  <tableColumns count="1">
    <tableColumn id="1" xr3:uid="{00000000-0010-0000-7901-000001000000}" name="Pantodon"/>
  </tableColumns>
  <tableStyleInfo name="TableStyleMedium9" showFirstColumn="0" showLastColumn="0" showRowStripes="1" showColumnStripes="0"/>
</table>
</file>

<file path=xl/tables/table3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9" xr:uid="{00000000-000C-0000-FFFF-FFFF7A010000}" name="Parablennius" displayName="Parablennius" ref="NJ1:NJ27" totalsRowShown="0" headerRowDxfId="454">
  <autoFilter ref="NJ1:NJ27" xr:uid="{00000000-0009-0000-0100-0000CB010000}"/>
  <tableColumns count="1">
    <tableColumn id="1" xr3:uid="{00000000-0010-0000-7A01-000001000000}" name="Parablennius"/>
  </tableColumns>
  <tableStyleInfo name="TableStyleMedium9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00000000-000C-0000-FFFF-FFFF25000000}" name="Anampses" displayName="Anampses" ref="Z1:Z13" totalsRowShown="0" headerRowDxfId="797">
  <autoFilter ref="Z1:Z13" xr:uid="{00000000-0009-0000-0100-000072000000}"/>
  <tableColumns count="1">
    <tableColumn id="1" xr3:uid="{00000000-0010-0000-2500-000001000000}" name="Anampses"/>
  </tableColumns>
  <tableStyleInfo name="TableStyleMedium9" showFirstColumn="0" showLastColumn="0" showRowStripes="1" showColumnStripes="0"/>
</table>
</file>

<file path=xl/tables/table3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0" xr:uid="{00000000-000C-0000-FFFF-FFFF7B010000}" name="Paracanthurus" displayName="Paracanthurus" ref="NK1:NK2" totalsRowShown="0" headerRowDxfId="453">
  <autoFilter ref="NK1:NK2" xr:uid="{00000000-0009-0000-0100-0000CC010000}"/>
  <tableColumns count="1">
    <tableColumn id="1" xr3:uid="{00000000-0010-0000-7B01-000001000000}" name="Paracanthurus"/>
  </tableColumns>
  <tableStyleInfo name="TableStyleMedium9" showFirstColumn="0" showLastColumn="0" showRowStripes="1" showColumnStripes="0"/>
</table>
</file>

<file path=xl/tables/table3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1" xr:uid="{00000000-000C-0000-FFFF-FFFF7C010000}" name="Paracheilinus" displayName="Paracheilinus" ref="NL1:NL19" totalsRowShown="0" headerRowDxfId="452">
  <autoFilter ref="NL1:NL19" xr:uid="{00000000-0009-0000-0100-0000CD010000}"/>
  <tableColumns count="1">
    <tableColumn id="1" xr3:uid="{00000000-0010-0000-7C01-000001000000}" name="Paracheilinus"/>
  </tableColumns>
  <tableStyleInfo name="TableStyleMedium9" showFirstColumn="0" showLastColumn="0" showRowStripes="1" showColumnStripes="0"/>
</table>
</file>

<file path=xl/tables/table3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2" xr:uid="{00000000-000C-0000-FFFF-FFFF7D010000}" name="Paracheirodon" displayName="Paracheirodon" ref="NM1:NM4" totalsRowShown="0" headerRowDxfId="451">
  <autoFilter ref="NM1:NM4" xr:uid="{00000000-0009-0000-0100-0000CE010000}"/>
  <tableColumns count="1">
    <tableColumn id="1" xr3:uid="{00000000-0010-0000-7D01-000001000000}" name="Paracheirodon"/>
  </tableColumns>
  <tableStyleInfo name="TableStyleMedium9" showFirstColumn="0" showLastColumn="0" showRowStripes="1" showColumnStripes="0"/>
</table>
</file>

<file path=xl/tables/table3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3" xr:uid="{00000000-000C-0000-FFFF-FFFF7E010000}" name="Parachromis" displayName="Parachromis" ref="NN1:NN6" totalsRowShown="0" headerRowDxfId="450">
  <autoFilter ref="NN1:NN6" xr:uid="{00000000-0009-0000-0100-0000CF010000}"/>
  <tableColumns count="1">
    <tableColumn id="1" xr3:uid="{00000000-0010-0000-7E01-000001000000}" name="Parachromis"/>
  </tableColumns>
  <tableStyleInfo name="TableStyleMedium9" showFirstColumn="0" showLastColumn="0" showRowStripes="1" showColumnStripes="0"/>
</table>
</file>

<file path=xl/tables/table3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4" xr:uid="{00000000-000C-0000-FFFF-FFFF7F010000}" name="Paracirrhites" displayName="Paracirrhites" ref="NO1:NO7" totalsRowShown="0" headerRowDxfId="449">
  <autoFilter ref="NO1:NO7" xr:uid="{00000000-0009-0000-0100-0000D0010000}"/>
  <tableColumns count="1">
    <tableColumn id="1" xr3:uid="{00000000-0010-0000-7F01-000001000000}" name="Paracirrhites"/>
  </tableColumns>
  <tableStyleInfo name="TableStyleMedium9" showFirstColumn="0" showLastColumn="0" showRowStripes="1" showColumnStripes="0"/>
</table>
</file>

<file path=xl/tables/table3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5" xr:uid="{00000000-000C-0000-FFFF-FFFF80010000}" name="Paracyprichromis" displayName="Paracyprichromis" ref="NP1:NP3" totalsRowShown="0" headerRowDxfId="448">
  <autoFilter ref="NP1:NP3" xr:uid="{00000000-0009-0000-0100-0000D1010000}"/>
  <tableColumns count="1">
    <tableColumn id="1" xr3:uid="{00000000-0010-0000-8001-000001000000}" name="Paracyprichromis"/>
  </tableColumns>
  <tableStyleInfo name="TableStyleMedium9" showFirstColumn="0" showLastColumn="0" showRowStripes="1" showColumnStripes="0"/>
</table>
</file>

<file path=xl/tables/table3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6" xr:uid="{00000000-000C-0000-FFFF-FFFF81010000}" name="Paragobiodon" displayName="Paragobiodon" ref="NQ1:NQ7" totalsRowShown="0" headerRowDxfId="447">
  <autoFilter ref="NQ1:NQ7" xr:uid="{00000000-0009-0000-0100-0000D2010000}"/>
  <tableColumns count="1">
    <tableColumn id="1" xr3:uid="{00000000-0010-0000-8101-000001000000}" name="Paragobiodon"/>
  </tableColumns>
  <tableStyleInfo name="TableStyleMedium9" showFirstColumn="0" showLastColumn="0" showRowStripes="1" showColumnStripes="0"/>
</table>
</file>

<file path=xl/tables/table3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7" xr:uid="{00000000-000C-0000-FFFF-FFFF82010000}" name="Parambassis" displayName="Parambassis" ref="NR1:NR20" totalsRowShown="0" headerRowDxfId="446">
  <autoFilter ref="NR1:NR20" xr:uid="{00000000-0009-0000-0100-0000D3010000}"/>
  <tableColumns count="1">
    <tableColumn id="1" xr3:uid="{00000000-0010-0000-8201-000001000000}" name="Parambassis"/>
  </tableColumns>
  <tableStyleInfo name="TableStyleMedium9" showFirstColumn="0" showLastColumn="0" showRowStripes="1" showColumnStripes="0"/>
</table>
</file>

<file path=xl/tables/table3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8" xr:uid="{00000000-000C-0000-FFFF-FFFF83010000}" name="Parasphaerichthys" displayName="Parasphaerichthys" ref="NS1:NS3" totalsRowShown="0" headerRowDxfId="445">
  <autoFilter ref="NS1:NS3" xr:uid="{00000000-0009-0000-0100-0000D4010000}"/>
  <tableColumns count="1">
    <tableColumn id="1" xr3:uid="{00000000-0010-0000-8301-000001000000}" name="Parasphaerichthys"/>
  </tableColumns>
  <tableStyleInfo name="TableStyleMedium9" showFirstColumn="0" showLastColumn="0" showRowStripes="1" showColumnStripes="0"/>
</table>
</file>

<file path=xl/tables/table3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9" xr:uid="{00000000-000C-0000-FFFF-FFFF84010000}" name="Paratilapia" displayName="Paratilapia" ref="NT1:NT3" totalsRowShown="0" headerRowDxfId="444">
  <autoFilter ref="NT1:NT3" xr:uid="{00000000-0009-0000-0100-0000D5010000}"/>
  <tableColumns count="1">
    <tableColumn id="1" xr3:uid="{00000000-0010-0000-8401-000001000000}" name="Paratilapia"/>
  </tableColumns>
  <tableStyleInfo name="TableStyleMedium9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00000000-000C-0000-FFFF-FFFF26000000}" name="Ancistrus" displayName="Ancistrus" ref="AA1:AA70" totalsRowShown="0" headerRowDxfId="796">
  <autoFilter ref="AA1:AA70" xr:uid="{00000000-0009-0000-0100-000073000000}"/>
  <tableColumns count="1">
    <tableColumn id="1" xr3:uid="{00000000-0010-0000-2600-000001000000}" name="Ancistrus"/>
  </tableColumns>
  <tableStyleInfo name="TableStyleMedium9" showFirstColumn="0" showLastColumn="0" showRowStripes="1" showColumnStripes="0"/>
</table>
</file>

<file path=xl/tables/table3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0" xr:uid="{00000000-000C-0000-FFFF-FFFF85010000}" name="Paratrygon" displayName="Paratrygon" ref="NU1:NU2" totalsRowShown="0" headerRowDxfId="443">
  <autoFilter ref="NU1:NU2" xr:uid="{00000000-0009-0000-0100-0000D6010000}"/>
  <tableColumns count="1">
    <tableColumn id="1" xr3:uid="{00000000-0010-0000-8501-000001000000}" name="Paratrygon"/>
  </tableColumns>
  <tableStyleInfo name="TableStyleMedium9" showFirstColumn="0" showLastColumn="0" showRowStripes="1" showColumnStripes="0"/>
</table>
</file>

<file path=xl/tables/table3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1" xr:uid="{00000000-000C-0000-FFFF-FFFF86010000}" name="Pareques" displayName="Pareques" ref="NV1:NV8" totalsRowShown="0" headerRowDxfId="442">
  <autoFilter ref="NV1:NV8" xr:uid="{00000000-0009-0000-0100-0000D7010000}"/>
  <tableColumns count="1">
    <tableColumn id="1" xr3:uid="{00000000-0010-0000-8601-000001000000}" name="Pareques"/>
  </tableColumns>
  <tableStyleInfo name="TableStyleMedium9" showFirstColumn="0" showLastColumn="0" showRowStripes="1" showColumnStripes="0"/>
</table>
</file>

<file path=xl/tables/table3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2" xr:uid="{00000000-000C-0000-FFFF-FFFF87010000}" name="Parosphromenus" displayName="Parosphromenus" ref="NW1:NW21" totalsRowShown="0" headerRowDxfId="441">
  <autoFilter ref="NW1:NW21" xr:uid="{00000000-0009-0000-0100-0000D8010000}"/>
  <tableColumns count="1">
    <tableColumn id="1" xr3:uid="{00000000-0010-0000-8701-000001000000}" name="Parosphromenus"/>
  </tableColumns>
  <tableStyleInfo name="TableStyleMedium9" showFirstColumn="0" showLastColumn="0" showRowStripes="1" showColumnStripes="0"/>
</table>
</file>

<file path=xl/tables/table3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3" xr:uid="{00000000-000C-0000-FFFF-FFFF88010000}" name="Peckoltia" displayName="Peckoltia" ref="NX1:NX21" totalsRowShown="0" headerRowDxfId="440">
  <autoFilter ref="NX1:NX21" xr:uid="{00000000-0009-0000-0100-0000D9010000}"/>
  <tableColumns count="1">
    <tableColumn id="1" xr3:uid="{00000000-0010-0000-8801-000001000000}" name="Peckoltia"/>
  </tableColumns>
  <tableStyleInfo name="TableStyleMedium9" showFirstColumn="0" showLastColumn="0" showRowStripes="1" showColumnStripes="0"/>
</table>
</file>

<file path=xl/tables/table3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4" xr:uid="{00000000-000C-0000-FFFF-FFFF89010000}" name="Pelmatochromis" displayName="Pelmatochromis" ref="NY1:NY4" totalsRowShown="0" headerRowDxfId="439">
  <autoFilter ref="NY1:NY4" xr:uid="{00000000-0009-0000-0100-0000DA010000}"/>
  <tableColumns count="1">
    <tableColumn id="1" xr3:uid="{00000000-0010-0000-8901-000001000000}" name="Pelmatochromis"/>
  </tableColumns>
  <tableStyleInfo name="TableStyleMedium9" showFirstColumn="0" showLastColumn="0" showRowStripes="1" showColumnStripes="0"/>
</table>
</file>

<file path=xl/tables/table3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5" xr:uid="{00000000-000C-0000-FFFF-FFFF8A010000}" name="Pelvicachromis" displayName="Pelvicachromis" ref="NZ1:NZ11" totalsRowShown="0" headerRowDxfId="438">
  <autoFilter ref="NZ1:NZ11" xr:uid="{00000000-0009-0000-0100-0000DB010000}"/>
  <tableColumns count="1">
    <tableColumn id="1" xr3:uid="{00000000-0010-0000-8A01-000001000000}" name="Pelvicachromis"/>
  </tableColumns>
  <tableStyleInfo name="TableStyleMedium9" showFirstColumn="0" showLastColumn="0" showRowStripes="1" showColumnStripes="0"/>
</table>
</file>

<file path=xl/tables/table3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6" xr:uid="{00000000-000C-0000-FFFF-FFFF8B010000}" name="Periophthalmus" displayName="Periophthalmus" ref="OA1:OA20" totalsRowShown="0" headerRowDxfId="437">
  <autoFilter ref="OA1:OA20" xr:uid="{00000000-0009-0000-0100-0000DC010000}"/>
  <tableColumns count="1">
    <tableColumn id="1" xr3:uid="{00000000-0010-0000-8B01-000001000000}" name="Periophthalmus"/>
  </tableColumns>
  <tableStyleInfo name="TableStyleMedium9" showFirstColumn="0" showLastColumn="0" showRowStripes="1" showColumnStripes="0"/>
</table>
</file>

<file path=xl/tables/table3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7" xr:uid="{00000000-000C-0000-FFFF-FFFF8C010000}" name="Perrunichthys" displayName="Perrunichthys" ref="OB1:OB2" totalsRowShown="0" headerRowDxfId="436">
  <autoFilter ref="OB1:OB2" xr:uid="{00000000-0009-0000-0100-0000DD010000}"/>
  <tableColumns count="1">
    <tableColumn id="1" xr3:uid="{00000000-0010-0000-8C01-000001000000}" name="Perrunichthys"/>
  </tableColumns>
  <tableStyleInfo name="TableStyleMedium9" showFirstColumn="0" showLastColumn="0" showRowStripes="1" showColumnStripes="0"/>
</table>
</file>

<file path=xl/tables/table3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8" xr:uid="{00000000-000C-0000-FFFF-FFFF8D010000}" name="Pervagor" displayName="Pervagor" ref="OC1:OC9" totalsRowShown="0" headerRowDxfId="435">
  <autoFilter ref="OC1:OC9" xr:uid="{00000000-0009-0000-0100-0000DE010000}"/>
  <tableColumns count="1">
    <tableColumn id="1" xr3:uid="{00000000-0010-0000-8D01-000001000000}" name="Pervagor"/>
  </tableColumns>
  <tableStyleInfo name="TableStyleMedium9" showFirstColumn="0" showLastColumn="0" showRowStripes="1" showColumnStripes="0"/>
</table>
</file>

<file path=xl/tables/table3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9" xr:uid="{00000000-000C-0000-FFFF-FFFF8E010000}" name="Petitella" displayName="Petitella" ref="OD1:OD2" totalsRowShown="0" headerRowDxfId="434">
  <autoFilter ref="OD1:OD2" xr:uid="{00000000-0009-0000-0100-0000DF010000}"/>
  <tableColumns count="1">
    <tableColumn id="1" xr3:uid="{00000000-0010-0000-8E01-000001000000}" name="Petitella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Annelida" displayName="Annelida" ref="BR1:BR7" totalsRowShown="0" headerRowDxfId="886" dataDxfId="885">
  <autoFilter ref="BR1:BR7" xr:uid="{00000000-0009-0000-0100-000005000000}"/>
  <tableColumns count="1">
    <tableColumn id="1" xr3:uid="{00000000-0010-0000-0300-000001000000}" name="Annelida" dataDxfId="884"/>
  </tableColumns>
  <tableStyleInfo name="TableStyleMedium9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00000000-000C-0000-FFFF-FFFF27000000}" name="Anisotremus" displayName="Anisotremus" ref="AB1:AB9" totalsRowShown="0" headerRowDxfId="795">
  <autoFilter ref="AB1:AB9" xr:uid="{00000000-0009-0000-0100-000074000000}"/>
  <tableColumns count="1">
    <tableColumn id="1" xr3:uid="{00000000-0010-0000-2700-000001000000}" name="Anisotremus"/>
  </tableColumns>
  <tableStyleInfo name="TableStyleMedium9" showFirstColumn="0" showLastColumn="0" showRowStripes="1" showColumnStripes="0"/>
</table>
</file>

<file path=xl/tables/table4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0" xr:uid="{00000000-000C-0000-FFFF-FFFF8F010000}" name="Petrochromis" displayName="Petrochromis" ref="OE1:OE9" totalsRowShown="0" headerRowDxfId="433">
  <autoFilter ref="OE1:OE9" xr:uid="{00000000-0009-0000-0100-0000E0010000}"/>
  <tableColumns count="1">
    <tableColumn id="1" xr3:uid="{00000000-0010-0000-8F01-000001000000}" name="Petrochromis"/>
  </tableColumns>
  <tableStyleInfo name="TableStyleMedium9" showFirstColumn="0" showLastColumn="0" showRowStripes="1" showColumnStripes="0"/>
</table>
</file>

<file path=xl/tables/table4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1" xr:uid="{00000000-000C-0000-FFFF-FFFF90010000}" name="Petrotilapia" displayName="Petrotilapia" ref="OF1:OF11" totalsRowShown="0" headerRowDxfId="432">
  <autoFilter ref="OF1:OF11" xr:uid="{00000000-0009-0000-0100-0000E1010000}"/>
  <tableColumns count="1">
    <tableColumn id="1" xr3:uid="{00000000-0010-0000-9001-000001000000}" name="Petrotilapia"/>
  </tableColumns>
  <tableStyleInfo name="TableStyleMedium9" showFirstColumn="0" showLastColumn="0" showRowStripes="1" showColumnStripes="0"/>
</table>
</file>

<file path=xl/tables/table4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2" xr:uid="{00000000-000C-0000-FFFF-FFFF91010000}" name="Phenacogaster" displayName="Phenacogaster" ref="OG1:OG21" totalsRowShown="0" headerRowDxfId="431">
  <autoFilter ref="OG1:OG21" xr:uid="{00000000-0009-0000-0100-0000E2010000}"/>
  <tableColumns count="1">
    <tableColumn id="1" xr3:uid="{00000000-0010-0000-9101-000001000000}" name="Phenacogaster"/>
  </tableColumns>
  <tableStyleInfo name="TableStyleMedium9" showFirstColumn="0" showLastColumn="0" showRowStripes="1" showColumnStripes="0"/>
</table>
</file>

<file path=xl/tables/table4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3" xr:uid="{00000000-000C-0000-FFFF-FFFF92010000}" name="Phenacogrammus" displayName="Phenacogrammus" ref="OH1:OH10" totalsRowShown="0" headerRowDxfId="430">
  <autoFilter ref="OH1:OH10" xr:uid="{00000000-0009-0000-0100-0000E3010000}"/>
  <tableColumns count="1">
    <tableColumn id="1" xr3:uid="{00000000-0010-0000-9201-000001000000}" name="Phenacogrammus"/>
  </tableColumns>
  <tableStyleInfo name="TableStyleMedium9" showFirstColumn="0" showLastColumn="0" showRowStripes="1" showColumnStripes="0"/>
</table>
</file>

<file path=xl/tables/table4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4" xr:uid="{00000000-000C-0000-FFFF-FFFF93010000}" name="Pholidichthys" displayName="Pholidichthys" ref="OI1:OI3" totalsRowShown="0" headerRowDxfId="429">
  <autoFilter ref="OI1:OI3" xr:uid="{00000000-0009-0000-0100-0000E4010000}"/>
  <tableColumns count="1">
    <tableColumn id="1" xr3:uid="{00000000-0010-0000-9301-000001000000}" name="Pholidichthys"/>
  </tableColumns>
  <tableStyleInfo name="TableStyleMedium9" showFirstColumn="0" showLastColumn="0" showRowStripes="1" showColumnStripes="0"/>
</table>
</file>

<file path=xl/tables/table4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5" xr:uid="{00000000-000C-0000-FFFF-FFFF94010000}" name="Phractocephalus" displayName="Phractocephalus" ref="OJ1:OJ2" totalsRowShown="0" headerRowDxfId="428">
  <autoFilter ref="OJ1:OJ2" xr:uid="{00000000-0009-0000-0100-0000E5010000}"/>
  <tableColumns count="1">
    <tableColumn id="1" xr3:uid="{00000000-0010-0000-9401-000001000000}" name="Phractocephalus"/>
  </tableColumns>
  <tableStyleInfo name="TableStyleMedium9" showFirstColumn="0" showLastColumn="0" showRowStripes="1" showColumnStripes="0"/>
</table>
</file>

<file path=xl/tables/table4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6" xr:uid="{00000000-000C-0000-FFFF-FFFF95010000}" name="Piabucina" displayName="Piabucina" ref="OK1:OK10" totalsRowShown="0" headerRowDxfId="427">
  <autoFilter ref="OK1:OK10" xr:uid="{00000000-0009-0000-0100-0000E6010000}"/>
  <tableColumns count="1">
    <tableColumn id="1" xr3:uid="{00000000-0010-0000-9501-000001000000}" name="Piabucina"/>
  </tableColumns>
  <tableStyleInfo name="TableStyleMedium9" showFirstColumn="0" showLastColumn="0" showRowStripes="1" showColumnStripes="0"/>
</table>
</file>

<file path=xl/tables/table4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7" xr:uid="{00000000-000C-0000-FFFF-FFFF96010000}" name="Piabucus" displayName="Piabucus" ref="OL1:OL4" totalsRowShown="0" headerRowDxfId="426">
  <autoFilter ref="OL1:OL4" xr:uid="{00000000-0009-0000-0100-0000E7010000}"/>
  <tableColumns count="1">
    <tableColumn id="1" xr3:uid="{00000000-0010-0000-9601-000001000000}" name="Piabucus"/>
  </tableColumns>
  <tableStyleInfo name="TableStyleMedium9" showFirstColumn="0" showLastColumn="0" showRowStripes="1" showColumnStripes="0"/>
</table>
</file>

<file path=xl/tables/table4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8" xr:uid="{00000000-000C-0000-FFFF-FFFF97010000}" name="Piaractus" displayName="Piaractus" ref="OM1:OM3" totalsRowShown="0" headerRowDxfId="425">
  <autoFilter ref="OM1:OM3" xr:uid="{00000000-0009-0000-0100-0000E8010000}"/>
  <tableColumns count="1">
    <tableColumn id="1" xr3:uid="{00000000-0010-0000-9701-000001000000}" name="Piaractus"/>
  </tableColumns>
  <tableStyleInfo name="TableStyleMedium9" showFirstColumn="0" showLastColumn="0" showRowStripes="1" showColumnStripes="0"/>
</table>
</file>

<file path=xl/tables/table4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9" xr:uid="{00000000-000C-0000-FFFF-FFFF98010000}" name="Pimelodella" displayName="Pimelodella" ref="ON1:ON79" totalsRowShown="0" headerRowDxfId="424">
  <autoFilter ref="ON1:ON79" xr:uid="{00000000-0009-0000-0100-0000E9010000}"/>
  <tableColumns count="1">
    <tableColumn id="1" xr3:uid="{00000000-0010-0000-9801-000001000000}" name="Pimelodella"/>
  </tableColumns>
  <tableStyleInfo name="TableStyleMedium9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00000000-000C-0000-FFFF-FFFF28000000}" name="Anomalops" displayName="Anomalops" ref="AC1:AC2" totalsRowShown="0" headerRowDxfId="794">
  <autoFilter ref="AC1:AC2" xr:uid="{00000000-0009-0000-0100-000075000000}"/>
  <tableColumns count="1">
    <tableColumn id="1" xr3:uid="{00000000-0010-0000-2800-000001000000}" name="Anomalops"/>
  </tableColumns>
  <tableStyleInfo name="TableStyleMedium9" showFirstColumn="0" showLastColumn="0" showRowStripes="1" showColumnStripes="0"/>
</table>
</file>

<file path=xl/tables/table4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0" xr:uid="{00000000-000C-0000-FFFF-FFFF99010000}" name="Pimelodus" displayName="Pimelodus" ref="OO1:OO34" totalsRowShown="0" headerRowDxfId="423">
  <autoFilter ref="OO1:OO34" xr:uid="{00000000-0009-0000-0100-0000EA010000}"/>
  <tableColumns count="1">
    <tableColumn id="1" xr3:uid="{00000000-0010-0000-9901-000001000000}" name="Pimelodus"/>
  </tableColumns>
  <tableStyleInfo name="TableStyleMedium9" showFirstColumn="0" showLastColumn="0" showRowStripes="1" showColumnStripes="0"/>
</table>
</file>

<file path=xl/tables/table4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1" xr:uid="{00000000-000C-0000-FFFF-FFFF9A010000}" name="Placidochromis" displayName="Placidochromis" ref="OP1:OP44" totalsRowShown="0" headerRowDxfId="422">
  <autoFilter ref="OP1:OP44" xr:uid="{00000000-0009-0000-0100-0000EB010000}"/>
  <tableColumns count="1">
    <tableColumn id="1" xr3:uid="{00000000-0010-0000-9A01-000001000000}" name="Placidochromis"/>
  </tableColumns>
  <tableStyleInfo name="TableStyleMedium9" showFirstColumn="0" showLastColumn="0" showRowStripes="1" showColumnStripes="0"/>
</table>
</file>

<file path=xl/tables/table4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2" xr:uid="{00000000-000C-0000-FFFF-FFFF9B010000}" name="Platax" displayName="Platax" ref="OQ1:OQ6" totalsRowShown="0" headerRowDxfId="421">
  <autoFilter ref="OQ1:OQ6" xr:uid="{00000000-0009-0000-0100-0000EC010000}"/>
  <tableColumns count="1">
    <tableColumn id="1" xr3:uid="{00000000-0010-0000-9B01-000001000000}" name="Platax"/>
  </tableColumns>
  <tableStyleInfo name="TableStyleMedium9" showFirstColumn="0" showLastColumn="0" showRowStripes="1" showColumnStripes="0"/>
</table>
</file>

<file path=xl/tables/table4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3" xr:uid="{00000000-000C-0000-FFFF-FFFF9C010000}" name="Platydoras" displayName="Platydoras" ref="OR1:OR5" totalsRowShown="0" headerRowDxfId="420">
  <autoFilter ref="OR1:OR5" xr:uid="{00000000-0009-0000-0100-0000ED010000}"/>
  <tableColumns count="1">
    <tableColumn id="1" xr3:uid="{00000000-0010-0000-9C01-000001000000}" name="Platydoras"/>
  </tableColumns>
  <tableStyleInfo name="TableStyleMedium9" showFirstColumn="0" showLastColumn="0" showRowStripes="1" showColumnStripes="0"/>
</table>
</file>

<file path=xl/tables/table4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4" xr:uid="{00000000-000C-0000-FFFF-FFFF9D010000}" name="Platynematichthys" displayName="Platynematichthys" ref="OS1:OS2" totalsRowShown="0" headerRowDxfId="419">
  <autoFilter ref="OS1:OS2" xr:uid="{00000000-0009-0000-0100-0000EE010000}"/>
  <tableColumns count="1">
    <tableColumn id="1" xr3:uid="{00000000-0010-0000-9D01-000001000000}" name="Platynematichthys"/>
  </tableColumns>
  <tableStyleInfo name="TableStyleMedium9" showFirstColumn="0" showLastColumn="0" showRowStripes="1" showColumnStripes="0"/>
</table>
</file>

<file path=xl/tables/table4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5" xr:uid="{00000000-000C-0000-FFFF-FFFF9E010000}" name="Platysilurus" displayName="Platysilurus" ref="OT1:OT4" totalsRowShown="0" headerRowDxfId="418">
  <autoFilter ref="OT1:OT4" xr:uid="{00000000-0009-0000-0100-0000EF010000}"/>
  <tableColumns count="1">
    <tableColumn id="1" xr3:uid="{00000000-0010-0000-9E01-000001000000}" name="Platysilurus"/>
  </tableColumns>
  <tableStyleInfo name="TableStyleMedium9" showFirstColumn="0" showLastColumn="0" showRowStripes="1" showColumnStripes="0"/>
</table>
</file>

<file path=xl/tables/table4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6" xr:uid="{00000000-000C-0000-FFFF-FFFF9F010000}" name="Platystomatichthys" displayName="Platystomatichthys" ref="OU1:OU2" totalsRowShown="0" headerRowDxfId="417">
  <autoFilter ref="OU1:OU2" xr:uid="{00000000-0009-0000-0100-0000F0010000}"/>
  <tableColumns count="1">
    <tableColumn id="1" xr3:uid="{00000000-0010-0000-9F01-000001000000}" name="Platystomatichthys"/>
  </tableColumns>
  <tableStyleInfo name="TableStyleMedium9" showFirstColumn="0" showLastColumn="0" showRowStripes="1" showColumnStripes="0"/>
</table>
</file>

<file path=xl/tables/table4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7" xr:uid="{00000000-000C-0000-FFFF-FFFFA0010000}" name="Plesiotrygon" displayName="Plesiotrygon" ref="OV1:OV3" totalsRowShown="0" headerRowDxfId="416">
  <autoFilter ref="OV1:OV3" xr:uid="{00000000-0009-0000-0100-0000F1010000}"/>
  <tableColumns count="1">
    <tableColumn id="1" xr3:uid="{00000000-0010-0000-A001-000001000000}" name="Plesiotrygon"/>
  </tableColumns>
  <tableStyleInfo name="TableStyleMedium9" showFirstColumn="0" showLastColumn="0" showRowStripes="1" showColumnStripes="0"/>
</table>
</file>

<file path=xl/tables/table4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8" xr:uid="{00000000-000C-0000-FFFF-FFFFA1010000}" name="Plotosus" displayName="Plotosus" ref="OW1:OW10" totalsRowShown="0" headerRowDxfId="415">
  <autoFilter ref="OW1:OW10" xr:uid="{00000000-0009-0000-0100-0000F2010000}"/>
  <tableColumns count="1">
    <tableColumn id="1" xr3:uid="{00000000-0010-0000-A101-000001000000}" name="Plotosus"/>
  </tableColumns>
  <tableStyleInfo name="TableStyleMedium9" showFirstColumn="0" showLastColumn="0" showRowStripes="1" showColumnStripes="0"/>
</table>
</file>

<file path=xl/tables/table4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9" xr:uid="{00000000-000C-0000-FFFF-FFFFA2010000}" name="Poecilia" displayName="Poecilia" ref="OX1:OX41" totalsRowShown="0" headerRowDxfId="414">
  <autoFilter ref="OX1:OX41" xr:uid="{00000000-0009-0000-0100-0000F3010000}"/>
  <tableColumns count="1">
    <tableColumn id="1" xr3:uid="{00000000-0010-0000-A201-000001000000}" name="Poecilia"/>
  </tableColumns>
  <tableStyleInfo name="TableStyleMedium9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00000000-000C-0000-FFFF-FFFF29000000}" name="Anostomus" displayName="Anostomus" ref="AD1:AD6" totalsRowShown="0" headerRowDxfId="793">
  <autoFilter ref="AD1:AD6" xr:uid="{00000000-0009-0000-0100-000076000000}"/>
  <tableColumns count="1">
    <tableColumn id="1" xr3:uid="{00000000-0010-0000-2900-000001000000}" name="Anostomus"/>
  </tableColumns>
  <tableStyleInfo name="TableStyleMedium9" showFirstColumn="0" showLastColumn="0" showRowStripes="1" showColumnStripes="0"/>
</table>
</file>

<file path=xl/tables/table4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0" xr:uid="{00000000-000C-0000-FFFF-FFFFA3010000}" name="Polycentrus" displayName="Polycentrus" ref="OY1:OY3" totalsRowShown="0" headerRowDxfId="413">
  <autoFilter ref="OY1:OY3" xr:uid="{00000000-0009-0000-0100-0000F4010000}"/>
  <tableColumns count="1">
    <tableColumn id="1" xr3:uid="{00000000-0010-0000-A301-000001000000}" name="Polycentrus"/>
  </tableColumns>
  <tableStyleInfo name="TableStyleMedium9" showFirstColumn="0" showLastColumn="0" showRowStripes="1" showColumnStripes="0"/>
</table>
</file>

<file path=xl/tables/table4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1" xr:uid="{00000000-000C-0000-FFFF-FFFFA4010000}" name="Polypterus" displayName="Polypterus" ref="OZ1:OZ14" totalsRowShown="0" headerRowDxfId="412">
  <autoFilter ref="OZ1:OZ14" xr:uid="{00000000-0009-0000-0100-0000F5010000}"/>
  <tableColumns count="1">
    <tableColumn id="1" xr3:uid="{00000000-0010-0000-A401-000001000000}" name="Polypterus"/>
  </tableColumns>
  <tableStyleInfo name="TableStyleMedium9" showFirstColumn="0" showLastColumn="0" showRowStripes="1" showColumnStripes="0"/>
</table>
</file>

<file path=xl/tables/table4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2" xr:uid="{00000000-000C-0000-FFFF-FFFFA5010000}" name="Pomacanthus" displayName="Pomacanthus" ref="PA1:PA14" totalsRowShown="0" headerRowDxfId="411">
  <autoFilter ref="PA1:PA14" xr:uid="{00000000-0009-0000-0100-0000F6010000}"/>
  <tableColumns count="1">
    <tableColumn id="1" xr3:uid="{00000000-0010-0000-A501-000001000000}" name="Pomacanthus"/>
  </tableColumns>
  <tableStyleInfo name="TableStyleMedium9" showFirstColumn="0" showLastColumn="0" showRowStripes="1" showColumnStripes="0"/>
</table>
</file>

<file path=xl/tables/table4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3" xr:uid="{00000000-000C-0000-FFFF-FFFFA6010000}" name="Pomacentrus" displayName="Pomacentrus" ref="PB1:PB76" totalsRowShown="0" headerRowDxfId="410">
  <autoFilter ref="PB1:PB76" xr:uid="{00000000-0009-0000-0100-0000F7010000}"/>
  <tableColumns count="1">
    <tableColumn id="1" xr3:uid="{00000000-0010-0000-A601-000001000000}" name="Pomacentrus"/>
  </tableColumns>
  <tableStyleInfo name="TableStyleMedium9" showFirstColumn="0" showLastColumn="0" showRowStripes="1" showColumnStripes="0"/>
</table>
</file>

<file path=xl/tables/table4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4" xr:uid="{00000000-000C-0000-FFFF-FFFFA7010000}" name="Poptella" displayName="Poptella" ref="PC1:PC5" totalsRowShown="0" headerRowDxfId="409">
  <autoFilter ref="PC1:PC5" xr:uid="{00000000-0009-0000-0100-0000F8010000}"/>
  <tableColumns count="1">
    <tableColumn id="1" xr3:uid="{00000000-0010-0000-A701-000001000000}" name="Poptella"/>
  </tableColumns>
  <tableStyleInfo name="TableStyleMedium9" showFirstColumn="0" showLastColumn="0" showRowStripes="1" showColumnStripes="0"/>
</table>
</file>

<file path=xl/tables/table4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5" xr:uid="{00000000-000C-0000-FFFF-FFFFA8010000}" name="Potamotrygon" displayName="Potamotrygon" ref="PD1:PD31" totalsRowShown="0" headerRowDxfId="408">
  <autoFilter ref="PD1:PD31" xr:uid="{00000000-0009-0000-0100-0000F9010000}"/>
  <tableColumns count="1">
    <tableColumn id="1" xr3:uid="{00000000-0010-0000-A801-000001000000}" name="Potamotrygon"/>
  </tableColumns>
  <tableStyleInfo name="TableStyleMedium9" showFirstColumn="0" showLastColumn="0" showRowStripes="1" showColumnStripes="0"/>
</table>
</file>

<file path=xl/tables/table4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6" xr:uid="{00000000-000C-0000-FFFF-FFFFA9010000}" name="Premnas" displayName="Premnas" ref="PE1:PE2" totalsRowShown="0" headerRowDxfId="407">
  <autoFilter ref="PE1:PE2" xr:uid="{00000000-0009-0000-0100-0000FA010000}"/>
  <tableColumns count="1">
    <tableColumn id="1" xr3:uid="{00000000-0010-0000-A901-000001000000}" name="Premnas"/>
  </tableColumns>
  <tableStyleInfo name="TableStyleMedium9" showFirstColumn="0" showLastColumn="0" showRowStripes="1" showColumnStripes="0"/>
</table>
</file>

<file path=xl/tables/table4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7" xr:uid="{00000000-000C-0000-FFFF-FFFFAA010000}" name="Prionobrama" displayName="Prionobrama" ref="PF1:PF3" totalsRowShown="0" headerRowDxfId="406">
  <autoFilter ref="PF1:PF3" xr:uid="{00000000-0009-0000-0100-0000FB010000}"/>
  <tableColumns count="1">
    <tableColumn id="1" xr3:uid="{00000000-0010-0000-AA01-000001000000}" name="Prionobrama"/>
  </tableColumns>
  <tableStyleInfo name="TableStyleMedium9" showFirstColumn="0" showLastColumn="0" showRowStripes="1" showColumnStripes="0"/>
</table>
</file>

<file path=xl/tables/table4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8" xr:uid="{00000000-000C-0000-FFFF-FFFFAB010000}" name="Pristella" displayName="Pristella" ref="PG1:PG2" totalsRowShown="0" headerRowDxfId="405">
  <autoFilter ref="PG1:PG2" xr:uid="{00000000-0009-0000-0100-0000FC010000}"/>
  <tableColumns count="1">
    <tableColumn id="1" xr3:uid="{00000000-0010-0000-AB01-000001000000}" name="Pristella"/>
  </tableColumns>
  <tableStyleInfo name="TableStyleMedium9" showFirstColumn="0" showLastColumn="0" showRowStripes="1" showColumnStripes="0"/>
</table>
</file>

<file path=xl/tables/table4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9" xr:uid="{00000000-000C-0000-FFFF-FFFFAC010000}" name="Procatopus" displayName="Procatopus" ref="PH1:PH4" totalsRowShown="0" headerRowDxfId="404">
  <autoFilter ref="PH1:PH4" xr:uid="{00000000-0009-0000-0100-0000FD010000}"/>
  <tableColumns count="1">
    <tableColumn id="1" xr3:uid="{00000000-0010-0000-AC01-000001000000}" name="Procatopus"/>
  </tableColumns>
  <tableStyleInfo name="TableStyleMedium9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00000000-000C-0000-FFFF-FFFF2A000000}" name="Tabla119" displayName="Tabla119" ref="AE1:AE12" totalsRowShown="0" headerRowDxfId="792">
  <autoFilter ref="AE1:AE12" xr:uid="{00000000-0009-0000-0100-000077000000}"/>
  <tableColumns count="1">
    <tableColumn id="1" xr3:uid="{00000000-0010-0000-2A00-000001000000}" name="Antennarius"/>
  </tableColumns>
  <tableStyleInfo name="TableStyleMedium9" showFirstColumn="0" showLastColumn="0" showRowStripes="1" showColumnStripes="0"/>
</table>
</file>

<file path=xl/tables/table4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0" xr:uid="{00000000-000C-0000-FFFF-FFFFAD010000}" name="Protomelas" displayName="Protomelas" ref="PI1:PI16" totalsRowShown="0" headerRowDxfId="403">
  <autoFilter ref="PI1:PI16" xr:uid="{00000000-0009-0000-0100-0000FE010000}"/>
  <tableColumns count="1">
    <tableColumn id="1" xr3:uid="{00000000-0010-0000-AD01-000001000000}" name="Protomelas"/>
  </tableColumns>
  <tableStyleInfo name="TableStyleMedium9" showFirstColumn="0" showLastColumn="0" showRowStripes="1" showColumnStripes="0"/>
</table>
</file>

<file path=xl/tables/table4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1" xr:uid="{00000000-000C-0000-FFFF-FFFFAE010000}" name="Protopterus" displayName="Protopterus" ref="PJ1:PJ5" totalsRowShown="0" headerRowDxfId="402">
  <autoFilter ref="PJ1:PJ5" xr:uid="{00000000-0009-0000-0100-0000FF010000}"/>
  <tableColumns count="1">
    <tableColumn id="1" xr3:uid="{00000000-0010-0000-AE01-000001000000}" name="Protopterus"/>
  </tableColumns>
  <tableStyleInfo name="TableStyleMedium9" showFirstColumn="0" showLastColumn="0" showRowStripes="1" showColumnStripes="0"/>
</table>
</file>

<file path=xl/tables/table4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2" xr:uid="{00000000-000C-0000-FFFF-FFFFAF010000}" name="Pseudambassis" displayName="Pseudambassis" ref="PK1:PK2" totalsRowShown="0" headerRowDxfId="401">
  <autoFilter ref="PK1:PK2" xr:uid="{00000000-0009-0000-0100-000000020000}"/>
  <tableColumns count="1">
    <tableColumn id="1" xr3:uid="{00000000-0010-0000-AF01-000001000000}" name="Pseudambassis"/>
  </tableColumns>
  <tableStyleInfo name="TableStyleMedium9" showFirstColumn="0" showLastColumn="0" showRowStripes="1" showColumnStripes="0"/>
</table>
</file>

<file path=xl/tables/table4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3" xr:uid="{00000000-000C-0000-FFFF-FFFFB0010000}" name="Pseudanos" displayName="Pseudanos" ref="PL1:PL6" totalsRowShown="0" headerRowDxfId="400">
  <autoFilter ref="PL1:PL6" xr:uid="{00000000-0009-0000-0100-000001020000}"/>
  <tableColumns count="1">
    <tableColumn id="1" xr3:uid="{00000000-0010-0000-B001-000001000000}" name="Pseudanos"/>
  </tableColumns>
  <tableStyleInfo name="TableStyleMedium9" showFirstColumn="0" showLastColumn="0" showRowStripes="1" showColumnStripes="0"/>
</table>
</file>

<file path=xl/tables/table4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4" xr:uid="{00000000-000C-0000-FFFF-FFFFB1010000}" name="Pseudanthias" displayName="Pseudanthias" ref="PM1:PM64" totalsRowShown="0" headerRowDxfId="399">
  <autoFilter ref="PM1:PM64" xr:uid="{00000000-0009-0000-0100-000002020000}"/>
  <tableColumns count="1">
    <tableColumn id="1" xr3:uid="{00000000-0010-0000-B101-000001000000}" name="Pseudanthias"/>
  </tableColumns>
  <tableStyleInfo name="TableStyleMedium9" showFirstColumn="0" showLastColumn="0" showRowStripes="1" showColumnStripes="0"/>
</table>
</file>

<file path=xl/tables/table4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5" xr:uid="{00000000-000C-0000-FFFF-FFFFB2010000}" name="Pseudocheilinus" displayName="Pseudocheilinus" ref="PN1:PN8" totalsRowShown="0" headerRowDxfId="398">
  <autoFilter ref="PN1:PN8" xr:uid="{00000000-0009-0000-0100-000003020000}"/>
  <tableColumns count="1">
    <tableColumn id="1" xr3:uid="{00000000-0010-0000-B201-000001000000}" name="Pseudocheilinus"/>
  </tableColumns>
  <tableStyleInfo name="TableStyleMedium9" showFirstColumn="0" showLastColumn="0" showRowStripes="1" showColumnStripes="0"/>
</table>
</file>

<file path=xl/tables/table4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6" xr:uid="{00000000-000C-0000-FFFF-FFFFB3010000}" name="Pseudochromis" displayName="Pseudochromis" ref="PO1:PO71" totalsRowShown="0" headerRowDxfId="397">
  <autoFilter ref="PO1:PO71" xr:uid="{00000000-0009-0000-0100-000004020000}"/>
  <tableColumns count="1">
    <tableColumn id="1" xr3:uid="{00000000-0010-0000-B301-000001000000}" name="Pseudochromis"/>
  </tableColumns>
  <tableStyleInfo name="TableStyleMedium9" showFirstColumn="0" showLastColumn="0" showRowStripes="1" showColumnStripes="0"/>
</table>
</file>

<file path=xl/tables/table4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7" xr:uid="{00000000-000C-0000-FFFF-FFFFB4010000}" name="Pseudogastromyzon" displayName="Pseudogastromyzon" ref="PP1:PP14" totalsRowShown="0" headerRowDxfId="396">
  <autoFilter ref="PP1:PP14" xr:uid="{00000000-0009-0000-0100-000005020000}"/>
  <tableColumns count="1">
    <tableColumn id="1" xr3:uid="{00000000-0010-0000-B401-000001000000}" name="Pseudogastromyzon"/>
  </tableColumns>
  <tableStyleInfo name="TableStyleMedium9" showFirstColumn="0" showLastColumn="0" showRowStripes="1" showColumnStripes="0"/>
</table>
</file>

<file path=xl/tables/table4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8" xr:uid="{00000000-000C-0000-FFFF-FFFFB5010000}" name="Pseudohemiodon" displayName="Pseudohemiodon" ref="PQ1:PQ8" totalsRowShown="0" headerRowDxfId="395">
  <autoFilter ref="PQ1:PQ8" xr:uid="{00000000-0009-0000-0100-000006020000}"/>
  <tableColumns count="1">
    <tableColumn id="1" xr3:uid="{00000000-0010-0000-B501-000001000000}" name="Pseudohemiodon"/>
  </tableColumns>
  <tableStyleInfo name="TableStyleMedium9" showFirstColumn="0" showLastColumn="0" showRowStripes="1" showColumnStripes="0"/>
</table>
</file>

<file path=xl/tables/table4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9" xr:uid="{00000000-000C-0000-FFFF-FFFFB6010000}" name="Pseudomystus" displayName="Pseudomystus" ref="PR1:PR20" totalsRowShown="0" headerRowDxfId="394">
  <autoFilter ref="PR1:PR20" xr:uid="{00000000-0009-0000-0100-000007020000}"/>
  <tableColumns count="1">
    <tableColumn id="1" xr3:uid="{00000000-0010-0000-B601-000001000000}" name="Pseudomystus"/>
  </tableColumns>
  <tableStyleInfo name="TableStyleMedium9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00000000-000C-0000-FFFF-FFFF2B000000}" name="Aphyocharax" displayName="Aphyocharax" ref="AF1:AF12" totalsRowShown="0" headerRowDxfId="791">
  <autoFilter ref="AF1:AF12" xr:uid="{00000000-0009-0000-0100-000078000000}"/>
  <tableColumns count="1">
    <tableColumn id="1" xr3:uid="{00000000-0010-0000-2B00-000001000000}" name="Aphyocharax"/>
  </tableColumns>
  <tableStyleInfo name="TableStyleMedium9" showFirstColumn="0" showLastColumn="0" showRowStripes="1" showColumnStripes="0"/>
</table>
</file>

<file path=xl/tables/table4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0" xr:uid="{00000000-000C-0000-FFFF-FFFFB7010000}" name="Pseudopimelodus" displayName="Pseudopimelodus" ref="PS1:PS6" totalsRowShown="0" headerRowDxfId="393">
  <autoFilter ref="PS1:PS6" xr:uid="{00000000-0009-0000-0100-000008020000}"/>
  <tableColumns count="1">
    <tableColumn id="1" xr3:uid="{00000000-0010-0000-B701-000001000000}" name="Pseudopimelodus"/>
  </tableColumns>
  <tableStyleInfo name="TableStyleMedium9" showFirstColumn="0" showLastColumn="0" showRowStripes="1" showColumnStripes="0"/>
</table>
</file>

<file path=xl/tables/table4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1" xr:uid="{00000000-000C-0000-FFFF-FFFFB8010000}" name="Pseudoplatystoma" displayName="Pseudoplatystoma" ref="PT1:PT9" totalsRowShown="0" headerRowDxfId="392">
  <autoFilter ref="PT1:PT9" xr:uid="{00000000-0009-0000-0100-000009020000}"/>
  <tableColumns count="1">
    <tableColumn id="1" xr3:uid="{00000000-0010-0000-B801-000001000000}" name="Pseudoplatystoma"/>
  </tableColumns>
  <tableStyleInfo name="TableStyleMedium9" showFirstColumn="0" showLastColumn="0" showRowStripes="1" showColumnStripes="0"/>
</table>
</file>

<file path=xl/tables/table4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2" xr:uid="{00000000-000C-0000-FFFF-FFFFB9010000}" name="Pseudotropheus" displayName="Pseudotropheus" ref="PU1:PU26" totalsRowShown="0" headerRowDxfId="391">
  <autoFilter ref="PU1:PU26" xr:uid="{00000000-0009-0000-0100-00000A020000}"/>
  <tableColumns count="1">
    <tableColumn id="1" xr3:uid="{00000000-0010-0000-B901-000001000000}" name="Pseudotropheus"/>
  </tableColumns>
  <tableStyleInfo name="TableStyleMedium9" showFirstColumn="0" showLastColumn="0" showRowStripes="1" showColumnStripes="0"/>
</table>
</file>

<file path=xl/tables/table4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3" xr:uid="{00000000-000C-0000-FFFF-FFFFBA010000}" name="Pterapogon" displayName="Pterapogon" ref="PV1:PV2" totalsRowShown="0" headerRowDxfId="390">
  <autoFilter ref="PV1:PV2" xr:uid="{00000000-0009-0000-0100-00000B020000}"/>
  <tableColumns count="1">
    <tableColumn id="1" xr3:uid="{00000000-0010-0000-BA01-000001000000}" name="Pterapogon"/>
  </tableColumns>
  <tableStyleInfo name="TableStyleMedium9" showFirstColumn="0" showLastColumn="0" showRowStripes="1" showColumnStripes="0"/>
</table>
</file>

<file path=xl/tables/table4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4" xr:uid="{00000000-000C-0000-FFFF-FFFFBB010000}" name="Ptereleotris" displayName="Ptereleotris" ref="PW1:PW21" totalsRowShown="0" headerRowDxfId="389">
  <autoFilter ref="PW1:PW21" xr:uid="{00000000-0009-0000-0100-00000C020000}"/>
  <tableColumns count="1">
    <tableColumn id="1" xr3:uid="{00000000-0010-0000-BB01-000001000000}" name="Ptereleotris"/>
  </tableColumns>
  <tableStyleInfo name="TableStyleMedium9" showFirstColumn="0" showLastColumn="0" showRowStripes="1" showColumnStripes="0"/>
</table>
</file>

<file path=xl/tables/table4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5" xr:uid="{00000000-000C-0000-FFFF-FFFFBC010000}" name="Pterois" displayName="Pterois" ref="PX1:PX12" totalsRowShown="0" headerRowDxfId="388">
  <autoFilter ref="PX1:PX12" xr:uid="{00000000-0009-0000-0100-00000D020000}"/>
  <tableColumns count="1">
    <tableColumn id="1" xr3:uid="{00000000-0010-0000-BC01-000001000000}" name="Pterois"/>
  </tableColumns>
  <tableStyleInfo name="TableStyleMedium9" showFirstColumn="0" showLastColumn="0" showRowStripes="1" showColumnStripes="0"/>
</table>
</file>

<file path=xl/tables/table4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6" xr:uid="{00000000-000C-0000-FFFF-FFFFBD010000}" name="Pterophyllum" displayName="Pterophyllum" ref="PZ1:PZ4" totalsRowShown="0" headerRowDxfId="387">
  <autoFilter ref="PZ1:PZ4" xr:uid="{00000000-0009-0000-0100-00000E020000}"/>
  <tableColumns count="1">
    <tableColumn id="1" xr3:uid="{00000000-0010-0000-BD01-000001000000}" name="Pterophyllum"/>
  </tableColumns>
  <tableStyleInfo name="TableStyleMedium9" showFirstColumn="0" showLastColumn="0" showRowStripes="1" showColumnStripes="0"/>
</table>
</file>

<file path=xl/tables/table4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7" xr:uid="{00000000-000C-0000-FFFF-FFFFBE010000}" name="Puntius" displayName="Puntius" ref="QC1:QC56" totalsRowShown="0" headerRowDxfId="386">
  <autoFilter ref="QC1:QC56" xr:uid="{00000000-0009-0000-0100-00000F020000}"/>
  <tableColumns count="1">
    <tableColumn id="1" xr3:uid="{00000000-0010-0000-BE01-000001000000}" name="Puntius"/>
  </tableColumns>
  <tableStyleInfo name="TableStyleMedium9" showFirstColumn="0" showLastColumn="0" showRowStripes="1" showColumnStripes="0"/>
</table>
</file>

<file path=xl/tables/table4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8" xr:uid="{00000000-000C-0000-FFFF-FFFFBF010000}" name="Pygoplites" displayName="Pygoplites" ref="QD1:QD2" totalsRowShown="0" headerRowDxfId="385">
  <autoFilter ref="QD1:QD2" xr:uid="{00000000-0009-0000-0100-000010020000}"/>
  <tableColumns count="1">
    <tableColumn id="1" xr3:uid="{00000000-0010-0000-BF01-000001000000}" name="Pygoplites"/>
  </tableColumns>
  <tableStyleInfo name="TableStyleMedium9" showFirstColumn="0" showLastColumn="0" showRowStripes="1" showColumnStripes="0"/>
</table>
</file>

<file path=xl/tables/table4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9" xr:uid="{00000000-000C-0000-FFFF-FFFFC0010000}" name="Pyrrhulina" displayName="Pyrrhulina" ref="QE1:QE19" totalsRowShown="0" headerRowDxfId="384">
  <autoFilter ref="QE1:QE19" xr:uid="{00000000-0009-0000-0100-000011020000}"/>
  <tableColumns count="1">
    <tableColumn id="1" xr3:uid="{00000000-0010-0000-C001-000001000000}" name="Pyrrhulina"/>
  </tableColumns>
  <tableStyleInfo name="TableStyleMedium9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00000000-000C-0000-FFFF-FFFF2C000000}" name="Aphyosemion" displayName="Aphyosemion" ref="AG1:AG101" totalsRowShown="0" headerRowDxfId="790">
  <autoFilter ref="AG1:AG101" xr:uid="{00000000-0009-0000-0100-000079000000}"/>
  <tableColumns count="1">
    <tableColumn id="1" xr3:uid="{00000000-0010-0000-2C00-000001000000}" name="Aphyosemion"/>
  </tableColumns>
  <tableStyleInfo name="TableStyleMedium9" showFirstColumn="0" showLastColumn="0" showRowStripes="1" showColumnStripes="0"/>
</table>
</file>

<file path=xl/tables/table4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0" xr:uid="{00000000-000C-0000-FFFF-FFFFC1010000}" name="Rasbora" displayName="Rasbora" ref="QF1:QF89" totalsRowShown="0" headerRowDxfId="383">
  <autoFilter ref="QF1:QF89" xr:uid="{00000000-0009-0000-0100-000012020000}"/>
  <tableColumns count="1">
    <tableColumn id="1" xr3:uid="{00000000-0010-0000-C101-000001000000}" name="Rasbora"/>
  </tableColumns>
  <tableStyleInfo name="TableStyleMedium9" showFirstColumn="0" showLastColumn="0" showRowStripes="1" showColumnStripes="0"/>
</table>
</file>

<file path=xl/tables/table4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1" xr:uid="{00000000-000C-0000-FFFF-FFFFC2010000}" name="Reganochromis" displayName="Reganochromis" ref="QG1:QG2" totalsRowShown="0" headerRowDxfId="382">
  <autoFilter ref="QG1:QG2" xr:uid="{00000000-0009-0000-0100-000013020000}"/>
  <tableColumns count="1">
    <tableColumn id="1" xr3:uid="{00000000-0010-0000-C201-000001000000}" name="Reganochromis"/>
  </tableColumns>
  <tableStyleInfo name="TableStyleMedium9" showFirstColumn="0" showLastColumn="0" showRowStripes="1" showColumnStripes="0"/>
</table>
</file>

<file path=xl/tables/table4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2" xr:uid="{00000000-000C-0000-FFFF-FFFFC3010000}" name="Rhamphichthys" displayName="Rhamphichthys" ref="QH1:QH11" totalsRowShown="0" headerRowDxfId="381">
  <autoFilter ref="QH1:QH11" xr:uid="{00000000-0009-0000-0100-000014020000}"/>
  <tableColumns count="1">
    <tableColumn id="1" xr3:uid="{00000000-0010-0000-C301-000001000000}" name="Rhamphichthys"/>
  </tableColumns>
  <tableStyleInfo name="TableStyleMedium9" showFirstColumn="0" showLastColumn="0" showRowStripes="1" showColumnStripes="0"/>
</table>
</file>

<file path=xl/tables/table4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3" xr:uid="{00000000-000C-0000-FFFF-FFFFC4010000}" name="Rhinecanthus" displayName="Rhinecanthus" ref="QI1:QI8" totalsRowShown="0" headerRowDxfId="380">
  <autoFilter ref="QI1:QI8" xr:uid="{00000000-0009-0000-0100-000015020000}"/>
  <tableColumns count="1">
    <tableColumn id="1" xr3:uid="{00000000-0010-0000-C401-000001000000}" name="Rhinecanthus"/>
  </tableColumns>
  <tableStyleInfo name="TableStyleMedium9" showFirstColumn="0" showLastColumn="0" showRowStripes="1" showColumnStripes="0"/>
</table>
</file>

<file path=xl/tables/table4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4" xr:uid="{00000000-000C-0000-FFFF-FFFFC5010000}" name="Rhinomuraena" displayName="Rhinomuraena" ref="QJ1:QJ2" totalsRowShown="0" headerRowDxfId="379">
  <autoFilter ref="QJ1:QJ2" xr:uid="{00000000-0009-0000-0100-000016020000}"/>
  <tableColumns count="1">
    <tableColumn id="1" xr3:uid="{00000000-0010-0000-C501-000001000000}" name="Rhinomuraena"/>
  </tableColumns>
  <tableStyleInfo name="TableStyleMedium9" showFirstColumn="0" showLastColumn="0" showRowStripes="1" showColumnStripes="0"/>
</table>
</file>

<file path=xl/tables/table4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5" xr:uid="{00000000-000C-0000-FFFF-FFFFC6010000}" name="Rineloricaria" displayName="Rineloricaria" ref="QK1:QK64" totalsRowShown="0" headerRowDxfId="378">
  <autoFilter ref="QK1:QK64" xr:uid="{00000000-0009-0000-0100-000017020000}"/>
  <tableColumns count="1">
    <tableColumn id="1" xr3:uid="{00000000-0010-0000-C601-000001000000}" name="Rineloricaria"/>
  </tableColumns>
  <tableStyleInfo name="TableStyleMedium9" showFirstColumn="0" showLastColumn="0" showRowStripes="1" showColumnStripes="0"/>
</table>
</file>

<file path=xl/tables/table4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6" xr:uid="{00000000-000C-0000-FFFF-FFFFC7010000}" name="Rivulus" displayName="Rivulus" ref="QL1:QL11" totalsRowShown="0" headerRowDxfId="377">
  <autoFilter ref="QL1:QL11" xr:uid="{00000000-0009-0000-0100-000018020000}"/>
  <tableColumns count="1">
    <tableColumn id="1" xr3:uid="{00000000-0010-0000-C701-000001000000}" name="Rivulus"/>
  </tableColumns>
  <tableStyleInfo name="TableStyleMedium9" showFirstColumn="0" showLastColumn="0" showRowStripes="1" showColumnStripes="0"/>
</table>
</file>

<file path=xl/tables/table4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7" xr:uid="{00000000-000C-0000-FFFF-FFFFC8010000}" name="Salarias" displayName="Salarias" ref="QM1:QM14" totalsRowShown="0" headerRowDxfId="376">
  <autoFilter ref="QM1:QM14" xr:uid="{00000000-0009-0000-0100-000019020000}"/>
  <tableColumns count="1">
    <tableColumn id="1" xr3:uid="{00000000-0010-0000-C801-000001000000}" name="Salarias"/>
  </tableColumns>
  <tableStyleInfo name="TableStyleMedium9" showFirstColumn="0" showLastColumn="0" showRowStripes="1" showColumnStripes="0"/>
</table>
</file>

<file path=xl/tables/table4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8" xr:uid="{00000000-000C-0000-FFFF-FFFFC9010000}" name="Sargocentron" displayName="Sargocentron" ref="QN1:QN34" totalsRowShown="0" headerRowDxfId="375">
  <autoFilter ref="QN1:QN34" xr:uid="{00000000-0009-0000-0100-00001A020000}"/>
  <tableColumns count="1">
    <tableColumn id="1" xr3:uid="{00000000-0010-0000-C901-000001000000}" name="Sargocentron"/>
  </tableColumns>
  <tableStyleInfo name="TableStyleMedium9" showFirstColumn="0" showLastColumn="0" showRowStripes="1" showColumnStripes="0"/>
</table>
</file>

<file path=xl/tables/table4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9" xr:uid="{00000000-000C-0000-FFFF-FFFFCA010000}" name="Satanoperca" displayName="Satanoperca" ref="QO1:QO9" totalsRowShown="0" headerRowDxfId="374">
  <autoFilter ref="QO1:QO9" xr:uid="{00000000-0009-0000-0100-00001B020000}"/>
  <tableColumns count="1">
    <tableColumn id="1" xr3:uid="{00000000-0010-0000-CA01-000001000000}" name="Satanoperca"/>
  </tableColumns>
  <tableStyleInfo name="TableStyleMedium9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00000000-000C-0000-FFFF-FFFF2D000000}" name="Apistogramma" displayName="Apistogramma" ref="AH1:AH90" totalsRowShown="0" headerRowDxfId="789">
  <autoFilter ref="AH1:AH90" xr:uid="{00000000-0009-0000-0100-00007A000000}"/>
  <tableColumns count="1">
    <tableColumn id="1" xr3:uid="{00000000-0010-0000-2D00-000001000000}" name="Apistogramma"/>
  </tableColumns>
  <tableStyleInfo name="TableStyleMedium9" showFirstColumn="0" showLastColumn="0" showRowStripes="1" showColumnStripes="0"/>
</table>
</file>

<file path=xl/tables/table4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0" xr:uid="{00000000-000C-0000-FFFF-FFFFCB010000}" name="Scartella" displayName="Scartella" ref="QP1:QP8" totalsRowShown="0" headerRowDxfId="373">
  <autoFilter ref="QP1:QP8" xr:uid="{00000000-0009-0000-0100-00001C020000}"/>
  <tableColumns count="1">
    <tableColumn id="1" xr3:uid="{00000000-0010-0000-CB01-000001000000}" name="Scartella"/>
  </tableColumns>
  <tableStyleInfo name="TableStyleMedium9" showFirstColumn="0" showLastColumn="0" showRowStripes="1" showColumnStripes="0"/>
</table>
</file>

<file path=xl/tables/table4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1" xr:uid="{00000000-000C-0000-FFFF-FFFFCC010000}" name="Scarus" displayName="Scarus" ref="QQ1:QQ53" totalsRowShown="0" headerRowDxfId="372">
  <autoFilter ref="QQ1:QQ53" xr:uid="{00000000-0009-0000-0100-00001D020000}"/>
  <tableColumns count="1">
    <tableColumn id="1" xr3:uid="{00000000-0010-0000-CC01-000001000000}" name="Scarus"/>
  </tableColumns>
  <tableStyleInfo name="TableStyleMedium9" showFirstColumn="0" showLastColumn="0" showRowStripes="1" showColumnStripes="0"/>
</table>
</file>

<file path=xl/tables/table4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2" xr:uid="{00000000-000C-0000-FFFF-FFFFCD010000}" name="Scatophagus" displayName="Scatophagus" ref="QR1:QR3" totalsRowShown="0" headerRowDxfId="371">
  <autoFilter ref="QR1:QR3" xr:uid="{00000000-0009-0000-0100-00001E020000}"/>
  <tableColumns count="1">
    <tableColumn id="1" xr3:uid="{00000000-0010-0000-CD01-000001000000}" name="Scatophagus"/>
  </tableColumns>
  <tableStyleInfo name="TableStyleMedium9" showFirstColumn="0" showLastColumn="0" showRowStripes="1" showColumnStripes="0"/>
</table>
</file>

<file path=xl/tables/table4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3" xr:uid="{00000000-000C-0000-FFFF-FFFFCE010000}" name="Sciaenochromis" displayName="Sciaenochromis" ref="QS1:QS5" totalsRowShown="0" headerRowDxfId="370">
  <autoFilter ref="QS1:QS5" xr:uid="{00000000-0009-0000-0100-00001F020000}"/>
  <tableColumns count="1">
    <tableColumn id="1" xr3:uid="{00000000-0010-0000-CE01-000001000000}" name="Sciaenochromis"/>
  </tableColumns>
  <tableStyleInfo name="TableStyleMedium9" showFirstColumn="0" showLastColumn="0" showRowStripes="1" showColumnStripes="0"/>
</table>
</file>

<file path=xl/tables/table4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4" xr:uid="{00000000-000C-0000-FFFF-FFFFCF010000}" name="Selene" displayName="Selene" ref="QT1:QT9" totalsRowShown="0" headerRowDxfId="369">
  <autoFilter ref="QT1:QT9" xr:uid="{00000000-0009-0000-0100-000020020000}"/>
  <tableColumns count="1">
    <tableColumn id="1" xr3:uid="{00000000-0010-0000-CF01-000001000000}" name="Selene"/>
  </tableColumns>
  <tableStyleInfo name="TableStyleMedium9" showFirstColumn="0" showLastColumn="0" showRowStripes="1" showColumnStripes="0"/>
</table>
</file>

<file path=xl/tables/table4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5" xr:uid="{00000000-000C-0000-FFFF-FFFFD0010000}" name="Selenotoca" displayName="Selenotoca" ref="QU1:QU3" totalsRowShown="0" headerRowDxfId="368">
  <autoFilter ref="QU1:QU3" xr:uid="{00000000-0009-0000-0100-000021020000}"/>
  <tableColumns count="1">
    <tableColumn id="1" xr3:uid="{00000000-0010-0000-D001-000001000000}" name="Selenotoca"/>
  </tableColumns>
  <tableStyleInfo name="TableStyleMedium9" showFirstColumn="0" showLastColumn="0" showRowStripes="1" showColumnStripes="0"/>
</table>
</file>

<file path=xl/tables/table4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6" xr:uid="{00000000-000C-0000-FFFF-FFFFD1010000}" name="Semaprochilodus" displayName="Semaprochilodus" ref="QV1:QV7" totalsRowShown="0" headerRowDxfId="367">
  <autoFilter ref="QV1:QV7" xr:uid="{00000000-0009-0000-0100-000022020000}"/>
  <tableColumns count="1">
    <tableColumn id="1" xr3:uid="{00000000-0010-0000-D101-000001000000}" name="Semaprochilodus"/>
  </tableColumns>
  <tableStyleInfo name="TableStyleMedium9" showFirstColumn="0" showLastColumn="0" showRowStripes="1" showColumnStripes="0"/>
</table>
</file>

<file path=xl/tables/table4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7" xr:uid="{00000000-000C-0000-FFFF-FFFFD2010000}" name="Serranus" displayName="Serranus" ref="QW1:QW31" totalsRowShown="0" headerRowDxfId="366">
  <autoFilter ref="QW1:QW31" xr:uid="{00000000-0009-0000-0100-000023020000}"/>
  <tableColumns count="1">
    <tableColumn id="1" xr3:uid="{00000000-0010-0000-D201-000001000000}" name="Serranus"/>
  </tableColumns>
  <tableStyleInfo name="TableStyleMedium9" showFirstColumn="0" showLastColumn="0" showRowStripes="1" showColumnStripes="0"/>
</table>
</file>

<file path=xl/tables/table4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8" xr:uid="{00000000-000C-0000-FFFF-FFFFD3010000}" name="Siganus" displayName="Siganus" ref="QX1:QX30" totalsRowShown="0" headerRowDxfId="365">
  <autoFilter ref="QX1:QX30" xr:uid="{00000000-0009-0000-0100-000024020000}"/>
  <tableColumns count="1">
    <tableColumn id="1" xr3:uid="{00000000-0010-0000-D301-000001000000}" name="Siganus"/>
  </tableColumns>
  <tableStyleInfo name="TableStyleMedium9" showFirstColumn="0" showLastColumn="0" showRowStripes="1" showColumnStripes="0"/>
</table>
</file>

<file path=xl/tables/table4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9" xr:uid="{00000000-000C-0000-FFFF-FFFFD4010000}" name="Signigobius" displayName="Signigobius" ref="QY1:QY2" totalsRowShown="0" headerRowDxfId="364">
  <autoFilter ref="QY1:QY2" xr:uid="{00000000-0009-0000-0100-000025020000}"/>
  <tableColumns count="1">
    <tableColumn id="1" xr3:uid="{00000000-0010-0000-D401-000001000000}" name="Signigobius"/>
  </tableColumns>
  <tableStyleInfo name="TableStyleMedium9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00000000-000C-0000-FFFF-FFFF2E000000}" name="Apistogrammoides" displayName="Apistogrammoides" ref="AI1:AI2" totalsRowShown="0" headerRowDxfId="788">
  <autoFilter ref="AI1:AI2" xr:uid="{00000000-0009-0000-0100-00007B000000}"/>
  <tableColumns count="1">
    <tableColumn id="1" xr3:uid="{00000000-0010-0000-2E00-000001000000}" name="Apistogrammoides"/>
  </tableColumns>
  <tableStyleInfo name="TableStyleMedium9" showFirstColumn="0" showLastColumn="0" showRowStripes="1" showColumnStripes="0"/>
</table>
</file>

<file path=xl/tables/table4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0" xr:uid="{00000000-000C-0000-FFFF-FFFFD5010000}" name="Silurichthys" displayName="Silurichthys" ref="QZ1:QZ10" totalsRowShown="0" headerRowDxfId="363">
  <autoFilter ref="QZ1:QZ10" xr:uid="{00000000-0009-0000-0100-000026020000}"/>
  <tableColumns count="1">
    <tableColumn id="1" xr3:uid="{00000000-0010-0000-D501-000001000000}" name="Silurichthys"/>
  </tableColumns>
  <tableStyleInfo name="TableStyleMedium9" showFirstColumn="0" showLastColumn="0" showRowStripes="1" showColumnStripes="0"/>
</table>
</file>

<file path=xl/tables/table4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1" xr:uid="{00000000-000C-0000-FFFF-FFFFD6010000}" name="Simochromis" displayName="Simochromis" ref="RA1:RA2" totalsRowShown="0" headerRowDxfId="362">
  <autoFilter ref="RA1:RA2" xr:uid="{00000000-0009-0000-0100-000027020000}"/>
  <tableColumns count="1">
    <tableColumn id="1" xr3:uid="{00000000-0010-0000-D601-000001000000}" name="Simochromis"/>
  </tableColumns>
  <tableStyleInfo name="TableStyleMedium9" showFirstColumn="0" showLastColumn="0" showRowStripes="1" showColumnStripes="0"/>
</table>
</file>

<file path=xl/tables/table4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2" xr:uid="{00000000-000C-0000-FFFF-FFFFD7010000}" name="Simpsonichthys" displayName="Simpsonichthys" ref="RB1:RB27" totalsRowShown="0" headerRowDxfId="361">
  <autoFilter ref="RB1:RB27" xr:uid="{00000000-0009-0000-0100-000028020000}"/>
  <tableColumns count="1">
    <tableColumn id="1" xr3:uid="{00000000-0010-0000-D701-000001000000}" name="Simpsonichthys"/>
  </tableColumns>
  <tableStyleInfo name="TableStyleMedium9" showFirstColumn="0" showLastColumn="0" showRowStripes="1" showColumnStripes="0"/>
</table>
</file>

<file path=xl/tables/table4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3" xr:uid="{00000000-000C-0000-FFFF-FFFFD8010000}" name="Sorubim" displayName="Sorubim" ref="RC1:RC6" totalsRowShown="0" headerRowDxfId="360">
  <autoFilter ref="RC1:RC6" xr:uid="{00000000-0009-0000-0100-000029020000}"/>
  <tableColumns count="1">
    <tableColumn id="1" xr3:uid="{00000000-0010-0000-D801-000001000000}" name="Sorubim"/>
  </tableColumns>
  <tableStyleInfo name="TableStyleMedium9" showFirstColumn="0" showLastColumn="0" showRowStripes="1" showColumnStripes="0"/>
</table>
</file>

<file path=xl/tables/table4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4" xr:uid="{00000000-000C-0000-FFFF-FFFFD9010000}" name="Sparisoma" displayName="Sparisoma" ref="RD1:RD16" totalsRowShown="0" headerRowDxfId="359">
  <autoFilter ref="RD1:RD16" xr:uid="{00000000-0009-0000-0100-00002A020000}"/>
  <tableColumns count="1">
    <tableColumn id="1" xr3:uid="{00000000-0010-0000-D901-000001000000}" name="Sparisoma"/>
  </tableColumns>
  <tableStyleInfo name="TableStyleMedium9" showFirstColumn="0" showLastColumn="0" showRowStripes="1" showColumnStripes="0"/>
</table>
</file>

<file path=xl/tables/table4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5" xr:uid="{00000000-000C-0000-FFFF-FFFFDA010000}" name="Spatuloricaria" displayName="Spatuloricaria" ref="RE1:RE13" totalsRowShown="0" headerRowDxfId="358">
  <autoFilter ref="RE1:RE13" xr:uid="{00000000-0009-0000-0100-00002B020000}"/>
  <tableColumns count="1">
    <tableColumn id="1" xr3:uid="{00000000-0010-0000-DA01-000001000000}" name="Spatuloricaria"/>
  </tableColumns>
  <tableStyleInfo name="TableStyleMedium9" showFirstColumn="0" showLastColumn="0" showRowStripes="1" showColumnStripes="0"/>
</table>
</file>

<file path=xl/tables/table4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6" xr:uid="{00000000-000C-0000-FFFF-FFFFDB010000}" name="Sphaeramia" displayName="Sphaeramia" ref="RF1:RF3" totalsRowShown="0" headerRowDxfId="357">
  <autoFilter ref="RF1:RF3" xr:uid="{00000000-0009-0000-0100-00002C020000}"/>
  <tableColumns count="1">
    <tableColumn id="1" xr3:uid="{00000000-0010-0000-DB01-000001000000}" name="Sphaeramia"/>
  </tableColumns>
  <tableStyleInfo name="TableStyleMedium9" showFirstColumn="0" showLastColumn="0" showRowStripes="1" showColumnStripes="0"/>
</table>
</file>

<file path=xl/tables/table4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7" xr:uid="{00000000-000C-0000-FFFF-FFFFDC010000}" name="Sphaerichthys" displayName="Sphaerichthys" ref="RG1:RG5" totalsRowShown="0" headerRowDxfId="356">
  <autoFilter ref="RG1:RG5" xr:uid="{00000000-0009-0000-0100-00002D020000}"/>
  <tableColumns count="1">
    <tableColumn id="1" xr3:uid="{00000000-0010-0000-DC01-000001000000}" name="Sphaerichthys"/>
  </tableColumns>
  <tableStyleInfo name="TableStyleMedium9" showFirstColumn="0" showLastColumn="0" showRowStripes="1" showColumnStripes="0"/>
</table>
</file>

<file path=xl/tables/table4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8" xr:uid="{00000000-000C-0000-FFFF-FFFFDD010000}" name="Sphoeroides" displayName="Sphoeroides" ref="RH1:RH23" totalsRowShown="0" headerRowDxfId="355">
  <autoFilter ref="RH1:RH23" xr:uid="{00000000-0009-0000-0100-00002E020000}"/>
  <tableColumns count="1">
    <tableColumn id="1" xr3:uid="{00000000-0010-0000-DD01-000001000000}" name="Sphoeroides"/>
  </tableColumns>
  <tableStyleInfo name="TableStyleMedium9" showFirstColumn="0" showLastColumn="0" showRowStripes="1" showColumnStripes="0"/>
</table>
</file>

<file path=xl/tables/table4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9" xr:uid="{00000000-000C-0000-FFFF-FFFFDE010000}" name="Sphyrna" displayName="Sphyrna" ref="RI1:RI10" totalsRowShown="0" headerRowDxfId="354">
  <autoFilter ref="RI1:RI10" xr:uid="{00000000-0009-0000-0100-00002F020000}"/>
  <tableColumns count="1">
    <tableColumn id="1" xr3:uid="{00000000-0010-0000-DE01-000001000000}" name="Sphyrna"/>
  </tableColumns>
  <tableStyleInfo name="TableStyleMedium9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00000000-000C-0000-FFFF-FFFF2F000000}" name="Aplocheilus" displayName="Aplocheilus" ref="AJ1:AJ8" totalsRowShown="0" headerRowDxfId="787">
  <autoFilter ref="AJ1:AJ8" xr:uid="{00000000-0009-0000-0100-00007C000000}"/>
  <tableColumns count="1">
    <tableColumn id="1" xr3:uid="{00000000-0010-0000-2F00-000001000000}" name="Aplocheilus"/>
  </tableColumns>
  <tableStyleInfo name="TableStyleMedium9" showFirstColumn="0" showLastColumn="0" showRowStripes="1" showColumnStripes="0"/>
</table>
</file>

<file path=xl/tables/table4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0" xr:uid="{00000000-000C-0000-FFFF-FFFFDF010000}" name="Steatocranus" displayName="Steatocranus" ref="RJ1:RJ10" totalsRowShown="0" headerRowDxfId="353">
  <autoFilter ref="RJ1:RJ10" xr:uid="{00000000-0009-0000-0100-000030020000}"/>
  <tableColumns count="1">
    <tableColumn id="1" xr3:uid="{00000000-0010-0000-DF01-000001000000}" name="Steatocranus"/>
  </tableColumns>
  <tableStyleInfo name="TableStyleMedium9" showFirstColumn="0" showLastColumn="0" showRowStripes="1" showColumnStripes="0"/>
</table>
</file>

<file path=xl/tables/table4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1" xr:uid="{00000000-000C-0000-FFFF-FFFFE0010000}" name="Steatogenys" displayName="Steatogenys" ref="RK1:RK4" totalsRowShown="0" headerRowDxfId="352">
  <autoFilter ref="RK1:RK4" xr:uid="{00000000-0009-0000-0100-000031020000}"/>
  <tableColumns count="1">
    <tableColumn id="1" xr3:uid="{00000000-0010-0000-E001-000001000000}" name="Steatogenys"/>
  </tableColumns>
  <tableStyleInfo name="TableStyleMedium9" showFirstColumn="0" showLastColumn="0" showRowStripes="1" showColumnStripes="0"/>
</table>
</file>

<file path=xl/tables/table4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2" xr:uid="{00000000-000C-0000-FFFF-FFFFE1010000}" name="Stegastes" displayName="Stegastes" ref="RL1:RL39" totalsRowShown="0" headerRowDxfId="351">
  <autoFilter ref="RL1:RL39" xr:uid="{00000000-0009-0000-0100-000032020000}"/>
  <tableColumns count="1">
    <tableColumn id="1" xr3:uid="{00000000-0010-0000-E101-000001000000}" name="Stegastes"/>
  </tableColumns>
  <tableStyleInfo name="TableStyleMedium9" showFirstColumn="0" showLastColumn="0" showRowStripes="1" showColumnStripes="0"/>
</table>
</file>

<file path=xl/tables/table4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3" xr:uid="{00000000-000C-0000-FFFF-FFFFE2010000}" name="Sternopygus" displayName="Sternopygus" ref="RM1:RM10" totalsRowShown="0" headerRowDxfId="350">
  <autoFilter ref="RM1:RM10" xr:uid="{00000000-0009-0000-0100-000033020000}"/>
  <tableColumns count="1">
    <tableColumn id="1" xr3:uid="{00000000-0010-0000-E201-000001000000}" name="Sternopygus"/>
  </tableColumns>
  <tableStyleInfo name="TableStyleMedium9" showFirstColumn="0" showLastColumn="0" showRowStripes="1" showColumnStripes="0"/>
</table>
</file>

<file path=xl/tables/table4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4" xr:uid="{00000000-000C-0000-FFFF-FFFFE3010000}" name="Stonogobiops" displayName="Stonogobiops" ref="RN1:RN8" totalsRowShown="0" headerRowDxfId="349">
  <autoFilter ref="RN1:RN8" xr:uid="{00000000-0009-0000-0100-000034020000}"/>
  <tableColumns count="1">
    <tableColumn id="1" xr3:uid="{00000000-0010-0000-E301-000001000000}" name="Stonogobiops"/>
  </tableColumns>
  <tableStyleInfo name="TableStyleMedium9" showFirstColumn="0" showLastColumn="0" showRowStripes="1" showColumnStripes="0"/>
</table>
</file>

<file path=xl/tables/table4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5" xr:uid="{00000000-000C-0000-FFFF-FFFFE4010000}" name="Sturisomatichthys" displayName="Sturisomatichthys" ref="RO1:RO10" totalsRowShown="0" headerRowDxfId="348">
  <autoFilter ref="RO1:RO10" xr:uid="{00000000-0009-0000-0100-000035020000}"/>
  <tableColumns count="1">
    <tableColumn id="1" xr3:uid="{00000000-0010-0000-E401-000001000000}" name="Sturisomatichthys"/>
  </tableColumns>
  <tableStyleInfo name="TableStyleMedium9" showFirstColumn="0" showLastColumn="0" showRowStripes="1" showColumnStripes="0"/>
</table>
</file>

<file path=xl/tables/table4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6" xr:uid="{00000000-000C-0000-FFFF-FFFFE5010000}" name="Sufflamen" displayName="Sufflamen" ref="RP1:RP6" totalsRowShown="0" headerRowDxfId="347">
  <autoFilter ref="RP1:RP6" xr:uid="{00000000-0009-0000-0100-000036020000}"/>
  <tableColumns count="1">
    <tableColumn id="1" xr3:uid="{00000000-0010-0000-E501-000001000000}" name="Sufflamen"/>
  </tableColumns>
  <tableStyleInfo name="TableStyleMedium9" showFirstColumn="0" showLastColumn="0" showRowStripes="1" showColumnStripes="0"/>
</table>
</file>

<file path=xl/tables/table4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7" xr:uid="{00000000-000C-0000-FFFF-FFFFE6010000}" name="Sundadanio" displayName="Sundadanio" ref="RQ1:RQ9" totalsRowShown="0" headerRowDxfId="346">
  <autoFilter ref="RQ1:RQ9" xr:uid="{00000000-0009-0000-0100-000037020000}"/>
  <tableColumns count="1">
    <tableColumn id="1" xr3:uid="{00000000-0010-0000-E601-000001000000}" name="Sundadanio"/>
  </tableColumns>
  <tableStyleInfo name="TableStyleMedium9" showFirstColumn="0" showLastColumn="0" showRowStripes="1" showColumnStripes="0"/>
</table>
</file>

<file path=xl/tables/table4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8" xr:uid="{00000000-000C-0000-FFFF-FFFFE7010000}" name="Symphysodon" displayName="Symphysodon" ref="RR1:RR4" totalsRowShown="0" headerRowDxfId="345">
  <autoFilter ref="RR1:RR4" xr:uid="{00000000-0009-0000-0100-000038020000}"/>
  <tableColumns count="1">
    <tableColumn id="1" xr3:uid="{00000000-0010-0000-E701-000001000000}" name="Symphysodon"/>
  </tableColumns>
  <tableStyleInfo name="TableStyleMedium9" showFirstColumn="0" showLastColumn="0" showRowStripes="1" showColumnStripes="0"/>
</table>
</file>

<file path=xl/tables/table4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9" xr:uid="{00000000-000C-0000-FFFF-FFFFE8010000}" name="Synbranchus" displayName="Synbranchus" ref="RS1:RS4" totalsRowShown="0" headerRowDxfId="344">
  <autoFilter ref="RS1:RS4" xr:uid="{00000000-0009-0000-0100-000039020000}"/>
  <tableColumns count="1">
    <tableColumn id="1" xr3:uid="{00000000-0010-0000-E801-000001000000}" name="Synbranchus"/>
  </tableColumns>
  <tableStyleInfo name="TableStyleMedium9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00000000-000C-0000-FFFF-FFFF30000000}" name="Apogon" displayName="Apogon" ref="AK1:AK52" totalsRowShown="0" headerRowDxfId="786">
  <autoFilter ref="AK1:AK52" xr:uid="{00000000-0009-0000-0100-00007D000000}"/>
  <tableColumns count="1">
    <tableColumn id="1" xr3:uid="{00000000-0010-0000-3000-000001000000}" name="Apogon"/>
  </tableColumns>
  <tableStyleInfo name="TableStyleMedium9" showFirstColumn="0" showLastColumn="0" showRowStripes="1" showColumnStripes="0"/>
</table>
</file>

<file path=xl/tables/table4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0" xr:uid="{00000000-000C-0000-FFFF-FFFFE9010000}" name="Synchiropus" displayName="Synchiropus" ref="RT1:RT44" totalsRowShown="0" headerRowDxfId="343">
  <autoFilter ref="RT1:RT44" xr:uid="{00000000-0009-0000-0100-00003A020000}"/>
  <tableColumns count="1">
    <tableColumn id="1" xr3:uid="{00000000-0010-0000-E901-000001000000}" name="Synchiropus"/>
  </tableColumns>
  <tableStyleInfo name="TableStyleMedium9" showFirstColumn="0" showLastColumn="0" showRowStripes="1" showColumnStripes="0"/>
</table>
</file>

<file path=xl/tables/table4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1" xr:uid="{00000000-000C-0000-FFFF-FFFFEA010000}" name="Syncrossus" displayName="Syncrossus" ref="RU1:RU6" totalsRowShown="0" headerRowDxfId="342">
  <autoFilter ref="RU1:RU6" xr:uid="{00000000-0009-0000-0100-00003B020000}"/>
  <tableColumns count="1">
    <tableColumn id="1" xr3:uid="{00000000-0010-0000-EA01-000001000000}" name="Syncrossus"/>
  </tableColumns>
  <tableStyleInfo name="TableStyleMedium9" showFirstColumn="0" showLastColumn="0" showRowStripes="1" showColumnStripes="0"/>
</table>
</file>

<file path=xl/tables/table4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6" xr:uid="{00000000-000C-0000-FFFF-FFFFEB010000}" name="Synodontis" displayName="Synodontis" ref="RV1:RV132" totalsRowShown="0" headerRowDxfId="341">
  <autoFilter ref="RV1:RV132" xr:uid="{00000000-0009-0000-0100-0000BA000000}"/>
  <tableColumns count="1">
    <tableColumn id="1" xr3:uid="{00000000-0010-0000-EB01-000001000000}" name="Synodontis"/>
  </tableColumns>
  <tableStyleInfo name="TableStyleMedium9" showFirstColumn="0" showLastColumn="0" showRowStripes="1" showColumnStripes="0"/>
</table>
</file>

<file path=xl/tables/table4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5" xr:uid="{00000000-000C-0000-FFFF-FFFFEC010000}" name="Taeniacara" displayName="Taeniacara" ref="RW1:RW2" totalsRowShown="0" headerRowDxfId="340">
  <autoFilter ref="RW1:RW2" xr:uid="{00000000-0009-0000-0100-000059010000}"/>
  <tableColumns count="1">
    <tableColumn id="1" xr3:uid="{00000000-0010-0000-EC01-000001000000}" name="Taeniacara"/>
  </tableColumns>
  <tableStyleInfo name="TableStyleMedium9" showFirstColumn="0" showLastColumn="0" showRowStripes="1" showColumnStripes="0"/>
</table>
</file>

<file path=xl/tables/table4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2" xr:uid="{00000000-000C-0000-FFFF-FFFFED010000}" name="Taenianotus" displayName="Taenianotus" ref="RX1:RX2" totalsRowShown="0" headerRowDxfId="339">
  <autoFilter ref="RX1:RX2" xr:uid="{00000000-0009-0000-0100-00003C020000}"/>
  <tableColumns count="1">
    <tableColumn id="1" xr3:uid="{00000000-0010-0000-ED01-000001000000}" name="Taenianotus"/>
  </tableColumns>
  <tableStyleInfo name="TableStyleMedium9" showFirstColumn="0" showLastColumn="0" showRowStripes="1" showColumnStripes="0"/>
</table>
</file>

<file path=xl/tables/table4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3" xr:uid="{00000000-000C-0000-FFFF-FFFFEE010000}" name="Taeniura" displayName="Taeniura" ref="RY1:RY4" totalsRowShown="0" headerRowDxfId="338">
  <autoFilter ref="RY1:RY4" xr:uid="{00000000-0009-0000-0100-00003D020000}"/>
  <tableColumns count="1">
    <tableColumn id="1" xr3:uid="{00000000-0010-0000-EE01-000001000000}" name="Taeniura"/>
  </tableColumns>
  <tableStyleInfo name="TableStyleMedium9" showFirstColumn="0" showLastColumn="0" showRowStripes="1" showColumnStripes="0"/>
</table>
</file>

<file path=xl/tables/table4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4" xr:uid="{00000000-000C-0000-FFFF-FFFFEF010000}" name="Tanganicodus" displayName="Tanganicodus" ref="RZ1:RZ2" totalsRowShown="0" headerRowDxfId="337">
  <autoFilter ref="RZ1:RZ2" xr:uid="{00000000-0009-0000-0100-00003E020000}"/>
  <tableColumns count="1">
    <tableColumn id="1" xr3:uid="{00000000-0010-0000-EF01-000001000000}" name="Tanganicodus"/>
  </tableColumns>
  <tableStyleInfo name="TableStyleMedium9" showFirstColumn="0" showLastColumn="0" showRowStripes="1" showColumnStripes="0"/>
</table>
</file>

<file path=xl/tables/table4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5" xr:uid="{00000000-000C-0000-FFFF-FFFFF0010000}" name="Tanichthys" displayName="Tanichthys" ref="SA1:SA4" totalsRowShown="0" headerRowDxfId="336">
  <autoFilter ref="SA1:SA4" xr:uid="{00000000-0009-0000-0100-00003F020000}"/>
  <tableColumns count="1">
    <tableColumn id="1" xr3:uid="{00000000-0010-0000-F001-000001000000}" name="Tanichthys"/>
  </tableColumns>
  <tableStyleInfo name="TableStyleMedium9" showFirstColumn="0" showLastColumn="0" showRowStripes="1" showColumnStripes="0"/>
</table>
</file>

<file path=xl/tables/table4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6" xr:uid="{00000000-000C-0000-FFFF-FFFFF1010000}" name="Tatia" displayName="Tatia" ref="SB1:SB18" totalsRowShown="0" headerRowDxfId="335">
  <autoFilter ref="SB1:SB18" xr:uid="{00000000-0009-0000-0100-000040020000}"/>
  <tableColumns count="1">
    <tableColumn id="1" xr3:uid="{00000000-0010-0000-F101-000001000000}" name="Tatia"/>
  </tableColumns>
  <tableStyleInfo name="TableStyleMedium9" showFirstColumn="0" showLastColumn="0" showRowStripes="1" showColumnStripes="0"/>
</table>
</file>

<file path=xl/tables/table4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7" xr:uid="{00000000-000C-0000-FFFF-FFFFF2010000}" name="Telmatherina" displayName="Telmatherina" ref="SC1:SC12" totalsRowShown="0" headerRowDxfId="334">
  <autoFilter ref="SC1:SC12" xr:uid="{00000000-0009-0000-0100-000041020000}"/>
  <tableColumns count="1">
    <tableColumn id="1" xr3:uid="{00000000-0010-0000-F201-000001000000}" name="Telmatherina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4000000}" name="Mollusca" displayName="Mollusca" ref="BT1:BT16" totalsRowShown="0" headerRowDxfId="883" dataDxfId="882">
  <autoFilter ref="BT1:BT16" xr:uid="{00000000-0009-0000-0100-000006000000}"/>
  <tableColumns count="1">
    <tableColumn id="1" xr3:uid="{00000000-0010-0000-0400-000001000000}" name="Mollusca" dataDxfId="881"/>
  </tableColumns>
  <tableStyleInfo name="TableStyleMedium9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00000000-000C-0000-FFFF-FFFF31000000}" name="Apolemichthys" displayName="Apolemichthys" ref="AL1:AL10" totalsRowShown="0" headerRowDxfId="785">
  <autoFilter ref="AL1:AL10" xr:uid="{00000000-0009-0000-0100-00007E000000}"/>
  <tableColumns count="1">
    <tableColumn id="1" xr3:uid="{00000000-0010-0000-3100-000001000000}" name="Apolemichthys"/>
  </tableColumns>
  <tableStyleInfo name="TableStyleMedium9" showFirstColumn="0" showLastColumn="0" showRowStripes="1" showColumnStripes="0"/>
</table>
</file>

<file path=xl/tables/table5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8" xr:uid="{00000000-000C-0000-FFFF-FFFFF3010000}" name="Telmatochromis" displayName="Telmatochromis" ref="SD1:SD7" totalsRowShown="0" headerRowDxfId="333">
  <autoFilter ref="SD1:SD7" xr:uid="{00000000-0009-0000-0100-000042020000}"/>
  <tableColumns count="1">
    <tableColumn id="1" xr3:uid="{00000000-0010-0000-F301-000001000000}" name="Telmatochromis"/>
  </tableColumns>
  <tableStyleInfo name="TableStyleMedium9" showFirstColumn="0" showLastColumn="0" showRowStripes="1" showColumnStripes="0"/>
</table>
</file>

<file path=xl/tables/table5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9" xr:uid="{00000000-000C-0000-FFFF-FFFFF4010000}" name="Terapon" displayName="Terapon" ref="SE1:SE4" totalsRowShown="0" headerRowDxfId="332">
  <autoFilter ref="SE1:SE4" xr:uid="{00000000-0009-0000-0100-000043020000}"/>
  <tableColumns count="1">
    <tableColumn id="1" xr3:uid="{00000000-0010-0000-F401-000001000000}" name="Terapon"/>
  </tableColumns>
  <tableStyleInfo name="TableStyleMedium9" showFirstColumn="0" showLastColumn="0" showRowStripes="1" showColumnStripes="0"/>
</table>
</file>

<file path=xl/tables/table5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0" xr:uid="{00000000-000C-0000-FFFF-FFFFF5010000}" name="Tetragonopterus" displayName="Tetragonopterus" ref="SF1:SF10" totalsRowShown="0" headerRowDxfId="331">
  <autoFilter ref="SF1:SF10" xr:uid="{00000000-0009-0000-0100-000044020000}"/>
  <tableColumns count="1">
    <tableColumn id="1" xr3:uid="{00000000-0010-0000-F501-000001000000}" name="Tetragonopterus"/>
  </tableColumns>
  <tableStyleInfo name="TableStyleMedium9" showFirstColumn="0" showLastColumn="0" showRowStripes="1" showColumnStripes="0"/>
</table>
</file>

<file path=xl/tables/table5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1" xr:uid="{00000000-000C-0000-FFFF-FFFFF6010000}" name="Tetraodon" displayName="Tetraodon" ref="SG1:SG12" totalsRowShown="0" headerRowDxfId="330">
  <autoFilter ref="SG1:SG12" xr:uid="{00000000-0009-0000-0100-000045020000}"/>
  <tableColumns count="1">
    <tableColumn id="1" xr3:uid="{00000000-0010-0000-F601-000001000000}" name="Tetraodon"/>
  </tableColumns>
  <tableStyleInfo name="TableStyleMedium9" showFirstColumn="0" showLastColumn="0" showRowStripes="1" showColumnStripes="0"/>
</table>
</file>

<file path=xl/tables/table5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2" xr:uid="{00000000-000C-0000-FFFF-FFFFF7010000}" name="Thalassoma" displayName="Thalassoma" ref="SH1:SH29" totalsRowShown="0" headerRowDxfId="329">
  <autoFilter ref="SH1:SH29" xr:uid="{00000000-0009-0000-0100-000046020000}"/>
  <tableColumns count="1">
    <tableColumn id="1" xr3:uid="{00000000-0010-0000-F701-000001000000}" name="Thalassoma"/>
  </tableColumns>
  <tableStyleInfo name="TableStyleMedium9" showFirstColumn="0" showLastColumn="0" showRowStripes="1" showColumnStripes="0"/>
</table>
</file>

<file path=xl/tables/table5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3" xr:uid="{00000000-000C-0000-FFFF-FFFFF8010000}" name="Thayeria" displayName="Thayeria" ref="SI1:SI4" totalsRowShown="0" headerRowDxfId="328">
  <autoFilter ref="SI1:SI4" xr:uid="{00000000-0009-0000-0100-000047020000}"/>
  <tableColumns count="1">
    <tableColumn id="1" xr3:uid="{00000000-0010-0000-F801-000001000000}" name="Thayeria"/>
  </tableColumns>
  <tableStyleInfo name="TableStyleMedium9" showFirstColumn="0" showLastColumn="0" showRowStripes="1" showColumnStripes="0"/>
</table>
</file>

<file path=xl/tables/table5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4" xr:uid="{00000000-000C-0000-FFFF-FFFFF9010000}" name="Thoracocharax" displayName="Thoracocharax" ref="SJ1:SJ3" totalsRowShown="0" headerRowDxfId="327">
  <autoFilter ref="SJ1:SJ3" xr:uid="{00000000-0009-0000-0100-000048020000}"/>
  <tableColumns count="1">
    <tableColumn id="1" xr3:uid="{00000000-0010-0000-F901-000001000000}" name="Thoracocharax"/>
  </tableColumns>
  <tableStyleInfo name="TableStyleMedium9" showFirstColumn="0" showLastColumn="0" showRowStripes="1" showColumnStripes="0"/>
</table>
</file>

<file path=xl/tables/table5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5" xr:uid="{00000000-000C-0000-FFFF-FFFFFA010000}" name="Thorichthys" displayName="Thorichthys" ref="SK1:SK9" totalsRowShown="0" headerRowDxfId="326">
  <autoFilter ref="SK1:SK9" xr:uid="{00000000-0009-0000-0100-000049020000}"/>
  <tableColumns count="1">
    <tableColumn id="1" xr3:uid="{00000000-0010-0000-FA01-000001000000}" name="Thorichthys"/>
  </tableColumns>
  <tableStyleInfo name="TableStyleMedium9" showFirstColumn="0" showLastColumn="0" showRowStripes="1" showColumnStripes="0"/>
</table>
</file>

<file path=xl/tables/table5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6" xr:uid="{00000000-000C-0000-FFFF-FFFFFB010000}" name="Tilapia" displayName="Tilapia" ref="SL1:SL8" totalsRowShown="0" headerRowDxfId="325">
  <autoFilter ref="SL1:SL8" xr:uid="{00000000-0009-0000-0100-00004A020000}"/>
  <tableColumns count="1">
    <tableColumn id="1" xr3:uid="{00000000-0010-0000-FB01-000001000000}" name="Tilapia"/>
  </tableColumns>
  <tableStyleInfo name="TableStyleMedium9" showFirstColumn="0" showLastColumn="0" showRowStripes="1" showColumnStripes="0"/>
</table>
</file>

<file path=xl/tables/table5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7" xr:uid="{00000000-000C-0000-FFFF-FFFFFC010000}" name="Toxotes" displayName="Toxotes" ref="SM1:SM8" totalsRowShown="0" headerRowDxfId="324">
  <autoFilter ref="SM1:SM8" xr:uid="{00000000-0009-0000-0100-00004B020000}"/>
  <tableColumns count="1">
    <tableColumn id="1" xr3:uid="{00000000-0010-0000-FC01-000001000000}" name="Toxotes"/>
  </tableColumns>
  <tableStyleInfo name="TableStyleMedium9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00000000-000C-0000-FFFF-FFFF32000000}" name="Apteronotus" displayName="Apteronotus" ref="AM1:AM24" totalsRowShown="0" headerRowDxfId="784">
  <autoFilter ref="AM1:AM24" xr:uid="{00000000-0009-0000-0100-00007F000000}"/>
  <tableColumns count="1">
    <tableColumn id="1" xr3:uid="{00000000-0010-0000-3200-000001000000}" name="Apteronotus"/>
  </tableColumns>
  <tableStyleInfo name="TableStyleMedium9" showFirstColumn="0" showLastColumn="0" showRowStripes="1" showColumnStripes="0"/>
</table>
</file>

<file path=xl/tables/table5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8" xr:uid="{00000000-000C-0000-FFFF-FFFFFD010000}" name="Triaenodon" displayName="Triaenodon" ref="SO1:SO2" totalsRowShown="0" headerRowDxfId="323">
  <autoFilter ref="SO1:SO2" xr:uid="{00000000-0009-0000-0100-00004C020000}"/>
  <tableColumns count="1">
    <tableColumn id="1" xr3:uid="{00000000-0010-0000-FD01-000001000000}" name="Triaenodon"/>
  </tableColumns>
  <tableStyleInfo name="TableStyleMedium9" showFirstColumn="0" showLastColumn="0" showRowStripes="1" showColumnStripes="0"/>
</table>
</file>

<file path=xl/tables/table5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9" xr:uid="{00000000-000C-0000-FFFF-FFFFFE010000}" name="Trichogaster" displayName="Trichogaster" ref="SP1:SP7" totalsRowShown="0" headerRowDxfId="322">
  <autoFilter ref="SP1:SP7" xr:uid="{00000000-0009-0000-0100-00004D020000}"/>
  <tableColumns count="1">
    <tableColumn id="1" xr3:uid="{00000000-0010-0000-FE01-000001000000}" name="Trichogaster"/>
  </tableColumns>
  <tableStyleInfo name="TableStyleMedium9" showFirstColumn="0" showLastColumn="0" showRowStripes="1" showColumnStripes="0"/>
</table>
</file>

<file path=xl/tables/table5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0" xr:uid="{00000000-000C-0000-FFFF-FFFFFF010000}" name="Trichopsis" displayName="Trichopsis" ref="SQ1:SQ4" totalsRowShown="0" headerRowDxfId="321">
  <autoFilter ref="SQ1:SQ4" xr:uid="{00000000-0009-0000-0100-00004E020000}"/>
  <tableColumns count="1">
    <tableColumn id="1" xr3:uid="{00000000-0010-0000-FF01-000001000000}" name="Trichopsis"/>
  </tableColumns>
  <tableStyleInfo name="TableStyleMedium9" showFirstColumn="0" showLastColumn="0" showRowStripes="1" showColumnStripes="0"/>
</table>
</file>

<file path=xl/tables/table5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2" xr:uid="{00000000-000C-0000-FFFF-FFFF00020000}" name="Triglachromis" displayName="Triglachromis" ref="SR1:SR2" totalsRowShown="0" headerRowDxfId="320">
  <autoFilter ref="SR1:SR2" xr:uid="{00000000-0009-0000-0100-000050020000}"/>
  <tableColumns count="1">
    <tableColumn id="1" xr3:uid="{00000000-0010-0000-0002-000001000000}" name="Triglachromis"/>
  </tableColumns>
  <tableStyleInfo name="TableStyleMedium9" showFirstColumn="0" showLastColumn="0" showRowStripes="1" showColumnStripes="0"/>
</table>
</file>

<file path=xl/tables/table5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3" xr:uid="{00000000-000C-0000-FFFF-FFFF01020000}" name="Trigonostigma" displayName="Trigonostigma" ref="SS1:SS5" totalsRowShown="0" headerRowDxfId="319">
  <autoFilter ref="SS1:SS5" xr:uid="{00000000-0009-0000-0100-000051020000}"/>
  <tableColumns count="1">
    <tableColumn id="1" xr3:uid="{00000000-0010-0000-0102-000001000000}" name="Trigonostigma"/>
  </tableColumns>
  <tableStyleInfo name="TableStyleMedium9" showFirstColumn="0" showLastColumn="0" showRowStripes="1" showColumnStripes="0"/>
</table>
</file>

<file path=xl/tables/table5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4" xr:uid="{00000000-000C-0000-FFFF-FFFF02020000}" name="Trinectes" displayName="Trinectes" ref="ST1:ST11" totalsRowShown="0" headerRowDxfId="318">
  <autoFilter ref="ST1:ST11" xr:uid="{00000000-0009-0000-0100-000052020000}"/>
  <tableColumns count="1">
    <tableColumn id="1" xr3:uid="{00000000-0010-0000-0202-000001000000}" name="Trinectes"/>
  </tableColumns>
  <tableStyleInfo name="TableStyleMedium9" showFirstColumn="0" showLastColumn="0" showRowStripes="1" showColumnStripes="0"/>
</table>
</file>

<file path=xl/tables/table5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5" xr:uid="{00000000-000C-0000-FFFF-FFFF03020000}" name="Triportheus" displayName="Triportheus" ref="SU1:SU19" totalsRowShown="0" headerRowDxfId="317">
  <autoFilter ref="SU1:SU19" xr:uid="{00000000-0009-0000-0100-000053020000}"/>
  <tableColumns count="1">
    <tableColumn id="1" xr3:uid="{00000000-0010-0000-0302-000001000000}" name="Triportheus"/>
  </tableColumns>
  <tableStyleInfo name="TableStyleMedium9" showFirstColumn="0" showLastColumn="0" showRowStripes="1" showColumnStripes="0"/>
</table>
</file>

<file path=xl/tables/table5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6" xr:uid="{00000000-000C-0000-FFFF-FFFF04020000}" name="Tropheus" displayName="Tropheus" ref="SV1:SV7" totalsRowShown="0" headerRowDxfId="316">
  <autoFilter ref="SV1:SV7" xr:uid="{00000000-0009-0000-0100-000054020000}"/>
  <tableColumns count="1">
    <tableColumn id="1" xr3:uid="{00000000-0010-0000-0402-000001000000}" name="Tropheus"/>
  </tableColumns>
  <tableStyleInfo name="TableStyleMedium9" showFirstColumn="0" showLastColumn="0" showRowStripes="1" showColumnStripes="0"/>
</table>
</file>

<file path=xl/tables/table5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7" xr:uid="{00000000-000C-0000-FFFF-FFFF05020000}" name="Tylochromis" displayName="Tylochromis" ref="SW1:SW19" totalsRowShown="0" headerRowDxfId="315">
  <autoFilter ref="SW1:SW19" xr:uid="{00000000-0009-0000-0100-000055020000}"/>
  <tableColumns count="1">
    <tableColumn id="1" xr3:uid="{00000000-0010-0000-0502-000001000000}" name="Tylochromis"/>
  </tableColumns>
  <tableStyleInfo name="TableStyleMedium9" showFirstColumn="0" showLastColumn="0" showRowStripes="1" showColumnStripes="0"/>
</table>
</file>

<file path=xl/tables/table5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8" xr:uid="{00000000-000C-0000-FFFF-FFFF06020000}" name="Tyrannochromis" displayName="Tyrannochromis" ref="SX1:SX5" totalsRowShown="0" headerRowDxfId="314">
  <autoFilter ref="SX1:SX5" xr:uid="{00000000-0009-0000-0100-000056020000}"/>
  <tableColumns count="1">
    <tableColumn id="1" xr3:uid="{00000000-0010-0000-0602-000001000000}" name="Tyrannochromis"/>
  </tableColumns>
  <tableStyleInfo name="TableStyleMedium9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00000000-000C-0000-FFFF-FFFF33000000}" name="Arapaima" displayName="Arapaima" ref="AO1:AO5" totalsRowShown="0" headerRowDxfId="783">
  <autoFilter ref="AO1:AO5" xr:uid="{00000000-0009-0000-0100-000080000000}"/>
  <tableColumns count="1">
    <tableColumn id="1" xr3:uid="{00000000-0010-0000-3300-000001000000}" name="Arapaima"/>
  </tableColumns>
  <tableStyleInfo name="TableStyleMedium9" showFirstColumn="0" showLastColumn="0" showRowStripes="1" showColumnStripes="0"/>
</table>
</file>

<file path=xl/tables/table5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9" xr:uid="{00000000-000C-0000-FFFF-FFFF07020000}" name="Uaru" displayName="Uaru" ref="SY1:SY3" totalsRowShown="0" headerRowDxfId="313">
  <autoFilter ref="SY1:SY3" xr:uid="{00000000-0009-0000-0100-000057020000}"/>
  <tableColumns count="1">
    <tableColumn id="1" xr3:uid="{00000000-0010-0000-0702-000001000000}" name="Uaru"/>
  </tableColumns>
  <tableStyleInfo name="TableStyleMedium9" showFirstColumn="0" showLastColumn="0" showRowStripes="1" showColumnStripes="0"/>
</table>
</file>

<file path=xl/tables/table5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0" xr:uid="{00000000-000C-0000-FFFF-FFFF08020000}" name="Urobatis" displayName="Urobatis" ref="SZ1:SZ7" totalsRowShown="0" headerRowDxfId="312">
  <autoFilter ref="SZ1:SZ7" xr:uid="{00000000-0009-0000-0100-000058020000}"/>
  <tableColumns count="1">
    <tableColumn id="1" xr3:uid="{00000000-0010-0000-0802-000001000000}" name="Urobatis"/>
  </tableColumns>
  <tableStyleInfo name="TableStyleMedium9" showFirstColumn="0" showLastColumn="0" showRowStripes="1" showColumnStripes="0"/>
</table>
</file>

<file path=xl/tables/table5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1" xr:uid="{00000000-000C-0000-FFFF-FFFF09020000}" name="Valenciennea" displayName="Valenciennea" ref="TA1:TA16" totalsRowShown="0" headerRowDxfId="311">
  <autoFilter ref="TA1:TA16" xr:uid="{00000000-0009-0000-0100-000059020000}"/>
  <tableColumns count="1">
    <tableColumn id="1" xr3:uid="{00000000-0010-0000-0902-000001000000}" name="Valenciennea"/>
  </tableColumns>
  <tableStyleInfo name="TableStyleMedium9" showFirstColumn="0" showLastColumn="0" showRowStripes="1" showColumnStripes="0"/>
</table>
</file>

<file path=xl/tables/table5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2" xr:uid="{00000000-000C-0000-FFFF-FFFF0A020000}" name="Variabilichromis" displayName="Variabilichromis" ref="TB1:TB2" totalsRowShown="0" headerRowDxfId="310">
  <autoFilter ref="TB1:TB2" xr:uid="{00000000-0009-0000-0100-00005A020000}"/>
  <tableColumns count="1">
    <tableColumn id="1" xr3:uid="{00000000-0010-0000-0A02-000001000000}" name="Variabilichromis"/>
  </tableColumns>
  <tableStyleInfo name="TableStyleMedium9" showFirstColumn="0" showLastColumn="0" showRowStripes="1" showColumnStripes="0"/>
</table>
</file>

<file path=xl/tables/table5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3" xr:uid="{00000000-000C-0000-FFFF-FFFF0B020000}" name="Vieja" displayName="Vieja" ref="TC1:TC9" totalsRowShown="0" headerRowDxfId="309">
  <autoFilter ref="TC1:TC9" xr:uid="{00000000-0009-0000-0100-00005B020000}"/>
  <tableColumns count="1">
    <tableColumn id="1" xr3:uid="{00000000-0010-0000-0B02-000001000000}" name="Vieja"/>
  </tableColumns>
  <tableStyleInfo name="TableStyleMedium9" showFirstColumn="0" showLastColumn="0" showRowStripes="1" showColumnStripes="0"/>
</table>
</file>

<file path=xl/tables/table5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4" xr:uid="{00000000-000C-0000-FFFF-FFFF0C020000}" name="Wallago" displayName="Wallago" ref="TD1:TD6" totalsRowShown="0" headerRowDxfId="308">
  <autoFilter ref="TD1:TD6" xr:uid="{00000000-0009-0000-0100-00005C020000}"/>
  <tableColumns count="1">
    <tableColumn id="1" xr3:uid="{00000000-0010-0000-0C02-000001000000}" name="Wallago"/>
  </tableColumns>
  <tableStyleInfo name="TableStyleMedium9" showFirstColumn="0" showLastColumn="0" showRowStripes="1" showColumnStripes="0"/>
</table>
</file>

<file path=xl/tables/table5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5" xr:uid="{00000000-000C-0000-FFFF-FFFF0D020000}" name="Xanthichthys" displayName="Xanthichthys" ref="TE1:TE7" totalsRowShown="0" headerRowDxfId="307">
  <autoFilter ref="TE1:TE7" xr:uid="{00000000-0009-0000-0100-00005D020000}"/>
  <tableColumns count="1">
    <tableColumn id="1" xr3:uid="{00000000-0010-0000-0D02-000001000000}" name="Xanthichthys"/>
  </tableColumns>
  <tableStyleInfo name="TableStyleMedium9" showFirstColumn="0" showLastColumn="0" showRowStripes="1" showColumnStripes="0"/>
</table>
</file>

<file path=xl/tables/table5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6" xr:uid="{00000000-000C-0000-FFFF-FFFF0E020000}" name="Xenentodon" displayName="Xenentodon" ref="TF1:TF3" totalsRowShown="0" headerRowDxfId="306">
  <autoFilter ref="TF1:TF3" xr:uid="{00000000-0009-0000-0100-00005E020000}"/>
  <tableColumns count="1">
    <tableColumn id="1" xr3:uid="{00000000-0010-0000-0E02-000001000000}" name="Xenentodon"/>
  </tableColumns>
  <tableStyleInfo name="TableStyleMedium9" showFirstColumn="0" showLastColumn="0" showRowStripes="1" showColumnStripes="0"/>
</table>
</file>

<file path=xl/tables/table5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7" xr:uid="{00000000-000C-0000-FFFF-FFFF0F020000}" name="Xenotilapia" displayName="Xenotilapia" ref="TG1:TG19" totalsRowShown="0" headerRowDxfId="305">
  <autoFilter ref="TG1:TG19" xr:uid="{00000000-0009-0000-0100-00005F020000}"/>
  <tableColumns count="1">
    <tableColumn id="1" xr3:uid="{00000000-0010-0000-0F02-000001000000}" name="Xenotilapia"/>
  </tableColumns>
  <tableStyleInfo name="TableStyleMedium9" showFirstColumn="0" showLastColumn="0" showRowStripes="1" showColumnStripes="0"/>
</table>
</file>

<file path=xl/tables/table5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8" xr:uid="{00000000-000C-0000-FFFF-FFFF10020000}" name="Xiphophorus" displayName="Xiphophorus" ref="TH1:TH29" totalsRowShown="0" headerRowDxfId="304">
  <autoFilter ref="TH1:TH29" xr:uid="{00000000-0009-0000-0100-000060020000}"/>
  <tableColumns count="1">
    <tableColumn id="1" xr3:uid="{00000000-0010-0000-1002-000001000000}" name="Xiphophorus"/>
  </tableColumns>
  <tableStyleInfo name="TableStyleMedium9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" xr:uid="{00000000-000C-0000-FFFF-FFFF34000000}" name="Archocentrus" displayName="Archocentrus" ref="AP1:AP3" totalsRowShown="0" headerRowDxfId="782">
  <autoFilter ref="AP1:AP3" xr:uid="{00000000-0009-0000-0100-000081000000}"/>
  <tableColumns count="1">
    <tableColumn id="1" xr3:uid="{00000000-0010-0000-3400-000001000000}" name="Archocentrus"/>
  </tableColumns>
  <tableStyleInfo name="TableStyleMedium9" showFirstColumn="0" showLastColumn="0" showRowStripes="1" showColumnStripes="0"/>
</table>
</file>

<file path=xl/tables/table5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9" xr:uid="{00000000-000C-0000-FFFF-FFFF11020000}" name="Xyrichtys" displayName="Xyrichtys" ref="TI1:TI8" totalsRowShown="0" headerRowDxfId="303">
  <autoFilter ref="TI1:TI8" xr:uid="{00000000-0009-0000-0100-000061020000}"/>
  <tableColumns count="1">
    <tableColumn id="1" xr3:uid="{00000000-0010-0000-1102-000001000000}" name="Xyrichtys"/>
  </tableColumns>
  <tableStyleInfo name="TableStyleMedium9" showFirstColumn="0" showLastColumn="0" showRowStripes="1" showColumnStripes="0"/>
</table>
</file>

<file path=xl/tables/table5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0" xr:uid="{00000000-000C-0000-FFFF-FFFF12020000}" name="Yasuhikotakia" displayName="Yasuhikotakia" ref="TJ1:TJ8" totalsRowShown="0" headerRowDxfId="302">
  <autoFilter ref="TJ1:TJ8" xr:uid="{00000000-0009-0000-0100-000062020000}"/>
  <tableColumns count="1">
    <tableColumn id="1" xr3:uid="{00000000-0010-0000-1202-000001000000}" name="Yasuhikotakia"/>
  </tableColumns>
  <tableStyleInfo name="TableStyleMedium9" showFirstColumn="0" showLastColumn="0" showRowStripes="1" showColumnStripes="0"/>
</table>
</file>

<file path=xl/tables/table5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1" xr:uid="{00000000-000C-0000-FFFF-FFFF13020000}" name="Zanclus" displayName="Zanclus" ref="TK1:TK2" totalsRowShown="0" headerRowDxfId="301">
  <autoFilter ref="TK1:TK2" xr:uid="{00000000-0009-0000-0100-000063020000}"/>
  <tableColumns count="1">
    <tableColumn id="1" xr3:uid="{00000000-0010-0000-1302-000001000000}" name="Zanclus"/>
  </tableColumns>
  <tableStyleInfo name="TableStyleMedium9" showFirstColumn="0" showLastColumn="0" showRowStripes="1" showColumnStripes="0"/>
</table>
</file>

<file path=xl/tables/table5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2" xr:uid="{00000000-000C-0000-FFFF-FFFF14020000}" name="Zebrasoma" displayName="Zebrasoma" ref="TL1:TL8" totalsRowShown="0" headerRowDxfId="300">
  <autoFilter ref="TL1:TL8" xr:uid="{00000000-0009-0000-0100-000064020000}"/>
  <tableColumns count="1">
    <tableColumn id="1" xr3:uid="{00000000-0010-0000-1402-000001000000}" name="Zebrasoma"/>
  </tableColumns>
  <tableStyleInfo name="TableStyleMedium9" showFirstColumn="0" showLastColumn="0" showRowStripes="1" showColumnStripes="0"/>
</table>
</file>

<file path=xl/tables/table5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3" xr:uid="{00000000-000C-0000-FFFF-FFFF15020000}" name="Zungaro" displayName="Zungaro" ref="TM1:TM3" totalsRowShown="0" headerRowDxfId="299">
  <autoFilter ref="TM1:TM3" xr:uid="{00000000-0009-0000-0100-000065020000}"/>
  <tableColumns count="1">
    <tableColumn id="1" xr3:uid="{00000000-0010-0000-1502-000001000000}" name="Zungaro"/>
  </tableColumns>
  <tableStyleInfo name="TableStyleMedium9" showFirstColumn="0" showLastColumn="0" showRowStripes="1" showColumnStripes="0"/>
</table>
</file>

<file path=xl/tables/table5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7" xr:uid="{00000000-000C-0000-FFFF-FFFF16020000}" name="Chromileptes" displayName="Chromileptes" ref="DY1:DY2" totalsRowShown="0" headerRowDxfId="298" headerRowBorderDxfId="297">
  <autoFilter ref="DY1:DY2" xr:uid="{00000000-0009-0000-0100-000069020000}"/>
  <tableColumns count="1">
    <tableColumn id="1" xr3:uid="{00000000-0010-0000-1602-000001000000}" name="Chromileptes"/>
  </tableColumns>
  <tableStyleInfo name="TableStyleMedium9" showFirstColumn="0" showLastColumn="0" showRowStripes="1" showColumnStripes="0"/>
</table>
</file>

<file path=xl/tables/table5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9" xr:uid="{00000000-000C-0000-FFFF-FFFF17020000}" name="Ctenopis" displayName="Ctenopis" ref="FE1:FE3" totalsRowShown="0" headerRowDxfId="296">
  <autoFilter ref="FE1:FE3" xr:uid="{00000000-0009-0000-0100-00006B020000}"/>
  <tableColumns count="1">
    <tableColumn id="1" xr3:uid="{00000000-0010-0000-1702-000001000000}" name="Ctenops"/>
  </tableColumns>
  <tableStyleInfo name="TableStyleMedium9" showFirstColumn="0" showLastColumn="0" showRowStripes="1" showColumnStripes="0"/>
</table>
</file>

<file path=xl/tables/table5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6" xr:uid="{00000000-000C-0000-FFFF-FFFF18020000}" name="Bunocephalichthys" displayName="Bunocephalichthys" ref="CK1:CK14" totalsRowShown="0" headerRowDxfId="295" dataDxfId="294">
  <autoFilter ref="CK1:CK14" xr:uid="{00000000-0009-0000-0100-00007C020000}"/>
  <tableColumns count="1">
    <tableColumn id="1" xr3:uid="{00000000-0010-0000-1802-000001000000}" name="Bunocephalichthys" dataDxfId="293"/>
  </tableColumns>
  <tableStyleInfo name="TableStyleMedium9" showFirstColumn="0" showLastColumn="0" showRowStripes="1" showColumnStripes="0"/>
</table>
</file>

<file path=xl/tables/table5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7" xr:uid="{00000000-000C-0000-FFFF-FFFF19020000}" name="Pterygoplichthys" displayName="Pterygoplichthys" ref="QA1:QA8" totalsRowShown="0" headerRowDxfId="292" dataDxfId="291">
  <autoFilter ref="QA1:QA8" xr:uid="{00000000-0009-0000-0100-00007D020000}"/>
  <tableColumns count="1">
    <tableColumn id="1" xr3:uid="{00000000-0010-0000-1902-000001000000}" name="Pterygoplichthys" dataDxfId="290"/>
  </tableColumns>
  <tableStyleInfo name="TableStyleMedium9" showFirstColumn="0" showLastColumn="0" showRowStripes="1" showColumnStripes="0"/>
</table>
</file>

<file path=xl/tables/table5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8" xr:uid="{00000000-000C-0000-FFFF-FFFF1A020000}" name="Pterolebias" displayName="Pterolebias" ref="PY1:PY3" totalsRowShown="0" headerRowDxfId="289">
  <autoFilter ref="PY1:PY3" xr:uid="{00000000-0009-0000-0100-00007E020000}"/>
  <tableColumns count="1">
    <tableColumn id="1" xr3:uid="{00000000-0010-0000-1A02-000001000000}" name="Pterolebias"/>
  </tableColumns>
  <tableStyleInfo name="TableStyleMedium9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" xr:uid="{00000000-000C-0000-FFFF-FFFF35000000}" name="Archoplites" displayName="Archoplites" ref="AQ1:AQ2" totalsRowShown="0" headerRowDxfId="781">
  <autoFilter ref="AQ1:AQ2" xr:uid="{00000000-0009-0000-0100-000082000000}"/>
  <tableColumns count="1">
    <tableColumn id="1" xr3:uid="{00000000-0010-0000-3500-000001000000}" name="Archoplites"/>
  </tableColumns>
  <tableStyleInfo name="TableStyleMedium9" showFirstColumn="0" showLastColumn="0" showRowStripes="1" showColumnStripes="0"/>
</table>
</file>

<file path=xl/tables/table5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9" xr:uid="{00000000-000C-0000-FFFF-FFFF1B020000}" name="Luzonichthys" displayName="Luzonichthys" ref="KL1:KL7" totalsRowShown="0" headerRowDxfId="288">
  <autoFilter ref="KL1:KL7" xr:uid="{00000000-0009-0000-0100-00007F020000}"/>
  <tableColumns count="1">
    <tableColumn id="1" xr3:uid="{00000000-0010-0000-1B02-000001000000}" name="Luzonichthys"/>
  </tableColumns>
  <tableStyleInfo name="TableStyleMedium9" showFirstColumn="0" showLastColumn="0" showRowStripes="1" showColumnStripes="0"/>
</table>
</file>

<file path=xl/tables/table5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0" xr:uid="{00000000-000C-0000-FFFF-FFFF1C020000}" name="Trachelyopterus" displayName="Trachelyopterus" ref="SN1:SN18" totalsRowShown="0" headerRowDxfId="287">
  <autoFilter ref="SN1:SN18" xr:uid="{00000000-0009-0000-0100-000080020000}"/>
  <tableColumns count="1">
    <tableColumn id="1" xr3:uid="{00000000-0010-0000-1C02-000001000000}" name="Trachelyopterus"/>
  </tableColumns>
  <tableStyleInfo name="TableStyleMedium9" showFirstColumn="0" showLastColumn="0" showRowStripes="1" showColumnStripes="0"/>
</table>
</file>

<file path=xl/tables/table5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1" xr:uid="{00000000-000C-0000-FFFF-FFFF1D020000}" name="Ariopsis" displayName="Ariopsis" ref="AN1:AN22" totalsRowShown="0" headerRowDxfId="286">
  <autoFilter ref="AN1:AN22" xr:uid="{00000000-0009-0000-0100-000081020000}"/>
  <tableColumns count="1">
    <tableColumn id="1" xr3:uid="{00000000-0010-0000-1D02-000001000000}" name="Ariopsis"/>
  </tableColumns>
  <tableStyleInfo name="TableStyleMedium9" showFirstColumn="0" showLastColumn="0" showRowStripes="1" showColumnStripes="0"/>
</table>
</file>

<file path=xl/tables/table5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1E020000}" name="Puntigrus" displayName="Puntigrus" ref="QB1:QB6" totalsRowShown="0" headerRowDxfId="285" dataDxfId="284" tableBorderDxfId="283">
  <autoFilter ref="QB1:QB6" xr:uid="{00000000-0009-0000-0100-000015000000}"/>
  <tableColumns count="1">
    <tableColumn id="1" xr3:uid="{00000000-0010-0000-1E02-000001000000}" name="Puntigrus" dataDxfId="282"/>
  </tableColumns>
  <tableStyleInfo name="TableStyleMedium9" showFirstColumn="0" showLastColumn="0" showRowStripes="1" showColumnStripes="0"/>
</table>
</file>

<file path=xl/tables/table5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1F020000}" name="lnlecypris" displayName="lnlecypris" ref="JB1:JB3" totalsRowShown="0" headerRowDxfId="281">
  <autoFilter ref="JB1:JB3" xr:uid="{00000000-0009-0000-0100-00001D000000}"/>
  <tableColumns count="1">
    <tableColumn id="1" xr3:uid="{00000000-0010-0000-1F02-000001000000}" name="lnlecypris"/>
  </tableColumns>
  <tableStyleInfo name="TableStyleMedium9" showFirstColumn="0" showLastColumn="0" showRowStripes="1" showColumnStripes="0"/>
</table>
</file>

<file path=xl/tables/table5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20020000}" name="Tabla40" displayName="Tabla40" ref="KZ1:KZ2" totalsRowShown="0" headerRowDxfId="280">
  <autoFilter ref="KZ1:KZ2" xr:uid="{00000000-0009-0000-0100-000028000000}"/>
  <tableColumns count="1">
    <tableColumn id="1" xr3:uid="{00000000-0010-0000-2002-000001000000}" name="Merodontotus "/>
  </tableColumns>
  <tableStyleInfo name="TableStyleMedium9" showFirstColumn="0" showLastColumn="0" showRowStripes="1" showColumnStripes="0"/>
</table>
</file>

<file path=xl/tables/table5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21020000}" name="Turbinaria" displayName="Turbinaria" ref="BT1:BT17" totalsRowShown="0" dataDxfId="279">
  <autoFilter ref="BT1:BT17" xr:uid="{00000000-0009-0000-0100-00000C000000}"/>
  <tableColumns count="1">
    <tableColumn id="1" xr3:uid="{00000000-0010-0000-2102-000001000000}" name="Turbinaria" dataDxfId="278"/>
  </tableColumns>
  <tableStyleInfo name="TableStyleMedium9" showFirstColumn="0" showLastColumn="0" showRowStripes="1" showColumnStripes="0"/>
</table>
</file>

<file path=xl/tables/table5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22020000}" name="Zoanthus" displayName="Zoanthus" ref="BV1:BV8" totalsRowShown="0">
  <autoFilter ref="BV1:BV8" xr:uid="{00000000-0009-0000-0100-00000D000000}"/>
  <tableColumns count="1">
    <tableColumn id="1" xr3:uid="{00000000-0010-0000-2202-000001000000}" name="Zoanthus"/>
  </tableColumns>
  <tableStyleInfo name="TableStyleMedium9" showFirstColumn="0" showLastColumn="0" showRowStripes="1" showColumnStripes="0"/>
</table>
</file>

<file path=xl/tables/table5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23020000}" name="Xenia" displayName="Xenia" ref="BU1:BU2" totalsRowShown="0" dataDxfId="277">
  <autoFilter ref="BU1:BU2" xr:uid="{00000000-0009-0000-0100-00000E000000}"/>
  <tableColumns count="1">
    <tableColumn id="1" xr3:uid="{00000000-0010-0000-2302-000001000000}" name="Xenia" dataDxfId="276"/>
  </tableColumns>
  <tableStyleInfo name="TableStyleMedium9" showFirstColumn="0" showLastColumn="0" showRowStripes="1" showColumnStripes="0"/>
</table>
</file>

<file path=xl/tables/table5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24020000}" name="Tubipora" displayName="Tubipora" ref="BS1:BS4" totalsRowShown="0">
  <autoFilter ref="BS1:BS4" xr:uid="{00000000-0009-0000-0100-00000F000000}"/>
  <tableColumns count="1">
    <tableColumn id="1" xr3:uid="{00000000-0010-0000-2402-000001000000}" name="Tubipora"/>
  </tableColumns>
  <tableStyleInfo name="TableStyleMedium9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1" xr:uid="{00000000-000C-0000-FFFF-FFFF36000000}" name="Aristochromis" displayName="Aristochromis" ref="AR1:AR2" totalsRowShown="0" headerRowDxfId="780">
  <autoFilter ref="AR1:AR2" xr:uid="{00000000-0009-0000-0100-000083000000}"/>
  <tableColumns count="1">
    <tableColumn id="1" xr3:uid="{00000000-0010-0000-3600-000001000000}" name="Aristochromis"/>
  </tableColumns>
  <tableStyleInfo name="TableStyleMedium9" showFirstColumn="0" showLastColumn="0" showRowStripes="1" showColumnStripes="0"/>
</table>
</file>

<file path=xl/tables/table5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25020000}" name="Tubastraea" displayName="Tubastraea" ref="BR1:BR10" totalsRowShown="0">
  <autoFilter ref="BR1:BR10" xr:uid="{00000000-0009-0000-0100-000010000000}"/>
  <tableColumns count="1">
    <tableColumn id="1" xr3:uid="{00000000-0010-0000-2502-000001000000}" name="Tubastraea"/>
  </tableColumns>
  <tableStyleInfo name="TableStyleMedium9" showFirstColumn="0" showLastColumn="0" showRowStripes="1" showColumnStripes="0"/>
</table>
</file>

<file path=xl/tables/table5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26020000}" name="Trachyphyllia" displayName="Trachyphyllia" ref="BQ1:BQ4" totalsRowShown="0">
  <autoFilter ref="BQ1:BQ4" xr:uid="{00000000-0009-0000-0100-000011000000}"/>
  <tableColumns count="1">
    <tableColumn id="1" xr3:uid="{00000000-0010-0000-2602-000001000000}" name="_x0009_Trachyphyllia"/>
  </tableColumns>
  <tableStyleInfo name="TableStyleMedium9" showFirstColumn="0" showLastColumn="0" showRowStripes="1" showColumnStripes="0"/>
</table>
</file>

<file path=xl/tables/table5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27020000}" name="Symphyllia" displayName="Symphyllia" ref="BP1:BP10" totalsRowShown="0">
  <autoFilter ref="BP1:BP10" xr:uid="{00000000-0009-0000-0100-000012000000}"/>
  <tableColumns count="1">
    <tableColumn id="1" xr3:uid="{00000000-0010-0000-2702-000001000000}" name="Symphyllia"/>
  </tableColumns>
  <tableStyleInfo name="TableStyleMedium9" showFirstColumn="0" showLastColumn="0" showRowStripes="1" showColumnStripes="0"/>
</table>
</file>

<file path=xl/tables/table5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28020000}" name="Stylophora" displayName="Stylophora" ref="BO1:BO8" totalsRowShown="0" headerRowDxfId="275">
  <autoFilter ref="BO1:BO8" xr:uid="{00000000-0009-0000-0100-000013000000}"/>
  <tableColumns count="1">
    <tableColumn id="1" xr3:uid="{00000000-0010-0000-2802-000001000000}" name="Stylophora"/>
  </tableColumns>
  <tableStyleInfo name="TableStyleMedium9" showFirstColumn="0" showLastColumn="0" showRowStripes="1" showColumnStripes="0"/>
</table>
</file>

<file path=xl/tables/table5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29020000}" name="Stichodactyla" displayName="Stichodactyla" ref="BN1:BN9" totalsRowShown="0">
  <autoFilter ref="BN1:BN9" xr:uid="{00000000-0009-0000-0100-000014000000}"/>
  <tableColumns count="1">
    <tableColumn id="1" xr3:uid="{00000000-0010-0000-2902-000001000000}" name="Stichodactyla"/>
  </tableColumns>
  <tableStyleInfo name="TableStyleMedium9" showFirstColumn="0" showLastColumn="0" showRowStripes="1" showColumnStripes="0"/>
</table>
</file>

<file path=xl/tables/table5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A020000}" name="Sinularia" displayName="Sinularia" ref="BM1:BM4" totalsRowShown="0">
  <autoFilter ref="BM1:BM4" xr:uid="{00000000-0009-0000-0100-000016000000}"/>
  <tableColumns count="1">
    <tableColumn id="1" xr3:uid="{00000000-0010-0000-2A02-000001000000}" name="Sinularia"/>
  </tableColumns>
  <tableStyleInfo name="TableStyleMedium9" showFirstColumn="0" showLastColumn="0" showRowStripes="1" showColumnStripes="0"/>
</table>
</file>

<file path=xl/tables/table5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B020000}" name="Seriatopora" displayName="Seriatopora" ref="BL1:BL5" totalsRowShown="0">
  <autoFilter ref="BL1:BL5" xr:uid="{00000000-0009-0000-0100-000017000000}"/>
  <tableColumns count="1">
    <tableColumn id="1" xr3:uid="{00000000-0010-0000-2B02-000001000000}" name="Seriatopora"/>
  </tableColumns>
  <tableStyleInfo name="TableStyleMedium9" showFirstColumn="0" showLastColumn="0" showRowStripes="1" showColumnStripes="0"/>
</table>
</file>

<file path=xl/tables/table5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C020000}" name="Scolymia" displayName="Scolymia" ref="BK1:BK8" totalsRowShown="0">
  <autoFilter ref="BK1:BK8" xr:uid="{00000000-0009-0000-0100-000018000000}"/>
  <tableColumns count="1">
    <tableColumn id="1" xr3:uid="{00000000-0010-0000-2C02-000001000000}" name=" Scolymia"/>
  </tableColumns>
  <tableStyleInfo name="TableStyleMedium9" showFirstColumn="0" showLastColumn="0" showRowStripes="1" showColumnStripes="0"/>
</table>
</file>

<file path=xl/tables/table5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D020000}" name="Sarcophyton" displayName="Sarcophyton" ref="BJ1:BJ53" totalsRowShown="0">
  <autoFilter ref="BJ1:BJ53" xr:uid="{00000000-0009-0000-0100-000019000000}"/>
  <tableColumns count="1">
    <tableColumn id="1" xr3:uid="{00000000-0010-0000-2D02-000001000000}" name="Sarcophyton"/>
  </tableColumns>
  <tableStyleInfo name="TableStyleMedium9" showFirstColumn="0" showLastColumn="0" showRowStripes="1" showColumnStripes="0"/>
</table>
</file>

<file path=xl/tables/table5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E020000}" name="Ricordea" displayName="Ricordea" ref="BI1:BI4" totalsRowShown="0">
  <autoFilter ref="BI1:BI4" xr:uid="{00000000-0009-0000-0100-00001A000000}"/>
  <tableColumns count="1">
    <tableColumn id="1" xr3:uid="{00000000-0010-0000-2E02-000001000000}" name="Ricordea"/>
  </tableColumns>
  <tableStyleInfo name="TableStyleMedium9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2" xr:uid="{00000000-000C-0000-FFFF-FFFF37000000}" name="Arius" displayName="Arius" ref="AS1:AS29" totalsRowShown="0" headerRowDxfId="779" dataDxfId="778">
  <autoFilter ref="AS1:AS29" xr:uid="{00000000-0009-0000-0100-000084000000}"/>
  <tableColumns count="1">
    <tableColumn id="1" xr3:uid="{00000000-0010-0000-3700-000001000000}" name="Arius" dataDxfId="777"/>
  </tableColumns>
  <tableStyleInfo name="TableStyleMedium9" showFirstColumn="0" showLastColumn="0" showRowStripes="1" showColumnStripes="0"/>
</table>
</file>

<file path=xl/tables/table5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F020000}" name="Pterogorgia" displayName="Pterogorgia" ref="BH1:BH15" totalsRowShown="0">
  <autoFilter ref="BH1:BH15" xr:uid="{00000000-0009-0000-0100-00001B000000}"/>
  <tableColumns count="1">
    <tableColumn id="1" xr3:uid="{00000000-0010-0000-2F02-000001000000}" name="Pterogorgia"/>
  </tableColumns>
  <tableStyleInfo name="TableStyleMedium9" showFirstColumn="0" showLastColumn="0" showRowStripes="1" showColumnStripes="0"/>
</table>
</file>

<file path=xl/tables/table5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30020000}" name="Pseudopterogorgia" displayName="Pseudopterogorgia" ref="BG1:BG13" totalsRowShown="0">
  <autoFilter ref="BG1:BG13" xr:uid="{00000000-0009-0000-0100-00001C000000}"/>
  <tableColumns count="1">
    <tableColumn id="1" xr3:uid="{00000000-0010-0000-3002-000001000000}" name=" Pseudopterogorgia"/>
  </tableColumns>
  <tableStyleInfo name="TableStyleMedium9" showFirstColumn="0" showLastColumn="0" showRowStripes="1" showColumnStripes="0"/>
</table>
</file>

<file path=xl/tables/table5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31020000}" name="Pseudoplexaura" displayName="Pseudoplexaura" ref="BF1:BF7" totalsRowShown="0">
  <autoFilter ref="BF1:BF7" xr:uid="{00000000-0009-0000-0100-00000B000000}"/>
  <tableColumns count="1">
    <tableColumn id="1" xr3:uid="{00000000-0010-0000-3102-000001000000}" name="Pseudoplexaura"/>
  </tableColumns>
  <tableStyleInfo name="TableStyleMedium9" showFirstColumn="0" showLastColumn="0" showRowStripes="1" showColumnStripes="0"/>
</table>
</file>

<file path=xl/tables/table5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32020000}" name="Porites" displayName="Porites" ref="BE1:BE48" totalsRowShown="0">
  <autoFilter ref="BE1:BE48" xr:uid="{00000000-0009-0000-0100-00001E000000}"/>
  <tableColumns count="1">
    <tableColumn id="1" xr3:uid="{00000000-0010-0000-3202-000001000000}" name="Porites"/>
  </tableColumns>
  <tableStyleInfo name="TableStyleMedium9" showFirstColumn="0" showLastColumn="0" showRowStripes="1" showColumnStripes="0"/>
</table>
</file>

<file path=xl/tables/table5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33020000}" name="Pocillopora" displayName="Pocillopora" ref="BD1:BD10" totalsRowShown="0">
  <autoFilter ref="BD1:BD10" xr:uid="{00000000-0009-0000-0100-00001F000000}"/>
  <tableColumns count="1">
    <tableColumn id="1" xr3:uid="{00000000-0010-0000-3302-000001000000}" name="Pocillopora"/>
  </tableColumns>
  <tableStyleInfo name="TableStyleMedium9" showFirstColumn="0" showLastColumn="0" showRowStripes="1" showColumnStripes="0"/>
</table>
</file>

<file path=xl/tables/table5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34020000}" name="Plexaura" displayName="Plexaura" ref="BC1:BC7" totalsRowShown="0">
  <autoFilter ref="BC1:BC7" xr:uid="{00000000-0009-0000-0100-000020000000}"/>
  <tableColumns count="1">
    <tableColumn id="1" xr3:uid="{00000000-0010-0000-3402-000001000000}" name="Plexaura"/>
  </tableColumns>
  <tableStyleInfo name="TableStyleMedium9" showFirstColumn="0" showLastColumn="0" showRowStripes="1" showColumnStripes="0"/>
</table>
</file>

<file path=xl/tables/table5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35020000}" name="Plerogyra" displayName="Plerogyra" ref="BB1:BB7" totalsRowShown="0">
  <autoFilter ref="BB1:BB7" xr:uid="{00000000-0009-0000-0100-000021000000}"/>
  <tableColumns count="1">
    <tableColumn id="1" xr3:uid="{00000000-0010-0000-3502-000001000000}" name="Plerogyra"/>
  </tableColumns>
  <tableStyleInfo name="TableStyleMedium9" showFirstColumn="0" showLastColumn="0" showRowStripes="1" showColumnStripes="0"/>
</table>
</file>

<file path=xl/tables/table5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36020000}" name="Physogyra" displayName="Physogyra" ref="BA1:BA5" totalsRowShown="0">
  <autoFilter ref="BA1:BA5" xr:uid="{00000000-0009-0000-0100-000022000000}"/>
  <tableColumns count="1">
    <tableColumn id="1" xr3:uid="{00000000-0010-0000-3602-000001000000}" name="Physogyra"/>
  </tableColumns>
  <tableStyleInfo name="TableStyleMedium9" showFirstColumn="0" showLastColumn="0" showRowStripes="1" showColumnStripes="0"/>
</table>
</file>

<file path=xl/tables/table5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37020000}" name="Phymanthus" displayName="Phymanthus" ref="AZ1:AZ14" totalsRowShown="0">
  <autoFilter ref="AZ1:AZ14" xr:uid="{00000000-0009-0000-0100-000023000000}"/>
  <tableColumns count="1">
    <tableColumn id="1" xr3:uid="{00000000-0010-0000-3702-000001000000}" name="Phymanthus"/>
  </tableColumns>
  <tableStyleInfo name="TableStyleMedium9" showFirstColumn="0" showLastColumn="0" showRowStripes="1" showColumnStripes="0"/>
</table>
</file>

<file path=xl/tables/table5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38020000}" name="Pectinia" displayName="Pectinia" ref="AY1:AY8" totalsRowShown="0">
  <autoFilter ref="AY1:AY8" xr:uid="{00000000-0009-0000-0100-000024000000}"/>
  <tableColumns count="1">
    <tableColumn id="1" xr3:uid="{00000000-0010-0000-3802-000001000000}" name="Pectinia"/>
  </tableColumns>
  <tableStyleInfo name="TableStyleMedium9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3" xr:uid="{00000000-000C-0000-FFFF-FFFF38000000}" name="Arothron" displayName="Arothron" ref="AT1:AT17" totalsRowShown="0" headerRowDxfId="776">
  <autoFilter ref="AT1:AT17" xr:uid="{00000000-0009-0000-0100-000085000000}"/>
  <tableColumns count="1">
    <tableColumn id="1" xr3:uid="{00000000-0010-0000-3800-000001000000}" name="Arothron"/>
  </tableColumns>
  <tableStyleInfo name="TableStyleMedium9" showFirstColumn="0" showLastColumn="0" showRowStripes="1" showColumnStripes="0"/>
</table>
</file>

<file path=xl/tables/table5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39020000}" name="Pavona" displayName="Pavona" ref="AX1:AX20" totalsRowShown="0">
  <autoFilter ref="AX1:AX20" xr:uid="{00000000-0009-0000-0100-000025000000}"/>
  <tableColumns count="1">
    <tableColumn id="1" xr3:uid="{00000000-0010-0000-3902-000001000000}" name="Pavona"/>
  </tableColumns>
  <tableStyleInfo name="TableStyleMedium9" showFirstColumn="0" showLastColumn="0" showRowStripes="1" showColumnStripes="0"/>
</table>
</file>

<file path=xl/tables/table5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3A020000}" name="Palythoa" displayName="Palythoa" ref="AW1:AW8" totalsRowShown="0">
  <autoFilter ref="AW1:AW8" xr:uid="{00000000-0009-0000-0100-000026000000}"/>
  <tableColumns count="1">
    <tableColumn id="1" xr3:uid="{00000000-0010-0000-3A02-000001000000}" name="Palythoa"/>
  </tableColumns>
  <tableStyleInfo name="TableStyleMedium9" showFirstColumn="0" showLastColumn="0" showRowStripes="1" showColumnStripes="0"/>
</table>
</file>

<file path=xl/tables/table5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3B020000}" name="Oulophyllia" displayName="Oulophyllia" ref="AV1:AV5" totalsRowShown="0">
  <autoFilter ref="AV1:AV5" xr:uid="{00000000-0009-0000-0100-000027000000}"/>
  <tableColumns count="1">
    <tableColumn id="1" xr3:uid="{00000000-0010-0000-3B02-000001000000}" name="Oulophyllia"/>
  </tableColumns>
  <tableStyleInfo name="TableStyleMedium9" showFirstColumn="0" showLastColumn="0" showRowStripes="1" showColumnStripes="0"/>
</table>
</file>

<file path=xl/tables/table5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3C020000}" name="Nemenzophyllia" displayName="Nemenzophyllia" ref="AU1:AU4" totalsRowShown="0">
  <autoFilter ref="AU1:AU4" xr:uid="{00000000-0009-0000-0100-000029000000}"/>
  <tableColumns count="1">
    <tableColumn id="1" xr3:uid="{00000000-0010-0000-3C02-000001000000}" name="Nemenzophyllia"/>
  </tableColumns>
  <tableStyleInfo name="TableStyleMedium9" showFirstColumn="0" showLastColumn="0" showRowStripes="1" showColumnStripes="0"/>
</table>
</file>

<file path=xl/tables/table5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3D020000}" name="Mycedium" displayName="Mycedium" ref="AT1:AT5" totalsRowShown="0">
  <autoFilter ref="AT1:AT5" xr:uid="{00000000-0009-0000-0100-00002A000000}"/>
  <tableColumns count="1">
    <tableColumn id="1" xr3:uid="{00000000-0010-0000-3D02-000001000000}" name="Mycedium"/>
  </tableColumns>
  <tableStyleInfo name="TableStyleMedium9" showFirstColumn="0" showLastColumn="0" showRowStripes="1" showColumnStripes="0"/>
</table>
</file>

<file path=xl/tables/table5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3E020000}" name="Muricea" displayName="Muricea" ref="AS1:AS12" totalsRowShown="0">
  <autoFilter ref="AS1:AS12" xr:uid="{00000000-0009-0000-0100-00002B000000}"/>
  <tableColumns count="1">
    <tableColumn id="1" xr3:uid="{00000000-0010-0000-3E02-000001000000}" name="Muricea"/>
  </tableColumns>
  <tableStyleInfo name="TableStyleMedium9" showFirstColumn="0" showLastColumn="0" showRowStripes="1" showColumnStripes="0"/>
</table>
</file>

<file path=xl/tables/table5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3F020000}" name="Montipora" displayName="Montipora" ref="AR1:AR65" totalsRowShown="0">
  <autoFilter ref="AR1:AR65" xr:uid="{00000000-0009-0000-0100-00002C000000}"/>
  <tableColumns count="1">
    <tableColumn id="1" xr3:uid="{00000000-0010-0000-3F02-000001000000}" name="Montipora"/>
  </tableColumns>
  <tableStyleInfo name="TableStyleMedium9" showFirstColumn="0" showLastColumn="0" showRowStripes="1" showColumnStripes="0"/>
</table>
</file>

<file path=xl/tables/table5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40020000}" name="Millepora" displayName="Millepora" ref="AP1:AP22" totalsRowShown="0">
  <autoFilter ref="AP1:AP22" xr:uid="{00000000-0009-0000-0100-00002D000000}"/>
  <tableColumns count="1">
    <tableColumn id="1" xr3:uid="{00000000-0010-0000-4002-000001000000}" name="Millepora"/>
  </tableColumns>
  <tableStyleInfo name="TableStyleMedium9" showFirstColumn="0" showLastColumn="0" showRowStripes="1" showColumnStripes="0"/>
</table>
</file>

<file path=xl/tables/table5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00000000-000C-0000-FFFF-FFFF41020000}" name="Merulina" displayName="Merulina" ref="AO1:AO6" totalsRowShown="0">
  <autoFilter ref="AO1:AO6" xr:uid="{00000000-0009-0000-0100-00002E000000}"/>
  <tableColumns count="1">
    <tableColumn id="1" xr3:uid="{00000000-0010-0000-4102-000001000000}" name="Merulina"/>
  </tableColumns>
  <tableStyleInfo name="TableStyleMedium9" showFirstColumn="0" showLastColumn="0" showRowStripes="1" showColumnStripes="0"/>
</table>
</file>

<file path=xl/tables/table5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00000000-000C-0000-FFFF-FFFF42020000}" name="Lobophytum" displayName="Lobophytum" ref="AN1:AN64" totalsRowShown="0">
  <autoFilter ref="AN1:AN64" xr:uid="{00000000-0009-0000-0100-000030000000}"/>
  <tableColumns count="1">
    <tableColumn id="1" xr3:uid="{00000000-0010-0000-4202-000001000000}" name="Lobophytum"/>
  </tableColumns>
  <tableStyleInfo name="TableStyleMedium9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4" xr:uid="{00000000-000C-0000-FFFF-FFFF39000000}" name="Aspidoras" displayName="Aspidoras" ref="AU1:AU23" totalsRowShown="0" headerRowDxfId="775">
  <autoFilter ref="AU1:AU23" xr:uid="{00000000-0009-0000-0100-000086000000}"/>
  <tableColumns count="1">
    <tableColumn id="1" xr3:uid="{00000000-0010-0000-3900-000001000000}" name="Aspidoras"/>
  </tableColumns>
  <tableStyleInfo name="TableStyleMedium9" showFirstColumn="0" showLastColumn="0" showRowStripes="1" showColumnStripes="0"/>
</table>
</file>

<file path=xl/tables/table5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00000000-000C-0000-FFFF-FFFF43020000}" name="Lobophyllia" displayName="Lobophyllia" ref="AM1:AM11" totalsRowShown="0">
  <autoFilter ref="AM1:AM11" xr:uid="{00000000-0009-0000-0100-000031000000}"/>
  <tableColumns count="1">
    <tableColumn id="1" xr3:uid="{00000000-0010-0000-4302-000001000000}" name="Lobophyllia"/>
  </tableColumns>
  <tableStyleInfo name="TableStyleMedium9" showFirstColumn="0" showLastColumn="0" showRowStripes="1" showColumnStripes="0"/>
</table>
</file>

<file path=xl/tables/table5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00000000-000C-0000-FFFF-FFFF44020000}" name="Litophyton" displayName="Litophyton" ref="AL1:AL64" totalsRowShown="0">
  <autoFilter ref="AL1:AL64" xr:uid="{00000000-0009-0000-0100-000032000000}"/>
  <tableColumns count="1">
    <tableColumn id="1" xr3:uid="{00000000-0010-0000-4402-000001000000}" name="Litophyton"/>
  </tableColumns>
  <tableStyleInfo name="TableStyleMedium9" showFirstColumn="0" showLastColumn="0" showRowStripes="1" showColumnStripes="0"/>
</table>
</file>

<file path=xl/tables/table5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00000000-000C-0000-FFFF-FFFF45020000}" name="Leptoria" displayName="Leptoria" ref="AK1:AK5" totalsRowShown="0">
  <autoFilter ref="AK1:AK5" xr:uid="{00000000-0009-0000-0100-000033000000}"/>
  <tableColumns count="1">
    <tableColumn id="1" xr3:uid="{00000000-0010-0000-4502-000001000000}" name="Leptoria"/>
  </tableColumns>
  <tableStyleInfo name="TableStyleMedium9" showFirstColumn="0" showLastColumn="0" showRowStripes="1" showColumnStripes="0"/>
</table>
</file>

<file path=xl/tables/table5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00000000-000C-0000-FFFF-FFFF46020000}" name="Lemnalia" displayName="Lemnalia" ref="AJ1:AJ36" totalsRowShown="0">
  <autoFilter ref="AJ1:AJ36" xr:uid="{00000000-0009-0000-0100-000034000000}"/>
  <tableColumns count="1">
    <tableColumn id="1" xr3:uid="{00000000-0010-0000-4602-000001000000}" name="Lemnalia"/>
  </tableColumns>
  <tableStyleInfo name="TableStyleMedium9" showFirstColumn="0" showLastColumn="0" showRowStripes="1" showColumnStripes="0"/>
</table>
</file>

<file path=xl/tables/table5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00000000-000C-0000-FFFF-FFFF47020000}" name="Hydnophora" displayName="Hydnophora" ref="AI1:AI9" totalsRowShown="0">
  <autoFilter ref="AI1:AI9" xr:uid="{00000000-0009-0000-0100-000035000000}"/>
  <tableColumns count="1">
    <tableColumn id="1" xr3:uid="{00000000-0010-0000-4702-000001000000}" name="Hydnophora"/>
  </tableColumns>
  <tableStyleInfo name="TableStyleMedium9" showFirstColumn="0" showLastColumn="0" showRowStripes="1" showColumnStripes="0"/>
</table>
</file>

<file path=xl/tables/table5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00000000-000C-0000-FFFF-FFFF48020000}" name="Heteractis" displayName="Heteractis" ref="AH1:AH7" totalsRowShown="0">
  <autoFilter ref="AH1:AH7" xr:uid="{00000000-0009-0000-0100-000036000000}"/>
  <tableColumns count="1">
    <tableColumn id="1" xr3:uid="{00000000-0010-0000-4802-000001000000}" name="Heteractis"/>
  </tableColumns>
  <tableStyleInfo name="TableStyleMedium9" showFirstColumn="0" showLastColumn="0" showRowStripes="1" showColumnStripes="0"/>
</table>
</file>

<file path=xl/tables/table5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00000000-000C-0000-FFFF-FFFF49020000}" name="Herpolitha" displayName="Herpolitha" ref="AG1:AG5" totalsRowShown="0">
  <autoFilter ref="AG1:AG5" xr:uid="{00000000-0009-0000-0100-000037000000}"/>
  <tableColumns count="1">
    <tableColumn id="1" xr3:uid="{00000000-0010-0000-4902-000001000000}" name="Herpolitha"/>
  </tableColumns>
  <tableStyleInfo name="TableStyleMedium9" showFirstColumn="0" showLastColumn="0" showRowStripes="1" showColumnStripes="0"/>
</table>
</file>

<file path=xl/tables/table5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00000000-000C-0000-FFFF-FFFF4A020000}" name="Heliopora" displayName="Heliopora" ref="AF1:AF4" totalsRowShown="0">
  <autoFilter ref="AF1:AF4" xr:uid="{00000000-0009-0000-0100-000038000000}"/>
  <tableColumns count="1">
    <tableColumn id="1" xr3:uid="{00000000-0010-0000-4A02-000001000000}" name="Heliopora"/>
  </tableColumns>
  <tableStyleInfo name="TableStyleMedium9" showFirstColumn="0" showLastColumn="0" showRowStripes="1" showColumnStripes="0"/>
</table>
</file>

<file path=xl/tables/table5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00000000-000C-0000-FFFF-FFFF4B020000}" name="Heliofungia" displayName="Heliofungia" ref="AE1:AE4" totalsRowShown="0">
  <autoFilter ref="AE1:AE4" xr:uid="{00000000-0009-0000-0100-000039000000}"/>
  <tableColumns count="1">
    <tableColumn id="1" xr3:uid="{00000000-0010-0000-4B02-000001000000}" name="Heliofungia"/>
  </tableColumns>
  <tableStyleInfo name="TableStyleMedium9" showFirstColumn="0" showLastColumn="0" showRowStripes="1" showColumnStripes="0"/>
</table>
</file>

<file path=xl/tables/table5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00000000-000C-0000-FFFF-FFFF4C020000}" name="Gorgonia" displayName="Gorgonia" ref="AD1:AD8" totalsRowShown="0">
  <autoFilter ref="AD1:AD8" xr:uid="{00000000-0009-0000-0100-00003A000000}"/>
  <tableColumns count="1">
    <tableColumn id="1" xr3:uid="{00000000-0010-0000-4C02-000001000000}" name="Gorgonia"/>
  </tableColumns>
  <tableStyleInfo name="TableStyleMedium9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5" xr:uid="{00000000-000C-0000-FFFF-FFFF3A000000}" name="Assessor" displayName="Assessor" ref="AV1:AV4" totalsRowShown="0" headerRowDxfId="774">
  <autoFilter ref="AV1:AV4" xr:uid="{00000000-0009-0000-0100-000087000000}"/>
  <tableColumns count="1">
    <tableColumn id="1" xr3:uid="{00000000-0010-0000-3A00-000001000000}" name="Assessor"/>
  </tableColumns>
  <tableStyleInfo name="TableStyleMedium9" showFirstColumn="0" showLastColumn="0" showRowStripes="1" showColumnStripes="0"/>
</table>
</file>

<file path=xl/tables/table5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00000000-000C-0000-FFFF-FFFF4D020000}" name="Goniopora" displayName="Goniopora" ref="AC1:AC25" totalsRowShown="0">
  <autoFilter ref="AC1:AC25" xr:uid="{00000000-0009-0000-0100-00003B000000}"/>
  <tableColumns count="1">
    <tableColumn id="1" xr3:uid="{00000000-0010-0000-4D02-000001000000}" name="Goniopora"/>
  </tableColumns>
  <tableStyleInfo name="TableStyleMedium9" showFirstColumn="0" showLastColumn="0" showRowStripes="1" showColumnStripes="0"/>
</table>
</file>

<file path=xl/tables/table5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00000000-000C-0000-FFFF-FFFF4E020000}" name="Galaxea" displayName="Galaxea" ref="AB1:AB7" totalsRowShown="0">
  <autoFilter ref="AB1:AB7" xr:uid="{00000000-0009-0000-0100-00003C000000}"/>
  <tableColumns count="1">
    <tableColumn id="1" xr3:uid="{00000000-0010-0000-4E02-000001000000}" name="Galaxea"/>
  </tableColumns>
  <tableStyleInfo name="TableStyleMedium9" showFirstColumn="0" showLastColumn="0" showRowStripes="1" showColumnStripes="0"/>
</table>
</file>

<file path=xl/tables/table5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00000000-000C-0000-FFFF-FFFF4F020000}" name="Fungia" displayName="Fungia" ref="AA1:AA35" totalsRowShown="0">
  <autoFilter ref="AA1:AA35" xr:uid="{00000000-0009-0000-0100-00003D000000}"/>
  <tableColumns count="1">
    <tableColumn id="1" xr3:uid="{00000000-0010-0000-4F02-000001000000}" name="Fungia"/>
  </tableColumns>
  <tableStyleInfo name="TableStyleMedium9" showFirstColumn="0" showLastColumn="0" showRowStripes="1" showColumnStripes="0"/>
</table>
</file>

<file path=xl/tables/table5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00000000-000C-0000-FFFF-FFFF50020000}" name="Favites" displayName="Favites" ref="Z1:Z14" totalsRowShown="0">
  <autoFilter ref="Z1:Z14" xr:uid="{00000000-0009-0000-0100-00003E000000}"/>
  <tableColumns count="1">
    <tableColumn id="1" xr3:uid="{00000000-0010-0000-5002-000001000000}" name="Favites"/>
  </tableColumns>
  <tableStyleInfo name="TableStyleMedium9" showFirstColumn="0" showLastColumn="0" showRowStripes="1" showColumnStripes="0"/>
</table>
</file>

<file path=xl/tables/table5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00000000-000C-0000-FFFF-FFFF51020000}" name="Favia" displayName="Favia" ref="Y1:Y23" totalsRowShown="0">
  <autoFilter ref="Y1:Y23" xr:uid="{00000000-0009-0000-0100-00003F000000}"/>
  <tableColumns count="1">
    <tableColumn id="1" xr3:uid="{00000000-0010-0000-5102-000001000000}" name="Favia"/>
  </tableColumns>
  <tableStyleInfo name="TableStyleMedium9" showFirstColumn="0" showLastColumn="0" showRowStripes="1" showColumnStripes="0"/>
</table>
</file>

<file path=xl/tables/table5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00000000-000C-0000-FFFF-FFFF52020000}" name="Euphyllia" displayName="Euphyllia" ref="X1:X12" totalsRowShown="0">
  <autoFilter ref="X1:X12" xr:uid="{00000000-0009-0000-0100-000040000000}"/>
  <tableColumns count="1">
    <tableColumn id="1" xr3:uid="{00000000-0010-0000-5202-000001000000}" name="Euphyllia"/>
  </tableColumns>
  <tableStyleInfo name="TableStyleMedium9" showFirstColumn="0" showLastColumn="0" showRowStripes="1" showColumnStripes="0"/>
</table>
</file>

<file path=xl/tables/table5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00000000-000C-0000-FFFF-FFFF53020000}" name="Entacmaea" displayName="Entacmaea" ref="W1:W5" totalsRowShown="0">
  <autoFilter ref="W1:W5" xr:uid="{00000000-0009-0000-0100-000041000000}"/>
  <tableColumns count="1">
    <tableColumn id="1" xr3:uid="{00000000-0010-0000-5302-000001000000}" name="Entacmaea"/>
  </tableColumns>
  <tableStyleInfo name="TableStyleMedium9" showFirstColumn="0" showLastColumn="0" showRowStripes="1" showColumnStripes="0"/>
</table>
</file>

<file path=xl/tables/table5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00000000-000C-0000-FFFF-FFFF54020000}" name="Duncanopsammia" displayName="Duncanopsammia" ref="V1:V2" totalsRowShown="0">
  <autoFilter ref="V1:V2" xr:uid="{00000000-0009-0000-0100-000042000000}"/>
  <tableColumns count="1">
    <tableColumn id="1" xr3:uid="{00000000-0010-0000-5402-000001000000}" name="Duncanopsammia"/>
  </tableColumns>
  <tableStyleInfo name="TableStyleMedium9" showFirstColumn="0" showLastColumn="0" showRowStripes="1" showColumnStripes="0"/>
</table>
</file>

<file path=xl/tables/table5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00000000-000C-0000-FFFF-FFFF55020000}" name="Discosoma" displayName="Discosoma" ref="U1:U14" totalsRowShown="0">
  <autoFilter ref="U1:U14" xr:uid="{00000000-0009-0000-0100-000043000000}"/>
  <tableColumns count="1">
    <tableColumn id="1" xr3:uid="{00000000-0010-0000-5502-000001000000}" name="Discosoma"/>
  </tableColumns>
  <tableStyleInfo name="TableStyleMedium9" showFirstColumn="0" showLastColumn="0" showRowStripes="1" showColumnStripes="0"/>
</table>
</file>

<file path=xl/tables/table5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00000000-000C-0000-FFFF-FFFF56020000}" name="Diodogorgia" displayName="Diodogorgia" ref="T1:T6" totalsRowShown="0">
  <autoFilter ref="T1:T6" xr:uid="{00000000-0009-0000-0100-000044000000}"/>
  <tableColumns count="1">
    <tableColumn id="1" xr3:uid="{00000000-0010-0000-5602-000001000000}" name="Diodogorgia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5000000}" name="Plantas" displayName="Plantas" ref="BV1:BV72" totalsRowShown="0" headerRowDxfId="880" dataDxfId="879">
  <autoFilter ref="BV1:BV72" xr:uid="{00000000-0009-0000-0100-000007000000}"/>
  <tableColumns count="1">
    <tableColumn id="1" xr3:uid="{00000000-0010-0000-0500-000001000000}" name="Plantas" dataDxfId="878"/>
  </tableColumns>
  <tableStyleInfo name="TableStyleMedium9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6" xr:uid="{00000000-000C-0000-FFFF-FFFF3B000000}" name="Astatotilapia" displayName="Astatotilapia" ref="AW1:AW10" totalsRowShown="0" headerRowDxfId="773">
  <autoFilter ref="AW1:AW10" xr:uid="{00000000-0009-0000-0100-000088000000}"/>
  <tableColumns count="1">
    <tableColumn id="1" xr3:uid="{00000000-0010-0000-3B00-000001000000}" name="Astatotilapia"/>
  </tableColumns>
  <tableStyleInfo name="TableStyleMedium9" showFirstColumn="0" showLastColumn="0" showRowStripes="1" showColumnStripes="0"/>
</table>
</file>

<file path=xl/tables/table6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00000000-000C-0000-FFFF-FFFF57020000}" name="Dendronephthya" displayName="Dendronephthya" ref="S1:S255" totalsRowShown="0">
  <autoFilter ref="S1:S255" xr:uid="{00000000-0009-0000-0100-000045000000}"/>
  <tableColumns count="1">
    <tableColumn id="1" xr3:uid="{00000000-0010-0000-5702-000001000000}" name="Dendronephthya"/>
  </tableColumns>
  <tableStyleInfo name="TableStyleMedium9" showFirstColumn="0" showLastColumn="0" showRowStripes="1" showColumnStripes="0"/>
</table>
</file>

<file path=xl/tables/table6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00000000-000C-0000-FFFF-FFFF58020000}" name="Cynarina" displayName="Cynarina" ref="R1:R5" totalsRowShown="0">
  <autoFilter ref="R1:R5" xr:uid="{00000000-0009-0000-0100-000046000000}"/>
  <tableColumns count="1">
    <tableColumn id="1" xr3:uid="{00000000-0010-0000-5802-000001000000}" name="Cynarina"/>
  </tableColumns>
  <tableStyleInfo name="TableStyleMedium9" showFirstColumn="0" showLastColumn="0" showRowStripes="1" showColumnStripes="0"/>
</table>
</file>

<file path=xl/tables/table6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00000000-000C-0000-FFFF-FFFF59020000}" name="Corynactis" displayName="Corynactis" ref="Q1:Q19" totalsRowShown="0">
  <autoFilter ref="Q1:Q19" xr:uid="{00000000-0009-0000-0100-000047000000}"/>
  <tableColumns count="1">
    <tableColumn id="1" xr3:uid="{00000000-0010-0000-5902-000001000000}" name="Corynactis"/>
  </tableColumns>
  <tableStyleInfo name="TableStyleMedium9" showFirstColumn="0" showLastColumn="0" showRowStripes="1" showColumnStripes="0"/>
</table>
</file>

<file path=xl/tables/table6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00000000-000C-0000-FFFF-FFFF5A020000}" name="Condylactis" displayName="Condylactis" ref="P1:P6" totalsRowShown="0">
  <autoFilter ref="P1:P6" xr:uid="{00000000-0009-0000-0100-000048000000}"/>
  <tableColumns count="1">
    <tableColumn id="1" xr3:uid="{00000000-0010-0000-5A02-000001000000}" name="Condylactis"/>
  </tableColumns>
  <tableStyleInfo name="TableStyleMedium9" showFirstColumn="0" showLastColumn="0" showRowStripes="1" showColumnStripes="0"/>
</table>
</file>

<file path=xl/tables/table6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00000000-000C-0000-FFFF-FFFF5B020000}" name="Clavularia" displayName="Clavularia" ref="O1:O9" totalsRowShown="0">
  <autoFilter ref="O1:O9" xr:uid="{00000000-0009-0000-0100-00004A000000}"/>
  <tableColumns count="1">
    <tableColumn id="1" xr3:uid="{00000000-0010-0000-5B02-000001000000}" name="Clavularia"/>
  </tableColumns>
  <tableStyleInfo name="TableStyleMedium9" showFirstColumn="0" showLastColumn="0" showRowStripes="1" showColumnStripes="0"/>
</table>
</file>

<file path=xl/tables/table6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00000000-000C-0000-FFFF-FFFF5C020000}" name="Cladiella" displayName="Cladiella" ref="N1:N64" totalsRowShown="0">
  <autoFilter ref="N1:N64" xr:uid="{00000000-0009-0000-0100-00004B000000}"/>
  <tableColumns count="1">
    <tableColumn id="1" xr3:uid="{00000000-0010-0000-5C02-000001000000}" name="Cladiella"/>
  </tableColumns>
  <tableStyleInfo name="TableStyleMedium9" showFirstColumn="0" showLastColumn="0" showRowStripes="1" showColumnStripes="0"/>
</table>
</file>

<file path=xl/tables/table6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00000000-000C-0000-FFFF-FFFF5D020000}" name="Cerianthus" displayName="Cerianthus" ref="M1:M6" totalsRowShown="0">
  <autoFilter ref="M1:M6" xr:uid="{00000000-0009-0000-0100-00004C000000}"/>
  <tableColumns count="1">
    <tableColumn id="1" xr3:uid="{00000000-0010-0000-5D02-000001000000}" name="Cerianthus"/>
  </tableColumns>
  <tableStyleInfo name="TableStyleMedium9" showFirstColumn="0" showLastColumn="0" showRowStripes="1" showColumnStripes="0"/>
</table>
</file>

<file path=xl/tables/table6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00000000-000C-0000-FFFF-FFFF5E020000}" name="Caulastraea" displayName="Caulastraea" ref="L1:L7" totalsRowShown="0">
  <autoFilter ref="L1:L7" xr:uid="{00000000-0009-0000-0100-00004D000000}"/>
  <tableColumns count="1">
    <tableColumn id="1" xr3:uid="{00000000-0010-0000-5E02-000001000000}" name="Caulastraea"/>
  </tableColumns>
  <tableStyleInfo name="TableStyleMedium9" showFirstColumn="0" showLastColumn="0" showRowStripes="1" showColumnStripes="0"/>
</table>
</file>

<file path=xl/tables/table6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00000000-000C-0000-FFFF-FFFF5F020000}" name="Catalaphyllia" displayName="Catalaphyllia" ref="K1:K5" totalsRowShown="0">
  <autoFilter ref="K1:K5" xr:uid="{00000000-0009-0000-0100-00004E000000}"/>
  <tableColumns count="1">
    <tableColumn id="1" xr3:uid="{00000000-0010-0000-5F02-000001000000}" name="Catalaphyllia"/>
  </tableColumns>
  <tableStyleInfo name="TableStyleMedium9" showFirstColumn="0" showLastColumn="0" showRowStripes="1" showColumnStripes="0"/>
</table>
</file>

<file path=xl/tables/table6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00000000-000C-0000-FFFF-FFFF60020000}" name="Briareum" displayName="Briareum" ref="J1:J10" totalsRowShown="0">
  <autoFilter ref="J1:J10" xr:uid="{00000000-0009-0000-0100-00004F000000}"/>
  <tableColumns count="1">
    <tableColumn id="1" xr3:uid="{00000000-0010-0000-6002-000001000000}" name="Briareum"/>
  </tableColumns>
  <tableStyleInfo name="TableStyleMedium9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7" xr:uid="{00000000-000C-0000-FFFF-FFFF3C000000}" name="Astrodoras" displayName="Astrodoras" ref="AX1:AX2" totalsRowShown="0" headerRowDxfId="772">
  <autoFilter ref="AX1:AX2" xr:uid="{00000000-0009-0000-0100-000089000000}"/>
  <tableColumns count="1">
    <tableColumn id="1" xr3:uid="{00000000-0010-0000-3C00-000001000000}" name="Astrodoras"/>
  </tableColumns>
  <tableStyleInfo name="TableStyleMedium9" showFirstColumn="0" showLastColumn="0" showRowStripes="1" showColumnStripes="0"/>
</table>
</file>

<file path=xl/tables/table6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00000000-000C-0000-FFFF-FFFF61020000}" name="Blastomussa" displayName="Blastomussa" ref="I1:I8" totalsRowShown="0">
  <autoFilter ref="I1:I8" xr:uid="{00000000-0009-0000-0100-000050000000}"/>
  <tableColumns count="1">
    <tableColumn id="1" xr3:uid="{00000000-0010-0000-6102-000001000000}" name="Blastomussa"/>
  </tableColumns>
  <tableStyleInfo name="TableStyleMedium9" showFirstColumn="0" showLastColumn="0" showRowStripes="1" showColumnStripes="0"/>
</table>
</file>

<file path=xl/tables/table6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00000000-000C-0000-FFFF-FFFF62020000}" name="Bartholomea" displayName="Bartholomea" ref="H1:H7" totalsRowShown="0">
  <autoFilter ref="H1:H7" xr:uid="{00000000-0009-0000-0100-000052000000}"/>
  <tableColumns count="1">
    <tableColumn id="1" xr3:uid="{00000000-0010-0000-6202-000001000000}" name="Bartholomea"/>
  </tableColumns>
  <tableStyleInfo name="TableStyleMedium9" showFirstColumn="0" showLastColumn="0" showRowStripes="1" showColumnStripes="0"/>
</table>
</file>

<file path=xl/tables/table6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00000000-000C-0000-FFFF-FFFF63020000}" name="Anthelia" displayName="Anthelia" ref="G1:G17" totalsRowShown="0">
  <autoFilter ref="G1:G17" xr:uid="{00000000-0009-0000-0100-000053000000}"/>
  <tableColumns count="1">
    <tableColumn id="1" xr3:uid="{00000000-0010-0000-6302-000001000000}" name="Anthelia"/>
  </tableColumns>
  <tableStyleInfo name="TableStyleMedium9" showFirstColumn="0" showLastColumn="0" showRowStripes="1" showColumnStripes="0"/>
</table>
</file>

<file path=xl/tables/table6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00000000-000C-0000-FFFF-FFFF64020000}" name="Alveopora" displayName="Alveopora" ref="F1:F18" totalsRowShown="0">
  <autoFilter ref="F1:F18" xr:uid="{00000000-0009-0000-0100-000054000000}"/>
  <tableColumns count="1">
    <tableColumn id="1" xr3:uid="{00000000-0010-0000-6402-000001000000}" name="Alveopora"/>
  </tableColumns>
  <tableStyleInfo name="TableStyleMedium9" showFirstColumn="0" showLastColumn="0" showRowStripes="1" showColumnStripes="0"/>
</table>
</file>

<file path=xl/tables/table6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00000000-000C-0000-FFFF-FFFF65020000}" name="Alcyonium" displayName="Alcyonium" ref="E1:E65" totalsRowShown="0">
  <autoFilter ref="E1:E65" xr:uid="{00000000-0009-0000-0100-000055000000}"/>
  <tableColumns count="1">
    <tableColumn id="1" xr3:uid="{00000000-0010-0000-6502-000001000000}" name="Alcyonium"/>
  </tableColumns>
  <tableStyleInfo name="TableStyleMedium9" showFirstColumn="0" showLastColumn="0" showRowStripes="1" showColumnStripes="0"/>
</table>
</file>

<file path=xl/tables/table6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00000000-000C-0000-FFFF-FFFF66020000}" name="Actinoporus" displayName="Actinoporus" ref="D1:D3" totalsRowShown="0">
  <autoFilter ref="D1:D3" xr:uid="{00000000-0009-0000-0100-000056000000}"/>
  <tableColumns count="1">
    <tableColumn id="1" xr3:uid="{00000000-0010-0000-6602-000001000000}" name="Actinoporus"/>
  </tableColumns>
  <tableStyleInfo name="TableStyleMedium9" showFirstColumn="0" showLastColumn="0" showRowStripes="1" showColumnStripes="0"/>
</table>
</file>

<file path=xl/tables/table6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00000000-000C-0000-FFFF-FFFF67020000}" name="Actinodiscus" displayName="Actinodiscus" ref="C1:C11" totalsRowShown="0" dataDxfId="274" tableBorderDxfId="273">
  <autoFilter ref="C1:C11" xr:uid="{00000000-0009-0000-0100-000057000000}"/>
  <tableColumns count="1">
    <tableColumn id="1" xr3:uid="{00000000-0010-0000-6702-000001000000}" name="Actinodiscus" dataDxfId="272"/>
  </tableColumns>
  <tableStyleInfo name="TableStyleMedium9" showFirstColumn="0" showLastColumn="0" showRowStripes="1" showColumnStripes="0"/>
</table>
</file>

<file path=xl/tables/table6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00000000-000C-0000-FFFF-FFFF68020000}" name="Acropora" displayName="Acropora" ref="B1:B142" totalsRowShown="0">
  <autoFilter ref="B1:B142" xr:uid="{00000000-0009-0000-0100-000058000000}"/>
  <tableColumns count="1">
    <tableColumn id="1" xr3:uid="{00000000-0010-0000-6802-000001000000}" name="Acropora"/>
  </tableColumns>
  <tableStyleInfo name="TableStyleMedium9" showFirstColumn="0" showLastColumn="0" showRowStripes="1" showColumnStripes="0"/>
</table>
</file>

<file path=xl/tables/table6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00000000-000C-0000-FFFF-FFFF69020000}" name="Acanthastrea" displayName="Acanthastrea" ref="A1:A13" totalsRowShown="0">
  <autoFilter ref="A1:A13" xr:uid="{00000000-0009-0000-0100-000059000000}"/>
  <tableColumns count="1">
    <tableColumn id="1" xr3:uid="{00000000-0010-0000-6902-000001000000}" name="Acanthastrea"/>
  </tableColumns>
  <tableStyleInfo name="TableStyleMedium9" showFirstColumn="0" showLastColumn="0" showRowStripes="1" showColumnStripes="0"/>
</table>
</file>

<file path=xl/tables/table6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4" xr:uid="{00000000-000C-0000-FFFF-FFFF6A020000}" name="Montastraea" displayName="Montastraea" ref="AQ1:AQ12" totalsRowShown="0" headerRowDxfId="271">
  <autoFilter ref="AQ1:AQ12" xr:uid="{00000000-0009-0000-0100-000084020000}"/>
  <tableColumns count="1">
    <tableColumn id="1" xr3:uid="{00000000-0010-0000-6A02-000001000000}" name="Montastraea"/>
  </tableColumns>
  <tableStyleInfo name="TableStyleMedium9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8" xr:uid="{00000000-000C-0000-FFFF-FFFF3D000000}" name="Astronotus" displayName="Astronotus" ref="AY1:AY3" totalsRowShown="0" headerRowDxfId="771">
  <autoFilter ref="AY1:AY3" xr:uid="{00000000-0009-0000-0100-00008A000000}"/>
  <tableColumns count="1">
    <tableColumn id="1" xr3:uid="{00000000-0010-0000-3D00-000001000000}" name="Astronotus"/>
  </tableColumns>
  <tableStyleInfo name="TableStyleMedium9" showFirstColumn="0" showLastColumn="0" showRowStripes="1" showColumnStripes="0"/>
</table>
</file>

<file path=xl/tables/table6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00000000-000C-0000-FFFF-FFFF6B020000}" name="Cliona" displayName="Cliona" ref="B1:B17" totalsRowShown="0" headerRowDxfId="270">
  <autoFilter ref="B1:B17" xr:uid="{00000000-0009-0000-0100-000049000000}"/>
  <tableColumns count="1">
    <tableColumn id="1" xr3:uid="{00000000-0010-0000-6B02-000001000000}" name="Cliona"/>
  </tableColumns>
  <tableStyleInfo name="TableStyleMedium9" showFirstColumn="0" showLastColumn="0" showRowStripes="1" showColumnStripes="0"/>
</table>
</file>

<file path=xl/tables/table6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3" xr:uid="{00000000-000C-0000-FFFF-FFFF6C020000}" name="Acanthella" displayName="Acanthella" ref="A1:A34" totalsRowShown="0">
  <autoFilter ref="A1:A34" xr:uid="{00000000-0009-0000-0100-000083020000}"/>
  <tableColumns count="1">
    <tableColumn id="1" xr3:uid="{00000000-0010-0000-6C02-000001000000}" name="Acanthella"/>
  </tableColumns>
  <tableStyleInfo name="TableStyleMedium9" showFirstColumn="0" showLastColumn="0" showRowStripes="1" showColumnStripes="0"/>
</table>
</file>

<file path=xl/tables/table6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5" xr:uid="{00000000-000C-0000-FFFF-FFFF6D020000}" name="Item2" displayName="Item2" ref="AM13:BC59" totalsRowCount="1" headerRowDxfId="269" dataDxfId="268" totalsRowDxfId="267">
  <autoFilter ref="AM13:BC58" xr:uid="{00000000-0009-0000-0100-00007B020000}"/>
  <tableColumns count="17">
    <tableColumn id="1" xr3:uid="{00000000-0010-0000-6D02-000001000000}" name="Item" dataDxfId="266" totalsRowDxfId="265"/>
    <tableColumn id="2" xr3:uid="{00000000-0010-0000-6D02-000002000000}" name="Concatenado" dataDxfId="264" totalsRowDxfId="263">
      <calculatedColumnFormula>CONCATENATE(R14," ",Y14)</calculatedColumnFormula>
    </tableColumn>
    <tableColumn id="3" xr3:uid="{00000000-0010-0000-6D02-000003000000}" name="nombre comun" dataDxfId="262" totalsRowDxfId="261">
      <calculatedColumnFormula>C14</calculatedColumnFormula>
    </tableColumn>
    <tableColumn id="4" xr3:uid="{00000000-0010-0000-6D02-000004000000}" name="grupo" dataDxfId="260" totalsRowDxfId="259">
      <calculatedColumnFormula>J14</calculatedColumnFormula>
    </tableColumn>
    <tableColumn id="5" xr3:uid="{00000000-0010-0000-6D02-000005000000}" name="ambiente" dataDxfId="258" totalsRowDxfId="257">
      <calculatedColumnFormula>N14</calculatedColumnFormula>
    </tableColumn>
    <tableColumn id="6" xr3:uid="{00000000-0010-0000-6D02-000006000000}" name="cantidad arribada" totalsRowFunction="sum" dataDxfId="256" totalsRowDxfId="255">
      <calculatedColumnFormula>SUMIF('Acuario (Arribado - mortalidad)'!$B$14:$B$90,ANEXO!B14,'Acuario (Arribado - mortalidad)'!$F$14:$F$90)</calculatedColumnFormula>
    </tableColumn>
    <tableColumn id="7" xr3:uid="{00000000-0010-0000-6D02-000007000000}" name="mortalidad acumulada" totalsRowFunction="sum" dataDxfId="254" totalsRowDxfId="253">
      <calculatedColumnFormula>IF(AR14&gt;0, IF(SUMIF('Acuario (Arribado - mortalidad)'!$B$14:$B$90,ANEXO!B14,'Acuario (Arribado - mortalidad)'!$K$14:$K$90)=0, "0", SUMIF('Acuario (Arribado - mortalidad)'!$B$14:$B$90,ANEXO!B14,'Acuario (Arribado - mortalidad)'!$K$14:$K$90)),"")</calculatedColumnFormula>
    </tableColumn>
    <tableColumn id="8" xr3:uid="{00000000-0010-0000-6D02-000008000000}" name="saldo" totalsRowFunction="sum" dataDxfId="252" totalsRowDxfId="251">
      <calculatedColumnFormula>IF(AR14 = AS14,"0",SUMIF('Acuario (Arribado - mortalidad)'!$B$14:$B$90,ANEXO!B14,'Acuario (Arribado - mortalidad)'!$G$14:$G$90))</calculatedColumnFormula>
    </tableColumn>
    <tableColumn id="9" xr3:uid="{00000000-0010-0000-6D02-000009000000}" name="porcentaje mortalidad" totalsRowFunction="average" dataDxfId="250" totalsRowDxfId="249">
      <calculatedColumnFormula>IFERROR(Item2[[#This Row],[mortalidad acumulada]]/Item2[[#This Row],[cantidad arribada]],"")</calculatedColumnFormula>
    </tableColumn>
    <tableColumn id="10" xr3:uid="{00000000-0010-0000-6D02-00000A000000}" name="Arribada resumen" totalsRowFunction="sum" dataDxfId="248" totalsRowDxfId="247">
      <calculatedColumnFormula>IF(ISTEXT(R14),IF(Item2[[#This Row],[cantidad arribada]]=0,"No llega",Item2[[#This Row],[cantidad arribada]]),)</calculatedColumnFormula>
    </tableColumn>
    <tableColumn id="11" xr3:uid="{00000000-0010-0000-6D02-00000B000000}" name="Tratamiento Si o No" dataDxfId="246" totalsRowDxfId="245"/>
    <tableColumn id="15" xr3:uid="{00000000-0010-0000-6D02-00000F000000}" name="Mortalidad dia 1" totalsRowFunction="sum" dataDxfId="244" totalsRowDxfId="243">
      <calculatedColumnFormula>SUMIF('Acuario (Arribado - mortalidad)'!$B$14:$B$90,ANEXO!B14,'Acuario (Arribado - mortalidad)'!$O$14:$O$90)</calculatedColumnFormula>
    </tableColumn>
    <tableColumn id="16" xr3:uid="{00000000-0010-0000-6D02-000010000000}" name="Mortalidad 2 a 8  (Sem 1)" totalsRowFunction="sum" dataDxfId="242" totalsRowDxfId="241">
      <calculatedColumnFormula>SUMIF('Acuario (Arribado - mortalidad)'!$B$14:$B$90,ANEXO!B14,'Acuario (Arribado - mortalidad)'!$BG$14:$BG$90)</calculatedColumnFormula>
    </tableColumn>
    <tableColumn id="17" xr3:uid="{00000000-0010-0000-6D02-000011000000}" name="Mortalidad 9 a 15 (Sem 2)" totalsRowFunction="sum" dataDxfId="240" totalsRowDxfId="239">
      <calculatedColumnFormula>SUMIF('Acuario (Arribado - mortalidad)'!$B$14:$B$90,ANEXO!B14,'Acuario (Arribado - mortalidad)'!$BH$14:$BH$90)</calculatedColumnFormula>
    </tableColumn>
    <tableColumn id="18" xr3:uid="{00000000-0010-0000-6D02-000012000000}" name="% mort dia 1" totalsRowFunction="average" dataDxfId="238" totalsRowDxfId="237">
      <calculatedColumnFormula>IFERROR(Item2[[#This Row],[Mortalidad dia 1]]/Item2[[#This Row],[cantidad arribada]],"")</calculatedColumnFormula>
    </tableColumn>
    <tableColumn id="19" xr3:uid="{00000000-0010-0000-6D02-000013000000}" name="% mort sem 1" totalsRowFunction="average" dataDxfId="236" totalsRowDxfId="235">
      <calculatedColumnFormula>IFERROR(Item2[[#This Row],[Mortalidad 2 a 8  (Sem 1)]]/Item2[[#This Row],[cantidad arribada]],"")</calculatedColumnFormula>
    </tableColumn>
    <tableColumn id="20" xr3:uid="{00000000-0010-0000-6D02-000014000000}" name="% mort sem 2" totalsRowFunction="average" dataDxfId="234" totalsRowDxfId="233">
      <calculatedColumnFormula>IFERROR(Item2[[#This Row],[Mortalidad 9 a 15 (Sem 2)]]/Item2[[#This Row],[cantidad arribada]],"")</calculatedColumnFormula>
    </tableColumn>
  </tableColumns>
  <tableStyleInfo name="TableStyleMedium9" showFirstColumn="0" showLastColumn="0" showRowStripes="1" showColumnStripes="0"/>
</table>
</file>

<file path=xl/tables/table6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3" xr:uid="{00000000-000C-0000-FFFF-FFFF6E020000}" name="AcuariosTto" displayName="AcuariosTto" ref="W11:Z83" totalsRowShown="0" headerRowDxfId="232" dataDxfId="231">
  <autoFilter ref="W11:Z83" xr:uid="{00000000-0009-0000-0100-00004D010000}"/>
  <tableColumns count="4">
    <tableColumn id="1" xr3:uid="{00000000-0010-0000-6E02-000001000000}" name="AcuariosTTo" dataDxfId="230">
      <calculatedColumnFormula>#REF!</calculatedColumnFormula>
    </tableColumn>
    <tableColumn id="2" xr3:uid="{00000000-0010-0000-6E02-000002000000}" name="TipoProd" dataDxfId="229">
      <calculatedColumnFormula>L9</calculatedColumnFormula>
    </tableColumn>
    <tableColumn id="3" xr3:uid="{00000000-0010-0000-6E02-000003000000}" name="NomProd" dataDxfId="228"/>
    <tableColumn id="4" xr3:uid="{00000000-0010-0000-6E02-000004000000}" name="SignoTTo" dataDxfId="227">
      <calculatedColumnFormula>K9</calculatedColumnFormula>
    </tableColumn>
  </tableColumns>
  <tableStyleInfo name="TableStyleMedium9" showFirstColumn="0" showLastColumn="0" showRowStripes="1" showColumnStripes="0"/>
</table>
</file>

<file path=xl/tables/table6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4" xr:uid="{00000000-000C-0000-FFFF-FFFF6F020000}" name="ItemOcPreven" displayName="ItemOcPreven" ref="AF11:AH31" totalsRowShown="0" headerRowDxfId="226" dataDxfId="225">
  <autoFilter ref="AF11:AH31" xr:uid="{00000000-0009-0000-0100-000066020000}"/>
  <tableColumns count="3">
    <tableColumn id="1" xr3:uid="{00000000-0010-0000-6F02-000001000000}" name="ItemOcPreven" dataDxfId="224">
      <calculatedColumnFormula>J4</calculatedColumnFormula>
    </tableColumn>
    <tableColumn id="2" xr3:uid="{00000000-0010-0000-6F02-000002000000}" name="TipoProPrev" dataDxfId="223">
      <calculatedColumnFormula>K20</calculatedColumnFormula>
    </tableColumn>
    <tableColumn id="3" xr3:uid="{00000000-0010-0000-6F02-000003000000}" name="NomProPrev" dataDxfId="222"/>
  </tableColumns>
  <tableStyleInfo name="TableStyleMedium9" showFirstColumn="0" showLastColumn="0" showRowStripes="1" showColumnStripes="0"/>
</table>
</file>

<file path=xl/tables/table6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6" xr:uid="{00000000-000C-0000-FFFF-FFFF70020000}" name="PrevTodas" displayName="PrevTodas" ref="AI11:AI15" totalsRowShown="0" headerRowDxfId="221" dataDxfId="220">
  <autoFilter ref="AI11:AI15" xr:uid="{00000000-0009-0000-0100-000068020000}"/>
  <tableColumns count="1">
    <tableColumn id="1" xr3:uid="{00000000-0010-0000-7002-000001000000}" name="PrevTodas" dataDxfId="219">
      <calculatedColumnFormula>E36</calculatedColumnFormula>
    </tableColumn>
  </tableColumns>
  <tableStyleInfo name="TableStyleMedium9" showFirstColumn="0" showLastColumn="0" showRowStripes="1" showColumnStripes="0"/>
</table>
</file>

<file path=xl/tables/table6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8" xr:uid="{00000000-000C-0000-FFFF-FFFF71020000}" name="ItemOcEvto" displayName="ItemOcEvto" ref="AB11:AC39" totalsRowShown="0" headerRowDxfId="218" dataDxfId="217">
  <autoFilter ref="AB11:AC39" xr:uid="{00000000-0009-0000-0100-00006A020000}"/>
  <tableColumns count="2">
    <tableColumn id="1" xr3:uid="{00000000-0010-0000-7102-000001000000}" name="ItemOcEvto" dataDxfId="216">
      <calculatedColumnFormula>J3</calculatedColumnFormula>
    </tableColumn>
    <tableColumn id="3" xr3:uid="{00000000-0010-0000-7102-000003000000}" name="TipoEvto" dataDxfId="215">
      <calculatedColumnFormula>K3</calculatedColumnFormula>
    </tableColumn>
  </tableColumns>
  <tableStyleInfo name="TableStyleMedium9" showFirstColumn="0" showLastColumn="0" showRowStripes="1" showColumnStripes="0"/>
</table>
</file>

<file path=xl/tables/table6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0" xr:uid="{00000000-000C-0000-FFFF-FFFF72020000}" name="EvtoTodas" displayName="EvtoTodas" ref="AD11:AD18" totalsRowShown="0" headerRowDxfId="214" dataDxfId="213">
  <autoFilter ref="AD11:AD18" xr:uid="{00000000-0009-0000-0100-00006C020000}"/>
  <tableColumns count="1">
    <tableColumn id="1" xr3:uid="{00000000-0010-0000-7202-000001000000}" name="EvtoTodas" dataDxfId="212">
      <calculatedColumnFormula>E24</calculatedColumnFormula>
    </tableColumn>
  </tableColumns>
  <tableStyleInfo name="TableStyleMedium9" showFirstColumn="0" showLastColumn="0" showRowStripes="1" showColumnStripes="0"/>
</table>
</file>

<file path=xl/tables/table6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5" xr:uid="{00000000-000C-0000-FFFF-FFFF73020000}" name="Ambiente" displayName="Ambiente" ref="B2:G756" totalsRowShown="0">
  <autoFilter ref="B2:G756" xr:uid="{00000000-0009-0000-0100-000067020000}"/>
  <tableColumns count="6">
    <tableColumn id="1" xr3:uid="{00000000-0010-0000-7302-000001000000}" name="Grupo"/>
    <tableColumn id="2" xr3:uid="{00000000-0010-0000-7302-000002000000}" name="Especie aprobada"/>
    <tableColumn id="3" xr3:uid="{00000000-0010-0000-7302-000003000000}" name="Ambiente"/>
    <tableColumn id="4" xr3:uid="{00000000-0010-0000-7302-000004000000}" name="Tipo de especie"/>
    <tableColumn id="6" xr3:uid="{00000000-0010-0000-7302-000006000000}" name="Hábitat natural"/>
    <tableColumn id="5" xr3:uid="{00000000-0010-0000-7302-000005000000}" name="Observación"/>
  </tableColumns>
  <tableStyleInfo name="TableStyleMedium9" showFirstColumn="0" showLastColumn="0" showRowStripes="1" showColumnStripes="0"/>
</table>
</file>

<file path=xl/tables/table6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8" xr:uid="{00000000-000C-0000-FFFF-FFFF74020000}" name="Hallazgo" displayName="Hallazgo" ref="BH25:BL43" totalsRowShown="0" headerRowDxfId="211" dataDxfId="210">
  <autoFilter ref="BH25:BL43" xr:uid="{00000000-0009-0000-0100-0000DA000000}"/>
  <tableColumns count="5">
    <tableColumn id="1" xr3:uid="{00000000-0010-0000-7402-000001000000}" name="Ac_Hallazgo" dataDxfId="209"/>
    <tableColumn id="2" xr3:uid="{00000000-0010-0000-7402-000002000000}" name="Ppal_Hallazgo" dataDxfId="208"/>
    <tableColumn id="3" xr3:uid="{00000000-0010-0000-7402-000003000000}" name="Alc_Hallazgo" dataDxfId="207"/>
    <tableColumn id="4" xr3:uid="{00000000-0010-0000-7402-000004000000}" name="Nvl_Mortalidad" dataDxfId="206"/>
    <tableColumn id="5" xr3:uid="{00000000-0010-0000-7402-000005000000}" name="Prolog_Cuar" dataDxfId="205"/>
  </tableColumns>
  <tableStyleInfo name="TableStyleMedium9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9" xr:uid="{00000000-000C-0000-FFFF-FFFF3E000000}" name="Astyanax" displayName="Astyanax" ref="AZ1:AZ147" totalsRowShown="0" headerRowDxfId="770">
  <autoFilter ref="AZ1:AZ147" xr:uid="{00000000-0009-0000-0100-00008B000000}"/>
  <tableColumns count="1">
    <tableColumn id="1" xr3:uid="{00000000-0010-0000-3E00-000001000000}" name="Astyanax"/>
  </tableColumns>
  <tableStyleInfo name="TableStyleMedium9" showFirstColumn="0" showLastColumn="0" showRowStripes="1" showColumnStripes="0"/>
</table>
</file>

<file path=xl/tables/table6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00000000-000C-0000-FFFF-FFFF75020000}" name="DatosAll" displayName="DatosAll" ref="A1:BZ79" totalsRowCount="1" headerRowDxfId="204" dataDxfId="202" headerRowBorderDxfId="203" tableBorderDxfId="201" totalsRowBorderDxfId="200">
  <autoFilter ref="A1:BZ78" xr:uid="{00000000-0009-0000-0100-000051000000}"/>
  <tableColumns count="78">
    <tableColumn id="75" xr3:uid="{00000000-0010-0000-7502-00004B000000}" name="REG_ESTACION" dataDxfId="199" totalsRowDxfId="198">
      <calculatedColumnFormula>IF(U2&lt;&gt;0,'ORDEN DE CUARENTENA'!$AE$2,"")</calculatedColumnFormula>
    </tableColumn>
    <tableColumn id="1" xr3:uid="{00000000-0010-0000-7502-000001000000}" name="ACTA" totalsRowLabel="Total" dataDxfId="197" totalsRowDxfId="196">
      <calculatedColumnFormula>IF(U2&lt;&gt;0,'ORDEN DE CUARENTENA'!$AE$3,"")</calculatedColumnFormula>
    </tableColumn>
    <tableColumn id="2" xr3:uid="{00000000-0010-0000-7502-000002000000}" name="ACTA_ANO" dataDxfId="195" totalsRowDxfId="194">
      <calculatedColumnFormula>IF(U2&lt;&gt;0,CONCATENATE(B2,"-",TEXT(H2,"yyyy")),"")</calculatedColumnFormula>
    </tableColumn>
    <tableColumn id="77" xr3:uid="{00000000-0010-0000-7502-00004D000000}" name="FECHA_IMPO" dataDxfId="193" totalsRowDxfId="192">
      <calculatedColumnFormula>IF(U2&lt;&gt;0,'ORDEN DE CUARENTENA'!$I$6,"")</calculatedColumnFormula>
    </tableColumn>
    <tableColumn id="76" xr3:uid="{00000000-0010-0000-7502-00004C000000}" name="DIA_SEM" dataDxfId="191" totalsRowDxfId="190">
      <calculatedColumnFormula>IF(U2&lt;&gt;0,TEXT('ORDEN DE CUARENTENA'!$I$6,"aaa"),"")</calculatedColumnFormula>
    </tableColumn>
    <tableColumn id="3" xr3:uid="{00000000-0010-0000-7502-000003000000}" name="DIA" dataDxfId="189" totalsRowDxfId="188">
      <calculatedColumnFormula>IF(U2&lt;&gt;0,TEXT('ORDEN DE CUARENTENA'!$I$6,"dd"),"")</calculatedColumnFormula>
    </tableColumn>
    <tableColumn id="4" xr3:uid="{00000000-0010-0000-7502-000004000000}" name="MES" dataDxfId="187" totalsRowDxfId="186">
      <calculatedColumnFormula>IF(U2&lt;&gt;0,TEXT('ORDEN DE CUARENTENA'!$I$6,"mm"),"")</calculatedColumnFormula>
    </tableColumn>
    <tableColumn id="5" xr3:uid="{00000000-0010-0000-7502-000005000000}" name="ANO" dataDxfId="185" totalsRowDxfId="184">
      <calculatedColumnFormula>IF(U2&lt;&gt;0,TEXT('ORDEN DE CUARENTENA'!$I$6,"yyyy"),"")</calculatedColumnFormula>
    </tableColumn>
    <tableColumn id="6" xr3:uid="{00000000-0010-0000-7502-000006000000}" name="TITULAR_DE_ESTACION" dataDxfId="183" totalsRowDxfId="182">
      <calculatedColumnFormula>IF(U2&lt;&gt;0,'ORDEN DE CUARENTENA'!$H$7,"")</calculatedColumnFormula>
    </tableColumn>
    <tableColumn id="7" xr3:uid="{00000000-0010-0000-7502-000007000000}" name="EXPORTADOR" dataDxfId="181" totalsRowDxfId="180">
      <calculatedColumnFormula>IF(U2&lt;&gt;0,'ORDEN DE CUARENTENA'!$H$9,"")</calculatedColumnFormula>
    </tableColumn>
    <tableColumn id="8" xr3:uid="{00000000-0010-0000-7502-000008000000}" name="PAIS_DE_ORIGEN" dataDxfId="179" totalsRowDxfId="178">
      <calculatedColumnFormula>IF(U2&lt;&gt;0,'ORDEN DE CUARENTENA'!$Q$9,"")</calculatedColumnFormula>
    </tableColumn>
    <tableColumn id="9" xr3:uid="{00000000-0010-0000-7502-000009000000}" name="GRUPO" dataDxfId="177" totalsRowDxfId="176">
      <calculatedColumnFormula>IFERROR(VLOOKUP(U2,Item[],4,FALSE),IFERROR(VLOOKUP(U2,Item2[],4,FALSE),""))</calculatedColumnFormula>
    </tableColumn>
    <tableColumn id="10" xr3:uid="{00000000-0010-0000-7502-00000A000000}" name="AMBIENTE" dataDxfId="175" totalsRowDxfId="174">
      <calculatedColumnFormula>IFERROR(VLOOKUP(U2,Item[],5,FALSE),IFERROR(VLOOKUP(U2,Item2[],5,FALSE),""))</calculatedColumnFormula>
    </tableColumn>
    <tableColumn id="11" xr3:uid="{00000000-0010-0000-7502-00000B000000}" name="SUSC_EAR" dataDxfId="173" totalsRowDxfId="172">
      <calculatedColumnFormula>IFERROR(VLOOKUP(W2,SuscepEARs[],2,FALSE),"")</calculatedColumnFormula>
    </tableColumn>
    <tableColumn id="72" xr3:uid="{00000000-0010-0000-7502-000048000000}" name="CITES" dataDxfId="171" totalsRowDxfId="170">
      <calculatedColumnFormula>IFERROR(VLOOKUP(DatosAll[[#This Row],[ESPECIE]],CITES[],2,FALSE),"")</calculatedColumnFormula>
    </tableColumn>
    <tableColumn id="64" xr3:uid="{00000000-0010-0000-7502-000040000000}" name="PPAL_HALLAZGO" dataDxfId="169" totalsRowDxfId="168">
      <calculatedColumnFormula>IFERROR(VLOOKUP(T2,Hallazgo[],2,FALSE),"")</calculatedColumnFormula>
    </tableColumn>
    <tableColumn id="65" xr3:uid="{00000000-0010-0000-7502-000041000000}" name="ALC_HALLAZGO" dataDxfId="167" totalsRowDxfId="166">
      <calculatedColumnFormula>IFERROR(VLOOKUP(T2,Hallazgo[],3,FALSE),"")</calculatedColumnFormula>
    </tableColumn>
    <tableColumn id="66" xr3:uid="{00000000-0010-0000-7502-000042000000}" name="NVL_MORT_HALLAZGO" dataDxfId="165" totalsRowDxfId="164">
      <calculatedColumnFormula>IFERROR(VLOOKUP(T2,Hallazgo[],4,FALSE),"")</calculatedColumnFormula>
    </tableColumn>
    <tableColumn id="67" xr3:uid="{00000000-0010-0000-7502-000043000000}" name="PROLONGA_CUAR" dataDxfId="163" totalsRowDxfId="162">
      <calculatedColumnFormula>IFERROR(VLOOKUP(T2,Hallazgo[],5,FALSE),"")</calculatedColumnFormula>
    </tableColumn>
    <tableColumn id="12" xr3:uid="{00000000-0010-0000-7502-00000C000000}" name="ID_AC" dataDxfId="161" totalsRowDxfId="160">
      <calculatedColumnFormula>'Acuario (Arribado - mortalidad)'!C14</calculatedColumnFormula>
    </tableColumn>
    <tableColumn id="13" xr3:uid="{00000000-0010-0000-7502-00000D000000}" name="ITEM_OC" dataDxfId="159" totalsRowDxfId="158">
      <calculatedColumnFormula>'Acuario (Arribado - mortalidad)'!B14</calculatedColumnFormula>
    </tableColumn>
    <tableColumn id="14" xr3:uid="{00000000-0010-0000-7502-00000E000000}" name="NOM_COMUN" dataDxfId="157" totalsRowDxfId="156">
      <calculatedColumnFormula>'Acuario (Arribado - mortalidad)'!D14</calculatedColumnFormula>
    </tableColumn>
    <tableColumn id="15" xr3:uid="{00000000-0010-0000-7502-00000F000000}" name="ESPECIE" dataDxfId="155" totalsRowDxfId="154">
      <calculatedColumnFormula>'Acuario (Arribado - mortalidad)'!E14</calculatedColumnFormula>
    </tableColumn>
    <tableColumn id="16" xr3:uid="{00000000-0010-0000-7502-000010000000}" name="N_INDIVIDUOS" totalsRowFunction="average" dataDxfId="153" totalsRowDxfId="152">
      <calculatedColumnFormula>'Acuario (Arribado - mortalidad)'!F14</calculatedColumnFormula>
    </tableColumn>
    <tableColumn id="71" xr3:uid="{00000000-0010-0000-7502-000047000000}" name="TEMPERATURA" dataDxfId="151" totalsRowDxfId="150">
      <calculatedColumnFormula>'Acuario (Arribado - mortalidad)'!H14</calculatedColumnFormula>
    </tableColumn>
    <tableColumn id="78" xr3:uid="{00000000-0010-0000-7502-00004E000000}" name="EST_DESARROLLO" dataDxfId="149" totalsRowDxfId="148">
      <calculatedColumnFormula>'Acuario (Arribado - mortalidad)'!I14</calculatedColumnFormula>
    </tableColumn>
    <tableColumn id="73" xr3:uid="{00000000-0010-0000-7502-000049000000}" name="FUENTE_SPP" dataDxfId="147" totalsRowDxfId="146"/>
    <tableColumn id="17" xr3:uid="{00000000-0010-0000-7502-000011000000}" name="N_MUERTOS" dataDxfId="145" totalsRowDxfId="144">
      <calculatedColumnFormula>'Acuario (Arribado - mortalidad)'!K14</calculatedColumnFormula>
    </tableColumn>
    <tableColumn id="18" xr3:uid="{00000000-0010-0000-7502-000012000000}" name="MORTALIDAD" totalsRowFunction="average" dataDxfId="143" totalsRowDxfId="142" dataCellStyle="Porcentaje">
      <calculatedColumnFormula>IFERROR(('Acuario (Arribado - mortalidad)'!K14/DatosAll[[#This Row],[N_INDIVIDUOS]])*100,"")</calculatedColumnFormula>
    </tableColumn>
    <tableColumn id="70" xr3:uid="{00000000-0010-0000-7502-000046000000}" name="MORT_DIA1" totalsRowFunction="average" dataDxfId="141" totalsRowDxfId="140" dataCellStyle="Porcentaje">
      <calculatedColumnFormula>IFERROR(('Acuario (Arribado - mortalidad)'!O14/DatosAll[[#This Row],[N_INDIVIDUOS]])*100,"")</calculatedColumnFormula>
    </tableColumn>
    <tableColumn id="69" xr3:uid="{00000000-0010-0000-7502-000045000000}" name="MORT_SEM1" dataDxfId="139" totalsRowDxfId="138" dataCellStyle="Porcentaje">
      <calculatedColumnFormula>IFERROR(('Acuario (Arribado - mortalidad)'!BG14/DatosAll[[#This Row],[N_INDIVIDUOS]])*100,"")</calculatedColumnFormula>
    </tableColumn>
    <tableColumn id="68" xr3:uid="{00000000-0010-0000-7502-000044000000}" name="MORT_SEM2" dataDxfId="137" totalsRowDxfId="136" dataCellStyle="Porcentaje">
      <calculatedColumnFormula>IFERROR(('Acuario (Arribado - mortalidad)'!BH14/DatosAll[[#This Row],[N_INDIVIDUOS]])*100,"")</calculatedColumnFormula>
    </tableColumn>
    <tableColumn id="19" xr3:uid="{00000000-0010-0000-7502-000013000000}" name="CAUSA_PROB_MORT" dataDxfId="135" totalsRowDxfId="134">
      <calculatedColumnFormula>'Acuario (Arribado - mortalidad)'!M14</calculatedColumnFormula>
    </tableColumn>
    <tableColumn id="20" xr3:uid="{00000000-0010-0000-7502-000014000000}" name="N_SALDO" dataDxfId="133" totalsRowDxfId="132">
      <calculatedColumnFormula>'Acuario (Arribado - mortalidad)'!G14</calculatedColumnFormula>
    </tableColumn>
    <tableColumn id="21" xr3:uid="{00000000-0010-0000-7502-000015000000}" name="D_1" dataDxfId="131" totalsRowDxfId="130">
      <calculatedColumnFormula>'Acuario (Arribado - mortalidad)'!O14</calculatedColumnFormula>
    </tableColumn>
    <tableColumn id="22" xr3:uid="{00000000-0010-0000-7502-000016000000}" name="D_2" dataDxfId="129" totalsRowDxfId="128">
      <calculatedColumnFormula>'Acuario (Arribado - mortalidad)'!P14</calculatedColumnFormula>
    </tableColumn>
    <tableColumn id="23" xr3:uid="{00000000-0010-0000-7502-000017000000}" name="D_3" dataDxfId="127" totalsRowDxfId="126">
      <calculatedColumnFormula>'Acuario (Arribado - mortalidad)'!Q14</calculatedColumnFormula>
    </tableColumn>
    <tableColumn id="24" xr3:uid="{00000000-0010-0000-7502-000018000000}" name="D_4" dataDxfId="125" totalsRowDxfId="124">
      <calculatedColumnFormula>'Acuario (Arribado - mortalidad)'!R14</calculatedColumnFormula>
    </tableColumn>
    <tableColumn id="25" xr3:uid="{00000000-0010-0000-7502-000019000000}" name="D_5" dataDxfId="123" totalsRowDxfId="122">
      <calculatedColumnFormula>'Acuario (Arribado - mortalidad)'!S14</calculatedColumnFormula>
    </tableColumn>
    <tableColumn id="26" xr3:uid="{00000000-0010-0000-7502-00001A000000}" name="D_6" dataDxfId="121" totalsRowDxfId="120">
      <calculatedColumnFormula>'Acuario (Arribado - mortalidad)'!T14</calculatedColumnFormula>
    </tableColumn>
    <tableColumn id="27" xr3:uid="{00000000-0010-0000-7502-00001B000000}" name="D_7" dataDxfId="119" totalsRowDxfId="118">
      <calculatedColumnFormula>'Acuario (Arribado - mortalidad)'!U14</calculatedColumnFormula>
    </tableColumn>
    <tableColumn id="28" xr3:uid="{00000000-0010-0000-7502-00001C000000}" name="D_8" dataDxfId="117" totalsRowDxfId="116">
      <calculatedColumnFormula>'Acuario (Arribado - mortalidad)'!V14</calculatedColumnFormula>
    </tableColumn>
    <tableColumn id="29" xr3:uid="{00000000-0010-0000-7502-00001D000000}" name="D_9" dataDxfId="115" totalsRowDxfId="114">
      <calculatedColumnFormula>'Acuario (Arribado - mortalidad)'!W14</calculatedColumnFormula>
    </tableColumn>
    <tableColumn id="30" xr3:uid="{00000000-0010-0000-7502-00001E000000}" name="D_10" dataDxfId="113" totalsRowDxfId="112">
      <calculatedColumnFormula>'Acuario (Arribado - mortalidad)'!X14</calculatedColumnFormula>
    </tableColumn>
    <tableColumn id="31" xr3:uid="{00000000-0010-0000-7502-00001F000000}" name="D_11" dataDxfId="111" totalsRowDxfId="110">
      <calculatedColumnFormula>'Acuario (Arribado - mortalidad)'!Y14</calculatedColumnFormula>
    </tableColumn>
    <tableColumn id="32" xr3:uid="{00000000-0010-0000-7502-000020000000}" name="D_12" dataDxfId="109" totalsRowDxfId="108">
      <calculatedColumnFormula>'Acuario (Arribado - mortalidad)'!Z14</calculatedColumnFormula>
    </tableColumn>
    <tableColumn id="33" xr3:uid="{00000000-0010-0000-7502-000021000000}" name="D_13" dataDxfId="107" totalsRowDxfId="106">
      <calculatedColumnFormula>'Acuario (Arribado - mortalidad)'!AA14</calculatedColumnFormula>
    </tableColumn>
    <tableColumn id="34" xr3:uid="{00000000-0010-0000-7502-000022000000}" name="D_14" dataDxfId="105" totalsRowDxfId="104">
      <calculatedColumnFormula>'Acuario (Arribado - mortalidad)'!AB14</calculatedColumnFormula>
    </tableColumn>
    <tableColumn id="35" xr3:uid="{00000000-0010-0000-7502-000023000000}" name="D_15" dataDxfId="103" totalsRowDxfId="102">
      <calculatedColumnFormula>'Acuario (Arribado - mortalidad)'!AC14</calculatedColumnFormula>
    </tableColumn>
    <tableColumn id="36" xr3:uid="{00000000-0010-0000-7502-000024000000}" name="D_16" dataDxfId="101" totalsRowDxfId="100">
      <calculatedColumnFormula>'Acuario (Arribado - mortalidad)'!AD14</calculatedColumnFormula>
    </tableColumn>
    <tableColumn id="37" xr3:uid="{00000000-0010-0000-7502-000025000000}" name="D_17" dataDxfId="99" totalsRowDxfId="98">
      <calculatedColumnFormula>'Acuario (Arribado - mortalidad)'!AE14</calculatedColumnFormula>
    </tableColumn>
    <tableColumn id="38" xr3:uid="{00000000-0010-0000-7502-000026000000}" name="D_18" dataDxfId="97" totalsRowDxfId="96">
      <calculatedColumnFormula>'Acuario (Arribado - mortalidad)'!AF14</calculatedColumnFormula>
    </tableColumn>
    <tableColumn id="39" xr3:uid="{00000000-0010-0000-7502-000027000000}" name="D_19" dataDxfId="95" totalsRowDxfId="94">
      <calculatedColumnFormula>'Acuario (Arribado - mortalidad)'!AG14</calculatedColumnFormula>
    </tableColumn>
    <tableColumn id="40" xr3:uid="{00000000-0010-0000-7502-000028000000}" name="D_20" dataDxfId="93" totalsRowDxfId="92">
      <calculatedColumnFormula>'Acuario (Arribado - mortalidad)'!AH14</calculatedColumnFormula>
    </tableColumn>
    <tableColumn id="41" xr3:uid="{00000000-0010-0000-7502-000029000000}" name="D_21" dataDxfId="91" totalsRowDxfId="90">
      <calculatedColumnFormula>'Acuario (Arribado - mortalidad)'!AI14</calculatedColumnFormula>
    </tableColumn>
    <tableColumn id="42" xr3:uid="{00000000-0010-0000-7502-00002A000000}" name="D_22" dataDxfId="89" totalsRowDxfId="88">
      <calculatedColumnFormula>'Acuario (Arribado - mortalidad)'!AJ14</calculatedColumnFormula>
    </tableColumn>
    <tableColumn id="43" xr3:uid="{00000000-0010-0000-7502-00002B000000}" name="D_23" dataDxfId="87" totalsRowDxfId="86">
      <calculatedColumnFormula>'Acuario (Arribado - mortalidad)'!AK14</calculatedColumnFormula>
    </tableColumn>
    <tableColumn id="44" xr3:uid="{00000000-0010-0000-7502-00002C000000}" name="D_24" dataDxfId="85" totalsRowDxfId="84">
      <calculatedColumnFormula>'Acuario (Arribado - mortalidad)'!AL14</calculatedColumnFormula>
    </tableColumn>
    <tableColumn id="45" xr3:uid="{00000000-0010-0000-7502-00002D000000}" name="D_25" dataDxfId="83" totalsRowDxfId="82">
      <calculatedColumnFormula>'Acuario (Arribado - mortalidad)'!AM14</calculatedColumnFormula>
    </tableColumn>
    <tableColumn id="46" xr3:uid="{00000000-0010-0000-7502-00002E000000}" name="D_26" dataDxfId="81" totalsRowDxfId="80">
      <calculatedColumnFormula>'Acuario (Arribado - mortalidad)'!AN14</calculatedColumnFormula>
    </tableColumn>
    <tableColumn id="47" xr3:uid="{00000000-0010-0000-7502-00002F000000}" name="D_27" dataDxfId="79" totalsRowDxfId="78">
      <calculatedColumnFormula>'Acuario (Arribado - mortalidad)'!AO14</calculatedColumnFormula>
    </tableColumn>
    <tableColumn id="48" xr3:uid="{00000000-0010-0000-7502-000030000000}" name="D_28" dataDxfId="77" totalsRowDxfId="76">
      <calculatedColumnFormula>'Acuario (Arribado - mortalidad)'!AP14</calculatedColumnFormula>
    </tableColumn>
    <tableColumn id="49" xr3:uid="{00000000-0010-0000-7502-000031000000}" name="D_29" dataDxfId="75" totalsRowDxfId="74">
      <calculatedColumnFormula>'Acuario (Arribado - mortalidad)'!AQ14</calculatedColumnFormula>
    </tableColumn>
    <tableColumn id="50" xr3:uid="{00000000-0010-0000-7502-000032000000}" name="D_30" dataDxfId="73" totalsRowDxfId="72">
      <calculatedColumnFormula>'Acuario (Arribado - mortalidad)'!AR14</calculatedColumnFormula>
    </tableColumn>
    <tableColumn id="51" xr3:uid="{00000000-0010-0000-7502-000033000000}" name="TTO" dataDxfId="71" totalsRowDxfId="70">
      <calculatedColumnFormula>'Acuario (Arribado - mortalidad)'!AS14</calculatedColumnFormula>
    </tableColumn>
    <tableColumn id="74" xr3:uid="{00000000-0010-0000-7502-00004A000000}" name="SIGNO_TTO" dataDxfId="69" totalsRowDxfId="68">
      <calculatedColumnFormula>'Acuario (Arribado - mortalidad)'!AT14</calculatedColumnFormula>
    </tableColumn>
    <tableColumn id="52" xr3:uid="{00000000-0010-0000-7502-000034000000}" name="PROD_TTO" dataDxfId="67" totalsRowDxfId="66">
      <calculatedColumnFormula>'Acuario (Arribado - mortalidad)'!AU14</calculatedColumnFormula>
    </tableColumn>
    <tableColumn id="53" xr3:uid="{00000000-0010-0000-7502-000035000000}" name="NOM_PROD_TTO" dataDxfId="65" totalsRowDxfId="64">
      <calculatedColumnFormula>'Acuario (Arribado - mortalidad)'!AV14</calculatedColumnFormula>
    </tableColumn>
    <tableColumn id="54" xr3:uid="{00000000-0010-0000-7502-000036000000}" name="TTO_PREV" dataDxfId="63" totalsRowDxfId="62">
      <calculatedColumnFormula>'Acuario (Arribado - mortalidad)'!AW14</calculatedColumnFormula>
    </tableColumn>
    <tableColumn id="55" xr3:uid="{00000000-0010-0000-7502-000037000000}" name="PROD_PREV" dataDxfId="61" totalsRowDxfId="60">
      <calculatedColumnFormula>'Acuario (Arribado - mortalidad)'!AX14</calculatedColumnFormula>
    </tableColumn>
    <tableColumn id="56" xr3:uid="{00000000-0010-0000-7502-000038000000}" name="NOM_PROD_PREV" dataDxfId="59" totalsRowDxfId="58">
      <calculatedColumnFormula>'Acuario (Arribado - mortalidad)'!AY14</calculatedColumnFormula>
    </tableColumn>
    <tableColumn id="57" xr3:uid="{00000000-0010-0000-7502-000039000000}" name="TTO_PREV_ALL" dataDxfId="57" totalsRowDxfId="56">
      <calculatedColumnFormula>'Acuario (Arribado - mortalidad)'!AZ14</calculatedColumnFormula>
    </tableColumn>
    <tableColumn id="58" xr3:uid="{00000000-0010-0000-7502-00003A000000}" name="PROD_PREV_ALL" dataDxfId="55" totalsRowDxfId="54">
      <calculatedColumnFormula>'Acuario (Arribado - mortalidad)'!BA14</calculatedColumnFormula>
    </tableColumn>
    <tableColumn id="59" xr3:uid="{00000000-0010-0000-7502-00003B000000}" name="NOM_PROD_PREV_ALL" dataDxfId="53" totalsRowDxfId="52">
      <calculatedColumnFormula>'Acuario (Arribado - mortalidad)'!BB14</calculatedColumnFormula>
    </tableColumn>
    <tableColumn id="60" xr3:uid="{00000000-0010-0000-7502-00003C000000}" name="EVENTO" dataDxfId="51" totalsRowDxfId="50">
      <calculatedColumnFormula>'Acuario (Arribado - mortalidad)'!BC14</calculatedColumnFormula>
    </tableColumn>
    <tableColumn id="61" xr3:uid="{00000000-0010-0000-7502-00003D000000}" name="NOM_EVENTO" dataDxfId="49" totalsRowDxfId="48">
      <calculatedColumnFormula>'Acuario (Arribado - mortalidad)'!BD14</calculatedColumnFormula>
    </tableColumn>
    <tableColumn id="62" xr3:uid="{00000000-0010-0000-7502-00003E000000}" name="EVENTO_ALL" dataDxfId="47" totalsRowDxfId="46">
      <calculatedColumnFormula>'Acuario (Arribado - mortalidad)'!BE14</calculatedColumnFormula>
    </tableColumn>
    <tableColumn id="63" xr3:uid="{00000000-0010-0000-7502-00003F000000}" name="NOM_EVENTO_ALL" totalsRowFunction="count" dataDxfId="45" totalsRowDxfId="44">
      <calculatedColumnFormula>'Acuario (Arribado - mortalidad)'!BF14</calculatedColumnFormula>
    </tableColumn>
  </tableColumns>
  <tableStyleInfo name="TableStyleMedium9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0" xr:uid="{00000000-000C-0000-FFFF-FFFF3F000000}" name="Atractosteus" displayName="Atractosteus" ref="BA1:BA4" totalsRowShown="0" headerRowDxfId="769">
  <autoFilter ref="BA1:BA4" xr:uid="{00000000-0009-0000-0100-00008C000000}"/>
  <tableColumns count="1">
    <tableColumn id="1" xr3:uid="{00000000-0010-0000-3F00-000001000000}" name="Atractosteus"/>
  </tableColumns>
  <tableStyleInfo name="TableStyleMedium9" showFirstColumn="0" showLastColumn="0" showRowStripes="1" showColumnStripes="0"/>
</table>
</file>

<file path=xl/tables/table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1" xr:uid="{00000000-000C-0000-FFFF-FFFF40000000}" name="Auchenipterichthys" displayName="Auchenipterichthys" ref="BB1:BB5" totalsRowShown="0" headerRowDxfId="768">
  <autoFilter ref="BB1:BB5" xr:uid="{00000000-0009-0000-0100-00008D000000}"/>
  <tableColumns count="1">
    <tableColumn id="1" xr3:uid="{00000000-0010-0000-4000-000001000000}" name="Auchenipterichthys"/>
  </tableColumns>
  <tableStyleInfo name="TableStyleMedium9" showFirstColumn="0" showLastColumn="0" showRowStripes="1" showColumnStripes="0"/>
</table>
</file>

<file path=xl/tables/table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2" xr:uid="{00000000-000C-0000-FFFF-FFFF41000000}" name="Aulonocara" displayName="Aulonocara" ref="BC1:BC23" totalsRowShown="0" headerRowDxfId="767">
  <autoFilter ref="BC1:BC23" xr:uid="{00000000-0009-0000-0100-00008E000000}"/>
  <tableColumns count="1">
    <tableColumn id="1" xr3:uid="{00000000-0010-0000-4100-000001000000}" name="Aulonocara"/>
  </tableColumns>
  <tableStyleInfo name="TableStyleMedium9" showFirstColumn="0" showLastColumn="0" showRowStripes="1" showColumnStripes="0"/>
</table>
</file>

<file path=xl/tables/table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3" xr:uid="{00000000-000C-0000-FFFF-FFFF42000000}" name="Aulonocranus" displayName="Aulonocranus" ref="BD1:BD2" totalsRowShown="0" headerRowDxfId="766">
  <autoFilter ref="BD1:BD2" xr:uid="{00000000-0009-0000-0100-00008F000000}"/>
  <tableColumns count="1">
    <tableColumn id="1" xr3:uid="{00000000-0010-0000-4200-000001000000}" name="Aulonocranus"/>
  </tableColumns>
  <tableStyleInfo name="TableStyleMedium9" showFirstColumn="0" showLastColumn="0" showRowStripes="1" showColumnStripes="0"/>
</table>
</file>

<file path=xl/tables/table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4" xr:uid="{00000000-000C-0000-FFFF-FFFF43000000}" name="Austrofundulus" displayName="Austrofundulus" ref="BE1:BE8" totalsRowShown="0" headerRowDxfId="765">
  <autoFilter ref="BE1:BE8" xr:uid="{00000000-0009-0000-0100-000090000000}"/>
  <tableColumns count="1">
    <tableColumn id="1" xr3:uid="{00000000-0010-0000-4300-000001000000}" name="Austrofundulus"/>
  </tableColumns>
  <tableStyleInfo name="TableStyleMedium9" showFirstColumn="0" showLastColumn="0" showRowStripes="1" showColumnStripes="0"/>
</table>
</file>

<file path=xl/tables/table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5" xr:uid="{00000000-000C-0000-FFFF-FFFF44000000}" name="Austrolebias" displayName="Austrolebias" ref="BF1:BF43" totalsRowShown="0" headerRowDxfId="764">
  <autoFilter ref="BF1:BF43" xr:uid="{00000000-0009-0000-0100-000091000000}"/>
  <tableColumns count="1">
    <tableColumn id="1" xr3:uid="{00000000-0010-0000-4400-000001000000}" name="Austrolebias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6000000}" name="Echinodermata" displayName="Echinodermata" ref="BS1:BS10" totalsRowShown="0" headerRowDxfId="877" dataDxfId="876">
  <autoFilter ref="BS1:BS10" xr:uid="{00000000-0009-0000-0100-000008000000}"/>
  <tableColumns count="1">
    <tableColumn id="1" xr3:uid="{00000000-0010-0000-0600-000001000000}" name="Echinodermata" dataDxfId="875"/>
  </tableColumns>
  <tableStyleInfo name="TableStyleMedium9" showFirstColumn="0" showLastColumn="0" showRowStripes="1" showColumnStripes="0"/>
</table>
</file>

<file path=xl/tables/table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6" xr:uid="{00000000-000C-0000-FFFF-FFFF45000000}" name="Axelrodia" displayName="Axelrodia" ref="BG1:BG4" totalsRowShown="0" headerRowDxfId="763">
  <autoFilter ref="BG1:BG4" xr:uid="{00000000-0009-0000-0100-000092000000}"/>
  <tableColumns count="1">
    <tableColumn id="1" xr3:uid="{00000000-0010-0000-4500-000001000000}" name="Axelrodia"/>
  </tableColumns>
  <tableStyleInfo name="TableStyleMedium9" showFirstColumn="0" showLastColumn="0" showRowStripes="1" showColumnStripes="0"/>
</table>
</file>

<file path=xl/tables/table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7" xr:uid="{00000000-000C-0000-FFFF-FFFF46000000}" name="Badis" displayName="Badis" ref="BH1:BH24" totalsRowShown="0" headerRowDxfId="762">
  <autoFilter ref="BH1:BH24" xr:uid="{00000000-0009-0000-0100-000093000000}"/>
  <tableColumns count="1">
    <tableColumn id="1" xr3:uid="{00000000-0010-0000-4600-000001000000}" name="Badis"/>
  </tableColumns>
  <tableStyleInfo name="TableStyleMedium9" showFirstColumn="0" showLastColumn="0" showRowStripes="1" showColumnStripes="0"/>
</table>
</file>

<file path=xl/tables/table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8" xr:uid="{00000000-000C-0000-FFFF-FFFF47000000}" name="Bagarius" displayName="Bagarius" ref="BI1:BI5" totalsRowShown="0" headerRowDxfId="761">
  <autoFilter ref="BI1:BI5" xr:uid="{00000000-0009-0000-0100-000094000000}"/>
  <tableColumns count="1">
    <tableColumn id="1" xr3:uid="{00000000-0010-0000-4700-000001000000}" name="Bagarius"/>
  </tableColumns>
  <tableStyleInfo name="TableStyleMedium9" showFirstColumn="0" showLastColumn="0" showRowStripes="1" showColumnStripes="0"/>
</table>
</file>

<file path=xl/tables/table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9" xr:uid="{00000000-000C-0000-FFFF-FFFF48000000}" name="Balantiocheilos" displayName="Balantiocheilos" ref="BJ1:BJ3" totalsRowShown="0" headerRowDxfId="760">
  <autoFilter ref="BJ1:BJ3" xr:uid="{00000000-0009-0000-0100-000095000000}"/>
  <tableColumns count="1">
    <tableColumn id="1" xr3:uid="{00000000-0010-0000-4800-000001000000}" name="Balantiocheilos"/>
  </tableColumns>
  <tableStyleInfo name="TableStyleMedium9" showFirstColumn="0" showLastColumn="0" showRowStripes="1" showColumnStripes="0"/>
</table>
</file>

<file path=xl/tables/table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0" xr:uid="{00000000-000C-0000-FFFF-FFFF49000000}" name="Balistapus" displayName="Balistapus" ref="BK1:BK2" totalsRowShown="0" headerRowDxfId="759">
  <autoFilter ref="BK1:BK2" xr:uid="{00000000-0009-0000-0100-000096000000}"/>
  <tableColumns count="1">
    <tableColumn id="1" xr3:uid="{00000000-0010-0000-4900-000001000000}" name="Balistapus"/>
  </tableColumns>
  <tableStyleInfo name="TableStyleMedium9" showFirstColumn="0" showLastColumn="0" showRowStripes="1" showColumnStripes="0"/>
</table>
</file>

<file path=xl/tables/table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1" xr:uid="{00000000-000C-0000-FFFF-FFFF4A000000}" name="Balistes" displayName="Balistes" ref="BL1:BL9" totalsRowShown="0" headerRowDxfId="758">
  <autoFilter ref="BL1:BL9" xr:uid="{00000000-0009-0000-0100-000097000000}"/>
  <tableColumns count="1">
    <tableColumn id="1" xr3:uid="{00000000-0010-0000-4A00-000001000000}" name="Balistes"/>
  </tableColumns>
  <tableStyleInfo name="TableStyleMedium9" showFirstColumn="0" showLastColumn="0" showRowStripes="1" showColumnStripes="0"/>
</table>
</file>

<file path=xl/tables/table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2" xr:uid="{00000000-000C-0000-FFFF-FFFF4B000000}" name="Balistoides" displayName="Balistoides" ref="BM1:BM3" totalsRowShown="0" headerRowDxfId="757">
  <autoFilter ref="BM1:BM3" xr:uid="{00000000-0009-0000-0100-000098000000}"/>
  <tableColumns count="1">
    <tableColumn id="1" xr3:uid="{00000000-0010-0000-4B00-000001000000}" name="Balistoides"/>
  </tableColumns>
  <tableStyleInfo name="TableStyleMedium9" showFirstColumn="0" showLastColumn="0" showRowStripes="1" showColumnStripes="0"/>
</table>
</file>

<file path=xl/tables/table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3" xr:uid="{00000000-000C-0000-FFFF-FFFF4C000000}" name="Barbichthys" displayName="Barbichthys" ref="BN1:BN2" totalsRowShown="0" headerRowDxfId="756">
  <autoFilter ref="BN1:BN2" xr:uid="{00000000-0009-0000-0100-000099000000}"/>
  <tableColumns count="1">
    <tableColumn id="1" xr3:uid="{00000000-0010-0000-4C00-000001000000}" name="Barbichthys"/>
  </tableColumns>
  <tableStyleInfo name="TableStyleMedium9" showFirstColumn="0" showLastColumn="0" showRowStripes="1" showColumnStripes="0"/>
</table>
</file>

<file path=xl/tables/table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4" xr:uid="{00000000-000C-0000-FFFF-FFFF4D000000}" name="Barbodes" displayName="Barbodes" ref="BO1:BO52" totalsRowShown="0" headerRowDxfId="755">
  <autoFilter ref="BO1:BO52" xr:uid="{00000000-0009-0000-0100-00009A000000}"/>
  <tableColumns count="1">
    <tableColumn id="1" xr3:uid="{00000000-0010-0000-4D00-000001000000}" name="Barbodes"/>
  </tableColumns>
  <tableStyleInfo name="TableStyleMedium9" showFirstColumn="0" showLastColumn="0" showRowStripes="1" showColumnStripes="0"/>
</table>
</file>

<file path=xl/tables/table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5" xr:uid="{00000000-000C-0000-FFFF-FFFF4E000000}" name="Barbonymus" displayName="Barbonymus" ref="BP1:BP6" totalsRowShown="0" headerRowDxfId="754">
  <autoFilter ref="BP1:BP6" xr:uid="{00000000-0009-0000-0100-00009B000000}"/>
  <tableColumns count="1">
    <tableColumn id="1" xr3:uid="{00000000-0010-0000-4E00-000001000000}" name="Barbonymus"/>
  </tableColumns>
  <tableStyleInfo name="TableStyleMedium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Porifera" displayName="Porifera" ref="BP1:BP7" totalsRowShown="0" headerRowDxfId="874" dataDxfId="873">
  <autoFilter ref="BP1:BP7" xr:uid="{00000000-0009-0000-0100-000009000000}"/>
  <tableColumns count="1">
    <tableColumn id="1" xr3:uid="{00000000-0010-0000-0700-000001000000}" name="Porifera" dataDxfId="872"/>
  </tableColumns>
  <tableStyleInfo name="TableStyleMedium9" showFirstColumn="0" showLastColumn="0" showRowStripes="1" showColumnStripes="0"/>
</table>
</file>

<file path=xl/tables/table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6" xr:uid="{00000000-000C-0000-FFFF-FFFF4F000000}" name="Barbus" displayName="Barbus" ref="BQ1:BQ38" totalsRowShown="0" headerRowDxfId="753">
  <autoFilter ref="BQ1:BQ38" xr:uid="{00000000-0009-0000-0100-00009C000000}"/>
  <tableColumns count="1">
    <tableColumn id="1" xr3:uid="{00000000-0010-0000-4F00-000001000000}" name="Barbus"/>
  </tableColumns>
  <tableStyleInfo name="TableStyleMedium9" showFirstColumn="0" showLastColumn="0" showRowStripes="1" showColumnStripes="0"/>
</table>
</file>

<file path=xl/tables/table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7" xr:uid="{00000000-000C-0000-FFFF-FFFF50000000}" name="Bedotia" displayName="Bedotia" ref="BR1:BR10" totalsRowShown="0" headerRowDxfId="752">
  <autoFilter ref="BR1:BR10" xr:uid="{00000000-0009-0000-0100-00009D000000}"/>
  <tableColumns count="1">
    <tableColumn id="1" xr3:uid="{00000000-0010-0000-5000-000001000000}" name="Bedotia"/>
  </tableColumns>
  <tableStyleInfo name="TableStyleMedium9" showFirstColumn="0" showLastColumn="0" showRowStripes="1" showColumnStripes="0"/>
</table>
</file>

<file path=xl/tables/table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8" xr:uid="{00000000-000C-0000-FFFF-FFFF51000000}" name="Belontia" displayName="Belontia" ref="BS1:BS3" totalsRowShown="0" headerRowDxfId="751">
  <autoFilter ref="BS1:BS3" xr:uid="{00000000-0009-0000-0100-00009E000000}"/>
  <tableColumns count="1">
    <tableColumn id="1" xr3:uid="{00000000-0010-0000-5100-000001000000}" name="Belontia"/>
  </tableColumns>
  <tableStyleInfo name="TableStyleMedium9" showFirstColumn="0" showLastColumn="0" showRowStripes="1" showColumnStripes="0"/>
</table>
</file>

<file path=xl/tables/table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9" xr:uid="{00000000-000C-0000-FFFF-FFFF52000000}" name="Benthochromis" displayName="Benthochromis" ref="BT1:BT4" totalsRowShown="0" headerRowDxfId="750">
  <autoFilter ref="BT1:BT4" xr:uid="{00000000-0009-0000-0100-00009F000000}"/>
  <tableColumns count="1">
    <tableColumn id="1" xr3:uid="{00000000-0010-0000-5200-000001000000}" name="Benthochromis"/>
  </tableColumns>
  <tableStyleInfo name="TableStyleMedium9" showFirstColumn="0" showLastColumn="0" showRowStripes="1" showColumnStripes="0"/>
</table>
</file>

<file path=xl/tables/table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0" xr:uid="{00000000-000C-0000-FFFF-FFFF53000000}" name="Betta" displayName="Betta" ref="BU1:BU74" totalsRowShown="0" headerRowDxfId="749">
  <autoFilter ref="BU1:BU74" xr:uid="{00000000-0009-0000-0100-0000A0000000}"/>
  <tableColumns count="1">
    <tableColumn id="1" xr3:uid="{00000000-0010-0000-5300-000001000000}" name="Betta"/>
  </tableColumns>
  <tableStyleInfo name="TableStyleMedium9" showFirstColumn="0" showLastColumn="0" showRowStripes="1" showColumnStripes="0"/>
</table>
</file>

<file path=xl/tables/table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1" xr:uid="{00000000-000C-0000-FFFF-FFFF54000000}" name="Biotodoma" displayName="Biotodoma" ref="BV1:BV3" totalsRowShown="0" headerRowDxfId="748">
  <autoFilter ref="BV1:BV3" xr:uid="{00000000-0009-0000-0100-0000A1000000}"/>
  <tableColumns count="1">
    <tableColumn id="1" xr3:uid="{00000000-0010-0000-5400-000001000000}" name="Biotodoma"/>
  </tableColumns>
  <tableStyleInfo name="TableStyleMedium9" showFirstColumn="0" showLastColumn="0" showRowStripes="1" showColumnStripes="0"/>
</table>
</file>

<file path=xl/tables/table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2" xr:uid="{00000000-000C-0000-FFFF-FFFF55000000}" name="Bodianus" displayName="Bodianus" ref="BW1:BW46" totalsRowShown="0" headerRowDxfId="747">
  <autoFilter ref="BW1:BW46" xr:uid="{00000000-0009-0000-0100-0000A2000000}"/>
  <tableColumns count="1">
    <tableColumn id="1" xr3:uid="{00000000-0010-0000-5500-000001000000}" name="Bodianus"/>
  </tableColumns>
  <tableStyleInfo name="TableStyleMedium9" showFirstColumn="0" showLastColumn="0" showRowStripes="1" showColumnStripes="0"/>
</table>
</file>

<file path=xl/tables/table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3" xr:uid="{00000000-000C-0000-FFFF-FFFF56000000}" name="Boehlkea" displayName="Boehlkea" ref="BX1:BX2" totalsRowShown="0" headerRowDxfId="746">
  <autoFilter ref="BX1:BX2" xr:uid="{00000000-0009-0000-0100-0000A3000000}"/>
  <tableColumns count="1">
    <tableColumn id="1" xr3:uid="{00000000-0010-0000-5600-000001000000}" name="Boehlkea"/>
  </tableColumns>
  <tableStyleInfo name="TableStyleMedium9" showFirstColumn="0" showLastColumn="0" showRowStripes="1" showColumnStripes="0"/>
</table>
</file>

<file path=xl/tables/table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4" xr:uid="{00000000-000C-0000-FFFF-FFFF57000000}" name="Boraras" displayName="Boraras" ref="BY1:BY7" totalsRowShown="0" headerRowDxfId="745">
  <autoFilter ref="BY1:BY7" xr:uid="{00000000-0009-0000-0100-0000A4000000}"/>
  <tableColumns count="1">
    <tableColumn id="1" xr3:uid="{00000000-0010-0000-5700-000001000000}" name="Boraras"/>
  </tableColumns>
  <tableStyleInfo name="TableStyleMedium9" showFirstColumn="0" showLastColumn="0" showRowStripes="1" showColumnStripes="0"/>
</table>
</file>

<file path=xl/tables/table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5" xr:uid="{00000000-000C-0000-FFFF-FFFF58000000}" name="Botia" displayName="Botia" ref="BZ1:BZ12" totalsRowShown="0" headerRowDxfId="744">
  <autoFilter ref="BZ1:BZ12" xr:uid="{00000000-0009-0000-0100-0000A5000000}"/>
  <tableColumns count="1">
    <tableColumn id="1" xr3:uid="{00000000-0010-0000-5800-000001000000}" name="Botia"/>
  </tableColumns>
  <tableStyleInfo name="TableStyleMedium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CITES" displayName="CITES" ref="BX1:BZ780" totalsRowShown="0" headerRowDxfId="871" dataDxfId="870">
  <autoFilter ref="BX1:BZ780" xr:uid="{00000000-0009-0000-0100-00000A000000}"/>
  <tableColumns count="3">
    <tableColumn id="1" xr3:uid="{00000000-0010-0000-0800-000001000000}" name="Cites" dataDxfId="869"/>
    <tableColumn id="2" xr3:uid="{00000000-0010-0000-0800-000002000000}" name="SituacionCITES" dataDxfId="868"/>
    <tableColumn id="3" xr3:uid="{00000000-0010-0000-0800-000003000000}" name="Columna1" dataDxfId="867"/>
  </tableColumns>
  <tableStyleInfo name="TableStyleMedium9" showFirstColumn="0" showLastColumn="0" showRowStripes="1" showColumnStripes="0"/>
</table>
</file>

<file path=xl/tables/table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6" xr:uid="{00000000-000C-0000-FFFF-FFFF59000000}" name="Boulengerella" displayName="Boulengerella" ref="CA1:CA6" totalsRowShown="0" headerRowDxfId="743">
  <autoFilter ref="CA1:CA6" xr:uid="{00000000-0009-0000-0100-0000A6000000}"/>
  <tableColumns count="1">
    <tableColumn id="1" xr3:uid="{00000000-0010-0000-5900-000001000000}" name="Boulengerella"/>
  </tableColumns>
  <tableStyleInfo name="TableStyleMedium9" showFirstColumn="0" showLastColumn="0" showRowStripes="1" showColumnStripes="0"/>
</table>
</file>

<file path=xl/tables/table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7" xr:uid="{00000000-000C-0000-FFFF-FFFF5A000000}" name="Boulengerochromis" displayName="Boulengerochromis" ref="CB1:CB2" totalsRowShown="0" headerRowDxfId="742">
  <autoFilter ref="CB1:CB2" xr:uid="{00000000-0009-0000-0100-0000A7000000}"/>
  <tableColumns count="1">
    <tableColumn id="1" xr3:uid="{00000000-0010-0000-5A00-000001000000}" name="Boulengerochromis"/>
  </tableColumns>
  <tableStyleInfo name="TableStyleMedium9" showFirstColumn="0" showLastColumn="0" showRowStripes="1" showColumnStripes="0"/>
</table>
</file>

<file path=xl/tables/table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8" xr:uid="{00000000-000C-0000-FFFF-FFFF5B000000}" name="Brachychalcinus" displayName="Brachychalcinus" ref="CC1:CC6" totalsRowShown="0" headerRowDxfId="741">
  <autoFilter ref="CC1:CC6" xr:uid="{00000000-0009-0000-0100-0000A8000000}"/>
  <tableColumns count="1">
    <tableColumn id="1" xr3:uid="{00000000-0010-0000-5B00-000001000000}" name="Brachychalcinus"/>
  </tableColumns>
  <tableStyleInfo name="TableStyleMedium9" showFirstColumn="0" showLastColumn="0" showRowStripes="1" showColumnStripes="0"/>
</table>
</file>

<file path=xl/tables/table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9" xr:uid="{00000000-000C-0000-FFFF-FFFF5C000000}" name="Brachygobius" displayName="Brachygobius" ref="CD1:CD10" totalsRowShown="0" headerRowDxfId="740">
  <autoFilter ref="CD1:CD10" xr:uid="{00000000-0009-0000-0100-0000A9000000}"/>
  <tableColumns count="1">
    <tableColumn id="1" xr3:uid="{00000000-0010-0000-5C00-000001000000}" name="Brachygobius"/>
  </tableColumns>
  <tableStyleInfo name="TableStyleMedium9" showFirstColumn="0" showLastColumn="0" showRowStripes="1" showColumnStripes="0"/>
</table>
</file>

<file path=xl/tables/table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" xr:uid="{00000000-000C-0000-FFFF-FFFF5D000000}" name="Brachyhypopomus" displayName="Brachyhypopomus" ref="CE1:CE29" totalsRowShown="0" headerRowDxfId="739">
  <autoFilter ref="CE1:CE29" xr:uid="{00000000-0009-0000-0100-0000AA000000}"/>
  <tableColumns count="1">
    <tableColumn id="1" xr3:uid="{00000000-0010-0000-5D00-000001000000}" name="Brachyhypopomus"/>
  </tableColumns>
  <tableStyleInfo name="TableStyleMedium9" showFirstColumn="0" showLastColumn="0" showRowStripes="1" showColumnStripes="0"/>
</table>
</file>

<file path=xl/tables/table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1" xr:uid="{00000000-000C-0000-FFFF-FFFF5E000000}" name="Brachyplatystoma" displayName="Brachyplatystoma" ref="CF1:CF8" totalsRowShown="0" headerRowDxfId="738">
  <autoFilter ref="CF1:CF8" xr:uid="{00000000-0009-0000-0100-0000AB000000}"/>
  <tableColumns count="1">
    <tableColumn id="1" xr3:uid="{00000000-0010-0000-5E00-000001000000}" name="Brachyplatystoma"/>
  </tableColumns>
  <tableStyleInfo name="TableStyleMedium9" showFirstColumn="0" showLastColumn="0" showRowStripes="1" showColumnStripes="0"/>
</table>
</file>

<file path=xl/tables/table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2" xr:uid="{00000000-000C-0000-FFFF-FFFF5F000000}" name="Brochis" displayName="Brochis" ref="CG1:CG2" totalsRowShown="0" headerRowDxfId="737">
  <autoFilter ref="CG1:CG2" xr:uid="{00000000-0009-0000-0100-0000AC000000}"/>
  <tableColumns count="1">
    <tableColumn id="1" xr3:uid="{00000000-0010-0000-5F00-000001000000}" name="Brochis"/>
  </tableColumns>
  <tableStyleInfo name="TableStyleMedium9" showFirstColumn="0" showLastColumn="0" showRowStripes="1" showColumnStripes="0"/>
</table>
</file>

<file path=xl/tables/table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3" xr:uid="{00000000-000C-0000-FFFF-FFFF60000000}" name="Brycinus" displayName="Brycinus" ref="CH1:CH37" totalsRowShown="0" headerRowDxfId="736">
  <autoFilter ref="CH1:CH37" xr:uid="{00000000-0009-0000-0100-0000AD000000}"/>
  <tableColumns count="1">
    <tableColumn id="1" xr3:uid="{00000000-0010-0000-6000-000001000000}" name="Brycinus"/>
  </tableColumns>
  <tableStyleInfo name="TableStyleMedium9" showFirstColumn="0" showLastColumn="0" showRowStripes="1" showColumnStripes="0"/>
</table>
</file>

<file path=xl/tables/table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4" xr:uid="{00000000-000C-0000-FFFF-FFFF61000000}" name="Brycon" displayName="Brycon" ref="CI1:CI44" totalsRowShown="0" headerRowDxfId="735">
  <autoFilter ref="CI1:CI44" xr:uid="{00000000-0009-0000-0100-0000AE000000}"/>
  <tableColumns count="1">
    <tableColumn id="1" xr3:uid="{00000000-0010-0000-6100-000001000000}" name="Brycon"/>
  </tableColumns>
  <tableStyleInfo name="TableStyleMedium9" showFirstColumn="0" showLastColumn="0" showRowStripes="1" showColumnStripes="0"/>
</table>
</file>

<file path=xl/tables/table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5" xr:uid="{00000000-000C-0000-FFFF-FFFF62000000}" name="Buccochromis" displayName="Buccochromis" ref="CJ1:CJ8" totalsRowShown="0" headerRowDxfId="734">
  <autoFilter ref="CJ1:CJ8" xr:uid="{00000000-0009-0000-0100-0000AF000000}"/>
  <tableColumns count="1">
    <tableColumn id="1" xr3:uid="{00000000-0010-0000-6200-000001000000}" name="Buccochromis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.xml"/><Relationship Id="rId13" Type="http://schemas.openxmlformats.org/officeDocument/2006/relationships/table" Target="../tables/table10.xml"/><Relationship Id="rId3" Type="http://schemas.openxmlformats.org/officeDocument/2006/relationships/vmlDrawing" Target="../drawings/vmlDrawing1.vml"/><Relationship Id="rId7" Type="http://schemas.openxmlformats.org/officeDocument/2006/relationships/table" Target="../tables/table4.xml"/><Relationship Id="rId12" Type="http://schemas.openxmlformats.org/officeDocument/2006/relationships/table" Target="../tables/table9.xml"/><Relationship Id="rId2" Type="http://schemas.openxmlformats.org/officeDocument/2006/relationships/drawing" Target="../drawings/drawing1.xml"/><Relationship Id="rId16" Type="http://schemas.openxmlformats.org/officeDocument/2006/relationships/comments" Target="../comments1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3.xml"/><Relationship Id="rId11" Type="http://schemas.openxmlformats.org/officeDocument/2006/relationships/table" Target="../tables/table8.xml"/><Relationship Id="rId5" Type="http://schemas.openxmlformats.org/officeDocument/2006/relationships/table" Target="../tables/table2.xml"/><Relationship Id="rId15" Type="http://schemas.openxmlformats.org/officeDocument/2006/relationships/table" Target="../tables/table12.xml"/><Relationship Id="rId10" Type="http://schemas.openxmlformats.org/officeDocument/2006/relationships/table" Target="../tables/table7.xml"/><Relationship Id="rId4" Type="http://schemas.openxmlformats.org/officeDocument/2006/relationships/table" Target="../tables/table1.xml"/><Relationship Id="rId9" Type="http://schemas.openxmlformats.org/officeDocument/2006/relationships/table" Target="../tables/table6.xml"/><Relationship Id="rId14" Type="http://schemas.openxmlformats.org/officeDocument/2006/relationships/table" Target="../tables/table1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29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30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table" Target="../tables/table127.xml"/><Relationship Id="rId21" Type="http://schemas.openxmlformats.org/officeDocument/2006/relationships/table" Target="../tables/table31.xml"/><Relationship Id="rId324" Type="http://schemas.openxmlformats.org/officeDocument/2006/relationships/table" Target="../tables/table334.xml"/><Relationship Id="rId531" Type="http://schemas.openxmlformats.org/officeDocument/2006/relationships/table" Target="../tables/table541.xml"/><Relationship Id="rId170" Type="http://schemas.openxmlformats.org/officeDocument/2006/relationships/table" Target="../tables/table180.xml"/><Relationship Id="rId268" Type="http://schemas.openxmlformats.org/officeDocument/2006/relationships/table" Target="../tables/table278.xml"/><Relationship Id="rId475" Type="http://schemas.openxmlformats.org/officeDocument/2006/relationships/table" Target="../tables/table485.xml"/><Relationship Id="rId32" Type="http://schemas.openxmlformats.org/officeDocument/2006/relationships/table" Target="../tables/table42.xml"/><Relationship Id="rId128" Type="http://schemas.openxmlformats.org/officeDocument/2006/relationships/table" Target="../tables/table138.xml"/><Relationship Id="rId335" Type="http://schemas.openxmlformats.org/officeDocument/2006/relationships/table" Target="../tables/table345.xml"/><Relationship Id="rId181" Type="http://schemas.openxmlformats.org/officeDocument/2006/relationships/table" Target="../tables/table191.xml"/><Relationship Id="rId402" Type="http://schemas.openxmlformats.org/officeDocument/2006/relationships/table" Target="../tables/table412.xml"/><Relationship Id="rId279" Type="http://schemas.openxmlformats.org/officeDocument/2006/relationships/table" Target="../tables/table289.xml"/><Relationship Id="rId444" Type="http://schemas.openxmlformats.org/officeDocument/2006/relationships/table" Target="../tables/table454.xml"/><Relationship Id="rId486" Type="http://schemas.openxmlformats.org/officeDocument/2006/relationships/table" Target="../tables/table496.xml"/><Relationship Id="rId43" Type="http://schemas.openxmlformats.org/officeDocument/2006/relationships/table" Target="../tables/table53.xml"/><Relationship Id="rId139" Type="http://schemas.openxmlformats.org/officeDocument/2006/relationships/table" Target="../tables/table149.xml"/><Relationship Id="rId290" Type="http://schemas.openxmlformats.org/officeDocument/2006/relationships/table" Target="../tables/table300.xml"/><Relationship Id="rId304" Type="http://schemas.openxmlformats.org/officeDocument/2006/relationships/table" Target="../tables/table314.xml"/><Relationship Id="rId346" Type="http://schemas.openxmlformats.org/officeDocument/2006/relationships/table" Target="../tables/table356.xml"/><Relationship Id="rId388" Type="http://schemas.openxmlformats.org/officeDocument/2006/relationships/table" Target="../tables/table398.xml"/><Relationship Id="rId511" Type="http://schemas.openxmlformats.org/officeDocument/2006/relationships/table" Target="../tables/table521.xml"/><Relationship Id="rId85" Type="http://schemas.openxmlformats.org/officeDocument/2006/relationships/table" Target="../tables/table95.xml"/><Relationship Id="rId150" Type="http://schemas.openxmlformats.org/officeDocument/2006/relationships/table" Target="../tables/table160.xml"/><Relationship Id="rId192" Type="http://schemas.openxmlformats.org/officeDocument/2006/relationships/table" Target="../tables/table202.xml"/><Relationship Id="rId206" Type="http://schemas.openxmlformats.org/officeDocument/2006/relationships/table" Target="../tables/table216.xml"/><Relationship Id="rId413" Type="http://schemas.openxmlformats.org/officeDocument/2006/relationships/table" Target="../tables/table423.xml"/><Relationship Id="rId248" Type="http://schemas.openxmlformats.org/officeDocument/2006/relationships/table" Target="../tables/table258.xml"/><Relationship Id="rId455" Type="http://schemas.openxmlformats.org/officeDocument/2006/relationships/table" Target="../tables/table465.xml"/><Relationship Id="rId497" Type="http://schemas.openxmlformats.org/officeDocument/2006/relationships/table" Target="../tables/table507.xml"/><Relationship Id="rId12" Type="http://schemas.openxmlformats.org/officeDocument/2006/relationships/table" Target="../tables/table22.xml"/><Relationship Id="rId108" Type="http://schemas.openxmlformats.org/officeDocument/2006/relationships/table" Target="../tables/table118.xml"/><Relationship Id="rId315" Type="http://schemas.openxmlformats.org/officeDocument/2006/relationships/table" Target="../tables/table325.xml"/><Relationship Id="rId357" Type="http://schemas.openxmlformats.org/officeDocument/2006/relationships/table" Target="../tables/table367.xml"/><Relationship Id="rId522" Type="http://schemas.openxmlformats.org/officeDocument/2006/relationships/table" Target="../tables/table532.xml"/><Relationship Id="rId54" Type="http://schemas.openxmlformats.org/officeDocument/2006/relationships/table" Target="../tables/table64.xml"/><Relationship Id="rId96" Type="http://schemas.openxmlformats.org/officeDocument/2006/relationships/table" Target="../tables/table106.xml"/><Relationship Id="rId161" Type="http://schemas.openxmlformats.org/officeDocument/2006/relationships/table" Target="../tables/table171.xml"/><Relationship Id="rId217" Type="http://schemas.openxmlformats.org/officeDocument/2006/relationships/table" Target="../tables/table227.xml"/><Relationship Id="rId399" Type="http://schemas.openxmlformats.org/officeDocument/2006/relationships/table" Target="../tables/table409.xml"/><Relationship Id="rId259" Type="http://schemas.openxmlformats.org/officeDocument/2006/relationships/table" Target="../tables/table269.xml"/><Relationship Id="rId424" Type="http://schemas.openxmlformats.org/officeDocument/2006/relationships/table" Target="../tables/table434.xml"/><Relationship Id="rId466" Type="http://schemas.openxmlformats.org/officeDocument/2006/relationships/table" Target="../tables/table476.xml"/><Relationship Id="rId23" Type="http://schemas.openxmlformats.org/officeDocument/2006/relationships/table" Target="../tables/table33.xml"/><Relationship Id="rId119" Type="http://schemas.openxmlformats.org/officeDocument/2006/relationships/table" Target="../tables/table129.xml"/><Relationship Id="rId270" Type="http://schemas.openxmlformats.org/officeDocument/2006/relationships/table" Target="../tables/table280.xml"/><Relationship Id="rId326" Type="http://schemas.openxmlformats.org/officeDocument/2006/relationships/table" Target="../tables/table336.xml"/><Relationship Id="rId533" Type="http://schemas.openxmlformats.org/officeDocument/2006/relationships/table" Target="../tables/table543.xml"/><Relationship Id="rId65" Type="http://schemas.openxmlformats.org/officeDocument/2006/relationships/table" Target="../tables/table75.xml"/><Relationship Id="rId130" Type="http://schemas.openxmlformats.org/officeDocument/2006/relationships/table" Target="../tables/table140.xml"/><Relationship Id="rId368" Type="http://schemas.openxmlformats.org/officeDocument/2006/relationships/table" Target="../tables/table378.xml"/><Relationship Id="rId172" Type="http://schemas.openxmlformats.org/officeDocument/2006/relationships/table" Target="../tables/table182.xml"/><Relationship Id="rId228" Type="http://schemas.openxmlformats.org/officeDocument/2006/relationships/table" Target="../tables/table238.xml"/><Relationship Id="rId435" Type="http://schemas.openxmlformats.org/officeDocument/2006/relationships/table" Target="../tables/table445.xml"/><Relationship Id="rId477" Type="http://schemas.openxmlformats.org/officeDocument/2006/relationships/table" Target="../tables/table487.xml"/><Relationship Id="rId281" Type="http://schemas.openxmlformats.org/officeDocument/2006/relationships/table" Target="../tables/table291.xml"/><Relationship Id="rId337" Type="http://schemas.openxmlformats.org/officeDocument/2006/relationships/table" Target="../tables/table347.xml"/><Relationship Id="rId502" Type="http://schemas.openxmlformats.org/officeDocument/2006/relationships/table" Target="../tables/table512.xml"/><Relationship Id="rId34" Type="http://schemas.openxmlformats.org/officeDocument/2006/relationships/table" Target="../tables/table44.xml"/><Relationship Id="rId76" Type="http://schemas.openxmlformats.org/officeDocument/2006/relationships/table" Target="../tables/table86.xml"/><Relationship Id="rId141" Type="http://schemas.openxmlformats.org/officeDocument/2006/relationships/table" Target="../tables/table151.xml"/><Relationship Id="rId379" Type="http://schemas.openxmlformats.org/officeDocument/2006/relationships/table" Target="../tables/table389.xml"/><Relationship Id="rId7" Type="http://schemas.openxmlformats.org/officeDocument/2006/relationships/table" Target="../tables/table17.xml"/><Relationship Id="rId183" Type="http://schemas.openxmlformats.org/officeDocument/2006/relationships/table" Target="../tables/table193.xml"/><Relationship Id="rId239" Type="http://schemas.openxmlformats.org/officeDocument/2006/relationships/table" Target="../tables/table249.xml"/><Relationship Id="rId390" Type="http://schemas.openxmlformats.org/officeDocument/2006/relationships/table" Target="../tables/table400.xml"/><Relationship Id="rId404" Type="http://schemas.openxmlformats.org/officeDocument/2006/relationships/table" Target="../tables/table414.xml"/><Relationship Id="rId446" Type="http://schemas.openxmlformats.org/officeDocument/2006/relationships/table" Target="../tables/table456.xml"/><Relationship Id="rId250" Type="http://schemas.openxmlformats.org/officeDocument/2006/relationships/table" Target="../tables/table260.xml"/><Relationship Id="rId292" Type="http://schemas.openxmlformats.org/officeDocument/2006/relationships/table" Target="../tables/table302.xml"/><Relationship Id="rId306" Type="http://schemas.openxmlformats.org/officeDocument/2006/relationships/table" Target="../tables/table316.xml"/><Relationship Id="rId488" Type="http://schemas.openxmlformats.org/officeDocument/2006/relationships/table" Target="../tables/table498.xml"/><Relationship Id="rId45" Type="http://schemas.openxmlformats.org/officeDocument/2006/relationships/table" Target="../tables/table55.xml"/><Relationship Id="rId87" Type="http://schemas.openxmlformats.org/officeDocument/2006/relationships/table" Target="../tables/table97.xml"/><Relationship Id="rId110" Type="http://schemas.openxmlformats.org/officeDocument/2006/relationships/table" Target="../tables/table120.xml"/><Relationship Id="rId348" Type="http://schemas.openxmlformats.org/officeDocument/2006/relationships/table" Target="../tables/table358.xml"/><Relationship Id="rId513" Type="http://schemas.openxmlformats.org/officeDocument/2006/relationships/table" Target="../tables/table523.xml"/><Relationship Id="rId152" Type="http://schemas.openxmlformats.org/officeDocument/2006/relationships/table" Target="../tables/table162.xml"/><Relationship Id="rId194" Type="http://schemas.openxmlformats.org/officeDocument/2006/relationships/table" Target="../tables/table204.xml"/><Relationship Id="rId208" Type="http://schemas.openxmlformats.org/officeDocument/2006/relationships/table" Target="../tables/table218.xml"/><Relationship Id="rId415" Type="http://schemas.openxmlformats.org/officeDocument/2006/relationships/table" Target="../tables/table425.xml"/><Relationship Id="rId457" Type="http://schemas.openxmlformats.org/officeDocument/2006/relationships/table" Target="../tables/table467.xml"/><Relationship Id="rId261" Type="http://schemas.openxmlformats.org/officeDocument/2006/relationships/table" Target="../tables/table271.xml"/><Relationship Id="rId499" Type="http://schemas.openxmlformats.org/officeDocument/2006/relationships/table" Target="../tables/table509.xml"/><Relationship Id="rId14" Type="http://schemas.openxmlformats.org/officeDocument/2006/relationships/table" Target="../tables/table24.xml"/><Relationship Id="rId56" Type="http://schemas.openxmlformats.org/officeDocument/2006/relationships/table" Target="../tables/table66.xml"/><Relationship Id="rId317" Type="http://schemas.openxmlformats.org/officeDocument/2006/relationships/table" Target="../tables/table327.xml"/><Relationship Id="rId359" Type="http://schemas.openxmlformats.org/officeDocument/2006/relationships/table" Target="../tables/table369.xml"/><Relationship Id="rId524" Type="http://schemas.openxmlformats.org/officeDocument/2006/relationships/table" Target="../tables/table534.xml"/><Relationship Id="rId98" Type="http://schemas.openxmlformats.org/officeDocument/2006/relationships/table" Target="../tables/table108.xml"/><Relationship Id="rId121" Type="http://schemas.openxmlformats.org/officeDocument/2006/relationships/table" Target="../tables/table131.xml"/><Relationship Id="rId163" Type="http://schemas.openxmlformats.org/officeDocument/2006/relationships/table" Target="../tables/table173.xml"/><Relationship Id="rId219" Type="http://schemas.openxmlformats.org/officeDocument/2006/relationships/table" Target="../tables/table229.xml"/><Relationship Id="rId370" Type="http://schemas.openxmlformats.org/officeDocument/2006/relationships/table" Target="../tables/table380.xml"/><Relationship Id="rId426" Type="http://schemas.openxmlformats.org/officeDocument/2006/relationships/table" Target="../tables/table436.xml"/><Relationship Id="rId230" Type="http://schemas.openxmlformats.org/officeDocument/2006/relationships/table" Target="../tables/table240.xml"/><Relationship Id="rId468" Type="http://schemas.openxmlformats.org/officeDocument/2006/relationships/table" Target="../tables/table478.xml"/><Relationship Id="rId25" Type="http://schemas.openxmlformats.org/officeDocument/2006/relationships/table" Target="../tables/table35.xml"/><Relationship Id="rId67" Type="http://schemas.openxmlformats.org/officeDocument/2006/relationships/table" Target="../tables/table77.xml"/><Relationship Id="rId272" Type="http://schemas.openxmlformats.org/officeDocument/2006/relationships/table" Target="../tables/table282.xml"/><Relationship Id="rId328" Type="http://schemas.openxmlformats.org/officeDocument/2006/relationships/table" Target="../tables/table338.xml"/><Relationship Id="rId535" Type="http://schemas.openxmlformats.org/officeDocument/2006/relationships/table" Target="../tables/table545.xml"/><Relationship Id="rId132" Type="http://schemas.openxmlformats.org/officeDocument/2006/relationships/table" Target="../tables/table142.xml"/><Relationship Id="rId174" Type="http://schemas.openxmlformats.org/officeDocument/2006/relationships/table" Target="../tables/table184.xml"/><Relationship Id="rId381" Type="http://schemas.openxmlformats.org/officeDocument/2006/relationships/table" Target="../tables/table391.xml"/><Relationship Id="rId241" Type="http://schemas.openxmlformats.org/officeDocument/2006/relationships/table" Target="../tables/table251.xml"/><Relationship Id="rId437" Type="http://schemas.openxmlformats.org/officeDocument/2006/relationships/table" Target="../tables/table447.xml"/><Relationship Id="rId479" Type="http://schemas.openxmlformats.org/officeDocument/2006/relationships/table" Target="../tables/table489.xml"/><Relationship Id="rId36" Type="http://schemas.openxmlformats.org/officeDocument/2006/relationships/table" Target="../tables/table46.xml"/><Relationship Id="rId283" Type="http://schemas.openxmlformats.org/officeDocument/2006/relationships/table" Target="../tables/table293.xml"/><Relationship Id="rId339" Type="http://schemas.openxmlformats.org/officeDocument/2006/relationships/table" Target="../tables/table349.xml"/><Relationship Id="rId490" Type="http://schemas.openxmlformats.org/officeDocument/2006/relationships/table" Target="../tables/table500.xml"/><Relationship Id="rId504" Type="http://schemas.openxmlformats.org/officeDocument/2006/relationships/table" Target="../tables/table514.xml"/><Relationship Id="rId78" Type="http://schemas.openxmlformats.org/officeDocument/2006/relationships/table" Target="../tables/table88.xml"/><Relationship Id="rId101" Type="http://schemas.openxmlformats.org/officeDocument/2006/relationships/table" Target="../tables/table111.xml"/><Relationship Id="rId143" Type="http://schemas.openxmlformats.org/officeDocument/2006/relationships/table" Target="../tables/table153.xml"/><Relationship Id="rId185" Type="http://schemas.openxmlformats.org/officeDocument/2006/relationships/table" Target="../tables/table195.xml"/><Relationship Id="rId350" Type="http://schemas.openxmlformats.org/officeDocument/2006/relationships/table" Target="../tables/table360.xml"/><Relationship Id="rId406" Type="http://schemas.openxmlformats.org/officeDocument/2006/relationships/table" Target="../tables/table416.xml"/><Relationship Id="rId9" Type="http://schemas.openxmlformats.org/officeDocument/2006/relationships/table" Target="../tables/table19.xml"/><Relationship Id="rId210" Type="http://schemas.openxmlformats.org/officeDocument/2006/relationships/table" Target="../tables/table220.xml"/><Relationship Id="rId392" Type="http://schemas.openxmlformats.org/officeDocument/2006/relationships/table" Target="../tables/table402.xml"/><Relationship Id="rId448" Type="http://schemas.openxmlformats.org/officeDocument/2006/relationships/table" Target="../tables/table458.xml"/><Relationship Id="rId252" Type="http://schemas.openxmlformats.org/officeDocument/2006/relationships/table" Target="../tables/table262.xml"/><Relationship Id="rId294" Type="http://schemas.openxmlformats.org/officeDocument/2006/relationships/table" Target="../tables/table304.xml"/><Relationship Id="rId308" Type="http://schemas.openxmlformats.org/officeDocument/2006/relationships/table" Target="../tables/table318.xml"/><Relationship Id="rId515" Type="http://schemas.openxmlformats.org/officeDocument/2006/relationships/table" Target="../tables/table525.xml"/><Relationship Id="rId47" Type="http://schemas.openxmlformats.org/officeDocument/2006/relationships/table" Target="../tables/table57.xml"/><Relationship Id="rId89" Type="http://schemas.openxmlformats.org/officeDocument/2006/relationships/table" Target="../tables/table99.xml"/><Relationship Id="rId112" Type="http://schemas.openxmlformats.org/officeDocument/2006/relationships/table" Target="../tables/table122.xml"/><Relationship Id="rId154" Type="http://schemas.openxmlformats.org/officeDocument/2006/relationships/table" Target="../tables/table164.xml"/><Relationship Id="rId361" Type="http://schemas.openxmlformats.org/officeDocument/2006/relationships/table" Target="../tables/table371.xml"/><Relationship Id="rId196" Type="http://schemas.openxmlformats.org/officeDocument/2006/relationships/table" Target="../tables/table206.xml"/><Relationship Id="rId417" Type="http://schemas.openxmlformats.org/officeDocument/2006/relationships/table" Target="../tables/table427.xml"/><Relationship Id="rId459" Type="http://schemas.openxmlformats.org/officeDocument/2006/relationships/table" Target="../tables/table469.xml"/><Relationship Id="rId16" Type="http://schemas.openxmlformats.org/officeDocument/2006/relationships/table" Target="../tables/table26.xml"/><Relationship Id="rId221" Type="http://schemas.openxmlformats.org/officeDocument/2006/relationships/table" Target="../tables/table231.xml"/><Relationship Id="rId263" Type="http://schemas.openxmlformats.org/officeDocument/2006/relationships/table" Target="../tables/table273.xml"/><Relationship Id="rId319" Type="http://schemas.openxmlformats.org/officeDocument/2006/relationships/table" Target="../tables/table329.xml"/><Relationship Id="rId470" Type="http://schemas.openxmlformats.org/officeDocument/2006/relationships/table" Target="../tables/table480.xml"/><Relationship Id="rId526" Type="http://schemas.openxmlformats.org/officeDocument/2006/relationships/table" Target="../tables/table536.xml"/><Relationship Id="rId58" Type="http://schemas.openxmlformats.org/officeDocument/2006/relationships/table" Target="../tables/table68.xml"/><Relationship Id="rId123" Type="http://schemas.openxmlformats.org/officeDocument/2006/relationships/table" Target="../tables/table133.xml"/><Relationship Id="rId330" Type="http://schemas.openxmlformats.org/officeDocument/2006/relationships/table" Target="../tables/table340.xml"/><Relationship Id="rId165" Type="http://schemas.openxmlformats.org/officeDocument/2006/relationships/table" Target="../tables/table175.xml"/><Relationship Id="rId372" Type="http://schemas.openxmlformats.org/officeDocument/2006/relationships/table" Target="../tables/table382.xml"/><Relationship Id="rId428" Type="http://schemas.openxmlformats.org/officeDocument/2006/relationships/table" Target="../tables/table438.xml"/><Relationship Id="rId232" Type="http://schemas.openxmlformats.org/officeDocument/2006/relationships/table" Target="../tables/table242.xml"/><Relationship Id="rId274" Type="http://schemas.openxmlformats.org/officeDocument/2006/relationships/table" Target="../tables/table284.xml"/><Relationship Id="rId481" Type="http://schemas.openxmlformats.org/officeDocument/2006/relationships/table" Target="../tables/table491.xml"/><Relationship Id="rId27" Type="http://schemas.openxmlformats.org/officeDocument/2006/relationships/table" Target="../tables/table37.xml"/><Relationship Id="rId69" Type="http://schemas.openxmlformats.org/officeDocument/2006/relationships/table" Target="../tables/table79.xml"/><Relationship Id="rId134" Type="http://schemas.openxmlformats.org/officeDocument/2006/relationships/table" Target="../tables/table144.xml"/><Relationship Id="rId80" Type="http://schemas.openxmlformats.org/officeDocument/2006/relationships/table" Target="../tables/table90.xml"/><Relationship Id="rId176" Type="http://schemas.openxmlformats.org/officeDocument/2006/relationships/table" Target="../tables/table186.xml"/><Relationship Id="rId341" Type="http://schemas.openxmlformats.org/officeDocument/2006/relationships/table" Target="../tables/table351.xml"/><Relationship Id="rId383" Type="http://schemas.openxmlformats.org/officeDocument/2006/relationships/table" Target="../tables/table393.xml"/><Relationship Id="rId439" Type="http://schemas.openxmlformats.org/officeDocument/2006/relationships/table" Target="../tables/table449.xml"/><Relationship Id="rId201" Type="http://schemas.openxmlformats.org/officeDocument/2006/relationships/table" Target="../tables/table211.xml"/><Relationship Id="rId243" Type="http://schemas.openxmlformats.org/officeDocument/2006/relationships/table" Target="../tables/table253.xml"/><Relationship Id="rId285" Type="http://schemas.openxmlformats.org/officeDocument/2006/relationships/table" Target="../tables/table295.xml"/><Relationship Id="rId450" Type="http://schemas.openxmlformats.org/officeDocument/2006/relationships/table" Target="../tables/table460.xml"/><Relationship Id="rId506" Type="http://schemas.openxmlformats.org/officeDocument/2006/relationships/table" Target="../tables/table516.xml"/><Relationship Id="rId38" Type="http://schemas.openxmlformats.org/officeDocument/2006/relationships/table" Target="../tables/table48.xml"/><Relationship Id="rId103" Type="http://schemas.openxmlformats.org/officeDocument/2006/relationships/table" Target="../tables/table113.xml"/><Relationship Id="rId310" Type="http://schemas.openxmlformats.org/officeDocument/2006/relationships/table" Target="../tables/table320.xml"/><Relationship Id="rId492" Type="http://schemas.openxmlformats.org/officeDocument/2006/relationships/table" Target="../tables/table502.xml"/><Relationship Id="rId91" Type="http://schemas.openxmlformats.org/officeDocument/2006/relationships/table" Target="../tables/table101.xml"/><Relationship Id="rId145" Type="http://schemas.openxmlformats.org/officeDocument/2006/relationships/table" Target="../tables/table155.xml"/><Relationship Id="rId187" Type="http://schemas.openxmlformats.org/officeDocument/2006/relationships/table" Target="../tables/table197.xml"/><Relationship Id="rId352" Type="http://schemas.openxmlformats.org/officeDocument/2006/relationships/table" Target="../tables/table362.xml"/><Relationship Id="rId394" Type="http://schemas.openxmlformats.org/officeDocument/2006/relationships/table" Target="../tables/table404.xml"/><Relationship Id="rId408" Type="http://schemas.openxmlformats.org/officeDocument/2006/relationships/table" Target="../tables/table418.xml"/><Relationship Id="rId212" Type="http://schemas.openxmlformats.org/officeDocument/2006/relationships/table" Target="../tables/table222.xml"/><Relationship Id="rId254" Type="http://schemas.openxmlformats.org/officeDocument/2006/relationships/table" Target="../tables/table264.xml"/><Relationship Id="rId49" Type="http://schemas.openxmlformats.org/officeDocument/2006/relationships/table" Target="../tables/table59.xml"/><Relationship Id="rId114" Type="http://schemas.openxmlformats.org/officeDocument/2006/relationships/table" Target="../tables/table124.xml"/><Relationship Id="rId296" Type="http://schemas.openxmlformats.org/officeDocument/2006/relationships/table" Target="../tables/table306.xml"/><Relationship Id="rId461" Type="http://schemas.openxmlformats.org/officeDocument/2006/relationships/table" Target="../tables/table471.xml"/><Relationship Id="rId517" Type="http://schemas.openxmlformats.org/officeDocument/2006/relationships/table" Target="../tables/table527.xml"/><Relationship Id="rId60" Type="http://schemas.openxmlformats.org/officeDocument/2006/relationships/table" Target="../tables/table70.xml"/><Relationship Id="rId156" Type="http://schemas.openxmlformats.org/officeDocument/2006/relationships/table" Target="../tables/table166.xml"/><Relationship Id="rId198" Type="http://schemas.openxmlformats.org/officeDocument/2006/relationships/table" Target="../tables/table208.xml"/><Relationship Id="rId321" Type="http://schemas.openxmlformats.org/officeDocument/2006/relationships/table" Target="../tables/table331.xml"/><Relationship Id="rId363" Type="http://schemas.openxmlformats.org/officeDocument/2006/relationships/table" Target="../tables/table373.xml"/><Relationship Id="rId419" Type="http://schemas.openxmlformats.org/officeDocument/2006/relationships/table" Target="../tables/table429.xml"/><Relationship Id="rId223" Type="http://schemas.openxmlformats.org/officeDocument/2006/relationships/table" Target="../tables/table233.xml"/><Relationship Id="rId430" Type="http://schemas.openxmlformats.org/officeDocument/2006/relationships/table" Target="../tables/table440.xml"/><Relationship Id="rId18" Type="http://schemas.openxmlformats.org/officeDocument/2006/relationships/table" Target="../tables/table28.xml"/><Relationship Id="rId265" Type="http://schemas.openxmlformats.org/officeDocument/2006/relationships/table" Target="../tables/table275.xml"/><Relationship Id="rId472" Type="http://schemas.openxmlformats.org/officeDocument/2006/relationships/table" Target="../tables/table482.xml"/><Relationship Id="rId528" Type="http://schemas.openxmlformats.org/officeDocument/2006/relationships/table" Target="../tables/table538.xml"/><Relationship Id="rId125" Type="http://schemas.openxmlformats.org/officeDocument/2006/relationships/table" Target="../tables/table135.xml"/><Relationship Id="rId167" Type="http://schemas.openxmlformats.org/officeDocument/2006/relationships/table" Target="../tables/table177.xml"/><Relationship Id="rId332" Type="http://schemas.openxmlformats.org/officeDocument/2006/relationships/table" Target="../tables/table342.xml"/><Relationship Id="rId374" Type="http://schemas.openxmlformats.org/officeDocument/2006/relationships/table" Target="../tables/table384.xml"/><Relationship Id="rId71" Type="http://schemas.openxmlformats.org/officeDocument/2006/relationships/table" Target="../tables/table81.xml"/><Relationship Id="rId234" Type="http://schemas.openxmlformats.org/officeDocument/2006/relationships/table" Target="../tables/table244.xml"/><Relationship Id="rId2" Type="http://schemas.openxmlformats.org/officeDocument/2006/relationships/vmlDrawing" Target="../drawings/vmlDrawing2.vml"/><Relationship Id="rId29" Type="http://schemas.openxmlformats.org/officeDocument/2006/relationships/table" Target="../tables/table39.xml"/><Relationship Id="rId276" Type="http://schemas.openxmlformats.org/officeDocument/2006/relationships/table" Target="../tables/table286.xml"/><Relationship Id="rId441" Type="http://schemas.openxmlformats.org/officeDocument/2006/relationships/table" Target="../tables/table451.xml"/><Relationship Id="rId483" Type="http://schemas.openxmlformats.org/officeDocument/2006/relationships/table" Target="../tables/table493.xml"/><Relationship Id="rId40" Type="http://schemas.openxmlformats.org/officeDocument/2006/relationships/table" Target="../tables/table50.xml"/><Relationship Id="rId136" Type="http://schemas.openxmlformats.org/officeDocument/2006/relationships/table" Target="../tables/table146.xml"/><Relationship Id="rId178" Type="http://schemas.openxmlformats.org/officeDocument/2006/relationships/table" Target="../tables/table188.xml"/><Relationship Id="rId301" Type="http://schemas.openxmlformats.org/officeDocument/2006/relationships/table" Target="../tables/table311.xml"/><Relationship Id="rId343" Type="http://schemas.openxmlformats.org/officeDocument/2006/relationships/table" Target="../tables/table353.xml"/><Relationship Id="rId82" Type="http://schemas.openxmlformats.org/officeDocument/2006/relationships/table" Target="../tables/table92.xml"/><Relationship Id="rId203" Type="http://schemas.openxmlformats.org/officeDocument/2006/relationships/table" Target="../tables/table213.xml"/><Relationship Id="rId385" Type="http://schemas.openxmlformats.org/officeDocument/2006/relationships/table" Target="../tables/table395.xml"/><Relationship Id="rId245" Type="http://schemas.openxmlformats.org/officeDocument/2006/relationships/table" Target="../tables/table255.xml"/><Relationship Id="rId287" Type="http://schemas.openxmlformats.org/officeDocument/2006/relationships/table" Target="../tables/table297.xml"/><Relationship Id="rId410" Type="http://schemas.openxmlformats.org/officeDocument/2006/relationships/table" Target="../tables/table420.xml"/><Relationship Id="rId452" Type="http://schemas.openxmlformats.org/officeDocument/2006/relationships/table" Target="../tables/table462.xml"/><Relationship Id="rId494" Type="http://schemas.openxmlformats.org/officeDocument/2006/relationships/table" Target="../tables/table504.xml"/><Relationship Id="rId508" Type="http://schemas.openxmlformats.org/officeDocument/2006/relationships/table" Target="../tables/table518.xml"/><Relationship Id="rId105" Type="http://schemas.openxmlformats.org/officeDocument/2006/relationships/table" Target="../tables/table115.xml"/><Relationship Id="rId147" Type="http://schemas.openxmlformats.org/officeDocument/2006/relationships/table" Target="../tables/table157.xml"/><Relationship Id="rId312" Type="http://schemas.openxmlformats.org/officeDocument/2006/relationships/table" Target="../tables/table322.xml"/><Relationship Id="rId354" Type="http://schemas.openxmlformats.org/officeDocument/2006/relationships/table" Target="../tables/table364.xml"/><Relationship Id="rId51" Type="http://schemas.openxmlformats.org/officeDocument/2006/relationships/table" Target="../tables/table61.xml"/><Relationship Id="rId93" Type="http://schemas.openxmlformats.org/officeDocument/2006/relationships/table" Target="../tables/table103.xml"/><Relationship Id="rId189" Type="http://schemas.openxmlformats.org/officeDocument/2006/relationships/table" Target="../tables/table199.xml"/><Relationship Id="rId396" Type="http://schemas.openxmlformats.org/officeDocument/2006/relationships/table" Target="../tables/table406.xml"/><Relationship Id="rId214" Type="http://schemas.openxmlformats.org/officeDocument/2006/relationships/table" Target="../tables/table224.xml"/><Relationship Id="rId256" Type="http://schemas.openxmlformats.org/officeDocument/2006/relationships/table" Target="../tables/table266.xml"/><Relationship Id="rId298" Type="http://schemas.openxmlformats.org/officeDocument/2006/relationships/table" Target="../tables/table308.xml"/><Relationship Id="rId421" Type="http://schemas.openxmlformats.org/officeDocument/2006/relationships/table" Target="../tables/table431.xml"/><Relationship Id="rId463" Type="http://schemas.openxmlformats.org/officeDocument/2006/relationships/table" Target="../tables/table473.xml"/><Relationship Id="rId519" Type="http://schemas.openxmlformats.org/officeDocument/2006/relationships/table" Target="../tables/table529.xml"/><Relationship Id="rId116" Type="http://schemas.openxmlformats.org/officeDocument/2006/relationships/table" Target="../tables/table126.xml"/><Relationship Id="rId158" Type="http://schemas.openxmlformats.org/officeDocument/2006/relationships/table" Target="../tables/table168.xml"/><Relationship Id="rId323" Type="http://schemas.openxmlformats.org/officeDocument/2006/relationships/table" Target="../tables/table333.xml"/><Relationship Id="rId530" Type="http://schemas.openxmlformats.org/officeDocument/2006/relationships/table" Target="../tables/table540.xml"/><Relationship Id="rId20" Type="http://schemas.openxmlformats.org/officeDocument/2006/relationships/table" Target="../tables/table30.xml"/><Relationship Id="rId62" Type="http://schemas.openxmlformats.org/officeDocument/2006/relationships/table" Target="../tables/table72.xml"/><Relationship Id="rId365" Type="http://schemas.openxmlformats.org/officeDocument/2006/relationships/table" Target="../tables/table375.xml"/><Relationship Id="rId225" Type="http://schemas.openxmlformats.org/officeDocument/2006/relationships/table" Target="../tables/table235.xml"/><Relationship Id="rId267" Type="http://schemas.openxmlformats.org/officeDocument/2006/relationships/table" Target="../tables/table277.xml"/><Relationship Id="rId432" Type="http://schemas.openxmlformats.org/officeDocument/2006/relationships/table" Target="../tables/table442.xml"/><Relationship Id="rId474" Type="http://schemas.openxmlformats.org/officeDocument/2006/relationships/table" Target="../tables/table484.xml"/><Relationship Id="rId127" Type="http://schemas.openxmlformats.org/officeDocument/2006/relationships/table" Target="../tables/table137.xml"/><Relationship Id="rId31" Type="http://schemas.openxmlformats.org/officeDocument/2006/relationships/table" Target="../tables/table41.xml"/><Relationship Id="rId73" Type="http://schemas.openxmlformats.org/officeDocument/2006/relationships/table" Target="../tables/table83.xml"/><Relationship Id="rId169" Type="http://schemas.openxmlformats.org/officeDocument/2006/relationships/table" Target="../tables/table179.xml"/><Relationship Id="rId334" Type="http://schemas.openxmlformats.org/officeDocument/2006/relationships/table" Target="../tables/table344.xml"/><Relationship Id="rId376" Type="http://schemas.openxmlformats.org/officeDocument/2006/relationships/table" Target="../tables/table386.xml"/><Relationship Id="rId4" Type="http://schemas.openxmlformats.org/officeDocument/2006/relationships/table" Target="../tables/table14.xml"/><Relationship Id="rId180" Type="http://schemas.openxmlformats.org/officeDocument/2006/relationships/table" Target="../tables/table190.xml"/><Relationship Id="rId236" Type="http://schemas.openxmlformats.org/officeDocument/2006/relationships/table" Target="../tables/table246.xml"/><Relationship Id="rId278" Type="http://schemas.openxmlformats.org/officeDocument/2006/relationships/table" Target="../tables/table288.xml"/><Relationship Id="rId401" Type="http://schemas.openxmlformats.org/officeDocument/2006/relationships/table" Target="../tables/table411.xml"/><Relationship Id="rId443" Type="http://schemas.openxmlformats.org/officeDocument/2006/relationships/table" Target="../tables/table453.xml"/><Relationship Id="rId303" Type="http://schemas.openxmlformats.org/officeDocument/2006/relationships/table" Target="../tables/table313.xml"/><Relationship Id="rId485" Type="http://schemas.openxmlformats.org/officeDocument/2006/relationships/table" Target="../tables/table495.xml"/><Relationship Id="rId42" Type="http://schemas.openxmlformats.org/officeDocument/2006/relationships/table" Target="../tables/table52.xml"/><Relationship Id="rId84" Type="http://schemas.openxmlformats.org/officeDocument/2006/relationships/table" Target="../tables/table94.xml"/><Relationship Id="rId138" Type="http://schemas.openxmlformats.org/officeDocument/2006/relationships/table" Target="../tables/table148.xml"/><Relationship Id="rId345" Type="http://schemas.openxmlformats.org/officeDocument/2006/relationships/table" Target="../tables/table355.xml"/><Relationship Id="rId387" Type="http://schemas.openxmlformats.org/officeDocument/2006/relationships/table" Target="../tables/table397.xml"/><Relationship Id="rId510" Type="http://schemas.openxmlformats.org/officeDocument/2006/relationships/table" Target="../tables/table520.xml"/><Relationship Id="rId191" Type="http://schemas.openxmlformats.org/officeDocument/2006/relationships/table" Target="../tables/table201.xml"/><Relationship Id="rId205" Type="http://schemas.openxmlformats.org/officeDocument/2006/relationships/table" Target="../tables/table215.xml"/><Relationship Id="rId247" Type="http://schemas.openxmlformats.org/officeDocument/2006/relationships/table" Target="../tables/table257.xml"/><Relationship Id="rId412" Type="http://schemas.openxmlformats.org/officeDocument/2006/relationships/table" Target="../tables/table422.xml"/><Relationship Id="rId107" Type="http://schemas.openxmlformats.org/officeDocument/2006/relationships/table" Target="../tables/table117.xml"/><Relationship Id="rId289" Type="http://schemas.openxmlformats.org/officeDocument/2006/relationships/table" Target="../tables/table299.xml"/><Relationship Id="rId454" Type="http://schemas.openxmlformats.org/officeDocument/2006/relationships/table" Target="../tables/table464.xml"/><Relationship Id="rId496" Type="http://schemas.openxmlformats.org/officeDocument/2006/relationships/table" Target="../tables/table506.xml"/><Relationship Id="rId11" Type="http://schemas.openxmlformats.org/officeDocument/2006/relationships/table" Target="../tables/table21.xml"/><Relationship Id="rId53" Type="http://schemas.openxmlformats.org/officeDocument/2006/relationships/table" Target="../tables/table63.xml"/><Relationship Id="rId149" Type="http://schemas.openxmlformats.org/officeDocument/2006/relationships/table" Target="../tables/table159.xml"/><Relationship Id="rId314" Type="http://schemas.openxmlformats.org/officeDocument/2006/relationships/table" Target="../tables/table324.xml"/><Relationship Id="rId356" Type="http://schemas.openxmlformats.org/officeDocument/2006/relationships/table" Target="../tables/table366.xml"/><Relationship Id="rId398" Type="http://schemas.openxmlformats.org/officeDocument/2006/relationships/table" Target="../tables/table408.xml"/><Relationship Id="rId521" Type="http://schemas.openxmlformats.org/officeDocument/2006/relationships/table" Target="../tables/table531.xml"/><Relationship Id="rId95" Type="http://schemas.openxmlformats.org/officeDocument/2006/relationships/table" Target="../tables/table105.xml"/><Relationship Id="rId160" Type="http://schemas.openxmlformats.org/officeDocument/2006/relationships/table" Target="../tables/table170.xml"/><Relationship Id="rId216" Type="http://schemas.openxmlformats.org/officeDocument/2006/relationships/table" Target="../tables/table226.xml"/><Relationship Id="rId423" Type="http://schemas.openxmlformats.org/officeDocument/2006/relationships/table" Target="../tables/table433.xml"/><Relationship Id="rId258" Type="http://schemas.openxmlformats.org/officeDocument/2006/relationships/table" Target="../tables/table268.xml"/><Relationship Id="rId465" Type="http://schemas.openxmlformats.org/officeDocument/2006/relationships/table" Target="../tables/table475.xml"/><Relationship Id="rId22" Type="http://schemas.openxmlformats.org/officeDocument/2006/relationships/table" Target="../tables/table32.xml"/><Relationship Id="rId64" Type="http://schemas.openxmlformats.org/officeDocument/2006/relationships/table" Target="../tables/table74.xml"/><Relationship Id="rId118" Type="http://schemas.openxmlformats.org/officeDocument/2006/relationships/table" Target="../tables/table128.xml"/><Relationship Id="rId325" Type="http://schemas.openxmlformats.org/officeDocument/2006/relationships/table" Target="../tables/table335.xml"/><Relationship Id="rId367" Type="http://schemas.openxmlformats.org/officeDocument/2006/relationships/table" Target="../tables/table377.xml"/><Relationship Id="rId532" Type="http://schemas.openxmlformats.org/officeDocument/2006/relationships/table" Target="../tables/table542.xml"/><Relationship Id="rId171" Type="http://schemas.openxmlformats.org/officeDocument/2006/relationships/table" Target="../tables/table181.xml"/><Relationship Id="rId227" Type="http://schemas.openxmlformats.org/officeDocument/2006/relationships/table" Target="../tables/table237.xml"/><Relationship Id="rId269" Type="http://schemas.openxmlformats.org/officeDocument/2006/relationships/table" Target="../tables/table279.xml"/><Relationship Id="rId434" Type="http://schemas.openxmlformats.org/officeDocument/2006/relationships/table" Target="../tables/table444.xml"/><Relationship Id="rId476" Type="http://schemas.openxmlformats.org/officeDocument/2006/relationships/table" Target="../tables/table486.xml"/><Relationship Id="rId33" Type="http://schemas.openxmlformats.org/officeDocument/2006/relationships/table" Target="../tables/table43.xml"/><Relationship Id="rId129" Type="http://schemas.openxmlformats.org/officeDocument/2006/relationships/table" Target="../tables/table139.xml"/><Relationship Id="rId280" Type="http://schemas.openxmlformats.org/officeDocument/2006/relationships/table" Target="../tables/table290.xml"/><Relationship Id="rId336" Type="http://schemas.openxmlformats.org/officeDocument/2006/relationships/table" Target="../tables/table346.xml"/><Relationship Id="rId501" Type="http://schemas.openxmlformats.org/officeDocument/2006/relationships/table" Target="../tables/table511.xml"/><Relationship Id="rId75" Type="http://schemas.openxmlformats.org/officeDocument/2006/relationships/table" Target="../tables/table85.xml"/><Relationship Id="rId140" Type="http://schemas.openxmlformats.org/officeDocument/2006/relationships/table" Target="../tables/table150.xml"/><Relationship Id="rId182" Type="http://schemas.openxmlformats.org/officeDocument/2006/relationships/table" Target="../tables/table192.xml"/><Relationship Id="rId378" Type="http://schemas.openxmlformats.org/officeDocument/2006/relationships/table" Target="../tables/table388.xml"/><Relationship Id="rId403" Type="http://schemas.openxmlformats.org/officeDocument/2006/relationships/table" Target="../tables/table413.xml"/><Relationship Id="rId6" Type="http://schemas.openxmlformats.org/officeDocument/2006/relationships/table" Target="../tables/table16.xml"/><Relationship Id="rId238" Type="http://schemas.openxmlformats.org/officeDocument/2006/relationships/table" Target="../tables/table248.xml"/><Relationship Id="rId445" Type="http://schemas.openxmlformats.org/officeDocument/2006/relationships/table" Target="../tables/table455.xml"/><Relationship Id="rId487" Type="http://schemas.openxmlformats.org/officeDocument/2006/relationships/table" Target="../tables/table497.xml"/><Relationship Id="rId291" Type="http://schemas.openxmlformats.org/officeDocument/2006/relationships/table" Target="../tables/table301.xml"/><Relationship Id="rId305" Type="http://schemas.openxmlformats.org/officeDocument/2006/relationships/table" Target="../tables/table315.xml"/><Relationship Id="rId347" Type="http://schemas.openxmlformats.org/officeDocument/2006/relationships/table" Target="../tables/table357.xml"/><Relationship Id="rId512" Type="http://schemas.openxmlformats.org/officeDocument/2006/relationships/table" Target="../tables/table522.xml"/><Relationship Id="rId44" Type="http://schemas.openxmlformats.org/officeDocument/2006/relationships/table" Target="../tables/table54.xml"/><Relationship Id="rId86" Type="http://schemas.openxmlformats.org/officeDocument/2006/relationships/table" Target="../tables/table96.xml"/><Relationship Id="rId151" Type="http://schemas.openxmlformats.org/officeDocument/2006/relationships/table" Target="../tables/table161.xml"/><Relationship Id="rId389" Type="http://schemas.openxmlformats.org/officeDocument/2006/relationships/table" Target="../tables/table399.xml"/><Relationship Id="rId193" Type="http://schemas.openxmlformats.org/officeDocument/2006/relationships/table" Target="../tables/table203.xml"/><Relationship Id="rId207" Type="http://schemas.openxmlformats.org/officeDocument/2006/relationships/table" Target="../tables/table217.xml"/><Relationship Id="rId249" Type="http://schemas.openxmlformats.org/officeDocument/2006/relationships/table" Target="../tables/table259.xml"/><Relationship Id="rId414" Type="http://schemas.openxmlformats.org/officeDocument/2006/relationships/table" Target="../tables/table424.xml"/><Relationship Id="rId456" Type="http://schemas.openxmlformats.org/officeDocument/2006/relationships/table" Target="../tables/table466.xml"/><Relationship Id="rId498" Type="http://schemas.openxmlformats.org/officeDocument/2006/relationships/table" Target="../tables/table508.xml"/><Relationship Id="rId13" Type="http://schemas.openxmlformats.org/officeDocument/2006/relationships/table" Target="../tables/table23.xml"/><Relationship Id="rId109" Type="http://schemas.openxmlformats.org/officeDocument/2006/relationships/table" Target="../tables/table119.xml"/><Relationship Id="rId260" Type="http://schemas.openxmlformats.org/officeDocument/2006/relationships/table" Target="../tables/table270.xml"/><Relationship Id="rId316" Type="http://schemas.openxmlformats.org/officeDocument/2006/relationships/table" Target="../tables/table326.xml"/><Relationship Id="rId523" Type="http://schemas.openxmlformats.org/officeDocument/2006/relationships/table" Target="../tables/table533.xml"/><Relationship Id="rId55" Type="http://schemas.openxmlformats.org/officeDocument/2006/relationships/table" Target="../tables/table65.xml"/><Relationship Id="rId97" Type="http://schemas.openxmlformats.org/officeDocument/2006/relationships/table" Target="../tables/table107.xml"/><Relationship Id="rId120" Type="http://schemas.openxmlformats.org/officeDocument/2006/relationships/table" Target="../tables/table130.xml"/><Relationship Id="rId358" Type="http://schemas.openxmlformats.org/officeDocument/2006/relationships/table" Target="../tables/table368.xml"/><Relationship Id="rId162" Type="http://schemas.openxmlformats.org/officeDocument/2006/relationships/table" Target="../tables/table172.xml"/><Relationship Id="rId218" Type="http://schemas.openxmlformats.org/officeDocument/2006/relationships/table" Target="../tables/table228.xml"/><Relationship Id="rId425" Type="http://schemas.openxmlformats.org/officeDocument/2006/relationships/table" Target="../tables/table435.xml"/><Relationship Id="rId467" Type="http://schemas.openxmlformats.org/officeDocument/2006/relationships/table" Target="../tables/table477.xml"/><Relationship Id="rId271" Type="http://schemas.openxmlformats.org/officeDocument/2006/relationships/table" Target="../tables/table281.xml"/><Relationship Id="rId24" Type="http://schemas.openxmlformats.org/officeDocument/2006/relationships/table" Target="../tables/table34.xml"/><Relationship Id="rId66" Type="http://schemas.openxmlformats.org/officeDocument/2006/relationships/table" Target="../tables/table76.xml"/><Relationship Id="rId131" Type="http://schemas.openxmlformats.org/officeDocument/2006/relationships/table" Target="../tables/table141.xml"/><Relationship Id="rId327" Type="http://schemas.openxmlformats.org/officeDocument/2006/relationships/table" Target="../tables/table337.xml"/><Relationship Id="rId369" Type="http://schemas.openxmlformats.org/officeDocument/2006/relationships/table" Target="../tables/table379.xml"/><Relationship Id="rId534" Type="http://schemas.openxmlformats.org/officeDocument/2006/relationships/table" Target="../tables/table544.xml"/><Relationship Id="rId173" Type="http://schemas.openxmlformats.org/officeDocument/2006/relationships/table" Target="../tables/table183.xml"/><Relationship Id="rId229" Type="http://schemas.openxmlformats.org/officeDocument/2006/relationships/table" Target="../tables/table239.xml"/><Relationship Id="rId380" Type="http://schemas.openxmlformats.org/officeDocument/2006/relationships/table" Target="../tables/table390.xml"/><Relationship Id="rId436" Type="http://schemas.openxmlformats.org/officeDocument/2006/relationships/table" Target="../tables/table446.xml"/><Relationship Id="rId240" Type="http://schemas.openxmlformats.org/officeDocument/2006/relationships/table" Target="../tables/table250.xml"/><Relationship Id="rId478" Type="http://schemas.openxmlformats.org/officeDocument/2006/relationships/table" Target="../tables/table488.xml"/><Relationship Id="rId35" Type="http://schemas.openxmlformats.org/officeDocument/2006/relationships/table" Target="../tables/table45.xml"/><Relationship Id="rId77" Type="http://schemas.openxmlformats.org/officeDocument/2006/relationships/table" Target="../tables/table87.xml"/><Relationship Id="rId100" Type="http://schemas.openxmlformats.org/officeDocument/2006/relationships/table" Target="../tables/table110.xml"/><Relationship Id="rId282" Type="http://schemas.openxmlformats.org/officeDocument/2006/relationships/table" Target="../tables/table292.xml"/><Relationship Id="rId338" Type="http://schemas.openxmlformats.org/officeDocument/2006/relationships/table" Target="../tables/table348.xml"/><Relationship Id="rId503" Type="http://schemas.openxmlformats.org/officeDocument/2006/relationships/table" Target="../tables/table513.xml"/><Relationship Id="rId8" Type="http://schemas.openxmlformats.org/officeDocument/2006/relationships/table" Target="../tables/table18.xml"/><Relationship Id="rId142" Type="http://schemas.openxmlformats.org/officeDocument/2006/relationships/table" Target="../tables/table152.xml"/><Relationship Id="rId184" Type="http://schemas.openxmlformats.org/officeDocument/2006/relationships/table" Target="../tables/table194.xml"/><Relationship Id="rId391" Type="http://schemas.openxmlformats.org/officeDocument/2006/relationships/table" Target="../tables/table401.xml"/><Relationship Id="rId405" Type="http://schemas.openxmlformats.org/officeDocument/2006/relationships/table" Target="../tables/table415.xml"/><Relationship Id="rId447" Type="http://schemas.openxmlformats.org/officeDocument/2006/relationships/table" Target="../tables/table457.xml"/><Relationship Id="rId251" Type="http://schemas.openxmlformats.org/officeDocument/2006/relationships/table" Target="../tables/table261.xml"/><Relationship Id="rId489" Type="http://schemas.openxmlformats.org/officeDocument/2006/relationships/table" Target="../tables/table499.xml"/><Relationship Id="rId46" Type="http://schemas.openxmlformats.org/officeDocument/2006/relationships/table" Target="../tables/table56.xml"/><Relationship Id="rId293" Type="http://schemas.openxmlformats.org/officeDocument/2006/relationships/table" Target="../tables/table303.xml"/><Relationship Id="rId307" Type="http://schemas.openxmlformats.org/officeDocument/2006/relationships/table" Target="../tables/table317.xml"/><Relationship Id="rId349" Type="http://schemas.openxmlformats.org/officeDocument/2006/relationships/table" Target="../tables/table359.xml"/><Relationship Id="rId514" Type="http://schemas.openxmlformats.org/officeDocument/2006/relationships/table" Target="../tables/table524.xml"/><Relationship Id="rId88" Type="http://schemas.openxmlformats.org/officeDocument/2006/relationships/table" Target="../tables/table98.xml"/><Relationship Id="rId111" Type="http://schemas.openxmlformats.org/officeDocument/2006/relationships/table" Target="../tables/table121.xml"/><Relationship Id="rId153" Type="http://schemas.openxmlformats.org/officeDocument/2006/relationships/table" Target="../tables/table163.xml"/><Relationship Id="rId195" Type="http://schemas.openxmlformats.org/officeDocument/2006/relationships/table" Target="../tables/table205.xml"/><Relationship Id="rId209" Type="http://schemas.openxmlformats.org/officeDocument/2006/relationships/table" Target="../tables/table219.xml"/><Relationship Id="rId360" Type="http://schemas.openxmlformats.org/officeDocument/2006/relationships/table" Target="../tables/table370.xml"/><Relationship Id="rId416" Type="http://schemas.openxmlformats.org/officeDocument/2006/relationships/table" Target="../tables/table426.xml"/><Relationship Id="rId220" Type="http://schemas.openxmlformats.org/officeDocument/2006/relationships/table" Target="../tables/table230.xml"/><Relationship Id="rId458" Type="http://schemas.openxmlformats.org/officeDocument/2006/relationships/table" Target="../tables/table468.xml"/><Relationship Id="rId15" Type="http://schemas.openxmlformats.org/officeDocument/2006/relationships/table" Target="../tables/table25.xml"/><Relationship Id="rId57" Type="http://schemas.openxmlformats.org/officeDocument/2006/relationships/table" Target="../tables/table67.xml"/><Relationship Id="rId262" Type="http://schemas.openxmlformats.org/officeDocument/2006/relationships/table" Target="../tables/table272.xml"/><Relationship Id="rId318" Type="http://schemas.openxmlformats.org/officeDocument/2006/relationships/table" Target="../tables/table328.xml"/><Relationship Id="rId525" Type="http://schemas.openxmlformats.org/officeDocument/2006/relationships/table" Target="../tables/table535.xml"/><Relationship Id="rId99" Type="http://schemas.openxmlformats.org/officeDocument/2006/relationships/table" Target="../tables/table109.xml"/><Relationship Id="rId122" Type="http://schemas.openxmlformats.org/officeDocument/2006/relationships/table" Target="../tables/table132.xml"/><Relationship Id="rId164" Type="http://schemas.openxmlformats.org/officeDocument/2006/relationships/table" Target="../tables/table174.xml"/><Relationship Id="rId371" Type="http://schemas.openxmlformats.org/officeDocument/2006/relationships/table" Target="../tables/table381.xml"/><Relationship Id="rId427" Type="http://schemas.openxmlformats.org/officeDocument/2006/relationships/table" Target="../tables/table437.xml"/><Relationship Id="rId469" Type="http://schemas.openxmlformats.org/officeDocument/2006/relationships/table" Target="../tables/table479.xml"/><Relationship Id="rId26" Type="http://schemas.openxmlformats.org/officeDocument/2006/relationships/table" Target="../tables/table36.xml"/><Relationship Id="rId231" Type="http://schemas.openxmlformats.org/officeDocument/2006/relationships/table" Target="../tables/table241.xml"/><Relationship Id="rId273" Type="http://schemas.openxmlformats.org/officeDocument/2006/relationships/table" Target="../tables/table283.xml"/><Relationship Id="rId329" Type="http://schemas.openxmlformats.org/officeDocument/2006/relationships/table" Target="../tables/table339.xml"/><Relationship Id="rId480" Type="http://schemas.openxmlformats.org/officeDocument/2006/relationships/table" Target="../tables/table490.xml"/><Relationship Id="rId536" Type="http://schemas.openxmlformats.org/officeDocument/2006/relationships/comments" Target="../comments2.xml"/><Relationship Id="rId68" Type="http://schemas.openxmlformats.org/officeDocument/2006/relationships/table" Target="../tables/table78.xml"/><Relationship Id="rId133" Type="http://schemas.openxmlformats.org/officeDocument/2006/relationships/table" Target="../tables/table143.xml"/><Relationship Id="rId175" Type="http://schemas.openxmlformats.org/officeDocument/2006/relationships/table" Target="../tables/table185.xml"/><Relationship Id="rId340" Type="http://schemas.openxmlformats.org/officeDocument/2006/relationships/table" Target="../tables/table350.xml"/><Relationship Id="rId200" Type="http://schemas.openxmlformats.org/officeDocument/2006/relationships/table" Target="../tables/table210.xml"/><Relationship Id="rId382" Type="http://schemas.openxmlformats.org/officeDocument/2006/relationships/table" Target="../tables/table392.xml"/><Relationship Id="rId438" Type="http://schemas.openxmlformats.org/officeDocument/2006/relationships/table" Target="../tables/table448.xml"/><Relationship Id="rId242" Type="http://schemas.openxmlformats.org/officeDocument/2006/relationships/table" Target="../tables/table252.xml"/><Relationship Id="rId284" Type="http://schemas.openxmlformats.org/officeDocument/2006/relationships/table" Target="../tables/table294.xml"/><Relationship Id="rId491" Type="http://schemas.openxmlformats.org/officeDocument/2006/relationships/table" Target="../tables/table501.xml"/><Relationship Id="rId505" Type="http://schemas.openxmlformats.org/officeDocument/2006/relationships/table" Target="../tables/table515.xml"/><Relationship Id="rId37" Type="http://schemas.openxmlformats.org/officeDocument/2006/relationships/table" Target="../tables/table47.xml"/><Relationship Id="rId79" Type="http://schemas.openxmlformats.org/officeDocument/2006/relationships/table" Target="../tables/table89.xml"/><Relationship Id="rId102" Type="http://schemas.openxmlformats.org/officeDocument/2006/relationships/table" Target="../tables/table112.xml"/><Relationship Id="rId144" Type="http://schemas.openxmlformats.org/officeDocument/2006/relationships/table" Target="../tables/table154.xml"/><Relationship Id="rId90" Type="http://schemas.openxmlformats.org/officeDocument/2006/relationships/table" Target="../tables/table100.xml"/><Relationship Id="rId186" Type="http://schemas.openxmlformats.org/officeDocument/2006/relationships/table" Target="../tables/table196.xml"/><Relationship Id="rId351" Type="http://schemas.openxmlformats.org/officeDocument/2006/relationships/table" Target="../tables/table361.xml"/><Relationship Id="rId393" Type="http://schemas.openxmlformats.org/officeDocument/2006/relationships/table" Target="../tables/table403.xml"/><Relationship Id="rId407" Type="http://schemas.openxmlformats.org/officeDocument/2006/relationships/table" Target="../tables/table417.xml"/><Relationship Id="rId449" Type="http://schemas.openxmlformats.org/officeDocument/2006/relationships/table" Target="../tables/table459.xml"/><Relationship Id="rId211" Type="http://schemas.openxmlformats.org/officeDocument/2006/relationships/table" Target="../tables/table221.xml"/><Relationship Id="rId253" Type="http://schemas.openxmlformats.org/officeDocument/2006/relationships/table" Target="../tables/table263.xml"/><Relationship Id="rId295" Type="http://schemas.openxmlformats.org/officeDocument/2006/relationships/table" Target="../tables/table305.xml"/><Relationship Id="rId309" Type="http://schemas.openxmlformats.org/officeDocument/2006/relationships/table" Target="../tables/table319.xml"/><Relationship Id="rId460" Type="http://schemas.openxmlformats.org/officeDocument/2006/relationships/table" Target="../tables/table470.xml"/><Relationship Id="rId516" Type="http://schemas.openxmlformats.org/officeDocument/2006/relationships/table" Target="../tables/table526.xml"/><Relationship Id="rId48" Type="http://schemas.openxmlformats.org/officeDocument/2006/relationships/table" Target="../tables/table58.xml"/><Relationship Id="rId113" Type="http://schemas.openxmlformats.org/officeDocument/2006/relationships/table" Target="../tables/table123.xml"/><Relationship Id="rId320" Type="http://schemas.openxmlformats.org/officeDocument/2006/relationships/table" Target="../tables/table330.xml"/><Relationship Id="rId155" Type="http://schemas.openxmlformats.org/officeDocument/2006/relationships/table" Target="../tables/table165.xml"/><Relationship Id="rId197" Type="http://schemas.openxmlformats.org/officeDocument/2006/relationships/table" Target="../tables/table207.xml"/><Relationship Id="rId362" Type="http://schemas.openxmlformats.org/officeDocument/2006/relationships/table" Target="../tables/table372.xml"/><Relationship Id="rId418" Type="http://schemas.openxmlformats.org/officeDocument/2006/relationships/table" Target="../tables/table428.xml"/><Relationship Id="rId222" Type="http://schemas.openxmlformats.org/officeDocument/2006/relationships/table" Target="../tables/table232.xml"/><Relationship Id="rId264" Type="http://schemas.openxmlformats.org/officeDocument/2006/relationships/table" Target="../tables/table274.xml"/><Relationship Id="rId471" Type="http://schemas.openxmlformats.org/officeDocument/2006/relationships/table" Target="../tables/table481.xml"/><Relationship Id="rId17" Type="http://schemas.openxmlformats.org/officeDocument/2006/relationships/table" Target="../tables/table27.xml"/><Relationship Id="rId59" Type="http://schemas.openxmlformats.org/officeDocument/2006/relationships/table" Target="../tables/table69.xml"/><Relationship Id="rId124" Type="http://schemas.openxmlformats.org/officeDocument/2006/relationships/table" Target="../tables/table134.xml"/><Relationship Id="rId527" Type="http://schemas.openxmlformats.org/officeDocument/2006/relationships/table" Target="../tables/table537.xml"/><Relationship Id="rId70" Type="http://schemas.openxmlformats.org/officeDocument/2006/relationships/table" Target="../tables/table80.xml"/><Relationship Id="rId166" Type="http://schemas.openxmlformats.org/officeDocument/2006/relationships/table" Target="../tables/table176.xml"/><Relationship Id="rId331" Type="http://schemas.openxmlformats.org/officeDocument/2006/relationships/table" Target="../tables/table341.xml"/><Relationship Id="rId373" Type="http://schemas.openxmlformats.org/officeDocument/2006/relationships/table" Target="../tables/table383.xml"/><Relationship Id="rId429" Type="http://schemas.openxmlformats.org/officeDocument/2006/relationships/table" Target="../tables/table439.xml"/><Relationship Id="rId1" Type="http://schemas.openxmlformats.org/officeDocument/2006/relationships/printerSettings" Target="../printerSettings/printerSettings2.bin"/><Relationship Id="rId233" Type="http://schemas.openxmlformats.org/officeDocument/2006/relationships/table" Target="../tables/table243.xml"/><Relationship Id="rId440" Type="http://schemas.openxmlformats.org/officeDocument/2006/relationships/table" Target="../tables/table450.xml"/><Relationship Id="rId28" Type="http://schemas.openxmlformats.org/officeDocument/2006/relationships/table" Target="../tables/table38.xml"/><Relationship Id="rId275" Type="http://schemas.openxmlformats.org/officeDocument/2006/relationships/table" Target="../tables/table285.xml"/><Relationship Id="rId300" Type="http://schemas.openxmlformats.org/officeDocument/2006/relationships/table" Target="../tables/table310.xml"/><Relationship Id="rId482" Type="http://schemas.openxmlformats.org/officeDocument/2006/relationships/table" Target="../tables/table492.xml"/><Relationship Id="rId81" Type="http://schemas.openxmlformats.org/officeDocument/2006/relationships/table" Target="../tables/table91.xml"/><Relationship Id="rId135" Type="http://schemas.openxmlformats.org/officeDocument/2006/relationships/table" Target="../tables/table145.xml"/><Relationship Id="rId177" Type="http://schemas.openxmlformats.org/officeDocument/2006/relationships/table" Target="../tables/table187.xml"/><Relationship Id="rId342" Type="http://schemas.openxmlformats.org/officeDocument/2006/relationships/table" Target="../tables/table352.xml"/><Relationship Id="rId384" Type="http://schemas.openxmlformats.org/officeDocument/2006/relationships/table" Target="../tables/table394.xml"/><Relationship Id="rId202" Type="http://schemas.openxmlformats.org/officeDocument/2006/relationships/table" Target="../tables/table212.xml"/><Relationship Id="rId244" Type="http://schemas.openxmlformats.org/officeDocument/2006/relationships/table" Target="../tables/table254.xml"/><Relationship Id="rId39" Type="http://schemas.openxmlformats.org/officeDocument/2006/relationships/table" Target="../tables/table49.xml"/><Relationship Id="rId286" Type="http://schemas.openxmlformats.org/officeDocument/2006/relationships/table" Target="../tables/table296.xml"/><Relationship Id="rId451" Type="http://schemas.openxmlformats.org/officeDocument/2006/relationships/table" Target="../tables/table461.xml"/><Relationship Id="rId493" Type="http://schemas.openxmlformats.org/officeDocument/2006/relationships/table" Target="../tables/table503.xml"/><Relationship Id="rId507" Type="http://schemas.openxmlformats.org/officeDocument/2006/relationships/table" Target="../tables/table517.xml"/><Relationship Id="rId50" Type="http://schemas.openxmlformats.org/officeDocument/2006/relationships/table" Target="../tables/table60.xml"/><Relationship Id="rId104" Type="http://schemas.openxmlformats.org/officeDocument/2006/relationships/table" Target="../tables/table114.xml"/><Relationship Id="rId146" Type="http://schemas.openxmlformats.org/officeDocument/2006/relationships/table" Target="../tables/table156.xml"/><Relationship Id="rId188" Type="http://schemas.openxmlformats.org/officeDocument/2006/relationships/table" Target="../tables/table198.xml"/><Relationship Id="rId311" Type="http://schemas.openxmlformats.org/officeDocument/2006/relationships/table" Target="../tables/table321.xml"/><Relationship Id="rId353" Type="http://schemas.openxmlformats.org/officeDocument/2006/relationships/table" Target="../tables/table363.xml"/><Relationship Id="rId395" Type="http://schemas.openxmlformats.org/officeDocument/2006/relationships/table" Target="../tables/table405.xml"/><Relationship Id="rId409" Type="http://schemas.openxmlformats.org/officeDocument/2006/relationships/table" Target="../tables/table419.xml"/><Relationship Id="rId92" Type="http://schemas.openxmlformats.org/officeDocument/2006/relationships/table" Target="../tables/table102.xml"/><Relationship Id="rId213" Type="http://schemas.openxmlformats.org/officeDocument/2006/relationships/table" Target="../tables/table223.xml"/><Relationship Id="rId420" Type="http://schemas.openxmlformats.org/officeDocument/2006/relationships/table" Target="../tables/table430.xml"/><Relationship Id="rId255" Type="http://schemas.openxmlformats.org/officeDocument/2006/relationships/table" Target="../tables/table265.xml"/><Relationship Id="rId297" Type="http://schemas.openxmlformats.org/officeDocument/2006/relationships/table" Target="../tables/table307.xml"/><Relationship Id="rId462" Type="http://schemas.openxmlformats.org/officeDocument/2006/relationships/table" Target="../tables/table472.xml"/><Relationship Id="rId518" Type="http://schemas.openxmlformats.org/officeDocument/2006/relationships/table" Target="../tables/table528.xml"/><Relationship Id="rId115" Type="http://schemas.openxmlformats.org/officeDocument/2006/relationships/table" Target="../tables/table125.xml"/><Relationship Id="rId157" Type="http://schemas.openxmlformats.org/officeDocument/2006/relationships/table" Target="../tables/table167.xml"/><Relationship Id="rId322" Type="http://schemas.openxmlformats.org/officeDocument/2006/relationships/table" Target="../tables/table332.xml"/><Relationship Id="rId364" Type="http://schemas.openxmlformats.org/officeDocument/2006/relationships/table" Target="../tables/table374.xml"/><Relationship Id="rId61" Type="http://schemas.openxmlformats.org/officeDocument/2006/relationships/table" Target="../tables/table71.xml"/><Relationship Id="rId199" Type="http://schemas.openxmlformats.org/officeDocument/2006/relationships/table" Target="../tables/table209.xml"/><Relationship Id="rId19" Type="http://schemas.openxmlformats.org/officeDocument/2006/relationships/table" Target="../tables/table29.xml"/><Relationship Id="rId224" Type="http://schemas.openxmlformats.org/officeDocument/2006/relationships/table" Target="../tables/table234.xml"/><Relationship Id="rId266" Type="http://schemas.openxmlformats.org/officeDocument/2006/relationships/table" Target="../tables/table276.xml"/><Relationship Id="rId431" Type="http://schemas.openxmlformats.org/officeDocument/2006/relationships/table" Target="../tables/table441.xml"/><Relationship Id="rId473" Type="http://schemas.openxmlformats.org/officeDocument/2006/relationships/table" Target="../tables/table483.xml"/><Relationship Id="rId529" Type="http://schemas.openxmlformats.org/officeDocument/2006/relationships/table" Target="../tables/table539.xml"/><Relationship Id="rId30" Type="http://schemas.openxmlformats.org/officeDocument/2006/relationships/table" Target="../tables/table40.xml"/><Relationship Id="rId126" Type="http://schemas.openxmlformats.org/officeDocument/2006/relationships/table" Target="../tables/table136.xml"/><Relationship Id="rId168" Type="http://schemas.openxmlformats.org/officeDocument/2006/relationships/table" Target="../tables/table178.xml"/><Relationship Id="rId333" Type="http://schemas.openxmlformats.org/officeDocument/2006/relationships/table" Target="../tables/table343.xml"/><Relationship Id="rId72" Type="http://schemas.openxmlformats.org/officeDocument/2006/relationships/table" Target="../tables/table82.xml"/><Relationship Id="rId375" Type="http://schemas.openxmlformats.org/officeDocument/2006/relationships/table" Target="../tables/table385.xml"/><Relationship Id="rId3" Type="http://schemas.openxmlformats.org/officeDocument/2006/relationships/table" Target="../tables/table13.xml"/><Relationship Id="rId235" Type="http://schemas.openxmlformats.org/officeDocument/2006/relationships/table" Target="../tables/table245.xml"/><Relationship Id="rId277" Type="http://schemas.openxmlformats.org/officeDocument/2006/relationships/table" Target="../tables/table287.xml"/><Relationship Id="rId400" Type="http://schemas.openxmlformats.org/officeDocument/2006/relationships/table" Target="../tables/table410.xml"/><Relationship Id="rId442" Type="http://schemas.openxmlformats.org/officeDocument/2006/relationships/table" Target="../tables/table452.xml"/><Relationship Id="rId484" Type="http://schemas.openxmlformats.org/officeDocument/2006/relationships/table" Target="../tables/table494.xml"/><Relationship Id="rId137" Type="http://schemas.openxmlformats.org/officeDocument/2006/relationships/table" Target="../tables/table147.xml"/><Relationship Id="rId302" Type="http://schemas.openxmlformats.org/officeDocument/2006/relationships/table" Target="../tables/table312.xml"/><Relationship Id="rId344" Type="http://schemas.openxmlformats.org/officeDocument/2006/relationships/table" Target="../tables/table354.xml"/><Relationship Id="rId41" Type="http://schemas.openxmlformats.org/officeDocument/2006/relationships/table" Target="../tables/table51.xml"/><Relationship Id="rId83" Type="http://schemas.openxmlformats.org/officeDocument/2006/relationships/table" Target="../tables/table93.xml"/><Relationship Id="rId179" Type="http://schemas.openxmlformats.org/officeDocument/2006/relationships/table" Target="../tables/table189.xml"/><Relationship Id="rId386" Type="http://schemas.openxmlformats.org/officeDocument/2006/relationships/table" Target="../tables/table396.xml"/><Relationship Id="rId190" Type="http://schemas.openxmlformats.org/officeDocument/2006/relationships/table" Target="../tables/table200.xml"/><Relationship Id="rId204" Type="http://schemas.openxmlformats.org/officeDocument/2006/relationships/table" Target="../tables/table214.xml"/><Relationship Id="rId246" Type="http://schemas.openxmlformats.org/officeDocument/2006/relationships/table" Target="../tables/table256.xml"/><Relationship Id="rId288" Type="http://schemas.openxmlformats.org/officeDocument/2006/relationships/table" Target="../tables/table298.xml"/><Relationship Id="rId411" Type="http://schemas.openxmlformats.org/officeDocument/2006/relationships/table" Target="../tables/table421.xml"/><Relationship Id="rId453" Type="http://schemas.openxmlformats.org/officeDocument/2006/relationships/table" Target="../tables/table463.xml"/><Relationship Id="rId509" Type="http://schemas.openxmlformats.org/officeDocument/2006/relationships/table" Target="../tables/table519.xml"/><Relationship Id="rId106" Type="http://schemas.openxmlformats.org/officeDocument/2006/relationships/table" Target="../tables/table116.xml"/><Relationship Id="rId313" Type="http://schemas.openxmlformats.org/officeDocument/2006/relationships/table" Target="../tables/table323.xml"/><Relationship Id="rId495" Type="http://schemas.openxmlformats.org/officeDocument/2006/relationships/table" Target="../tables/table505.xml"/><Relationship Id="rId10" Type="http://schemas.openxmlformats.org/officeDocument/2006/relationships/table" Target="../tables/table20.xml"/><Relationship Id="rId52" Type="http://schemas.openxmlformats.org/officeDocument/2006/relationships/table" Target="../tables/table62.xml"/><Relationship Id="rId94" Type="http://schemas.openxmlformats.org/officeDocument/2006/relationships/table" Target="../tables/table104.xml"/><Relationship Id="rId148" Type="http://schemas.openxmlformats.org/officeDocument/2006/relationships/table" Target="../tables/table158.xml"/><Relationship Id="rId355" Type="http://schemas.openxmlformats.org/officeDocument/2006/relationships/table" Target="../tables/table365.xml"/><Relationship Id="rId397" Type="http://schemas.openxmlformats.org/officeDocument/2006/relationships/table" Target="../tables/table407.xml"/><Relationship Id="rId520" Type="http://schemas.openxmlformats.org/officeDocument/2006/relationships/table" Target="../tables/table530.xml"/><Relationship Id="rId215" Type="http://schemas.openxmlformats.org/officeDocument/2006/relationships/table" Target="../tables/table225.xml"/><Relationship Id="rId257" Type="http://schemas.openxmlformats.org/officeDocument/2006/relationships/table" Target="../tables/table267.xml"/><Relationship Id="rId422" Type="http://schemas.openxmlformats.org/officeDocument/2006/relationships/table" Target="../tables/table432.xml"/><Relationship Id="rId464" Type="http://schemas.openxmlformats.org/officeDocument/2006/relationships/table" Target="../tables/table474.xml"/><Relationship Id="rId299" Type="http://schemas.openxmlformats.org/officeDocument/2006/relationships/table" Target="../tables/table309.xml"/><Relationship Id="rId63" Type="http://schemas.openxmlformats.org/officeDocument/2006/relationships/table" Target="../tables/table73.xml"/><Relationship Id="rId159" Type="http://schemas.openxmlformats.org/officeDocument/2006/relationships/table" Target="../tables/table169.xml"/><Relationship Id="rId366" Type="http://schemas.openxmlformats.org/officeDocument/2006/relationships/table" Target="../tables/table376.xml"/><Relationship Id="rId226" Type="http://schemas.openxmlformats.org/officeDocument/2006/relationships/table" Target="../tables/table236.xml"/><Relationship Id="rId433" Type="http://schemas.openxmlformats.org/officeDocument/2006/relationships/table" Target="../tables/table443.xml"/><Relationship Id="rId74" Type="http://schemas.openxmlformats.org/officeDocument/2006/relationships/table" Target="../tables/table84.xml"/><Relationship Id="rId377" Type="http://schemas.openxmlformats.org/officeDocument/2006/relationships/table" Target="../tables/table387.xml"/><Relationship Id="rId500" Type="http://schemas.openxmlformats.org/officeDocument/2006/relationships/table" Target="../tables/table510.xml"/><Relationship Id="rId5" Type="http://schemas.openxmlformats.org/officeDocument/2006/relationships/table" Target="../tables/table15.xml"/><Relationship Id="rId237" Type="http://schemas.openxmlformats.org/officeDocument/2006/relationships/table" Target="../tables/table247.xm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table" Target="../tables/table571.xml"/><Relationship Id="rId21" Type="http://schemas.openxmlformats.org/officeDocument/2006/relationships/table" Target="../tables/table566.xml"/><Relationship Id="rId42" Type="http://schemas.openxmlformats.org/officeDocument/2006/relationships/table" Target="../tables/table587.xml"/><Relationship Id="rId47" Type="http://schemas.openxmlformats.org/officeDocument/2006/relationships/table" Target="../tables/table592.xml"/><Relationship Id="rId63" Type="http://schemas.openxmlformats.org/officeDocument/2006/relationships/table" Target="../tables/table608.xml"/><Relationship Id="rId68" Type="http://schemas.openxmlformats.org/officeDocument/2006/relationships/table" Target="../tables/table613.xml"/><Relationship Id="rId2" Type="http://schemas.openxmlformats.org/officeDocument/2006/relationships/table" Target="../tables/table547.xml"/><Relationship Id="rId16" Type="http://schemas.openxmlformats.org/officeDocument/2006/relationships/table" Target="../tables/table561.xml"/><Relationship Id="rId29" Type="http://schemas.openxmlformats.org/officeDocument/2006/relationships/table" Target="../tables/table574.xml"/><Relationship Id="rId11" Type="http://schemas.openxmlformats.org/officeDocument/2006/relationships/table" Target="../tables/table556.xml"/><Relationship Id="rId24" Type="http://schemas.openxmlformats.org/officeDocument/2006/relationships/table" Target="../tables/table569.xml"/><Relationship Id="rId32" Type="http://schemas.openxmlformats.org/officeDocument/2006/relationships/table" Target="../tables/table577.xml"/><Relationship Id="rId37" Type="http://schemas.openxmlformats.org/officeDocument/2006/relationships/table" Target="../tables/table582.xml"/><Relationship Id="rId40" Type="http://schemas.openxmlformats.org/officeDocument/2006/relationships/table" Target="../tables/table585.xml"/><Relationship Id="rId45" Type="http://schemas.openxmlformats.org/officeDocument/2006/relationships/table" Target="../tables/table590.xml"/><Relationship Id="rId53" Type="http://schemas.openxmlformats.org/officeDocument/2006/relationships/table" Target="../tables/table598.xml"/><Relationship Id="rId58" Type="http://schemas.openxmlformats.org/officeDocument/2006/relationships/table" Target="../tables/table603.xml"/><Relationship Id="rId66" Type="http://schemas.openxmlformats.org/officeDocument/2006/relationships/table" Target="../tables/table611.xml"/><Relationship Id="rId74" Type="http://schemas.openxmlformats.org/officeDocument/2006/relationships/table" Target="../tables/table619.xml"/><Relationship Id="rId5" Type="http://schemas.openxmlformats.org/officeDocument/2006/relationships/table" Target="../tables/table550.xml"/><Relationship Id="rId61" Type="http://schemas.openxmlformats.org/officeDocument/2006/relationships/table" Target="../tables/table606.xml"/><Relationship Id="rId19" Type="http://schemas.openxmlformats.org/officeDocument/2006/relationships/table" Target="../tables/table564.xml"/><Relationship Id="rId14" Type="http://schemas.openxmlformats.org/officeDocument/2006/relationships/table" Target="../tables/table559.xml"/><Relationship Id="rId22" Type="http://schemas.openxmlformats.org/officeDocument/2006/relationships/table" Target="../tables/table567.xml"/><Relationship Id="rId27" Type="http://schemas.openxmlformats.org/officeDocument/2006/relationships/table" Target="../tables/table572.xml"/><Relationship Id="rId30" Type="http://schemas.openxmlformats.org/officeDocument/2006/relationships/table" Target="../tables/table575.xml"/><Relationship Id="rId35" Type="http://schemas.openxmlformats.org/officeDocument/2006/relationships/table" Target="../tables/table580.xml"/><Relationship Id="rId43" Type="http://schemas.openxmlformats.org/officeDocument/2006/relationships/table" Target="../tables/table588.xml"/><Relationship Id="rId48" Type="http://schemas.openxmlformats.org/officeDocument/2006/relationships/table" Target="../tables/table593.xml"/><Relationship Id="rId56" Type="http://schemas.openxmlformats.org/officeDocument/2006/relationships/table" Target="../tables/table601.xml"/><Relationship Id="rId64" Type="http://schemas.openxmlformats.org/officeDocument/2006/relationships/table" Target="../tables/table609.xml"/><Relationship Id="rId69" Type="http://schemas.openxmlformats.org/officeDocument/2006/relationships/table" Target="../tables/table614.xml"/><Relationship Id="rId8" Type="http://schemas.openxmlformats.org/officeDocument/2006/relationships/table" Target="../tables/table553.xml"/><Relationship Id="rId51" Type="http://schemas.openxmlformats.org/officeDocument/2006/relationships/table" Target="../tables/table596.xml"/><Relationship Id="rId72" Type="http://schemas.openxmlformats.org/officeDocument/2006/relationships/table" Target="../tables/table617.xml"/><Relationship Id="rId3" Type="http://schemas.openxmlformats.org/officeDocument/2006/relationships/table" Target="../tables/table548.xml"/><Relationship Id="rId12" Type="http://schemas.openxmlformats.org/officeDocument/2006/relationships/table" Target="../tables/table557.xml"/><Relationship Id="rId17" Type="http://schemas.openxmlformats.org/officeDocument/2006/relationships/table" Target="../tables/table562.xml"/><Relationship Id="rId25" Type="http://schemas.openxmlformats.org/officeDocument/2006/relationships/table" Target="../tables/table570.xml"/><Relationship Id="rId33" Type="http://schemas.openxmlformats.org/officeDocument/2006/relationships/table" Target="../tables/table578.xml"/><Relationship Id="rId38" Type="http://schemas.openxmlformats.org/officeDocument/2006/relationships/table" Target="../tables/table583.xml"/><Relationship Id="rId46" Type="http://schemas.openxmlformats.org/officeDocument/2006/relationships/table" Target="../tables/table591.xml"/><Relationship Id="rId59" Type="http://schemas.openxmlformats.org/officeDocument/2006/relationships/table" Target="../tables/table604.xml"/><Relationship Id="rId67" Type="http://schemas.openxmlformats.org/officeDocument/2006/relationships/table" Target="../tables/table612.xml"/><Relationship Id="rId20" Type="http://schemas.openxmlformats.org/officeDocument/2006/relationships/table" Target="../tables/table565.xml"/><Relationship Id="rId41" Type="http://schemas.openxmlformats.org/officeDocument/2006/relationships/table" Target="../tables/table586.xml"/><Relationship Id="rId54" Type="http://schemas.openxmlformats.org/officeDocument/2006/relationships/table" Target="../tables/table599.xml"/><Relationship Id="rId62" Type="http://schemas.openxmlformats.org/officeDocument/2006/relationships/table" Target="../tables/table607.xml"/><Relationship Id="rId70" Type="http://schemas.openxmlformats.org/officeDocument/2006/relationships/table" Target="../tables/table615.xml"/><Relationship Id="rId1" Type="http://schemas.openxmlformats.org/officeDocument/2006/relationships/table" Target="../tables/table546.xml"/><Relationship Id="rId6" Type="http://schemas.openxmlformats.org/officeDocument/2006/relationships/table" Target="../tables/table551.xml"/><Relationship Id="rId15" Type="http://schemas.openxmlformats.org/officeDocument/2006/relationships/table" Target="../tables/table560.xml"/><Relationship Id="rId23" Type="http://schemas.openxmlformats.org/officeDocument/2006/relationships/table" Target="../tables/table568.xml"/><Relationship Id="rId28" Type="http://schemas.openxmlformats.org/officeDocument/2006/relationships/table" Target="../tables/table573.xml"/><Relationship Id="rId36" Type="http://schemas.openxmlformats.org/officeDocument/2006/relationships/table" Target="../tables/table581.xml"/><Relationship Id="rId49" Type="http://schemas.openxmlformats.org/officeDocument/2006/relationships/table" Target="../tables/table594.xml"/><Relationship Id="rId57" Type="http://schemas.openxmlformats.org/officeDocument/2006/relationships/table" Target="../tables/table602.xml"/><Relationship Id="rId10" Type="http://schemas.openxmlformats.org/officeDocument/2006/relationships/table" Target="../tables/table555.xml"/><Relationship Id="rId31" Type="http://schemas.openxmlformats.org/officeDocument/2006/relationships/table" Target="../tables/table576.xml"/><Relationship Id="rId44" Type="http://schemas.openxmlformats.org/officeDocument/2006/relationships/table" Target="../tables/table589.xml"/><Relationship Id="rId52" Type="http://schemas.openxmlformats.org/officeDocument/2006/relationships/table" Target="../tables/table597.xml"/><Relationship Id="rId60" Type="http://schemas.openxmlformats.org/officeDocument/2006/relationships/table" Target="../tables/table605.xml"/><Relationship Id="rId65" Type="http://schemas.openxmlformats.org/officeDocument/2006/relationships/table" Target="../tables/table610.xml"/><Relationship Id="rId73" Type="http://schemas.openxmlformats.org/officeDocument/2006/relationships/table" Target="../tables/table618.xml"/><Relationship Id="rId4" Type="http://schemas.openxmlformats.org/officeDocument/2006/relationships/table" Target="../tables/table549.xml"/><Relationship Id="rId9" Type="http://schemas.openxmlformats.org/officeDocument/2006/relationships/table" Target="../tables/table554.xml"/><Relationship Id="rId13" Type="http://schemas.openxmlformats.org/officeDocument/2006/relationships/table" Target="../tables/table558.xml"/><Relationship Id="rId18" Type="http://schemas.openxmlformats.org/officeDocument/2006/relationships/table" Target="../tables/table563.xml"/><Relationship Id="rId39" Type="http://schemas.openxmlformats.org/officeDocument/2006/relationships/table" Target="../tables/table584.xml"/><Relationship Id="rId34" Type="http://schemas.openxmlformats.org/officeDocument/2006/relationships/table" Target="../tables/table579.xml"/><Relationship Id="rId50" Type="http://schemas.openxmlformats.org/officeDocument/2006/relationships/table" Target="../tables/table595.xml"/><Relationship Id="rId55" Type="http://schemas.openxmlformats.org/officeDocument/2006/relationships/table" Target="../tables/table600.xml"/><Relationship Id="rId7" Type="http://schemas.openxmlformats.org/officeDocument/2006/relationships/table" Target="../tables/table552.xml"/><Relationship Id="rId71" Type="http://schemas.openxmlformats.org/officeDocument/2006/relationships/table" Target="../tables/table61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21.xml"/><Relationship Id="rId1" Type="http://schemas.openxmlformats.org/officeDocument/2006/relationships/table" Target="../tables/table620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3.xml"/><Relationship Id="rId4" Type="http://schemas.openxmlformats.org/officeDocument/2006/relationships/table" Target="../tables/table62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24.xml"/><Relationship Id="rId2" Type="http://schemas.openxmlformats.org/officeDocument/2006/relationships/table" Target="../tables/table623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627.xml"/><Relationship Id="rId5" Type="http://schemas.openxmlformats.org/officeDocument/2006/relationships/table" Target="../tables/table626.xml"/><Relationship Id="rId4" Type="http://schemas.openxmlformats.org/officeDocument/2006/relationships/table" Target="../tables/table62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2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CC785"/>
  <sheetViews>
    <sheetView showZeros="0" tabSelected="1" view="pageBreakPreview" zoomScale="130" zoomScaleNormal="100" zoomScaleSheetLayoutView="130" workbookViewId="0"/>
  </sheetViews>
  <sheetFormatPr baseColWidth="10" defaultColWidth="10.85546875" defaultRowHeight="15" x14ac:dyDescent="0.25"/>
  <cols>
    <col min="1" max="1" width="2.140625" customWidth="1"/>
    <col min="2" max="2" width="2.85546875" customWidth="1"/>
    <col min="3" max="9" width="3.42578125" customWidth="1"/>
    <col min="10" max="13" width="3.5703125" customWidth="1"/>
    <col min="14" max="17" width="2.7109375" customWidth="1"/>
    <col min="18" max="24" width="4.140625" customWidth="1"/>
    <col min="25" max="26" width="4.7109375" customWidth="1"/>
    <col min="27" max="27" width="3.7109375" customWidth="1"/>
    <col min="28" max="29" width="4.7109375" customWidth="1"/>
    <col min="30" max="30" width="6.140625" customWidth="1"/>
    <col min="31" max="34" width="3.7109375" customWidth="1"/>
    <col min="35" max="35" width="3.5703125" customWidth="1"/>
    <col min="36" max="36" width="3.7109375" customWidth="1"/>
    <col min="37" max="37" width="2.7109375" customWidth="1"/>
    <col min="38" max="38" width="3.5703125" customWidth="1"/>
    <col min="39" max="39" width="5.28515625" style="56" hidden="1" customWidth="1"/>
    <col min="40" max="40" width="22.140625" hidden="1" customWidth="1"/>
    <col min="41" max="49" width="14.140625" hidden="1" customWidth="1"/>
    <col min="50" max="50" width="10.28515625" hidden="1" customWidth="1"/>
    <col min="51" max="63" width="14.140625" hidden="1" customWidth="1"/>
    <col min="64" max="64" width="15.5703125" hidden="1" customWidth="1"/>
    <col min="65" max="65" width="16.140625" hidden="1" customWidth="1"/>
    <col min="66" max="66" width="19.140625" customWidth="1"/>
    <col min="67" max="67" width="17.85546875" customWidth="1"/>
    <col min="68" max="68" width="17.28515625" customWidth="1"/>
    <col min="69" max="69" width="18.85546875" customWidth="1"/>
    <col min="70" max="70" width="18.7109375" customWidth="1"/>
    <col min="71" max="71" width="21.85546875" customWidth="1"/>
    <col min="72" max="72" width="17.5703125" customWidth="1"/>
    <col min="73" max="73" width="14" customWidth="1"/>
    <col min="74" max="74" width="15.85546875" customWidth="1"/>
    <col min="75" max="75" width="13.5703125" customWidth="1"/>
    <col min="76" max="76" width="19.28515625" hidden="1" customWidth="1"/>
    <col min="77" max="77" width="13.28515625" hidden="1" customWidth="1"/>
    <col min="78" max="78" width="50.140625" hidden="1" customWidth="1"/>
    <col min="79" max="79" width="11.42578125" hidden="1" customWidth="1"/>
    <col min="80" max="80" width="21.85546875" hidden="1" customWidth="1"/>
    <col min="81" max="81" width="10.85546875" hidden="1" customWidth="1"/>
    <col min="82" max="82" width="10.85546875" customWidth="1"/>
    <col min="84" max="84" width="11.85546875" bestFit="1" customWidth="1"/>
  </cols>
  <sheetData>
    <row r="1" spans="1:81" ht="15.6" customHeight="1" x14ac:dyDescent="0.35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4"/>
      <c r="X1" s="4"/>
      <c r="Y1" s="4"/>
      <c r="Z1" s="4"/>
      <c r="AA1" s="4"/>
      <c r="AB1" s="4"/>
      <c r="AC1" s="4"/>
      <c r="AD1" s="4"/>
      <c r="AE1" s="4"/>
      <c r="AF1" s="4" t="s">
        <v>7832</v>
      </c>
      <c r="AG1" s="4"/>
      <c r="AH1" s="4">
        <v>1</v>
      </c>
      <c r="AI1" s="4" t="s">
        <v>7830</v>
      </c>
      <c r="AJ1" s="31">
        <f>AM1+1</f>
        <v>1</v>
      </c>
      <c r="AK1" s="4"/>
      <c r="AL1" s="4"/>
      <c r="AM1" s="4">
        <f>IF(ISBLANK(ANEXO!R14),0,1)</f>
        <v>0</v>
      </c>
      <c r="AN1" s="32" t="s">
        <v>9420</v>
      </c>
      <c r="AO1" s="182">
        <f>AG59+ANEXO!AG59</f>
        <v>180</v>
      </c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 t="s">
        <v>22</v>
      </c>
      <c r="BM1" s="280" t="s">
        <v>10231</v>
      </c>
      <c r="BN1" s="33" t="s">
        <v>789</v>
      </c>
      <c r="BO1" s="33" t="s">
        <v>8983</v>
      </c>
      <c r="BP1" s="34" t="s">
        <v>8984</v>
      </c>
      <c r="BQ1" s="34" t="s">
        <v>8987</v>
      </c>
      <c r="BR1" s="34" t="s">
        <v>8988</v>
      </c>
      <c r="BS1" s="34" t="s">
        <v>8989</v>
      </c>
      <c r="BT1" s="34" t="s">
        <v>8992</v>
      </c>
      <c r="BU1" s="34" t="s">
        <v>790</v>
      </c>
      <c r="BV1" s="34" t="s">
        <v>8993</v>
      </c>
      <c r="BX1" s="34" t="s">
        <v>794</v>
      </c>
      <c r="BY1" s="34" t="s">
        <v>798</v>
      </c>
      <c r="BZ1" s="34" t="s">
        <v>8830</v>
      </c>
      <c r="CB1" t="s">
        <v>9137</v>
      </c>
      <c r="CC1" t="s">
        <v>9135</v>
      </c>
    </row>
    <row r="2" spans="1:81" x14ac:dyDescent="0.25">
      <c r="A2" s="30"/>
      <c r="B2" s="35"/>
      <c r="C2" s="35"/>
      <c r="D2" s="35"/>
      <c r="E2" s="35"/>
      <c r="F2" s="35"/>
      <c r="G2" s="35"/>
      <c r="H2" s="35"/>
      <c r="I2" s="35"/>
      <c r="J2" s="30"/>
      <c r="K2" s="30"/>
      <c r="L2" s="30"/>
      <c r="M2" s="30"/>
      <c r="N2" s="30"/>
      <c r="O2" s="30"/>
      <c r="P2" s="30"/>
      <c r="Q2" s="30"/>
      <c r="R2" s="30"/>
      <c r="S2" s="36"/>
      <c r="T2" s="37"/>
      <c r="U2" s="30"/>
      <c r="V2" s="30"/>
      <c r="W2" s="4"/>
      <c r="X2" s="4"/>
      <c r="Y2" s="4"/>
      <c r="Z2" s="4"/>
      <c r="AA2" s="4"/>
      <c r="AB2" s="371" t="s">
        <v>8887</v>
      </c>
      <c r="AC2" s="371"/>
      <c r="AD2" s="371"/>
      <c r="AE2" s="370" t="s">
        <v>10285</v>
      </c>
      <c r="AF2" s="370"/>
      <c r="AG2" s="370"/>
      <c r="AH2" s="370"/>
      <c r="AI2" s="370"/>
      <c r="AJ2" s="370"/>
      <c r="AK2" s="4"/>
      <c r="AL2" s="4"/>
      <c r="AM2" s="4"/>
      <c r="AN2" s="32" t="s">
        <v>9421</v>
      </c>
      <c r="AO2" s="182">
        <f>AI59+ANEXO!AI59</f>
        <v>180</v>
      </c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 t="s">
        <v>792</v>
      </c>
      <c r="BM2" s="280" t="s">
        <v>10232</v>
      </c>
      <c r="BN2" s="7" t="s">
        <v>23</v>
      </c>
      <c r="BO2" s="7" t="s">
        <v>548</v>
      </c>
      <c r="BP2" s="7" t="s">
        <v>549</v>
      </c>
      <c r="BQ2" s="7" t="s">
        <v>625</v>
      </c>
      <c r="BR2" s="7" t="s">
        <v>8979</v>
      </c>
      <c r="BS2" s="7" t="s">
        <v>732</v>
      </c>
      <c r="BT2" s="7" t="s">
        <v>656</v>
      </c>
      <c r="BU2" s="7" t="s">
        <v>620</v>
      </c>
      <c r="BV2" s="7" t="s">
        <v>667</v>
      </c>
      <c r="BX2" s="7" t="s">
        <v>9322</v>
      </c>
      <c r="BY2" s="7" t="s">
        <v>797</v>
      </c>
      <c r="BZ2" s="7" t="s">
        <v>8831</v>
      </c>
      <c r="CB2" t="s">
        <v>9139</v>
      </c>
      <c r="CC2" t="s">
        <v>9171</v>
      </c>
    </row>
    <row r="3" spans="1:81" ht="14.45" customHeight="1" x14ac:dyDescent="0.25">
      <c r="A3" s="30"/>
      <c r="B3" s="35"/>
      <c r="C3" s="35"/>
      <c r="D3" s="35"/>
      <c r="E3" s="35"/>
      <c r="F3" s="35"/>
      <c r="G3" s="35"/>
      <c r="H3" s="35"/>
      <c r="I3" s="35"/>
      <c r="J3" s="30"/>
      <c r="K3" s="30"/>
      <c r="L3" s="4"/>
      <c r="M3" s="4"/>
      <c r="N3" s="30"/>
      <c r="O3" s="30"/>
      <c r="P3" s="30"/>
      <c r="Q3" s="30"/>
      <c r="R3" s="30"/>
      <c r="S3" s="30"/>
      <c r="T3" s="30"/>
      <c r="U3" s="30"/>
      <c r="V3" s="30"/>
      <c r="W3" s="4"/>
      <c r="X3" s="4"/>
      <c r="Y3" s="4"/>
      <c r="Z3" s="4"/>
      <c r="AB3" s="392" t="s">
        <v>0</v>
      </c>
      <c r="AC3" s="393"/>
      <c r="AD3" s="394"/>
      <c r="AE3" s="386"/>
      <c r="AF3" s="387"/>
      <c r="AG3" s="387"/>
      <c r="AH3" s="387"/>
      <c r="AI3" s="387"/>
      <c r="AJ3" s="388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 t="s">
        <v>793</v>
      </c>
      <c r="BM3" s="280" t="s">
        <v>10233</v>
      </c>
      <c r="BN3" s="7" t="s">
        <v>24</v>
      </c>
      <c r="BO3" s="7" t="s">
        <v>34</v>
      </c>
      <c r="BP3" s="7" t="s">
        <v>562</v>
      </c>
      <c r="BQ3" s="7" t="s">
        <v>626</v>
      </c>
      <c r="BR3" s="7" t="s">
        <v>652</v>
      </c>
      <c r="BS3" s="7" t="s">
        <v>733</v>
      </c>
      <c r="BT3" s="7" t="s">
        <v>657</v>
      </c>
      <c r="BU3" s="7" t="s">
        <v>621</v>
      </c>
      <c r="BV3" s="7" t="s">
        <v>668</v>
      </c>
      <c r="BX3" s="7" t="s">
        <v>9323</v>
      </c>
      <c r="BY3" s="7" t="s">
        <v>797</v>
      </c>
      <c r="BZ3" s="7" t="s">
        <v>9324</v>
      </c>
      <c r="CB3" t="s">
        <v>9178</v>
      </c>
      <c r="CC3" t="s">
        <v>9171</v>
      </c>
    </row>
    <row r="4" spans="1:81" ht="17.45" customHeight="1" x14ac:dyDescent="0.25">
      <c r="A4" s="30"/>
      <c r="B4" s="35"/>
      <c r="C4" s="35"/>
      <c r="D4" s="35"/>
      <c r="E4" s="35"/>
      <c r="F4" s="35"/>
      <c r="G4" s="35"/>
      <c r="H4" s="35"/>
      <c r="I4" s="35"/>
      <c r="J4" s="30"/>
      <c r="K4" s="30"/>
      <c r="L4" s="4"/>
      <c r="M4" s="4"/>
      <c r="N4" s="402" t="s">
        <v>1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  <c r="Y4" s="4"/>
      <c r="Z4" s="4"/>
      <c r="AA4" s="40"/>
      <c r="AB4" s="395"/>
      <c r="AC4" s="396"/>
      <c r="AD4" s="397"/>
      <c r="AE4" s="389"/>
      <c r="AF4" s="390"/>
      <c r="AG4" s="390"/>
      <c r="AH4" s="390"/>
      <c r="AI4" s="390"/>
      <c r="AJ4" s="391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M4" s="281" t="s">
        <v>10234</v>
      </c>
      <c r="BN4" s="7" t="s">
        <v>25</v>
      </c>
      <c r="BO4" s="39" t="s">
        <v>550</v>
      </c>
      <c r="BP4" s="7" t="s">
        <v>8985</v>
      </c>
      <c r="BQ4" s="7" t="s">
        <v>627</v>
      </c>
      <c r="BR4" s="7" t="s">
        <v>653</v>
      </c>
      <c r="BS4" s="7" t="s">
        <v>734</v>
      </c>
      <c r="BT4" s="7" t="s">
        <v>8980</v>
      </c>
      <c r="BU4" s="7" t="s">
        <v>622</v>
      </c>
      <c r="BV4" s="7" t="s">
        <v>669</v>
      </c>
      <c r="BX4" s="7" t="s">
        <v>10203</v>
      </c>
      <c r="BY4" s="7" t="s">
        <v>797</v>
      </c>
      <c r="BZ4" s="7" t="s">
        <v>8835</v>
      </c>
      <c r="CB4" t="s">
        <v>9179</v>
      </c>
      <c r="CC4" t="s">
        <v>9171</v>
      </c>
    </row>
    <row r="5" spans="1:81" ht="18" x14ac:dyDescent="0.25">
      <c r="A5" s="36"/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415" t="s">
        <v>10150</v>
      </c>
      <c r="N5" s="415"/>
      <c r="O5" s="415"/>
      <c r="P5" s="415"/>
      <c r="Q5" s="415"/>
      <c r="R5" s="415"/>
      <c r="S5" s="415"/>
      <c r="T5" s="415"/>
      <c r="U5" s="415"/>
      <c r="V5" s="415"/>
      <c r="W5" s="415"/>
      <c r="X5" s="415"/>
      <c r="Y5" s="415"/>
      <c r="Z5" s="153"/>
      <c r="AA5" s="153"/>
      <c r="AB5" s="153"/>
      <c r="AC5" s="153"/>
      <c r="AD5" s="153"/>
      <c r="AE5" s="153"/>
      <c r="AF5" s="153"/>
      <c r="AG5" s="153"/>
      <c r="AH5" s="153"/>
      <c r="AI5" s="41"/>
      <c r="AJ5" s="41"/>
      <c r="AK5" s="41"/>
      <c r="AL5" s="41"/>
      <c r="AM5" s="41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34" t="s">
        <v>8765</v>
      </c>
      <c r="BM5" s="281" t="s">
        <v>10235</v>
      </c>
      <c r="BN5" s="7" t="s">
        <v>26</v>
      </c>
      <c r="BO5" s="7" t="s">
        <v>551</v>
      </c>
      <c r="BP5" s="7" t="s">
        <v>8986</v>
      </c>
      <c r="BQ5" s="7" t="s">
        <v>628</v>
      </c>
      <c r="BR5" s="7" t="s">
        <v>654</v>
      </c>
      <c r="BS5" s="7" t="s">
        <v>735</v>
      </c>
      <c r="BT5" s="7" t="s">
        <v>658</v>
      </c>
      <c r="BU5" s="7" t="s">
        <v>623</v>
      </c>
      <c r="BV5" s="7" t="s">
        <v>670</v>
      </c>
      <c r="BX5" s="7" t="s">
        <v>10168</v>
      </c>
      <c r="BY5" s="7" t="s">
        <v>797</v>
      </c>
      <c r="BZ5" s="7" t="s">
        <v>8835</v>
      </c>
      <c r="CB5" t="s">
        <v>9180</v>
      </c>
      <c r="CC5" t="s">
        <v>9171</v>
      </c>
    </row>
    <row r="6" spans="1:81" ht="15" customHeight="1" x14ac:dyDescent="0.25">
      <c r="A6" s="30"/>
      <c r="B6" s="406" t="s">
        <v>2</v>
      </c>
      <c r="C6" s="406"/>
      <c r="D6" s="406"/>
      <c r="E6" s="406"/>
      <c r="F6" s="406"/>
      <c r="G6" s="406"/>
      <c r="H6" s="406"/>
      <c r="I6" s="410"/>
      <c r="J6" s="410"/>
      <c r="K6" s="410"/>
      <c r="L6" s="410"/>
      <c r="M6" s="410"/>
      <c r="N6" s="410"/>
      <c r="O6" s="409" t="s">
        <v>3</v>
      </c>
      <c r="P6" s="409"/>
      <c r="Q6" s="401">
        <f>I6+14</f>
        <v>14</v>
      </c>
      <c r="R6" s="401"/>
      <c r="S6" s="401"/>
      <c r="T6" s="401"/>
      <c r="U6" s="401"/>
      <c r="V6" s="57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t="s">
        <v>8766</v>
      </c>
      <c r="BM6" s="281" t="s">
        <v>10236</v>
      </c>
      <c r="BN6" s="7" t="s">
        <v>27</v>
      </c>
      <c r="BO6" s="7" t="s">
        <v>552</v>
      </c>
      <c r="BP6" s="7" t="s">
        <v>740</v>
      </c>
      <c r="BQ6" s="7" t="s">
        <v>629</v>
      </c>
      <c r="BR6" s="7" t="s">
        <v>8978</v>
      </c>
      <c r="BS6" s="7" t="s">
        <v>9025</v>
      </c>
      <c r="BT6" s="7" t="s">
        <v>659</v>
      </c>
      <c r="BU6" s="7" t="s">
        <v>624</v>
      </c>
      <c r="BV6" s="7" t="s">
        <v>671</v>
      </c>
      <c r="BX6" s="7" t="s">
        <v>10169</v>
      </c>
      <c r="BY6" s="7" t="s">
        <v>797</v>
      </c>
      <c r="BZ6" s="7" t="s">
        <v>8835</v>
      </c>
      <c r="CB6" t="s">
        <v>9181</v>
      </c>
      <c r="CC6" t="s">
        <v>9171</v>
      </c>
    </row>
    <row r="7" spans="1:81" ht="15" customHeight="1" x14ac:dyDescent="0.25">
      <c r="A7" s="30"/>
      <c r="B7" s="406" t="s">
        <v>6</v>
      </c>
      <c r="C7" s="406"/>
      <c r="D7" s="406"/>
      <c r="E7" s="406"/>
      <c r="F7" s="406"/>
      <c r="G7" s="406"/>
      <c r="H7" s="404"/>
      <c r="I7" s="404"/>
      <c r="J7" s="404"/>
      <c r="K7" s="404"/>
      <c r="L7" s="404"/>
      <c r="M7" s="404"/>
      <c r="N7" s="404"/>
      <c r="O7" s="407" t="s">
        <v>7</v>
      </c>
      <c r="P7" s="407"/>
      <c r="Q7" s="398"/>
      <c r="R7" s="398"/>
      <c r="S7" s="398"/>
      <c r="T7" s="398"/>
      <c r="U7" s="398"/>
      <c r="V7" s="57"/>
      <c r="W7" s="408" t="s">
        <v>4</v>
      </c>
      <c r="X7" s="408"/>
      <c r="Y7" s="408"/>
      <c r="Z7" s="408"/>
      <c r="AA7" s="59"/>
      <c r="AB7" s="411" t="s">
        <v>9419</v>
      </c>
      <c r="AC7" s="412"/>
      <c r="AD7" s="59"/>
      <c r="AE7" s="411" t="s">
        <v>64</v>
      </c>
      <c r="AF7" s="412"/>
      <c r="AG7" s="178"/>
      <c r="AH7" s="411" t="s">
        <v>9135</v>
      </c>
      <c r="AI7" s="412"/>
      <c r="AJ7" s="178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t="s">
        <v>8767</v>
      </c>
      <c r="BM7" s="281" t="s">
        <v>10285</v>
      </c>
      <c r="BN7" s="7" t="s">
        <v>28</v>
      </c>
      <c r="BO7" s="7" t="s">
        <v>553</v>
      </c>
      <c r="BP7" s="7" t="s">
        <v>741</v>
      </c>
      <c r="BQ7" s="7" t="s">
        <v>630</v>
      </c>
      <c r="BR7" s="7" t="s">
        <v>655</v>
      </c>
      <c r="BS7" s="7" t="s">
        <v>736</v>
      </c>
      <c r="BT7" s="7" t="s">
        <v>8990</v>
      </c>
      <c r="BV7" s="7" t="s">
        <v>672</v>
      </c>
      <c r="BX7" s="7" t="s">
        <v>10170</v>
      </c>
      <c r="BY7" s="7" t="s">
        <v>797</v>
      </c>
      <c r="BZ7" s="7" t="s">
        <v>8835</v>
      </c>
      <c r="CB7" t="s">
        <v>9182</v>
      </c>
      <c r="CC7" t="s">
        <v>9171</v>
      </c>
    </row>
    <row r="8" spans="1:81" ht="15" customHeight="1" x14ac:dyDescent="0.25">
      <c r="A8" s="30"/>
      <c r="B8" s="406" t="s">
        <v>9</v>
      </c>
      <c r="C8" s="406"/>
      <c r="D8" s="406"/>
      <c r="E8" s="406"/>
      <c r="F8" s="404"/>
      <c r="G8" s="404"/>
      <c r="H8" s="404"/>
      <c r="I8" s="404"/>
      <c r="J8" s="404"/>
      <c r="K8" s="404"/>
      <c r="L8" s="404"/>
      <c r="M8" s="404"/>
      <c r="N8" s="404"/>
      <c r="O8" s="403" t="s">
        <v>9100</v>
      </c>
      <c r="P8" s="403"/>
      <c r="Q8" s="403"/>
      <c r="R8" s="403"/>
      <c r="S8" s="400"/>
      <c r="T8" s="400"/>
      <c r="U8" s="400"/>
      <c r="V8" s="60"/>
      <c r="W8" s="385">
        <f>AD59+ANEXO!AD59</f>
        <v>0</v>
      </c>
      <c r="X8" s="385"/>
      <c r="Y8" s="385"/>
      <c r="Z8" s="385"/>
      <c r="AA8" s="179"/>
      <c r="AB8" s="413" t="str">
        <f>IF(ANEXO!AD59&gt;0,"SI","")</f>
        <v/>
      </c>
      <c r="AC8" s="414"/>
      <c r="AD8" s="61"/>
      <c r="AE8" s="499" t="str">
        <f>IF(AO1&lt;180,"SI","")</f>
        <v/>
      </c>
      <c r="AF8" s="500"/>
      <c r="AG8" s="183"/>
      <c r="AH8" s="499" t="str">
        <f>IF(AO2&lt;180,"SI","")</f>
        <v/>
      </c>
      <c r="AI8" s="500"/>
      <c r="AJ8" s="180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t="s">
        <v>8768</v>
      </c>
      <c r="BM8" s="281" t="s">
        <v>10237</v>
      </c>
      <c r="BN8" s="7" t="s">
        <v>29</v>
      </c>
      <c r="BO8" s="7" t="s">
        <v>554</v>
      </c>
      <c r="BQ8" s="7" t="s">
        <v>631</v>
      </c>
      <c r="BS8" s="7" t="s">
        <v>737</v>
      </c>
      <c r="BT8" s="7" t="s">
        <v>660</v>
      </c>
      <c r="BV8" s="7" t="s">
        <v>673</v>
      </c>
      <c r="BX8" s="7" t="s">
        <v>10171</v>
      </c>
      <c r="BY8" s="7" t="s">
        <v>797</v>
      </c>
      <c r="BZ8" s="7" t="s">
        <v>8835</v>
      </c>
      <c r="CB8" t="s">
        <v>9183</v>
      </c>
      <c r="CC8" t="s">
        <v>9171</v>
      </c>
    </row>
    <row r="9" spans="1:81" ht="15" customHeight="1" x14ac:dyDescent="0.25">
      <c r="A9" s="30"/>
      <c r="B9" s="406" t="s">
        <v>11</v>
      </c>
      <c r="C9" s="406"/>
      <c r="D9" s="406"/>
      <c r="E9" s="406"/>
      <c r="F9" s="406"/>
      <c r="G9" s="406"/>
      <c r="H9" s="405"/>
      <c r="I9" s="405"/>
      <c r="J9" s="405"/>
      <c r="K9" s="405"/>
      <c r="L9" s="405"/>
      <c r="M9" s="405"/>
      <c r="N9" s="405"/>
      <c r="O9" s="407" t="s">
        <v>9099</v>
      </c>
      <c r="P9" s="407"/>
      <c r="Q9" s="399"/>
      <c r="R9" s="399"/>
      <c r="S9" s="400"/>
      <c r="T9" s="400"/>
      <c r="U9" s="400"/>
      <c r="V9" s="60"/>
      <c r="W9" s="385"/>
      <c r="X9" s="385"/>
      <c r="Y9" s="385"/>
      <c r="Z9" s="385"/>
      <c r="AA9" s="59"/>
      <c r="AB9" s="413"/>
      <c r="AC9" s="414"/>
      <c r="AD9" s="59"/>
      <c r="AE9" s="501">
        <f>180-AO1</f>
        <v>0</v>
      </c>
      <c r="AF9" s="500"/>
      <c r="AG9" s="184"/>
      <c r="AH9" s="501">
        <f>180-AO2</f>
        <v>0</v>
      </c>
      <c r="AI9" s="500"/>
      <c r="AJ9" s="6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t="s">
        <v>8769</v>
      </c>
      <c r="BM9" s="281" t="s">
        <v>10238</v>
      </c>
      <c r="BN9" s="7" t="s">
        <v>30</v>
      </c>
      <c r="BO9" s="7" t="s">
        <v>555</v>
      </c>
      <c r="BQ9" s="7" t="s">
        <v>9017</v>
      </c>
      <c r="BS9" s="7" t="s">
        <v>738</v>
      </c>
      <c r="BT9" s="7" t="s">
        <v>661</v>
      </c>
      <c r="BV9" s="7" t="s">
        <v>674</v>
      </c>
      <c r="BX9" s="7" t="s">
        <v>10172</v>
      </c>
      <c r="BY9" s="7" t="s">
        <v>797</v>
      </c>
      <c r="BZ9" s="7" t="s">
        <v>8835</v>
      </c>
      <c r="CB9" t="s">
        <v>9184</v>
      </c>
      <c r="CC9" t="s">
        <v>9171</v>
      </c>
    </row>
    <row r="10" spans="1:81" ht="15.75" thickBot="1" x14ac:dyDescent="0.3">
      <c r="A10" s="30"/>
      <c r="B10" s="1"/>
      <c r="C10" s="1"/>
      <c r="D10" s="1"/>
      <c r="E10" s="1"/>
      <c r="F10" s="1"/>
      <c r="G10" s="1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t="s">
        <v>8770</v>
      </c>
      <c r="BM10" s="281" t="s">
        <v>10284</v>
      </c>
      <c r="BN10" s="7" t="s">
        <v>31</v>
      </c>
      <c r="BO10" s="7" t="s">
        <v>556</v>
      </c>
      <c r="BQ10" s="7" t="s">
        <v>632</v>
      </c>
      <c r="BS10" s="7" t="s">
        <v>739</v>
      </c>
      <c r="BT10" s="7" t="s">
        <v>662</v>
      </c>
      <c r="BV10" s="7" t="s">
        <v>675</v>
      </c>
      <c r="BX10" s="7" t="s">
        <v>10173</v>
      </c>
      <c r="BY10" s="7" t="s">
        <v>797</v>
      </c>
      <c r="BZ10" s="7" t="s">
        <v>8835</v>
      </c>
      <c r="CB10" t="s">
        <v>9185</v>
      </c>
      <c r="CC10" t="s">
        <v>9171</v>
      </c>
    </row>
    <row r="11" spans="1:81" ht="16.5" thickTop="1" thickBot="1" x14ac:dyDescent="0.3">
      <c r="A11" s="30"/>
      <c r="B11" s="4"/>
      <c r="C11" s="377" t="s">
        <v>13</v>
      </c>
      <c r="D11" s="378"/>
      <c r="E11" s="378"/>
      <c r="F11" s="378"/>
      <c r="G11" s="378"/>
      <c r="H11" s="378"/>
      <c r="I11" s="378"/>
      <c r="J11" s="378"/>
      <c r="K11" s="378"/>
      <c r="L11" s="378"/>
      <c r="M11" s="378"/>
      <c r="N11" s="378"/>
      <c r="O11" s="378"/>
      <c r="P11" s="378"/>
      <c r="Q11" s="378"/>
      <c r="R11" s="378"/>
      <c r="S11" s="378"/>
      <c r="T11" s="378"/>
      <c r="U11" s="378"/>
      <c r="V11" s="378"/>
      <c r="W11" s="378"/>
      <c r="X11" s="378"/>
      <c r="Y11" s="378"/>
      <c r="Z11" s="378"/>
      <c r="AA11" s="378"/>
      <c r="AB11" s="378"/>
      <c r="AC11" s="378"/>
      <c r="AD11" s="378"/>
      <c r="AE11" s="378"/>
      <c r="AF11" s="379"/>
      <c r="AG11" s="416" t="s">
        <v>9136</v>
      </c>
      <c r="AH11" s="417"/>
      <c r="AI11" s="417"/>
      <c r="AJ11" s="418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t="s">
        <v>8771</v>
      </c>
      <c r="BM11" s="281" t="s">
        <v>10239</v>
      </c>
      <c r="BN11" s="7" t="s">
        <v>32</v>
      </c>
      <c r="BO11" s="7" t="s">
        <v>557</v>
      </c>
      <c r="BQ11" s="7" t="s">
        <v>9018</v>
      </c>
      <c r="BT11" s="7" t="s">
        <v>8991</v>
      </c>
      <c r="BV11" s="7" t="s">
        <v>676</v>
      </c>
      <c r="BX11" s="7" t="s">
        <v>10174</v>
      </c>
      <c r="BY11" s="7" t="s">
        <v>797</v>
      </c>
      <c r="BZ11" s="7" t="s">
        <v>8835</v>
      </c>
      <c r="CB11" t="s">
        <v>9186</v>
      </c>
      <c r="CC11" t="s">
        <v>9171</v>
      </c>
    </row>
    <row r="12" spans="1:81" ht="15" customHeight="1" thickTop="1" x14ac:dyDescent="0.25">
      <c r="A12" s="42"/>
      <c r="B12" s="464" t="s">
        <v>14</v>
      </c>
      <c r="C12" s="466" t="s">
        <v>10224</v>
      </c>
      <c r="D12" s="467"/>
      <c r="E12" s="467"/>
      <c r="F12" s="467"/>
      <c r="G12" s="467"/>
      <c r="H12" s="467"/>
      <c r="I12" s="468"/>
      <c r="J12" s="460" t="s">
        <v>10151</v>
      </c>
      <c r="K12" s="460"/>
      <c r="L12" s="460"/>
      <c r="M12" s="460"/>
      <c r="N12" s="460" t="s">
        <v>22</v>
      </c>
      <c r="O12" s="460"/>
      <c r="P12" s="460"/>
      <c r="Q12" s="460"/>
      <c r="R12" s="462" t="s">
        <v>2178</v>
      </c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3"/>
      <c r="AD12" s="364" t="s">
        <v>15</v>
      </c>
      <c r="AE12" s="365"/>
      <c r="AF12" s="366"/>
      <c r="AG12" s="381" t="s">
        <v>64</v>
      </c>
      <c r="AH12" s="382"/>
      <c r="AI12" s="503" t="s">
        <v>9138</v>
      </c>
      <c r="AJ12" s="504"/>
      <c r="AK12" s="43"/>
      <c r="AL12" s="43"/>
      <c r="AM12" s="43">
        <v>1</v>
      </c>
      <c r="AN12" s="44">
        <v>2</v>
      </c>
      <c r="AO12" s="44">
        <v>3</v>
      </c>
      <c r="AP12" s="44">
        <v>4</v>
      </c>
      <c r="AQ12" s="44">
        <v>5</v>
      </c>
      <c r="AR12" s="44">
        <v>6</v>
      </c>
      <c r="AS12" s="44">
        <v>7</v>
      </c>
      <c r="AT12" s="44">
        <v>8</v>
      </c>
      <c r="AU12" s="44">
        <v>9</v>
      </c>
      <c r="AV12" s="44">
        <v>10</v>
      </c>
      <c r="AW12" s="44">
        <v>11</v>
      </c>
      <c r="AX12" s="44">
        <v>12</v>
      </c>
      <c r="AY12" s="44">
        <v>13</v>
      </c>
      <c r="AZ12" s="44">
        <v>14</v>
      </c>
      <c r="BA12" s="44">
        <v>15</v>
      </c>
      <c r="BB12" s="44">
        <v>16</v>
      </c>
      <c r="BC12" s="44">
        <v>17</v>
      </c>
      <c r="BD12" s="44"/>
      <c r="BE12" s="44"/>
      <c r="BF12" s="45"/>
      <c r="BG12" s="45"/>
      <c r="BH12" s="45"/>
      <c r="BI12" s="45"/>
      <c r="BJ12" s="45"/>
      <c r="BK12" s="45"/>
      <c r="BL12" t="s">
        <v>10149</v>
      </c>
      <c r="BM12" s="281" t="s">
        <v>10240</v>
      </c>
      <c r="BN12" s="7" t="s">
        <v>33</v>
      </c>
      <c r="BO12" s="7" t="s">
        <v>558</v>
      </c>
      <c r="BQ12" s="7" t="s">
        <v>633</v>
      </c>
      <c r="BT12" s="7" t="s">
        <v>663</v>
      </c>
      <c r="BV12" s="7" t="s">
        <v>677</v>
      </c>
      <c r="BX12" s="7" t="s">
        <v>10175</v>
      </c>
      <c r="BY12" s="7" t="s">
        <v>797</v>
      </c>
      <c r="BZ12" s="7" t="s">
        <v>8835</v>
      </c>
      <c r="CB12" t="s">
        <v>9187</v>
      </c>
      <c r="CC12" t="s">
        <v>9171</v>
      </c>
    </row>
    <row r="13" spans="1:81" ht="14.45" customHeight="1" x14ac:dyDescent="0.25">
      <c r="A13" s="42"/>
      <c r="B13" s="465"/>
      <c r="C13" s="469"/>
      <c r="D13" s="470"/>
      <c r="E13" s="470"/>
      <c r="F13" s="470"/>
      <c r="G13" s="470"/>
      <c r="H13" s="470"/>
      <c r="I13" s="471"/>
      <c r="J13" s="461"/>
      <c r="K13" s="461"/>
      <c r="L13" s="461"/>
      <c r="M13" s="461"/>
      <c r="N13" s="461"/>
      <c r="O13" s="461"/>
      <c r="P13" s="461"/>
      <c r="Q13" s="461"/>
      <c r="R13" s="461" t="s">
        <v>796</v>
      </c>
      <c r="S13" s="461"/>
      <c r="T13" s="461"/>
      <c r="U13" s="461"/>
      <c r="V13" s="461"/>
      <c r="W13" s="461"/>
      <c r="X13" s="461"/>
      <c r="Y13" s="510" t="s">
        <v>10152</v>
      </c>
      <c r="Z13" s="510"/>
      <c r="AA13" s="510"/>
      <c r="AB13" s="510"/>
      <c r="AC13" s="511"/>
      <c r="AD13" s="367"/>
      <c r="AE13" s="368"/>
      <c r="AF13" s="369"/>
      <c r="AG13" s="383"/>
      <c r="AH13" s="384"/>
      <c r="AI13" s="505"/>
      <c r="AJ13" s="506"/>
      <c r="AK13" s="43"/>
      <c r="AL13" s="43"/>
      <c r="AM13" s="46" t="s">
        <v>14</v>
      </c>
      <c r="AN13" s="46" t="s">
        <v>795</v>
      </c>
      <c r="AO13" s="46" t="s">
        <v>7810</v>
      </c>
      <c r="AP13" s="46" t="s">
        <v>7813</v>
      </c>
      <c r="AQ13" s="46" t="s">
        <v>7814</v>
      </c>
      <c r="AR13" s="46" t="s">
        <v>7816</v>
      </c>
      <c r="AS13" s="46" t="s">
        <v>7817</v>
      </c>
      <c r="AT13" s="46" t="s">
        <v>7818</v>
      </c>
      <c r="AU13" s="46" t="s">
        <v>7819</v>
      </c>
      <c r="AV13" s="46" t="s">
        <v>7820</v>
      </c>
      <c r="AW13" s="46" t="s">
        <v>7826</v>
      </c>
      <c r="AX13" s="47" t="s">
        <v>10100</v>
      </c>
      <c r="AY13" s="46" t="s">
        <v>10107</v>
      </c>
      <c r="AZ13" s="46" t="s">
        <v>10108</v>
      </c>
      <c r="BA13" s="46" t="s">
        <v>10104</v>
      </c>
      <c r="BB13" s="46" t="s">
        <v>10105</v>
      </c>
      <c r="BC13" s="46" t="s">
        <v>10106</v>
      </c>
      <c r="BD13" s="46"/>
      <c r="BE13" s="218" t="s">
        <v>7816</v>
      </c>
      <c r="BF13" s="218" t="s">
        <v>7817</v>
      </c>
      <c r="BG13" s="218" t="s">
        <v>7818</v>
      </c>
      <c r="BH13" s="218" t="s">
        <v>10100</v>
      </c>
      <c r="BI13" s="220" t="s">
        <v>10107</v>
      </c>
      <c r="BJ13" s="220" t="s">
        <v>10108</v>
      </c>
      <c r="BK13" s="47"/>
      <c r="BL13" s="218" t="s">
        <v>64</v>
      </c>
      <c r="BM13" s="281" t="s">
        <v>10241</v>
      </c>
      <c r="BN13" s="7" t="s">
        <v>35</v>
      </c>
      <c r="BO13" s="39" t="s">
        <v>1686</v>
      </c>
      <c r="BQ13" s="7" t="s">
        <v>634</v>
      </c>
      <c r="BT13" s="7" t="s">
        <v>664</v>
      </c>
      <c r="BV13" s="7" t="s">
        <v>678</v>
      </c>
      <c r="BX13" s="7" t="s">
        <v>10176</v>
      </c>
      <c r="BY13" s="7" t="s">
        <v>797</v>
      </c>
      <c r="BZ13" s="7" t="s">
        <v>8835</v>
      </c>
      <c r="CB13" t="s">
        <v>9188</v>
      </c>
      <c r="CC13" t="s">
        <v>9171</v>
      </c>
    </row>
    <row r="14" spans="1:81" x14ac:dyDescent="0.25">
      <c r="A14" s="42"/>
      <c r="B14" s="5">
        <v>1</v>
      </c>
      <c r="C14" s="422"/>
      <c r="D14" s="423"/>
      <c r="E14" s="423"/>
      <c r="F14" s="423"/>
      <c r="G14" s="423"/>
      <c r="H14" s="423"/>
      <c r="I14" s="424"/>
      <c r="J14" s="380"/>
      <c r="K14" s="380"/>
      <c r="L14" s="380"/>
      <c r="M14" s="380"/>
      <c r="N14" s="425" t="e">
        <f>INDEX(AMBIENTE!D$2:D$756,MATCH(R14,AMBIENTE!C$2:C$756,0))</f>
        <v>#N/A</v>
      </c>
      <c r="O14" s="426"/>
      <c r="P14" s="426"/>
      <c r="Q14" s="427"/>
      <c r="R14" s="428"/>
      <c r="S14" s="429"/>
      <c r="T14" s="429"/>
      <c r="U14" s="429"/>
      <c r="V14" s="429"/>
      <c r="W14" s="429"/>
      <c r="X14" s="430"/>
      <c r="Y14" s="374"/>
      <c r="Z14" s="375"/>
      <c r="AA14" s="375"/>
      <c r="AB14" s="375"/>
      <c r="AC14" s="376"/>
      <c r="AD14" s="357"/>
      <c r="AE14" s="358"/>
      <c r="AF14" s="359"/>
      <c r="AG14" s="372" t="str">
        <f>IFERROR(VLOOKUP(Item[[#This Row],[Concatenado]],CITES[],2,FALSE),"")</f>
        <v/>
      </c>
      <c r="AH14" s="373"/>
      <c r="AI14" s="372" t="str">
        <f>IFERROR(VLOOKUP(Item[[#This Row],[Concatenado]],SuscepEARs[],2,FALSE),"")</f>
        <v/>
      </c>
      <c r="AJ14" s="373"/>
      <c r="AK14" s="43"/>
      <c r="AL14" s="43"/>
      <c r="AM14" s="46">
        <v>1</v>
      </c>
      <c r="AN14" s="46" t="str">
        <f>CONCATENATE(R14," ",Y14)</f>
        <v xml:space="preserve"> </v>
      </c>
      <c r="AO14" s="46">
        <f t="shared" ref="AO14:AO58" si="0">C14</f>
        <v>0</v>
      </c>
      <c r="AP14" s="46">
        <f t="shared" ref="AP14:AP58" si="1">J14</f>
        <v>0</v>
      </c>
      <c r="AQ14" s="46" t="str">
        <f t="shared" ref="AQ14:AQ58" si="2">IFERROR(N14,"")</f>
        <v/>
      </c>
      <c r="AR14" s="46">
        <f>SUMIF('Acuario (Arribado - mortalidad)'!$B$14:$B$90,'ORDEN DE CUARENTENA'!B14,'Acuario (Arribado - mortalidad)'!$F$14:$F$90)</f>
        <v>0</v>
      </c>
      <c r="AS14" s="46" t="str">
        <f>IF(AR14&gt;0, IF(SUMIF('Acuario (Arribado - mortalidad)'!$B$14:$B$90,'ORDEN DE CUARENTENA'!B14,'Acuario (Arribado - mortalidad)'!$K$14:$K$90)=0, "0", SUMIF('Acuario (Arribado - mortalidad)'!$B$14:$B$90,'ORDEN DE CUARENTENA'!B14,'Acuario (Arribado - mortalidad)'!$K$14:$K$90)),"")</f>
        <v/>
      </c>
      <c r="AT14" s="46">
        <f>IF(AR14 = AS14,"0", SUMIF('Acuario (Arribado - mortalidad)'!$B$14:$B$90,'ORDEN DE CUARENTENA'!B14,'Acuario (Arribado - mortalidad)'!$G$14:$G$90))</f>
        <v>0</v>
      </c>
      <c r="AU14" s="48" t="str">
        <f>IFERROR(Item[[#This Row],[mortalidad acumulada]]/Item[[#This Row],[cantidad arribada]],"")</f>
        <v/>
      </c>
      <c r="AV14" s="46">
        <f>IF(ISTEXT(R14),IF(Item[[#This Row],[cantidad arribada]]=0,"No llega",Item[[#This Row],[cantidad arribada]]),)</f>
        <v>0</v>
      </c>
      <c r="AW14" s="46" t="str">
        <f>IFERROR(VLOOKUP(B14,'Tratamientos-Eventos'!$B$9:$S$20,19,FALSE),"")</f>
        <v/>
      </c>
      <c r="AX14" s="46">
        <f>SUMIF('Acuario (Arribado - mortalidad)'!$B$14:$B$90,'ORDEN DE CUARENTENA'!B14,'Acuario (Arribado - mortalidad)'!$O$14:$O$90)</f>
        <v>0</v>
      </c>
      <c r="AY14" s="46">
        <f>SUMIF('Acuario (Arribado - mortalidad)'!$B$14:$B$90,'ORDEN DE CUARENTENA'!B14,'Acuario (Arribado - mortalidad)'!$BG$14:$BG$90)</f>
        <v>0</v>
      </c>
      <c r="AZ14" s="46">
        <f>SUMIF('Acuario (Arribado - mortalidad)'!$B$14:$B$90,'ORDEN DE CUARENTENA'!B14,'Acuario (Arribado - mortalidad)'!$BH$14:$BH$90)</f>
        <v>0</v>
      </c>
      <c r="BA14" s="46" t="str">
        <f>IFERROR(Item[[#This Row],[Mortalidad dia 1]]/Item[[#This Row],[cantidad arribada]],"")</f>
        <v/>
      </c>
      <c r="BB14" s="46" t="str">
        <f>IFERROR(Item[[#This Row],[Mortalidad 2 a 8  (Sem 1)]]/Item[[#This Row],[cantidad arribada]],"")</f>
        <v/>
      </c>
      <c r="BC14" s="46" t="str">
        <f>IFERROR(Item[[#This Row],[Mortalidad 9 a 15 (Sem 2)]]/Item[[#This Row],[cantidad arribada]],"")</f>
        <v/>
      </c>
      <c r="BD14" s="46"/>
      <c r="BE14" s="219">
        <f>SUMIF('Acuario (Arribado - mortalidad)'!$B$14:$B$90,'ORDEN DE CUARENTENA'!B14,'Acuario (Arribado - mortalidad)'!$F$14:$F$90)</f>
        <v>0</v>
      </c>
      <c r="BF14" s="219">
        <f>SUMIF('Acuario (Arribado - mortalidad)'!$B$14:$B$90,'ORDEN DE CUARENTENA'!B14,'Acuario (Arribado - mortalidad)'!$K$14:$K$90)</f>
        <v>0</v>
      </c>
      <c r="BG14" s="219">
        <f>SUMIF('Acuario (Arribado - mortalidad)'!$B$14:$B$90,'ORDEN DE CUARENTENA'!B14,'Acuario (Arribado - mortalidad)'!$G$14:$G$90)</f>
        <v>0</v>
      </c>
      <c r="BH14" s="219">
        <f>SUMIF('Acuario (Arribado - mortalidad)'!$B$14:$B$90,'ORDEN DE CUARENTENA'!B14,'Acuario (Arribado - mortalidad)'!$O$14:$O$90)</f>
        <v>0</v>
      </c>
      <c r="BI14" s="219">
        <f>SUMIF('Acuario (Arribado - mortalidad)'!$B$14:$B$90,'ORDEN DE CUARENTENA'!B14,'Acuario (Arribado - mortalidad)'!$BG$14:$BG$90)</f>
        <v>0</v>
      </c>
      <c r="BJ14" s="219">
        <f>SUMIF('Acuario (Arribado - mortalidad)'!$B$14:$B$90,'ORDEN DE CUARENTENA'!B14,'Acuario (Arribado - mortalidad)'!$BH$14:$BH$90)</f>
        <v>0</v>
      </c>
      <c r="BK14" s="46"/>
      <c r="BL14" s="263" t="str">
        <f>IFERROR(VLOOKUP(R14:AC14,CITES[],2,FALSE),"")</f>
        <v/>
      </c>
      <c r="BM14" s="282" t="s">
        <v>10242</v>
      </c>
      <c r="BN14" s="7" t="s">
        <v>36</v>
      </c>
      <c r="BO14" s="7" t="s">
        <v>559</v>
      </c>
      <c r="BQ14" s="7" t="s">
        <v>635</v>
      </c>
      <c r="BT14" s="7" t="s">
        <v>665</v>
      </c>
      <c r="BV14" s="7" t="s">
        <v>679</v>
      </c>
      <c r="BX14" s="7" t="s">
        <v>10177</v>
      </c>
      <c r="BY14" s="7" t="s">
        <v>797</v>
      </c>
      <c r="BZ14" s="7" t="s">
        <v>8835</v>
      </c>
      <c r="CB14" t="s">
        <v>9189</v>
      </c>
      <c r="CC14" t="s">
        <v>9171</v>
      </c>
    </row>
    <row r="15" spans="1:81" x14ac:dyDescent="0.25">
      <c r="A15" s="42"/>
      <c r="B15" s="5">
        <v>2</v>
      </c>
      <c r="C15" s="422"/>
      <c r="D15" s="423"/>
      <c r="E15" s="423"/>
      <c r="F15" s="423"/>
      <c r="G15" s="423"/>
      <c r="H15" s="423"/>
      <c r="I15" s="424"/>
      <c r="J15" s="380"/>
      <c r="K15" s="380"/>
      <c r="L15" s="380"/>
      <c r="M15" s="380"/>
      <c r="N15" s="425" t="e">
        <f>INDEX(AMBIENTE!D$2:D$756,MATCH(R15,AMBIENTE!C$2:C$756,0))</f>
        <v>#N/A</v>
      </c>
      <c r="O15" s="426"/>
      <c r="P15" s="426"/>
      <c r="Q15" s="427"/>
      <c r="R15" s="428"/>
      <c r="S15" s="429"/>
      <c r="T15" s="429"/>
      <c r="U15" s="429"/>
      <c r="V15" s="429"/>
      <c r="W15" s="429"/>
      <c r="X15" s="430"/>
      <c r="Y15" s="374"/>
      <c r="Z15" s="375"/>
      <c r="AA15" s="375"/>
      <c r="AB15" s="375"/>
      <c r="AC15" s="376"/>
      <c r="AD15" s="357"/>
      <c r="AE15" s="358"/>
      <c r="AF15" s="359"/>
      <c r="AG15" s="372" t="str">
        <f>IFERROR(VLOOKUP(Item[[#This Row],[Concatenado]],CITES[],2,FALSE),"")</f>
        <v/>
      </c>
      <c r="AH15" s="373"/>
      <c r="AI15" s="372" t="str">
        <f>IFERROR(VLOOKUP(Item[[#This Row],[Concatenado]],SuscepEARs[],2,FALSE),"")</f>
        <v/>
      </c>
      <c r="AJ15" s="373"/>
      <c r="AK15" s="6"/>
      <c r="AL15" s="43"/>
      <c r="AM15" s="46">
        <v>2</v>
      </c>
      <c r="AN15" s="46" t="str">
        <f>CONCATENATE(R15," ",Y15)</f>
        <v xml:space="preserve"> </v>
      </c>
      <c r="AO15" s="46">
        <f t="shared" si="0"/>
        <v>0</v>
      </c>
      <c r="AP15" s="46">
        <f t="shared" si="1"/>
        <v>0</v>
      </c>
      <c r="AQ15" s="46" t="str">
        <f t="shared" si="2"/>
        <v/>
      </c>
      <c r="AR15" s="46">
        <f>SUMIF('Acuario (Arribado - mortalidad)'!$B$14:$B$90,'ORDEN DE CUARENTENA'!B15,'Acuario (Arribado - mortalidad)'!$F$14:$F$90)</f>
        <v>0</v>
      </c>
      <c r="AS15" s="46" t="str">
        <f>IF(AR15&gt;0, IF(SUMIF('Acuario (Arribado - mortalidad)'!$B$14:$B$90,'ORDEN DE CUARENTENA'!B15,'Acuario (Arribado - mortalidad)'!$K$14:$K$90)=0, "0", SUMIF('Acuario (Arribado - mortalidad)'!$B$14:$B$90,'ORDEN DE CUARENTENA'!B15,'Acuario (Arribado - mortalidad)'!$K$14:$K$90)),"")</f>
        <v/>
      </c>
      <c r="AT15" s="46">
        <f>IF(AR15 = AS15,"0", SUMIF('Acuario (Arribado - mortalidad)'!$B$14:$B$90,'ORDEN DE CUARENTENA'!B15,'Acuario (Arribado - mortalidad)'!$G$14:$G$90))</f>
        <v>0</v>
      </c>
      <c r="AU15" s="48" t="str">
        <f>IFERROR(Item[[#This Row],[mortalidad acumulada]]/Item[[#This Row],[cantidad arribada]],"")</f>
        <v/>
      </c>
      <c r="AV15" s="46">
        <f>IF(ISTEXT(R15),IF(Item[[#This Row],[cantidad arribada]]=0,"No llega",Item[[#This Row],[cantidad arribada]]),)</f>
        <v>0</v>
      </c>
      <c r="AW15" s="46" t="str">
        <f>IFERROR(VLOOKUP(B15,'Tratamientos-Eventos'!$B$9:$S$20,19,FALSE),"")</f>
        <v/>
      </c>
      <c r="AX15" s="46">
        <f>SUMIF('Acuario (Arribado - mortalidad)'!$B$14:$B$90,'ORDEN DE CUARENTENA'!B15,'Acuario (Arribado - mortalidad)'!$O$14:$O$90)</f>
        <v>0</v>
      </c>
      <c r="AY15" s="46">
        <f>SUMIF('Acuario (Arribado - mortalidad)'!$B$14:$B$90,'ORDEN DE CUARENTENA'!B15,'Acuario (Arribado - mortalidad)'!$BG$14:$BG$90)</f>
        <v>0</v>
      </c>
      <c r="AZ15" s="46">
        <f>SUMIF('Acuario (Arribado - mortalidad)'!$B$14:$B$90,'ORDEN DE CUARENTENA'!B15,'Acuario (Arribado - mortalidad)'!$BH$14:$BH$90)</f>
        <v>0</v>
      </c>
      <c r="BA15" s="46" t="str">
        <f>IFERROR(Item[[#This Row],[Mortalidad dia 1]]/Item[[#This Row],[cantidad arribada]],"")</f>
        <v/>
      </c>
      <c r="BB15" s="46" t="str">
        <f>IFERROR(Item[[#This Row],[Mortalidad 2 a 8  (Sem 1)]]/Item[[#This Row],[cantidad arribada]],"")</f>
        <v/>
      </c>
      <c r="BC15" s="46" t="str">
        <f>IFERROR(Item[[#This Row],[Mortalidad 9 a 15 (Sem 2)]]/Item[[#This Row],[cantidad arribada]],"")</f>
        <v/>
      </c>
      <c r="BD15" s="46"/>
      <c r="BE15" s="219">
        <f>SUMIF('Acuario (Arribado - mortalidad)'!$B$14:$B$90,'ORDEN DE CUARENTENA'!B15,'Acuario (Arribado - mortalidad)'!$F$14:$F$90)</f>
        <v>0</v>
      </c>
      <c r="BF15" s="219">
        <f>SUMIF('Acuario (Arribado - mortalidad)'!$B$14:$B$90,'ORDEN DE CUARENTENA'!B15,'Acuario (Arribado - mortalidad)'!$K$14:$K$90)</f>
        <v>0</v>
      </c>
      <c r="BG15" s="219">
        <f>SUMIF('Acuario (Arribado - mortalidad)'!$B$14:$B$90,'ORDEN DE CUARENTENA'!B15,'Acuario (Arribado - mortalidad)'!$G$14:$G$90)</f>
        <v>0</v>
      </c>
      <c r="BH15" s="219">
        <f>SUMIF('Acuario (Arribado - mortalidad)'!$B$14:$B$90,'ORDEN DE CUARENTENA'!B15,'Acuario (Arribado - mortalidad)'!$O$14:$O$90)</f>
        <v>0</v>
      </c>
      <c r="BI15" s="219">
        <f>SUMIF('Acuario (Arribado - mortalidad)'!$B$14:$B$90,'ORDEN DE CUARENTENA'!B15,'Acuario (Arribado - mortalidad)'!$BG$14:$BG$90)</f>
        <v>0</v>
      </c>
      <c r="BJ15" s="219">
        <f>SUMIF('Acuario (Arribado - mortalidad)'!$B$14:$B$90,'ORDEN DE CUARENTENA'!B15,'Acuario (Arribado - mortalidad)'!$BH$14:$BH$90)</f>
        <v>0</v>
      </c>
      <c r="BK15" s="46"/>
      <c r="BL15" s="263" t="str">
        <f>IFERROR(VLOOKUP(AN15,CITES[],2,FALSE),"")</f>
        <v/>
      </c>
      <c r="BM15" s="283" t="s">
        <v>10243</v>
      </c>
      <c r="BN15" s="7" t="s">
        <v>37</v>
      </c>
      <c r="BO15" s="7" t="s">
        <v>560</v>
      </c>
      <c r="BQ15" s="7" t="s">
        <v>9019</v>
      </c>
      <c r="BT15" s="7" t="s">
        <v>666</v>
      </c>
      <c r="BV15" s="7" t="s">
        <v>680</v>
      </c>
      <c r="BX15" s="7" t="s">
        <v>10178</v>
      </c>
      <c r="BY15" s="7" t="s">
        <v>797</v>
      </c>
      <c r="BZ15" s="7" t="s">
        <v>8835</v>
      </c>
      <c r="CB15" t="s">
        <v>9190</v>
      </c>
      <c r="CC15" t="s">
        <v>9171</v>
      </c>
    </row>
    <row r="16" spans="1:81" x14ac:dyDescent="0.25">
      <c r="A16" s="42"/>
      <c r="B16" s="5">
        <v>3</v>
      </c>
      <c r="C16" s="422"/>
      <c r="D16" s="423"/>
      <c r="E16" s="423"/>
      <c r="F16" s="423"/>
      <c r="G16" s="423"/>
      <c r="H16" s="423"/>
      <c r="I16" s="424"/>
      <c r="J16" s="380"/>
      <c r="K16" s="380"/>
      <c r="L16" s="380"/>
      <c r="M16" s="380"/>
      <c r="N16" s="425" t="e">
        <f>INDEX(AMBIENTE!D$2:D$756,MATCH(R16,AMBIENTE!C$2:C$756,0))</f>
        <v>#N/A</v>
      </c>
      <c r="O16" s="426"/>
      <c r="P16" s="426"/>
      <c r="Q16" s="427"/>
      <c r="R16" s="428"/>
      <c r="S16" s="429"/>
      <c r="T16" s="429"/>
      <c r="U16" s="429"/>
      <c r="V16" s="429"/>
      <c r="W16" s="429"/>
      <c r="X16" s="430"/>
      <c r="Y16" s="374"/>
      <c r="Z16" s="375"/>
      <c r="AA16" s="375"/>
      <c r="AB16" s="375"/>
      <c r="AC16" s="376"/>
      <c r="AD16" s="357"/>
      <c r="AE16" s="358"/>
      <c r="AF16" s="359"/>
      <c r="AG16" s="372" t="str">
        <f>IFERROR(VLOOKUP(Item[[#This Row],[Concatenado]],CITES[],2,FALSE),"")</f>
        <v/>
      </c>
      <c r="AH16" s="373"/>
      <c r="AI16" s="372" t="str">
        <f>IFERROR(VLOOKUP(Item[[#This Row],[Concatenado]],SuscepEARs[],2,FALSE),"")</f>
        <v/>
      </c>
      <c r="AJ16" s="373"/>
      <c r="AK16" s="6"/>
      <c r="AL16" s="43"/>
      <c r="AM16" s="46">
        <v>3</v>
      </c>
      <c r="AN16" s="46" t="str">
        <f t="shared" ref="AN16:AN58" si="3">CONCATENATE(R16," ",Y16)</f>
        <v xml:space="preserve"> </v>
      </c>
      <c r="AO16" s="46">
        <f t="shared" si="0"/>
        <v>0</v>
      </c>
      <c r="AP16" s="46">
        <f t="shared" si="1"/>
        <v>0</v>
      </c>
      <c r="AQ16" s="46" t="str">
        <f t="shared" si="2"/>
        <v/>
      </c>
      <c r="AR16" s="46">
        <f>SUMIF('Acuario (Arribado - mortalidad)'!$B$14:$B$90,'ORDEN DE CUARENTENA'!B16,'Acuario (Arribado - mortalidad)'!$F$14:$F$90)</f>
        <v>0</v>
      </c>
      <c r="AS16" s="46" t="str">
        <f>IF(AR16&gt;0, IF(SUMIF('Acuario (Arribado - mortalidad)'!$B$14:$B$90,'ORDEN DE CUARENTENA'!B16,'Acuario (Arribado - mortalidad)'!$K$14:$K$90)=0, "0", SUMIF('Acuario (Arribado - mortalidad)'!$B$14:$B$90,'ORDEN DE CUARENTENA'!B16,'Acuario (Arribado - mortalidad)'!$K$14:$K$90)),"")</f>
        <v/>
      </c>
      <c r="AT16" s="46">
        <f>IF(AR16 = AS16,"0", SUMIF('Acuario (Arribado - mortalidad)'!$B$14:$B$90,'ORDEN DE CUARENTENA'!B16,'Acuario (Arribado - mortalidad)'!$G$14:$G$90))</f>
        <v>0</v>
      </c>
      <c r="AU16" s="48" t="str">
        <f>IFERROR(Item[[#This Row],[mortalidad acumulada]]/Item[[#This Row],[cantidad arribada]],"")</f>
        <v/>
      </c>
      <c r="AV16" s="46">
        <f>IF(ISTEXT(R16),IF(Item[[#This Row],[cantidad arribada]]=0,"No llega",Item[[#This Row],[cantidad arribada]]),)</f>
        <v>0</v>
      </c>
      <c r="AW16" s="46" t="str">
        <f>IFERROR(VLOOKUP(B16,'Tratamientos-Eventos'!$B$9:$S$20,19,FALSE),"")</f>
        <v/>
      </c>
      <c r="AX16" s="46">
        <f>SUMIF('Acuario (Arribado - mortalidad)'!$B$14:$B$90,'ORDEN DE CUARENTENA'!B16,'Acuario (Arribado - mortalidad)'!$O$14:$O$90)</f>
        <v>0</v>
      </c>
      <c r="AY16" s="46">
        <f>SUMIF('Acuario (Arribado - mortalidad)'!$B$14:$B$90,'ORDEN DE CUARENTENA'!B16,'Acuario (Arribado - mortalidad)'!$BG$14:$BG$90)</f>
        <v>0</v>
      </c>
      <c r="AZ16" s="46">
        <f>SUMIF('Acuario (Arribado - mortalidad)'!$B$14:$B$90,'ORDEN DE CUARENTENA'!B16,'Acuario (Arribado - mortalidad)'!$BH$14:$BH$90)</f>
        <v>0</v>
      </c>
      <c r="BA16" s="46" t="str">
        <f>IFERROR(Item[[#This Row],[Mortalidad dia 1]]/Item[[#This Row],[cantidad arribada]],"")</f>
        <v/>
      </c>
      <c r="BB16" s="46" t="str">
        <f>IFERROR(Item[[#This Row],[Mortalidad 2 a 8  (Sem 1)]]/Item[[#This Row],[cantidad arribada]],"")</f>
        <v/>
      </c>
      <c r="BC16" s="46" t="str">
        <f>IFERROR(Item[[#This Row],[Mortalidad 9 a 15 (Sem 2)]]/Item[[#This Row],[cantidad arribada]],"")</f>
        <v/>
      </c>
      <c r="BD16" s="46"/>
      <c r="BE16" s="219">
        <f>SUMIF('Acuario (Arribado - mortalidad)'!$B$14:$B$90,'ORDEN DE CUARENTENA'!B16,'Acuario (Arribado - mortalidad)'!$F$14:$F$90)</f>
        <v>0</v>
      </c>
      <c r="BF16" s="219">
        <f>SUMIF('Acuario (Arribado - mortalidad)'!$B$14:$B$90,'ORDEN DE CUARENTENA'!B16,'Acuario (Arribado - mortalidad)'!$K$14:$K$90)</f>
        <v>0</v>
      </c>
      <c r="BG16" s="219">
        <f>SUMIF('Acuario (Arribado - mortalidad)'!$B$14:$B$90,'ORDEN DE CUARENTENA'!B16,'Acuario (Arribado - mortalidad)'!$G$14:$G$90)</f>
        <v>0</v>
      </c>
      <c r="BH16" s="219">
        <f>SUMIF('Acuario (Arribado - mortalidad)'!$B$14:$B$90,'ORDEN DE CUARENTENA'!B16,'Acuario (Arribado - mortalidad)'!$O$14:$O$90)</f>
        <v>0</v>
      </c>
      <c r="BI16" s="219">
        <f>SUMIF('Acuario (Arribado - mortalidad)'!$B$14:$B$90,'ORDEN DE CUARENTENA'!B16,'Acuario (Arribado - mortalidad)'!$BG$14:$BG$90)</f>
        <v>0</v>
      </c>
      <c r="BJ16" s="219">
        <f>SUMIF('Acuario (Arribado - mortalidad)'!$B$14:$B$90,'ORDEN DE CUARENTENA'!B16,'Acuario (Arribado - mortalidad)'!$BH$14:$BH$90)</f>
        <v>0</v>
      </c>
      <c r="BK16" s="46"/>
      <c r="BL16" s="263" t="str">
        <f>IFERROR(VLOOKUP(AN16,CITES[],2,FALSE),"")</f>
        <v/>
      </c>
      <c r="BM16" s="283" t="s">
        <v>10244</v>
      </c>
      <c r="BN16" s="7" t="s">
        <v>38</v>
      </c>
      <c r="BO16" s="7" t="s">
        <v>561</v>
      </c>
      <c r="BQ16" s="7" t="s">
        <v>636</v>
      </c>
      <c r="BT16" s="7" t="s">
        <v>8981</v>
      </c>
      <c r="BV16" s="7" t="s">
        <v>681</v>
      </c>
      <c r="BX16" s="7" t="s">
        <v>10179</v>
      </c>
      <c r="BY16" s="7" t="s">
        <v>797</v>
      </c>
      <c r="BZ16" s="7" t="s">
        <v>8835</v>
      </c>
      <c r="CB16" t="s">
        <v>9191</v>
      </c>
      <c r="CC16" t="s">
        <v>9171</v>
      </c>
    </row>
    <row r="17" spans="1:81" x14ac:dyDescent="0.25">
      <c r="A17" s="42"/>
      <c r="B17" s="5">
        <v>4</v>
      </c>
      <c r="C17" s="422"/>
      <c r="D17" s="423"/>
      <c r="E17" s="423"/>
      <c r="F17" s="423"/>
      <c r="G17" s="423"/>
      <c r="H17" s="423"/>
      <c r="I17" s="424"/>
      <c r="J17" s="380"/>
      <c r="K17" s="380"/>
      <c r="L17" s="380"/>
      <c r="M17" s="380"/>
      <c r="N17" s="425" t="e">
        <f>INDEX(AMBIENTE!D$2:D$756,MATCH(R17,AMBIENTE!C$2:C$756,0))</f>
        <v>#N/A</v>
      </c>
      <c r="O17" s="426"/>
      <c r="P17" s="426"/>
      <c r="Q17" s="427"/>
      <c r="R17" s="428"/>
      <c r="S17" s="429"/>
      <c r="T17" s="429"/>
      <c r="U17" s="429"/>
      <c r="V17" s="429"/>
      <c r="W17" s="429"/>
      <c r="X17" s="430"/>
      <c r="Y17" s="374"/>
      <c r="Z17" s="375"/>
      <c r="AA17" s="375"/>
      <c r="AB17" s="375"/>
      <c r="AC17" s="376"/>
      <c r="AD17" s="357"/>
      <c r="AE17" s="358"/>
      <c r="AF17" s="359"/>
      <c r="AG17" s="372" t="str">
        <f>IFERROR(VLOOKUP(Item[[#This Row],[Concatenado]],CITES[],2,FALSE),"")</f>
        <v/>
      </c>
      <c r="AH17" s="373"/>
      <c r="AI17" s="372" t="str">
        <f>IFERROR(VLOOKUP(Item[[#This Row],[Concatenado]],SuscepEARs[],2,FALSE),"")</f>
        <v/>
      </c>
      <c r="AJ17" s="373"/>
      <c r="AK17" s="6"/>
      <c r="AL17" s="43"/>
      <c r="AM17" s="46">
        <v>4</v>
      </c>
      <c r="AN17" s="46" t="str">
        <f t="shared" si="3"/>
        <v xml:space="preserve"> </v>
      </c>
      <c r="AO17" s="46">
        <f t="shared" si="0"/>
        <v>0</v>
      </c>
      <c r="AP17" s="46">
        <f t="shared" si="1"/>
        <v>0</v>
      </c>
      <c r="AQ17" s="46" t="str">
        <f t="shared" si="2"/>
        <v/>
      </c>
      <c r="AR17" s="46">
        <f>SUMIF('Acuario (Arribado - mortalidad)'!$B$14:$B$90,'ORDEN DE CUARENTENA'!B17,'Acuario (Arribado - mortalidad)'!$F$14:$F$90)</f>
        <v>0</v>
      </c>
      <c r="AS17" s="46" t="str">
        <f>IF(AR17&gt;0, IF(SUMIF('Acuario (Arribado - mortalidad)'!$B$14:$B$90,'ORDEN DE CUARENTENA'!B17,'Acuario (Arribado - mortalidad)'!$K$14:$K$90)=0, "0", SUMIF('Acuario (Arribado - mortalidad)'!$B$14:$B$90,'ORDEN DE CUARENTENA'!B17,'Acuario (Arribado - mortalidad)'!$K$14:$K$90)),"")</f>
        <v/>
      </c>
      <c r="AT17" s="46">
        <f>IF(AR17 = AS17,"0", SUMIF('Acuario (Arribado - mortalidad)'!$B$14:$B$90,'ORDEN DE CUARENTENA'!B17,'Acuario (Arribado - mortalidad)'!$G$14:$G$90))</f>
        <v>0</v>
      </c>
      <c r="AU17" s="48" t="str">
        <f>IFERROR(Item[[#This Row],[mortalidad acumulada]]/Item[[#This Row],[cantidad arribada]],"")</f>
        <v/>
      </c>
      <c r="AV17" s="46">
        <f>IF(ISTEXT(R17),IF(Item[[#This Row],[cantidad arribada]]=0,"No llega",Item[[#This Row],[cantidad arribada]]),)</f>
        <v>0</v>
      </c>
      <c r="AW17" s="46" t="str">
        <f>IFERROR(VLOOKUP(B17,'Tratamientos-Eventos'!$B$9:$S$20,19,FALSE),"")</f>
        <v/>
      </c>
      <c r="AX17" s="46">
        <f>SUMIF('Acuario (Arribado - mortalidad)'!$B$14:$B$90,'ORDEN DE CUARENTENA'!B17,'Acuario (Arribado - mortalidad)'!$O$14:$O$90)</f>
        <v>0</v>
      </c>
      <c r="AY17" s="46">
        <f>SUMIF('Acuario (Arribado - mortalidad)'!$B$14:$B$90,'ORDEN DE CUARENTENA'!B17,'Acuario (Arribado - mortalidad)'!$BG$14:$BG$90)</f>
        <v>0</v>
      </c>
      <c r="AZ17" s="46">
        <f>SUMIF('Acuario (Arribado - mortalidad)'!$B$14:$B$90,'ORDEN DE CUARENTENA'!B17,'Acuario (Arribado - mortalidad)'!$BH$14:$BH$90)</f>
        <v>0</v>
      </c>
      <c r="BA17" s="46" t="str">
        <f>IFERROR(Item[[#This Row],[Mortalidad dia 1]]/Item[[#This Row],[cantidad arribada]],"")</f>
        <v/>
      </c>
      <c r="BB17" s="46" t="str">
        <f>IFERROR(Item[[#This Row],[Mortalidad 2 a 8  (Sem 1)]]/Item[[#This Row],[cantidad arribada]],"")</f>
        <v/>
      </c>
      <c r="BC17" s="46" t="str">
        <f>IFERROR(Item[[#This Row],[Mortalidad 9 a 15 (Sem 2)]]/Item[[#This Row],[cantidad arribada]],"")</f>
        <v/>
      </c>
      <c r="BD17" s="46"/>
      <c r="BE17" s="219">
        <f>SUMIF('Acuario (Arribado - mortalidad)'!$B$14:$B$90,'ORDEN DE CUARENTENA'!B17,'Acuario (Arribado - mortalidad)'!$F$14:$F$90)</f>
        <v>0</v>
      </c>
      <c r="BF17" s="219">
        <f>SUMIF('Acuario (Arribado - mortalidad)'!$B$14:$B$90,'ORDEN DE CUARENTENA'!B17,'Acuario (Arribado - mortalidad)'!$K$14:$K$90)</f>
        <v>0</v>
      </c>
      <c r="BG17" s="219">
        <f>SUMIF('Acuario (Arribado - mortalidad)'!$B$14:$B$90,'ORDEN DE CUARENTENA'!B17,'Acuario (Arribado - mortalidad)'!$G$14:$G$90)</f>
        <v>0</v>
      </c>
      <c r="BH17" s="219">
        <f>SUMIF('Acuario (Arribado - mortalidad)'!$B$14:$B$90,'ORDEN DE CUARENTENA'!B17,'Acuario (Arribado - mortalidad)'!$O$14:$O$90)</f>
        <v>0</v>
      </c>
      <c r="BI17" s="219">
        <f>SUMIF('Acuario (Arribado - mortalidad)'!$B$14:$B$90,'ORDEN DE CUARENTENA'!B17,'Acuario (Arribado - mortalidad)'!$BG$14:$BG$90)</f>
        <v>0</v>
      </c>
      <c r="BJ17" s="219">
        <f>SUMIF('Acuario (Arribado - mortalidad)'!$B$14:$B$90,'ORDEN DE CUARENTENA'!B17,'Acuario (Arribado - mortalidad)'!$BH$14:$BH$90)</f>
        <v>0</v>
      </c>
      <c r="BK17" s="46"/>
      <c r="BL17" s="263" t="str">
        <f>IFERROR(VLOOKUP(AN17,CITES[],2,FALSE),"")</f>
        <v/>
      </c>
      <c r="BM17" s="49"/>
      <c r="BN17" s="7" t="s">
        <v>39</v>
      </c>
      <c r="BO17" s="7" t="s">
        <v>563</v>
      </c>
      <c r="BQ17" s="7" t="s">
        <v>637</v>
      </c>
      <c r="BV17" s="7" t="s">
        <v>682</v>
      </c>
      <c r="BX17" s="7" t="s">
        <v>10180</v>
      </c>
      <c r="BY17" s="7" t="s">
        <v>797</v>
      </c>
      <c r="BZ17" s="7" t="s">
        <v>8835</v>
      </c>
      <c r="CB17" t="s">
        <v>9192</v>
      </c>
      <c r="CC17" t="s">
        <v>9171</v>
      </c>
    </row>
    <row r="18" spans="1:81" x14ac:dyDescent="0.25">
      <c r="A18" s="42"/>
      <c r="B18" s="5">
        <v>5</v>
      </c>
      <c r="C18" s="422"/>
      <c r="D18" s="423"/>
      <c r="E18" s="423"/>
      <c r="F18" s="423"/>
      <c r="G18" s="423"/>
      <c r="H18" s="423"/>
      <c r="I18" s="424"/>
      <c r="J18" s="380"/>
      <c r="K18" s="380"/>
      <c r="L18" s="380"/>
      <c r="M18" s="380"/>
      <c r="N18" s="425" t="e">
        <f>INDEX(AMBIENTE!D$2:D$756,MATCH(R18,AMBIENTE!C$2:C$756,0))</f>
        <v>#N/A</v>
      </c>
      <c r="O18" s="426"/>
      <c r="P18" s="426"/>
      <c r="Q18" s="427"/>
      <c r="R18" s="428"/>
      <c r="S18" s="429"/>
      <c r="T18" s="429"/>
      <c r="U18" s="429"/>
      <c r="V18" s="429"/>
      <c r="W18" s="429"/>
      <c r="X18" s="430"/>
      <c r="Y18" s="374"/>
      <c r="Z18" s="375"/>
      <c r="AA18" s="375"/>
      <c r="AB18" s="375"/>
      <c r="AC18" s="376"/>
      <c r="AD18" s="357"/>
      <c r="AE18" s="358"/>
      <c r="AF18" s="359"/>
      <c r="AG18" s="372" t="str">
        <f>IFERROR(VLOOKUP(Item[[#This Row],[Concatenado]],CITES[],2,FALSE),"")</f>
        <v/>
      </c>
      <c r="AH18" s="373"/>
      <c r="AI18" s="372" t="str">
        <f>IFERROR(VLOOKUP(Item[[#This Row],[Concatenado]],SuscepEARs[],2,FALSE),"")</f>
        <v/>
      </c>
      <c r="AJ18" s="373"/>
      <c r="AK18" s="6"/>
      <c r="AL18" s="43"/>
      <c r="AM18" s="46">
        <v>5</v>
      </c>
      <c r="AN18" s="46" t="str">
        <f t="shared" si="3"/>
        <v xml:space="preserve"> </v>
      </c>
      <c r="AO18" s="46">
        <f t="shared" si="0"/>
        <v>0</v>
      </c>
      <c r="AP18" s="46">
        <f t="shared" si="1"/>
        <v>0</v>
      </c>
      <c r="AQ18" s="46" t="str">
        <f t="shared" si="2"/>
        <v/>
      </c>
      <c r="AR18" s="46">
        <f>SUMIF('Acuario (Arribado - mortalidad)'!$B$14:$B$90,'ORDEN DE CUARENTENA'!B18,'Acuario (Arribado - mortalidad)'!$F$14:$F$90)</f>
        <v>0</v>
      </c>
      <c r="AS18" s="46" t="str">
        <f>IF(AR18&gt;0, IF(SUMIF('Acuario (Arribado - mortalidad)'!$B$14:$B$90,'ORDEN DE CUARENTENA'!B18,'Acuario (Arribado - mortalidad)'!$K$14:$K$90)=0, "0", SUMIF('Acuario (Arribado - mortalidad)'!$B$14:$B$90,'ORDEN DE CUARENTENA'!B18,'Acuario (Arribado - mortalidad)'!$K$14:$K$90)),"")</f>
        <v/>
      </c>
      <c r="AT18" s="46">
        <f>IF(AR18 = AS18,"0", SUMIF('Acuario (Arribado - mortalidad)'!$B$14:$B$90,'ORDEN DE CUARENTENA'!B18,'Acuario (Arribado - mortalidad)'!$G$14:$G$90))</f>
        <v>0</v>
      </c>
      <c r="AU18" s="48" t="str">
        <f>IFERROR(Item[[#This Row],[mortalidad acumulada]]/Item[[#This Row],[cantidad arribada]],"")</f>
        <v/>
      </c>
      <c r="AV18" s="46">
        <f>IF(ISTEXT(R18),IF(Item[[#This Row],[cantidad arribada]]=0,"No llega",Item[[#This Row],[cantidad arribada]]),)</f>
        <v>0</v>
      </c>
      <c r="AW18" s="46" t="str">
        <f>IFERROR(VLOOKUP(B18,'Tratamientos-Eventos'!$B$9:$S$20,19,FALSE),"")</f>
        <v/>
      </c>
      <c r="AX18" s="46">
        <f>SUMIF('Acuario (Arribado - mortalidad)'!$B$14:$B$90,'ORDEN DE CUARENTENA'!B18,'Acuario (Arribado - mortalidad)'!$O$14:$O$90)</f>
        <v>0</v>
      </c>
      <c r="AY18" s="46">
        <f>SUMIF('Acuario (Arribado - mortalidad)'!$B$14:$B$90,'ORDEN DE CUARENTENA'!B18,'Acuario (Arribado - mortalidad)'!$BG$14:$BG$90)</f>
        <v>0</v>
      </c>
      <c r="AZ18" s="46">
        <f>SUMIF('Acuario (Arribado - mortalidad)'!$B$14:$B$90,'ORDEN DE CUARENTENA'!B18,'Acuario (Arribado - mortalidad)'!$BH$14:$BH$90)</f>
        <v>0</v>
      </c>
      <c r="BA18" s="46" t="str">
        <f>IFERROR(Item[[#This Row],[Mortalidad dia 1]]/Item[[#This Row],[cantidad arribada]],"")</f>
        <v/>
      </c>
      <c r="BB18" s="46" t="str">
        <f>IFERROR(Item[[#This Row],[Mortalidad 2 a 8  (Sem 1)]]/Item[[#This Row],[cantidad arribada]],"")</f>
        <v/>
      </c>
      <c r="BC18" s="46" t="str">
        <f>IFERROR(Item[[#This Row],[Mortalidad 9 a 15 (Sem 2)]]/Item[[#This Row],[cantidad arribada]],"")</f>
        <v/>
      </c>
      <c r="BD18" s="46"/>
      <c r="BE18" s="219">
        <f>SUMIF('Acuario (Arribado - mortalidad)'!$B$14:$B$90,'ORDEN DE CUARENTENA'!B18,'Acuario (Arribado - mortalidad)'!$F$14:$F$90)</f>
        <v>0</v>
      </c>
      <c r="BF18" s="219">
        <f>SUMIF('Acuario (Arribado - mortalidad)'!$B$14:$B$90,'ORDEN DE CUARENTENA'!B18,'Acuario (Arribado - mortalidad)'!$K$14:$K$90)</f>
        <v>0</v>
      </c>
      <c r="BG18" s="219">
        <f>SUMIF('Acuario (Arribado - mortalidad)'!$B$14:$B$90,'ORDEN DE CUARENTENA'!B18,'Acuario (Arribado - mortalidad)'!$G$14:$G$90)</f>
        <v>0</v>
      </c>
      <c r="BH18" s="219">
        <f>SUMIF('Acuario (Arribado - mortalidad)'!$B$14:$B$90,'ORDEN DE CUARENTENA'!B18,'Acuario (Arribado - mortalidad)'!$O$14:$O$90)</f>
        <v>0</v>
      </c>
      <c r="BI18" s="219">
        <f>SUMIF('Acuario (Arribado - mortalidad)'!$B$14:$B$90,'ORDEN DE CUARENTENA'!B18,'Acuario (Arribado - mortalidad)'!$BG$14:$BG$90)</f>
        <v>0</v>
      </c>
      <c r="BJ18" s="219">
        <f>SUMIF('Acuario (Arribado - mortalidad)'!$B$14:$B$90,'ORDEN DE CUARENTENA'!B18,'Acuario (Arribado - mortalidad)'!$BH$14:$BH$90)</f>
        <v>0</v>
      </c>
      <c r="BK18" s="46"/>
      <c r="BL18" s="263" t="str">
        <f>IFERROR(VLOOKUP(AN18,CITES[],2,FALSE),"")</f>
        <v/>
      </c>
      <c r="BM18" s="49"/>
      <c r="BN18" s="7" t="s">
        <v>40</v>
      </c>
      <c r="BO18" s="7" t="s">
        <v>564</v>
      </c>
      <c r="BQ18" s="7" t="s">
        <v>9020</v>
      </c>
      <c r="BV18" s="7" t="s">
        <v>683</v>
      </c>
      <c r="BX18" s="7" t="s">
        <v>10181</v>
      </c>
      <c r="BY18" s="7" t="s">
        <v>797</v>
      </c>
      <c r="BZ18" s="7" t="s">
        <v>8835</v>
      </c>
      <c r="CB18" t="s">
        <v>9193</v>
      </c>
      <c r="CC18" t="s">
        <v>9171</v>
      </c>
    </row>
    <row r="19" spans="1:81" x14ac:dyDescent="0.25">
      <c r="A19" s="42"/>
      <c r="B19" s="5">
        <v>6</v>
      </c>
      <c r="C19" s="422"/>
      <c r="D19" s="423"/>
      <c r="E19" s="423"/>
      <c r="F19" s="423"/>
      <c r="G19" s="423"/>
      <c r="H19" s="423"/>
      <c r="I19" s="424"/>
      <c r="J19" s="380"/>
      <c r="K19" s="380"/>
      <c r="L19" s="380"/>
      <c r="M19" s="380"/>
      <c r="N19" s="425" t="e">
        <f>INDEX(AMBIENTE!D$2:D$756,MATCH(R19,AMBIENTE!C$2:C$756,0))</f>
        <v>#N/A</v>
      </c>
      <c r="O19" s="426"/>
      <c r="P19" s="426"/>
      <c r="Q19" s="427"/>
      <c r="R19" s="428"/>
      <c r="S19" s="429"/>
      <c r="T19" s="429"/>
      <c r="U19" s="429"/>
      <c r="V19" s="429"/>
      <c r="W19" s="429"/>
      <c r="X19" s="430"/>
      <c r="Y19" s="374"/>
      <c r="Z19" s="375"/>
      <c r="AA19" s="375"/>
      <c r="AB19" s="375"/>
      <c r="AC19" s="376"/>
      <c r="AD19" s="357"/>
      <c r="AE19" s="358"/>
      <c r="AF19" s="359"/>
      <c r="AG19" s="372" t="str">
        <f>IFERROR(VLOOKUP(Item[[#This Row],[Concatenado]],CITES[],2,FALSE),"")</f>
        <v/>
      </c>
      <c r="AH19" s="373"/>
      <c r="AI19" s="372" t="str">
        <f>IFERROR(VLOOKUP(Item[[#This Row],[Concatenado]],SuscepEARs[],2,FALSE),"")</f>
        <v/>
      </c>
      <c r="AJ19" s="373"/>
      <c r="AK19" s="6"/>
      <c r="AL19" s="43"/>
      <c r="AM19" s="46">
        <v>6</v>
      </c>
      <c r="AN19" s="46" t="str">
        <f t="shared" si="3"/>
        <v xml:space="preserve"> </v>
      </c>
      <c r="AO19" s="46">
        <f t="shared" si="0"/>
        <v>0</v>
      </c>
      <c r="AP19" s="46">
        <f t="shared" si="1"/>
        <v>0</v>
      </c>
      <c r="AQ19" s="46" t="str">
        <f t="shared" si="2"/>
        <v/>
      </c>
      <c r="AR19" s="46">
        <f>SUMIF('Acuario (Arribado - mortalidad)'!$B$14:$B$90,'ORDEN DE CUARENTENA'!B19,'Acuario (Arribado - mortalidad)'!$F$14:$F$90)</f>
        <v>0</v>
      </c>
      <c r="AS19" s="46" t="str">
        <f>IF(AR19&gt;0, IF(SUMIF('Acuario (Arribado - mortalidad)'!$B$14:$B$90,'ORDEN DE CUARENTENA'!B19,'Acuario (Arribado - mortalidad)'!$K$14:$K$90)=0, "0", SUMIF('Acuario (Arribado - mortalidad)'!$B$14:$B$90,'ORDEN DE CUARENTENA'!B19,'Acuario (Arribado - mortalidad)'!$K$14:$K$90)),"")</f>
        <v/>
      </c>
      <c r="AT19" s="46">
        <f>IF(AR19 = AS19,"0", SUMIF('Acuario (Arribado - mortalidad)'!$B$14:$B$90,'ORDEN DE CUARENTENA'!B19,'Acuario (Arribado - mortalidad)'!$G$14:$G$90))</f>
        <v>0</v>
      </c>
      <c r="AU19" s="48" t="str">
        <f>IFERROR(Item[[#This Row],[mortalidad acumulada]]/Item[[#This Row],[cantidad arribada]],"")</f>
        <v/>
      </c>
      <c r="AV19" s="46">
        <f>IF(ISTEXT(R19),IF(Item[[#This Row],[cantidad arribada]]=0,"No llega",Item[[#This Row],[cantidad arribada]]),)</f>
        <v>0</v>
      </c>
      <c r="AW19" s="46" t="str">
        <f>IFERROR(VLOOKUP(B19,'Tratamientos-Eventos'!$B$9:$S$20,19,FALSE),"")</f>
        <v/>
      </c>
      <c r="AX19" s="46">
        <f>SUMIF('Acuario (Arribado - mortalidad)'!$B$14:$B$90,'ORDEN DE CUARENTENA'!B19,'Acuario (Arribado - mortalidad)'!$O$14:$O$90)</f>
        <v>0</v>
      </c>
      <c r="AY19" s="46">
        <f>SUMIF('Acuario (Arribado - mortalidad)'!$B$14:$B$90,'ORDEN DE CUARENTENA'!B19,'Acuario (Arribado - mortalidad)'!$BG$14:$BG$90)</f>
        <v>0</v>
      </c>
      <c r="AZ19" s="46">
        <f>SUMIF('Acuario (Arribado - mortalidad)'!$B$14:$B$90,'ORDEN DE CUARENTENA'!B19,'Acuario (Arribado - mortalidad)'!$BH$14:$BH$90)</f>
        <v>0</v>
      </c>
      <c r="BA19" s="46" t="str">
        <f>IFERROR(Item[[#This Row],[Mortalidad dia 1]]/Item[[#This Row],[cantidad arribada]],"")</f>
        <v/>
      </c>
      <c r="BB19" s="46" t="str">
        <f>IFERROR(Item[[#This Row],[Mortalidad 2 a 8  (Sem 1)]]/Item[[#This Row],[cantidad arribada]],"")</f>
        <v/>
      </c>
      <c r="BC19" s="46" t="str">
        <f>IFERROR(Item[[#This Row],[Mortalidad 9 a 15 (Sem 2)]]/Item[[#This Row],[cantidad arribada]],"")</f>
        <v/>
      </c>
      <c r="BD19" s="46"/>
      <c r="BE19" s="219">
        <f>SUMIF('Acuario (Arribado - mortalidad)'!$B$14:$B$90,'ORDEN DE CUARENTENA'!B19,'Acuario (Arribado - mortalidad)'!$F$14:$F$90)</f>
        <v>0</v>
      </c>
      <c r="BF19" s="219">
        <f>SUMIF('Acuario (Arribado - mortalidad)'!$B$14:$B$90,'ORDEN DE CUARENTENA'!B19,'Acuario (Arribado - mortalidad)'!$K$14:$K$90)</f>
        <v>0</v>
      </c>
      <c r="BG19" s="219">
        <f>SUMIF('Acuario (Arribado - mortalidad)'!$B$14:$B$90,'ORDEN DE CUARENTENA'!B19,'Acuario (Arribado - mortalidad)'!$G$14:$G$90)</f>
        <v>0</v>
      </c>
      <c r="BH19" s="219">
        <f>SUMIF('Acuario (Arribado - mortalidad)'!$B$14:$B$90,'ORDEN DE CUARENTENA'!B19,'Acuario (Arribado - mortalidad)'!$O$14:$O$90)</f>
        <v>0</v>
      </c>
      <c r="BI19" s="219">
        <f>SUMIF('Acuario (Arribado - mortalidad)'!$B$14:$B$90,'ORDEN DE CUARENTENA'!B19,'Acuario (Arribado - mortalidad)'!$BG$14:$BG$90)</f>
        <v>0</v>
      </c>
      <c r="BJ19" s="219">
        <f>SUMIF('Acuario (Arribado - mortalidad)'!$B$14:$B$90,'ORDEN DE CUARENTENA'!B19,'Acuario (Arribado - mortalidad)'!$BH$14:$BH$90)</f>
        <v>0</v>
      </c>
      <c r="BK19" s="46"/>
      <c r="BL19" s="263" t="str">
        <f>IFERROR(VLOOKUP(AN19,CITES[],2,FALSE),"")</f>
        <v/>
      </c>
      <c r="BM19" s="49"/>
      <c r="BN19" s="7" t="s">
        <v>41</v>
      </c>
      <c r="BO19" s="7" t="s">
        <v>565</v>
      </c>
      <c r="BQ19" s="7" t="s">
        <v>638</v>
      </c>
      <c r="BV19" s="7" t="s">
        <v>684</v>
      </c>
      <c r="BX19" s="7" t="s">
        <v>10182</v>
      </c>
      <c r="BY19" s="7" t="s">
        <v>797</v>
      </c>
      <c r="BZ19" s="7" t="s">
        <v>8835</v>
      </c>
      <c r="CB19" t="s">
        <v>9194</v>
      </c>
      <c r="CC19" t="s">
        <v>9171</v>
      </c>
    </row>
    <row r="20" spans="1:81" x14ac:dyDescent="0.25">
      <c r="A20" s="42"/>
      <c r="B20" s="5">
        <v>7</v>
      </c>
      <c r="C20" s="422"/>
      <c r="D20" s="423"/>
      <c r="E20" s="423"/>
      <c r="F20" s="423"/>
      <c r="G20" s="423"/>
      <c r="H20" s="423"/>
      <c r="I20" s="424"/>
      <c r="J20" s="380"/>
      <c r="K20" s="380"/>
      <c r="L20" s="380"/>
      <c r="M20" s="380"/>
      <c r="N20" s="425" t="e">
        <f>INDEX(AMBIENTE!D$2:D$756,MATCH(R20,AMBIENTE!C$2:C$756,0))</f>
        <v>#N/A</v>
      </c>
      <c r="O20" s="426"/>
      <c r="P20" s="426"/>
      <c r="Q20" s="427"/>
      <c r="R20" s="428"/>
      <c r="S20" s="429"/>
      <c r="T20" s="429"/>
      <c r="U20" s="429"/>
      <c r="V20" s="429"/>
      <c r="W20" s="429"/>
      <c r="X20" s="430"/>
      <c r="Y20" s="374"/>
      <c r="Z20" s="375"/>
      <c r="AA20" s="375"/>
      <c r="AB20" s="375"/>
      <c r="AC20" s="376"/>
      <c r="AD20" s="357"/>
      <c r="AE20" s="358"/>
      <c r="AF20" s="359"/>
      <c r="AG20" s="372" t="str">
        <f>IFERROR(VLOOKUP(Item[[#This Row],[Concatenado]],CITES[],2,FALSE),"")</f>
        <v/>
      </c>
      <c r="AH20" s="373"/>
      <c r="AI20" s="372" t="str">
        <f>IFERROR(VLOOKUP(Item[[#This Row],[Concatenado]],SuscepEARs[],2,FALSE),"")</f>
        <v/>
      </c>
      <c r="AJ20" s="373"/>
      <c r="AK20" s="6"/>
      <c r="AL20" s="43"/>
      <c r="AM20" s="46">
        <v>7</v>
      </c>
      <c r="AN20" s="46" t="str">
        <f t="shared" si="3"/>
        <v xml:space="preserve"> </v>
      </c>
      <c r="AO20" s="46">
        <f t="shared" si="0"/>
        <v>0</v>
      </c>
      <c r="AP20" s="46">
        <f t="shared" si="1"/>
        <v>0</v>
      </c>
      <c r="AQ20" s="46" t="str">
        <f t="shared" si="2"/>
        <v/>
      </c>
      <c r="AR20" s="46">
        <f>SUMIF('Acuario (Arribado - mortalidad)'!$B$14:$B$90,'ORDEN DE CUARENTENA'!B20,'Acuario (Arribado - mortalidad)'!$F$14:$F$90)</f>
        <v>0</v>
      </c>
      <c r="AS20" s="46" t="str">
        <f>IF(AR20&gt;0, IF(SUMIF('Acuario (Arribado - mortalidad)'!$B$14:$B$90,'ORDEN DE CUARENTENA'!B20,'Acuario (Arribado - mortalidad)'!$K$14:$K$90)=0, "0", SUMIF('Acuario (Arribado - mortalidad)'!$B$14:$B$90,'ORDEN DE CUARENTENA'!B20,'Acuario (Arribado - mortalidad)'!$K$14:$K$90)),"")</f>
        <v/>
      </c>
      <c r="AT20" s="46">
        <f>IF(AR20 = AS20,"0", SUMIF('Acuario (Arribado - mortalidad)'!$B$14:$B$90,'ORDEN DE CUARENTENA'!B20,'Acuario (Arribado - mortalidad)'!$G$14:$G$90))</f>
        <v>0</v>
      </c>
      <c r="AU20" s="48" t="str">
        <f>IFERROR(Item[[#This Row],[mortalidad acumulada]]/Item[[#This Row],[cantidad arribada]],"")</f>
        <v/>
      </c>
      <c r="AV20" s="46">
        <f>IF(ISTEXT(R20),IF(Item[[#This Row],[cantidad arribada]]=0,"No llega",Item[[#This Row],[cantidad arribada]]),)</f>
        <v>0</v>
      </c>
      <c r="AW20" s="46" t="str">
        <f>IFERROR(VLOOKUP(B20,'Tratamientos-Eventos'!$B$9:$S$20,19,FALSE),"")</f>
        <v/>
      </c>
      <c r="AX20" s="46">
        <f>SUMIF('Acuario (Arribado - mortalidad)'!$B$14:$B$90,'ORDEN DE CUARENTENA'!B20,'Acuario (Arribado - mortalidad)'!$O$14:$O$90)</f>
        <v>0</v>
      </c>
      <c r="AY20" s="46">
        <f>SUMIF('Acuario (Arribado - mortalidad)'!$B$14:$B$90,'ORDEN DE CUARENTENA'!B20,'Acuario (Arribado - mortalidad)'!$BG$14:$BG$90)</f>
        <v>0</v>
      </c>
      <c r="AZ20" s="46">
        <f>SUMIF('Acuario (Arribado - mortalidad)'!$B$14:$B$90,'ORDEN DE CUARENTENA'!B20,'Acuario (Arribado - mortalidad)'!$BH$14:$BH$90)</f>
        <v>0</v>
      </c>
      <c r="BA20" s="46" t="str">
        <f>IFERROR(Item[[#This Row],[Mortalidad dia 1]]/Item[[#This Row],[cantidad arribada]],"")</f>
        <v/>
      </c>
      <c r="BB20" s="46" t="str">
        <f>IFERROR(Item[[#This Row],[Mortalidad 2 a 8  (Sem 1)]]/Item[[#This Row],[cantidad arribada]],"")</f>
        <v/>
      </c>
      <c r="BC20" s="46" t="str">
        <f>IFERROR(Item[[#This Row],[Mortalidad 9 a 15 (Sem 2)]]/Item[[#This Row],[cantidad arribada]],"")</f>
        <v/>
      </c>
      <c r="BD20" s="46"/>
      <c r="BE20" s="219">
        <f>SUMIF('Acuario (Arribado - mortalidad)'!$B$14:$B$90,'ORDEN DE CUARENTENA'!B20,'Acuario (Arribado - mortalidad)'!$F$14:$F$90)</f>
        <v>0</v>
      </c>
      <c r="BF20" s="219">
        <f>SUMIF('Acuario (Arribado - mortalidad)'!$B$14:$B$90,'ORDEN DE CUARENTENA'!B20,'Acuario (Arribado - mortalidad)'!$K$14:$K$90)</f>
        <v>0</v>
      </c>
      <c r="BG20" s="219">
        <f>SUMIF('Acuario (Arribado - mortalidad)'!$B$14:$B$90,'ORDEN DE CUARENTENA'!B20,'Acuario (Arribado - mortalidad)'!$G$14:$G$90)</f>
        <v>0</v>
      </c>
      <c r="BH20" s="219">
        <f>SUMIF('Acuario (Arribado - mortalidad)'!$B$14:$B$90,'ORDEN DE CUARENTENA'!B20,'Acuario (Arribado - mortalidad)'!$O$14:$O$90)</f>
        <v>0</v>
      </c>
      <c r="BI20" s="219">
        <f>SUMIF('Acuario (Arribado - mortalidad)'!$B$14:$B$90,'ORDEN DE CUARENTENA'!B20,'Acuario (Arribado - mortalidad)'!$BG$14:$BG$90)</f>
        <v>0</v>
      </c>
      <c r="BJ20" s="219">
        <f>SUMIF('Acuario (Arribado - mortalidad)'!$B$14:$B$90,'ORDEN DE CUARENTENA'!B20,'Acuario (Arribado - mortalidad)'!$BH$14:$BH$90)</f>
        <v>0</v>
      </c>
      <c r="BK20" s="46"/>
      <c r="BL20" s="263" t="str">
        <f>IFERROR(VLOOKUP(AN20,CITES[],2,FALSE),"")</f>
        <v/>
      </c>
      <c r="BM20" s="49"/>
      <c r="BN20" s="7" t="s">
        <v>42</v>
      </c>
      <c r="BO20" s="7" t="s">
        <v>566</v>
      </c>
      <c r="BQ20" s="7" t="s">
        <v>639</v>
      </c>
      <c r="BV20" s="7" t="s">
        <v>9026</v>
      </c>
      <c r="BX20" s="7" t="s">
        <v>10183</v>
      </c>
      <c r="BY20" s="7" t="s">
        <v>797</v>
      </c>
      <c r="BZ20" s="7" t="s">
        <v>8835</v>
      </c>
      <c r="CB20" t="s">
        <v>9195</v>
      </c>
      <c r="CC20" t="s">
        <v>9171</v>
      </c>
    </row>
    <row r="21" spans="1:81" x14ac:dyDescent="0.25">
      <c r="A21" s="42"/>
      <c r="B21" s="5">
        <v>8</v>
      </c>
      <c r="C21" s="422"/>
      <c r="D21" s="423"/>
      <c r="E21" s="423"/>
      <c r="F21" s="423"/>
      <c r="G21" s="423"/>
      <c r="H21" s="423"/>
      <c r="I21" s="424"/>
      <c r="J21" s="380"/>
      <c r="K21" s="380"/>
      <c r="L21" s="380"/>
      <c r="M21" s="380"/>
      <c r="N21" s="425" t="e">
        <f>INDEX(AMBIENTE!D$2:D$756,MATCH(R21,AMBIENTE!C$2:C$756,0))</f>
        <v>#N/A</v>
      </c>
      <c r="O21" s="426"/>
      <c r="P21" s="426"/>
      <c r="Q21" s="427"/>
      <c r="R21" s="428"/>
      <c r="S21" s="429"/>
      <c r="T21" s="429"/>
      <c r="U21" s="429"/>
      <c r="V21" s="429"/>
      <c r="W21" s="429"/>
      <c r="X21" s="430"/>
      <c r="Y21" s="374"/>
      <c r="Z21" s="375"/>
      <c r="AA21" s="375"/>
      <c r="AB21" s="375"/>
      <c r="AC21" s="376"/>
      <c r="AD21" s="357"/>
      <c r="AE21" s="358"/>
      <c r="AF21" s="359"/>
      <c r="AG21" s="372" t="str">
        <f>IFERROR(VLOOKUP(Item[[#This Row],[Concatenado]],CITES[],2,FALSE),"")</f>
        <v/>
      </c>
      <c r="AH21" s="373"/>
      <c r="AI21" s="372" t="str">
        <f>IFERROR(VLOOKUP(Item[[#This Row],[Concatenado]],SuscepEARs[],2,FALSE),"")</f>
        <v/>
      </c>
      <c r="AJ21" s="373"/>
      <c r="AK21" s="6"/>
      <c r="AL21" s="43"/>
      <c r="AM21" s="46">
        <v>8</v>
      </c>
      <c r="AN21" s="46" t="str">
        <f t="shared" si="3"/>
        <v xml:space="preserve"> </v>
      </c>
      <c r="AO21" s="46">
        <f t="shared" si="0"/>
        <v>0</v>
      </c>
      <c r="AP21" s="46">
        <f t="shared" si="1"/>
        <v>0</v>
      </c>
      <c r="AQ21" s="46" t="str">
        <f t="shared" si="2"/>
        <v/>
      </c>
      <c r="AR21" s="46">
        <f>SUMIF('Acuario (Arribado - mortalidad)'!$B$14:$B$90,'ORDEN DE CUARENTENA'!B21,'Acuario (Arribado - mortalidad)'!$F$14:$F$90)</f>
        <v>0</v>
      </c>
      <c r="AS21" s="46" t="str">
        <f>IF(AR21&gt;0, IF(SUMIF('Acuario (Arribado - mortalidad)'!$B$14:$B$90,'ORDEN DE CUARENTENA'!B21,'Acuario (Arribado - mortalidad)'!$K$14:$K$90)=0, "0", SUMIF('Acuario (Arribado - mortalidad)'!$B$14:$B$90,'ORDEN DE CUARENTENA'!B21,'Acuario (Arribado - mortalidad)'!$K$14:$K$90)),"")</f>
        <v/>
      </c>
      <c r="AT21" s="46">
        <f>IF(AR21 = AS21,"0", SUMIF('Acuario (Arribado - mortalidad)'!$B$14:$B$90,'ORDEN DE CUARENTENA'!B21,'Acuario (Arribado - mortalidad)'!$G$14:$G$90))</f>
        <v>0</v>
      </c>
      <c r="AU21" s="48" t="str">
        <f>IFERROR(Item[[#This Row],[mortalidad acumulada]]/Item[[#This Row],[cantidad arribada]],"")</f>
        <v/>
      </c>
      <c r="AV21" s="46">
        <f>IF(ISTEXT(R21),IF(Item[[#This Row],[cantidad arribada]]=0,"No llega",Item[[#This Row],[cantidad arribada]]),)</f>
        <v>0</v>
      </c>
      <c r="AW21" s="46" t="str">
        <f>IFERROR(VLOOKUP(B21,'Tratamientos-Eventos'!$B$9:$S$20,19,FALSE),"")</f>
        <v/>
      </c>
      <c r="AX21" s="46">
        <f>SUMIF('Acuario (Arribado - mortalidad)'!$B$14:$B$90,'ORDEN DE CUARENTENA'!B21,'Acuario (Arribado - mortalidad)'!$O$14:$O$90)</f>
        <v>0</v>
      </c>
      <c r="AY21" s="46">
        <f>SUMIF('Acuario (Arribado - mortalidad)'!$B$14:$B$90,'ORDEN DE CUARENTENA'!B21,'Acuario (Arribado - mortalidad)'!$BG$14:$BG$90)</f>
        <v>0</v>
      </c>
      <c r="AZ21" s="46">
        <f>SUMIF('Acuario (Arribado - mortalidad)'!$B$14:$B$90,'ORDEN DE CUARENTENA'!B21,'Acuario (Arribado - mortalidad)'!$BH$14:$BH$90)</f>
        <v>0</v>
      </c>
      <c r="BA21" s="46" t="str">
        <f>IFERROR(Item[[#This Row],[Mortalidad dia 1]]/Item[[#This Row],[cantidad arribada]],"")</f>
        <v/>
      </c>
      <c r="BB21" s="46" t="str">
        <f>IFERROR(Item[[#This Row],[Mortalidad 2 a 8  (Sem 1)]]/Item[[#This Row],[cantidad arribada]],"")</f>
        <v/>
      </c>
      <c r="BC21" s="46" t="str">
        <f>IFERROR(Item[[#This Row],[Mortalidad 9 a 15 (Sem 2)]]/Item[[#This Row],[cantidad arribada]],"")</f>
        <v/>
      </c>
      <c r="BD21" s="46"/>
      <c r="BE21" s="219">
        <f>SUMIF('Acuario (Arribado - mortalidad)'!$B$14:$B$90,'ORDEN DE CUARENTENA'!B21,'Acuario (Arribado - mortalidad)'!$F$14:$F$90)</f>
        <v>0</v>
      </c>
      <c r="BF21" s="219">
        <f>SUMIF('Acuario (Arribado - mortalidad)'!$B$14:$B$90,'ORDEN DE CUARENTENA'!B21,'Acuario (Arribado - mortalidad)'!$K$14:$K$90)</f>
        <v>0</v>
      </c>
      <c r="BG21" s="219">
        <f>SUMIF('Acuario (Arribado - mortalidad)'!$B$14:$B$90,'ORDEN DE CUARENTENA'!B21,'Acuario (Arribado - mortalidad)'!$G$14:$G$90)</f>
        <v>0</v>
      </c>
      <c r="BH21" s="219">
        <f>SUMIF('Acuario (Arribado - mortalidad)'!$B$14:$B$90,'ORDEN DE CUARENTENA'!B21,'Acuario (Arribado - mortalidad)'!$O$14:$O$90)</f>
        <v>0</v>
      </c>
      <c r="BI21" s="219">
        <f>SUMIF('Acuario (Arribado - mortalidad)'!$B$14:$B$90,'ORDEN DE CUARENTENA'!B21,'Acuario (Arribado - mortalidad)'!$BG$14:$BG$90)</f>
        <v>0</v>
      </c>
      <c r="BJ21" s="219">
        <f>SUMIF('Acuario (Arribado - mortalidad)'!$B$14:$B$90,'ORDEN DE CUARENTENA'!B21,'Acuario (Arribado - mortalidad)'!$BH$14:$BH$90)</f>
        <v>0</v>
      </c>
      <c r="BK21" s="46"/>
      <c r="BL21" s="263" t="str">
        <f>IFERROR(VLOOKUP(AN21,CITES[],2,FALSE),"")</f>
        <v/>
      </c>
      <c r="BM21" s="49"/>
      <c r="BN21" s="7" t="s">
        <v>43</v>
      </c>
      <c r="BO21" s="7" t="s">
        <v>567</v>
      </c>
      <c r="BQ21" s="7" t="s">
        <v>640</v>
      </c>
      <c r="BV21" s="7" t="s">
        <v>685</v>
      </c>
      <c r="BX21" s="7" t="s">
        <v>10184</v>
      </c>
      <c r="BY21" s="7" t="s">
        <v>797</v>
      </c>
      <c r="BZ21" s="7" t="s">
        <v>8835</v>
      </c>
      <c r="CB21" t="s">
        <v>9196</v>
      </c>
      <c r="CC21" t="s">
        <v>9171</v>
      </c>
    </row>
    <row r="22" spans="1:81" x14ac:dyDescent="0.25">
      <c r="A22" s="42"/>
      <c r="B22" s="5">
        <v>9</v>
      </c>
      <c r="C22" s="422"/>
      <c r="D22" s="423"/>
      <c r="E22" s="423"/>
      <c r="F22" s="423"/>
      <c r="G22" s="423"/>
      <c r="H22" s="423"/>
      <c r="I22" s="424"/>
      <c r="J22" s="380"/>
      <c r="K22" s="380"/>
      <c r="L22" s="380"/>
      <c r="M22" s="380"/>
      <c r="N22" s="425" t="e">
        <f>INDEX(AMBIENTE!D$2:D$756,MATCH(R22,AMBIENTE!C$2:C$756,0))</f>
        <v>#N/A</v>
      </c>
      <c r="O22" s="426"/>
      <c r="P22" s="426"/>
      <c r="Q22" s="427"/>
      <c r="R22" s="428"/>
      <c r="S22" s="429"/>
      <c r="T22" s="429"/>
      <c r="U22" s="429"/>
      <c r="V22" s="429"/>
      <c r="W22" s="429"/>
      <c r="X22" s="430"/>
      <c r="Y22" s="374"/>
      <c r="Z22" s="375"/>
      <c r="AA22" s="375"/>
      <c r="AB22" s="375"/>
      <c r="AC22" s="376"/>
      <c r="AD22" s="357"/>
      <c r="AE22" s="358"/>
      <c r="AF22" s="359"/>
      <c r="AG22" s="372" t="str">
        <f>IFERROR(VLOOKUP(Item[[#This Row],[Concatenado]],CITES[],2,FALSE),"")</f>
        <v/>
      </c>
      <c r="AH22" s="373"/>
      <c r="AI22" s="372" t="str">
        <f>IFERROR(VLOOKUP(Item[[#This Row],[Concatenado]],SuscepEARs[],2,FALSE),"")</f>
        <v/>
      </c>
      <c r="AJ22" s="373"/>
      <c r="AK22" s="6"/>
      <c r="AL22" s="43"/>
      <c r="AM22" s="46">
        <v>9</v>
      </c>
      <c r="AN22" s="46" t="str">
        <f t="shared" si="3"/>
        <v xml:space="preserve"> </v>
      </c>
      <c r="AO22" s="46">
        <f t="shared" si="0"/>
        <v>0</v>
      </c>
      <c r="AP22" s="46">
        <f t="shared" si="1"/>
        <v>0</v>
      </c>
      <c r="AQ22" s="46" t="str">
        <f t="shared" si="2"/>
        <v/>
      </c>
      <c r="AR22" s="46">
        <f>SUMIF('Acuario (Arribado - mortalidad)'!$B$14:$B$90,'ORDEN DE CUARENTENA'!B22,'Acuario (Arribado - mortalidad)'!$F$14:$F$90)</f>
        <v>0</v>
      </c>
      <c r="AS22" s="46" t="str">
        <f>IF(AR22&gt;0, IF(SUMIF('Acuario (Arribado - mortalidad)'!$B$14:$B$90,'ORDEN DE CUARENTENA'!B22,'Acuario (Arribado - mortalidad)'!$K$14:$K$90)=0, "0", SUMIF('Acuario (Arribado - mortalidad)'!$B$14:$B$90,'ORDEN DE CUARENTENA'!B22,'Acuario (Arribado - mortalidad)'!$K$14:$K$90)),"")</f>
        <v/>
      </c>
      <c r="AT22" s="46">
        <f>IF(AR22 = AS22,"0", SUMIF('Acuario (Arribado - mortalidad)'!$B$14:$B$90,'ORDEN DE CUARENTENA'!B22,'Acuario (Arribado - mortalidad)'!$G$14:$G$90))</f>
        <v>0</v>
      </c>
      <c r="AU22" s="48" t="str">
        <f>IFERROR(Item[[#This Row],[mortalidad acumulada]]/Item[[#This Row],[cantidad arribada]],"")</f>
        <v/>
      </c>
      <c r="AV22" s="46">
        <f>IF(ISTEXT(R22),IF(Item[[#This Row],[cantidad arribada]]=0,"No llega",Item[[#This Row],[cantidad arribada]]),)</f>
        <v>0</v>
      </c>
      <c r="AW22" s="46" t="str">
        <f>IFERROR(VLOOKUP(B22,'Tratamientos-Eventos'!$B$9:$S$20,19,FALSE),"")</f>
        <v/>
      </c>
      <c r="AX22" s="46">
        <f>SUMIF('Acuario (Arribado - mortalidad)'!$B$14:$B$90,'ORDEN DE CUARENTENA'!B22,'Acuario (Arribado - mortalidad)'!$O$14:$O$90)</f>
        <v>0</v>
      </c>
      <c r="AY22" s="46">
        <f>SUMIF('Acuario (Arribado - mortalidad)'!$B$14:$B$90,'ORDEN DE CUARENTENA'!B22,'Acuario (Arribado - mortalidad)'!$BG$14:$BG$90)</f>
        <v>0</v>
      </c>
      <c r="AZ22" s="46">
        <f>SUMIF('Acuario (Arribado - mortalidad)'!$B$14:$B$90,'ORDEN DE CUARENTENA'!B22,'Acuario (Arribado - mortalidad)'!$BH$14:$BH$90)</f>
        <v>0</v>
      </c>
      <c r="BA22" s="46" t="str">
        <f>IFERROR(Item[[#This Row],[Mortalidad dia 1]]/Item[[#This Row],[cantidad arribada]],"")</f>
        <v/>
      </c>
      <c r="BB22" s="46" t="str">
        <f>IFERROR(Item[[#This Row],[Mortalidad 2 a 8  (Sem 1)]]/Item[[#This Row],[cantidad arribada]],"")</f>
        <v/>
      </c>
      <c r="BC22" s="46" t="str">
        <f>IFERROR(Item[[#This Row],[Mortalidad 9 a 15 (Sem 2)]]/Item[[#This Row],[cantidad arribada]],"")</f>
        <v/>
      </c>
      <c r="BD22" s="46"/>
      <c r="BE22" s="219">
        <f>SUMIF('Acuario (Arribado - mortalidad)'!$B$14:$B$90,'ORDEN DE CUARENTENA'!B22,'Acuario (Arribado - mortalidad)'!$F$14:$F$90)</f>
        <v>0</v>
      </c>
      <c r="BF22" s="219">
        <f>SUMIF('Acuario (Arribado - mortalidad)'!$B$14:$B$90,'ORDEN DE CUARENTENA'!B22,'Acuario (Arribado - mortalidad)'!$K$14:$K$90)</f>
        <v>0</v>
      </c>
      <c r="BG22" s="219">
        <f>SUMIF('Acuario (Arribado - mortalidad)'!$B$14:$B$90,'ORDEN DE CUARENTENA'!B22,'Acuario (Arribado - mortalidad)'!$G$14:$G$90)</f>
        <v>0</v>
      </c>
      <c r="BH22" s="219">
        <f>SUMIF('Acuario (Arribado - mortalidad)'!$B$14:$B$90,'ORDEN DE CUARENTENA'!B22,'Acuario (Arribado - mortalidad)'!$O$14:$O$90)</f>
        <v>0</v>
      </c>
      <c r="BI22" s="219">
        <f>SUMIF('Acuario (Arribado - mortalidad)'!$B$14:$B$90,'ORDEN DE CUARENTENA'!B22,'Acuario (Arribado - mortalidad)'!$BG$14:$BG$90)</f>
        <v>0</v>
      </c>
      <c r="BJ22" s="219">
        <f>SUMIF('Acuario (Arribado - mortalidad)'!$B$14:$B$90,'ORDEN DE CUARENTENA'!B22,'Acuario (Arribado - mortalidad)'!$BH$14:$BH$90)</f>
        <v>0</v>
      </c>
      <c r="BK22" s="46"/>
      <c r="BL22" s="263" t="str">
        <f>IFERROR(VLOOKUP(AN22,CITES[],2,FALSE),"")</f>
        <v/>
      </c>
      <c r="BM22" s="49"/>
      <c r="BN22" s="7" t="s">
        <v>44</v>
      </c>
      <c r="BO22" s="7" t="s">
        <v>568</v>
      </c>
      <c r="BQ22" s="7" t="s">
        <v>9021</v>
      </c>
      <c r="BV22" s="7" t="s">
        <v>686</v>
      </c>
      <c r="BX22" s="7" t="s">
        <v>10185</v>
      </c>
      <c r="BY22" s="7" t="s">
        <v>797</v>
      </c>
      <c r="BZ22" s="7" t="s">
        <v>8835</v>
      </c>
      <c r="CB22" t="s">
        <v>9197</v>
      </c>
      <c r="CC22" t="s">
        <v>9171</v>
      </c>
    </row>
    <row r="23" spans="1:81" x14ac:dyDescent="0.25">
      <c r="A23" s="42"/>
      <c r="B23" s="5">
        <v>10</v>
      </c>
      <c r="C23" s="422"/>
      <c r="D23" s="423"/>
      <c r="E23" s="423"/>
      <c r="F23" s="423"/>
      <c r="G23" s="423"/>
      <c r="H23" s="423"/>
      <c r="I23" s="424"/>
      <c r="J23" s="380"/>
      <c r="K23" s="380"/>
      <c r="L23" s="380"/>
      <c r="M23" s="380"/>
      <c r="N23" s="425" t="e">
        <f>INDEX(AMBIENTE!D$2:D$756,MATCH(R23,AMBIENTE!C$2:C$756,0))</f>
        <v>#N/A</v>
      </c>
      <c r="O23" s="426"/>
      <c r="P23" s="426"/>
      <c r="Q23" s="427"/>
      <c r="R23" s="428"/>
      <c r="S23" s="429"/>
      <c r="T23" s="429"/>
      <c r="U23" s="429"/>
      <c r="V23" s="429"/>
      <c r="W23" s="429"/>
      <c r="X23" s="430"/>
      <c r="Y23" s="374"/>
      <c r="Z23" s="375"/>
      <c r="AA23" s="375"/>
      <c r="AB23" s="375"/>
      <c r="AC23" s="376"/>
      <c r="AD23" s="357"/>
      <c r="AE23" s="358"/>
      <c r="AF23" s="359"/>
      <c r="AG23" s="372" t="str">
        <f>IFERROR(VLOOKUP(Item[[#This Row],[Concatenado]],CITES[],2,FALSE),"")</f>
        <v/>
      </c>
      <c r="AH23" s="373"/>
      <c r="AI23" s="372" t="str">
        <f>IFERROR(VLOOKUP(Item[[#This Row],[Concatenado]],SuscepEARs[],2,FALSE),"")</f>
        <v/>
      </c>
      <c r="AJ23" s="373"/>
      <c r="AK23" s="6"/>
      <c r="AL23" s="43"/>
      <c r="AM23" s="46">
        <v>10</v>
      </c>
      <c r="AN23" s="46" t="str">
        <f t="shared" si="3"/>
        <v xml:space="preserve"> </v>
      </c>
      <c r="AO23" s="46">
        <f t="shared" si="0"/>
        <v>0</v>
      </c>
      <c r="AP23" s="46">
        <f t="shared" si="1"/>
        <v>0</v>
      </c>
      <c r="AQ23" s="46" t="str">
        <f t="shared" si="2"/>
        <v/>
      </c>
      <c r="AR23" s="46">
        <f>SUMIF('Acuario (Arribado - mortalidad)'!$B$14:$B$90,'ORDEN DE CUARENTENA'!B23,'Acuario (Arribado - mortalidad)'!$F$14:$F$90)</f>
        <v>0</v>
      </c>
      <c r="AS23" s="46" t="str">
        <f>IF(AR23&gt;0, IF(SUMIF('Acuario (Arribado - mortalidad)'!$B$14:$B$90,'ORDEN DE CUARENTENA'!B23,'Acuario (Arribado - mortalidad)'!$K$14:$K$90)=0, "0", SUMIF('Acuario (Arribado - mortalidad)'!$B$14:$B$90,'ORDEN DE CUARENTENA'!B23,'Acuario (Arribado - mortalidad)'!$K$14:$K$90)),"")</f>
        <v/>
      </c>
      <c r="AT23" s="46">
        <f>IF(AR23 = AS23,"0", SUMIF('Acuario (Arribado - mortalidad)'!$B$14:$B$90,'ORDEN DE CUARENTENA'!B23,'Acuario (Arribado - mortalidad)'!$G$14:$G$90))</f>
        <v>0</v>
      </c>
      <c r="AU23" s="48" t="str">
        <f>IFERROR(Item[[#This Row],[mortalidad acumulada]]/Item[[#This Row],[cantidad arribada]],"")</f>
        <v/>
      </c>
      <c r="AV23" s="46">
        <f>IF(ISTEXT(R23),IF(Item[[#This Row],[cantidad arribada]]=0,"No llega",Item[[#This Row],[cantidad arribada]]),)</f>
        <v>0</v>
      </c>
      <c r="AW23" s="46" t="str">
        <f>IFERROR(VLOOKUP(B23,'Tratamientos-Eventos'!$B$9:$S$20,19,FALSE),"")</f>
        <v/>
      </c>
      <c r="AX23" s="46">
        <f>SUMIF('Acuario (Arribado - mortalidad)'!$B$14:$B$90,'ORDEN DE CUARENTENA'!B23,'Acuario (Arribado - mortalidad)'!$O$14:$O$90)</f>
        <v>0</v>
      </c>
      <c r="AY23" s="46">
        <f>SUMIF('Acuario (Arribado - mortalidad)'!$B$14:$B$90,'ORDEN DE CUARENTENA'!B23,'Acuario (Arribado - mortalidad)'!$BG$14:$BG$90)</f>
        <v>0</v>
      </c>
      <c r="AZ23" s="46">
        <f>SUMIF('Acuario (Arribado - mortalidad)'!$B$14:$B$90,'ORDEN DE CUARENTENA'!B23,'Acuario (Arribado - mortalidad)'!$BH$14:$BH$90)</f>
        <v>0</v>
      </c>
      <c r="BA23" s="46" t="str">
        <f>IFERROR(Item[[#This Row],[Mortalidad dia 1]]/Item[[#This Row],[cantidad arribada]],"")</f>
        <v/>
      </c>
      <c r="BB23" s="46" t="str">
        <f>IFERROR(Item[[#This Row],[Mortalidad 2 a 8  (Sem 1)]]/Item[[#This Row],[cantidad arribada]],"")</f>
        <v/>
      </c>
      <c r="BC23" s="46" t="str">
        <f>IFERROR(Item[[#This Row],[Mortalidad 9 a 15 (Sem 2)]]/Item[[#This Row],[cantidad arribada]],"")</f>
        <v/>
      </c>
      <c r="BD23" s="46"/>
      <c r="BE23" s="219">
        <f>SUMIF('Acuario (Arribado - mortalidad)'!$B$14:$B$90,'ORDEN DE CUARENTENA'!B23,'Acuario (Arribado - mortalidad)'!$F$14:$F$90)</f>
        <v>0</v>
      </c>
      <c r="BF23" s="219">
        <f>SUMIF('Acuario (Arribado - mortalidad)'!$B$14:$B$90,'ORDEN DE CUARENTENA'!B23,'Acuario (Arribado - mortalidad)'!$K$14:$K$90)</f>
        <v>0</v>
      </c>
      <c r="BG23" s="219">
        <f>SUMIF('Acuario (Arribado - mortalidad)'!$B$14:$B$90,'ORDEN DE CUARENTENA'!B23,'Acuario (Arribado - mortalidad)'!$G$14:$G$90)</f>
        <v>0</v>
      </c>
      <c r="BH23" s="219">
        <f>SUMIF('Acuario (Arribado - mortalidad)'!$B$14:$B$90,'ORDEN DE CUARENTENA'!B23,'Acuario (Arribado - mortalidad)'!$O$14:$O$90)</f>
        <v>0</v>
      </c>
      <c r="BI23" s="219">
        <f>SUMIF('Acuario (Arribado - mortalidad)'!$B$14:$B$90,'ORDEN DE CUARENTENA'!B23,'Acuario (Arribado - mortalidad)'!$BG$14:$BG$90)</f>
        <v>0</v>
      </c>
      <c r="BJ23" s="219">
        <f>SUMIF('Acuario (Arribado - mortalidad)'!$B$14:$B$90,'ORDEN DE CUARENTENA'!B23,'Acuario (Arribado - mortalidad)'!$BH$14:$BH$90)</f>
        <v>0</v>
      </c>
      <c r="BK23" s="46"/>
      <c r="BL23" s="263" t="str">
        <f>IFERROR(VLOOKUP(AN23,CITES[],2,FALSE),"")</f>
        <v/>
      </c>
      <c r="BM23" s="49"/>
      <c r="BN23" s="7" t="s">
        <v>45</v>
      </c>
      <c r="BO23" s="7" t="s">
        <v>569</v>
      </c>
      <c r="BQ23" s="7" t="s">
        <v>641</v>
      </c>
      <c r="BV23" s="7" t="s">
        <v>687</v>
      </c>
      <c r="BX23" s="7" t="s">
        <v>10186</v>
      </c>
      <c r="BY23" s="7" t="s">
        <v>797</v>
      </c>
      <c r="BZ23" s="7" t="s">
        <v>8835</v>
      </c>
      <c r="CB23" t="s">
        <v>9198</v>
      </c>
      <c r="CC23" t="s">
        <v>9171</v>
      </c>
    </row>
    <row r="24" spans="1:81" ht="15" customHeight="1" x14ac:dyDescent="0.25">
      <c r="A24" s="459" t="s">
        <v>10325</v>
      </c>
      <c r="B24" s="5">
        <v>11</v>
      </c>
      <c r="C24" s="422"/>
      <c r="D24" s="423"/>
      <c r="E24" s="423"/>
      <c r="F24" s="423"/>
      <c r="G24" s="423"/>
      <c r="H24" s="423"/>
      <c r="I24" s="424"/>
      <c r="J24" s="380"/>
      <c r="K24" s="380"/>
      <c r="L24" s="380"/>
      <c r="M24" s="380"/>
      <c r="N24" s="425" t="e">
        <f>INDEX(AMBIENTE!D$2:D$756,MATCH(R24,AMBIENTE!C$2:C$756,0))</f>
        <v>#N/A</v>
      </c>
      <c r="O24" s="426"/>
      <c r="P24" s="426"/>
      <c r="Q24" s="427"/>
      <c r="R24" s="428"/>
      <c r="S24" s="429"/>
      <c r="T24" s="429"/>
      <c r="U24" s="429"/>
      <c r="V24" s="429"/>
      <c r="W24" s="429"/>
      <c r="X24" s="430"/>
      <c r="Y24" s="374"/>
      <c r="Z24" s="375"/>
      <c r="AA24" s="375"/>
      <c r="AB24" s="375"/>
      <c r="AC24" s="376"/>
      <c r="AD24" s="357"/>
      <c r="AE24" s="358"/>
      <c r="AF24" s="359"/>
      <c r="AG24" s="372" t="str">
        <f>IFERROR(VLOOKUP(Item[[#This Row],[Concatenado]],CITES[],2,FALSE),"")</f>
        <v/>
      </c>
      <c r="AH24" s="373"/>
      <c r="AI24" s="372" t="str">
        <f>IFERROR(VLOOKUP(Item[[#This Row],[Concatenado]],SuscepEARs[],2,FALSE),"")</f>
        <v/>
      </c>
      <c r="AJ24" s="373"/>
      <c r="AK24" s="6"/>
      <c r="AL24" s="43"/>
      <c r="AM24" s="46">
        <v>11</v>
      </c>
      <c r="AN24" s="46" t="str">
        <f t="shared" si="3"/>
        <v xml:space="preserve"> </v>
      </c>
      <c r="AO24" s="46">
        <f t="shared" si="0"/>
        <v>0</v>
      </c>
      <c r="AP24" s="46">
        <f t="shared" si="1"/>
        <v>0</v>
      </c>
      <c r="AQ24" s="46" t="str">
        <f t="shared" si="2"/>
        <v/>
      </c>
      <c r="AR24" s="46">
        <f>SUMIF('Acuario (Arribado - mortalidad)'!$B$14:$B$90,'ORDEN DE CUARENTENA'!B24,'Acuario (Arribado - mortalidad)'!$F$14:$F$90)</f>
        <v>0</v>
      </c>
      <c r="AS24" s="46" t="str">
        <f>IF(AR24&gt;0, IF(SUMIF('Acuario (Arribado - mortalidad)'!$B$14:$B$90,'ORDEN DE CUARENTENA'!B24,'Acuario (Arribado - mortalidad)'!$K$14:$K$90)=0, "0", SUMIF('Acuario (Arribado - mortalidad)'!$B$14:$B$90,'ORDEN DE CUARENTENA'!B24,'Acuario (Arribado - mortalidad)'!$K$14:$K$90)),"")</f>
        <v/>
      </c>
      <c r="AT24" s="46">
        <f>IF(AR24 = AS24,"0", SUMIF('Acuario (Arribado - mortalidad)'!$B$14:$B$90,'ORDEN DE CUARENTENA'!B24,'Acuario (Arribado - mortalidad)'!$G$14:$G$90))</f>
        <v>0</v>
      </c>
      <c r="AU24" s="48" t="str">
        <f>IFERROR(Item[[#This Row],[mortalidad acumulada]]/Item[[#This Row],[cantidad arribada]],"")</f>
        <v/>
      </c>
      <c r="AV24" s="46">
        <f>IF(ISTEXT(R24),IF(Item[[#This Row],[cantidad arribada]]=0,"No llega",Item[[#This Row],[cantidad arribada]]),)</f>
        <v>0</v>
      </c>
      <c r="AW24" s="46" t="str">
        <f>IFERROR(VLOOKUP(B24,'Tratamientos-Eventos'!$B$9:$S$20,19,FALSE),"")</f>
        <v/>
      </c>
      <c r="AX24" s="46">
        <f>SUMIF('Acuario (Arribado - mortalidad)'!$B$14:$B$90,'ORDEN DE CUARENTENA'!B24,'Acuario (Arribado - mortalidad)'!$O$14:$O$90)</f>
        <v>0</v>
      </c>
      <c r="AY24" s="46">
        <f>SUMIF('Acuario (Arribado - mortalidad)'!$B$14:$B$90,'ORDEN DE CUARENTENA'!B24,'Acuario (Arribado - mortalidad)'!$BG$14:$BG$90)</f>
        <v>0</v>
      </c>
      <c r="AZ24" s="46">
        <f>SUMIF('Acuario (Arribado - mortalidad)'!$B$14:$B$90,'ORDEN DE CUARENTENA'!B24,'Acuario (Arribado - mortalidad)'!$BH$14:$BH$90)</f>
        <v>0</v>
      </c>
      <c r="BA24" s="46" t="str">
        <f>IFERROR(Item[[#This Row],[Mortalidad dia 1]]/Item[[#This Row],[cantidad arribada]],"")</f>
        <v/>
      </c>
      <c r="BB24" s="46" t="str">
        <f>IFERROR(Item[[#This Row],[Mortalidad 2 a 8  (Sem 1)]]/Item[[#This Row],[cantidad arribada]],"")</f>
        <v/>
      </c>
      <c r="BC24" s="46" t="str">
        <f>IFERROR(Item[[#This Row],[Mortalidad 9 a 15 (Sem 2)]]/Item[[#This Row],[cantidad arribada]],"")</f>
        <v/>
      </c>
      <c r="BD24" s="46"/>
      <c r="BE24" s="219">
        <f>SUMIF('Acuario (Arribado - mortalidad)'!$B$14:$B$90,'ORDEN DE CUARENTENA'!B24,'Acuario (Arribado - mortalidad)'!$F$14:$F$90)</f>
        <v>0</v>
      </c>
      <c r="BF24" s="219">
        <f>SUMIF('Acuario (Arribado - mortalidad)'!$B$14:$B$90,'ORDEN DE CUARENTENA'!B24,'Acuario (Arribado - mortalidad)'!$K$14:$K$90)</f>
        <v>0</v>
      </c>
      <c r="BG24" s="219">
        <f>SUMIF('Acuario (Arribado - mortalidad)'!$B$14:$B$90,'ORDEN DE CUARENTENA'!B24,'Acuario (Arribado - mortalidad)'!$G$14:$G$90)</f>
        <v>0</v>
      </c>
      <c r="BH24" s="219">
        <f>SUMIF('Acuario (Arribado - mortalidad)'!$B$14:$B$90,'ORDEN DE CUARENTENA'!B24,'Acuario (Arribado - mortalidad)'!$O$14:$O$90)</f>
        <v>0</v>
      </c>
      <c r="BI24" s="219">
        <f>SUMIF('Acuario (Arribado - mortalidad)'!$B$14:$B$90,'ORDEN DE CUARENTENA'!B24,'Acuario (Arribado - mortalidad)'!$BG$14:$BG$90)</f>
        <v>0</v>
      </c>
      <c r="BJ24" s="219">
        <f>SUMIF('Acuario (Arribado - mortalidad)'!$B$14:$B$90,'ORDEN DE CUARENTENA'!B24,'Acuario (Arribado - mortalidad)'!$BH$14:$BH$90)</f>
        <v>0</v>
      </c>
      <c r="BK24" s="46"/>
      <c r="BL24" s="263" t="str">
        <f>IFERROR(VLOOKUP(AN24,CITES[],2,FALSE),"")</f>
        <v/>
      </c>
      <c r="BM24" s="49"/>
      <c r="BN24" s="7" t="s">
        <v>46</v>
      </c>
      <c r="BO24" s="7" t="s">
        <v>570</v>
      </c>
      <c r="BQ24" s="7" t="s">
        <v>642</v>
      </c>
      <c r="BV24" s="7" t="s">
        <v>688</v>
      </c>
      <c r="BX24" s="7" t="s">
        <v>10187</v>
      </c>
      <c r="BY24" s="7" t="s">
        <v>797</v>
      </c>
      <c r="BZ24" s="7" t="s">
        <v>8835</v>
      </c>
      <c r="CB24" t="s">
        <v>9199</v>
      </c>
      <c r="CC24" t="s">
        <v>9171</v>
      </c>
    </row>
    <row r="25" spans="1:81" x14ac:dyDescent="0.25">
      <c r="A25" s="459"/>
      <c r="B25" s="5">
        <v>12</v>
      </c>
      <c r="C25" s="422"/>
      <c r="D25" s="423"/>
      <c r="E25" s="423"/>
      <c r="F25" s="423"/>
      <c r="G25" s="423"/>
      <c r="H25" s="423"/>
      <c r="I25" s="424"/>
      <c r="J25" s="380"/>
      <c r="K25" s="380"/>
      <c r="L25" s="380"/>
      <c r="M25" s="380"/>
      <c r="N25" s="425" t="e">
        <f>INDEX(AMBIENTE!D$2:D$756,MATCH(R25,AMBIENTE!C$2:C$756,0))</f>
        <v>#N/A</v>
      </c>
      <c r="O25" s="426"/>
      <c r="P25" s="426"/>
      <c r="Q25" s="427"/>
      <c r="R25" s="428"/>
      <c r="S25" s="429"/>
      <c r="T25" s="429"/>
      <c r="U25" s="429"/>
      <c r="V25" s="429"/>
      <c r="W25" s="429"/>
      <c r="X25" s="430"/>
      <c r="Y25" s="374"/>
      <c r="Z25" s="375"/>
      <c r="AA25" s="375"/>
      <c r="AB25" s="375"/>
      <c r="AC25" s="376"/>
      <c r="AD25" s="357"/>
      <c r="AE25" s="358"/>
      <c r="AF25" s="359"/>
      <c r="AG25" s="372" t="str">
        <f>IFERROR(VLOOKUP(Item[[#This Row],[Concatenado]],CITES[],2,FALSE),"")</f>
        <v/>
      </c>
      <c r="AH25" s="373"/>
      <c r="AI25" s="372" t="str">
        <f>IFERROR(VLOOKUP(Item[[#This Row],[Concatenado]],SuscepEARs[],2,FALSE),"")</f>
        <v/>
      </c>
      <c r="AJ25" s="373"/>
      <c r="AK25" s="6"/>
      <c r="AL25" s="43"/>
      <c r="AM25" s="46">
        <v>12</v>
      </c>
      <c r="AN25" s="46" t="str">
        <f t="shared" si="3"/>
        <v xml:space="preserve"> </v>
      </c>
      <c r="AO25" s="46">
        <f t="shared" si="0"/>
        <v>0</v>
      </c>
      <c r="AP25" s="46">
        <f t="shared" si="1"/>
        <v>0</v>
      </c>
      <c r="AQ25" s="46" t="str">
        <f t="shared" si="2"/>
        <v/>
      </c>
      <c r="AR25" s="46">
        <f>SUMIF('Acuario (Arribado - mortalidad)'!$B$14:$B$90,'ORDEN DE CUARENTENA'!B25,'Acuario (Arribado - mortalidad)'!$F$14:$F$90)</f>
        <v>0</v>
      </c>
      <c r="AS25" s="46" t="str">
        <f>IF(AR25&gt;0, IF(SUMIF('Acuario (Arribado - mortalidad)'!$B$14:$B$90,'ORDEN DE CUARENTENA'!B25,'Acuario (Arribado - mortalidad)'!$K$14:$K$90)=0, "0", SUMIF('Acuario (Arribado - mortalidad)'!$B$14:$B$90,'ORDEN DE CUARENTENA'!B25,'Acuario (Arribado - mortalidad)'!$K$14:$K$90)),"")</f>
        <v/>
      </c>
      <c r="AT25" s="46">
        <f>IF(AR25 = AS25,"0", SUMIF('Acuario (Arribado - mortalidad)'!$B$14:$B$90,'ORDEN DE CUARENTENA'!B25,'Acuario (Arribado - mortalidad)'!$G$14:$G$90))</f>
        <v>0</v>
      </c>
      <c r="AU25" s="48" t="str">
        <f>IFERROR(Item[[#This Row],[mortalidad acumulada]]/Item[[#This Row],[cantidad arribada]],"")</f>
        <v/>
      </c>
      <c r="AV25" s="46">
        <f>IF(ISTEXT(R25),IF(Item[[#This Row],[cantidad arribada]]=0,"No llega",Item[[#This Row],[cantidad arribada]]),)</f>
        <v>0</v>
      </c>
      <c r="AW25" s="46" t="str">
        <f>IFERROR(VLOOKUP(B25,'Tratamientos-Eventos'!$B$9:$S$20,19,FALSE),"")</f>
        <v/>
      </c>
      <c r="AX25" s="46">
        <f>SUMIF('Acuario (Arribado - mortalidad)'!$B$14:$B$90,'ORDEN DE CUARENTENA'!B25,'Acuario (Arribado - mortalidad)'!$O$14:$O$90)</f>
        <v>0</v>
      </c>
      <c r="AY25" s="46">
        <f>SUMIF('Acuario (Arribado - mortalidad)'!$B$14:$B$90,'ORDEN DE CUARENTENA'!B25,'Acuario (Arribado - mortalidad)'!$BG$14:$BG$90)</f>
        <v>0</v>
      </c>
      <c r="AZ25" s="46">
        <f>SUMIF('Acuario (Arribado - mortalidad)'!$B$14:$B$90,'ORDEN DE CUARENTENA'!B25,'Acuario (Arribado - mortalidad)'!$BH$14:$BH$90)</f>
        <v>0</v>
      </c>
      <c r="BA25" s="46" t="str">
        <f>IFERROR(Item[[#This Row],[Mortalidad dia 1]]/Item[[#This Row],[cantidad arribada]],"")</f>
        <v/>
      </c>
      <c r="BB25" s="46" t="str">
        <f>IFERROR(Item[[#This Row],[Mortalidad 2 a 8  (Sem 1)]]/Item[[#This Row],[cantidad arribada]],"")</f>
        <v/>
      </c>
      <c r="BC25" s="46" t="str">
        <f>IFERROR(Item[[#This Row],[Mortalidad 9 a 15 (Sem 2)]]/Item[[#This Row],[cantidad arribada]],"")</f>
        <v/>
      </c>
      <c r="BD25" s="46"/>
      <c r="BE25" s="219">
        <f>SUMIF('Acuario (Arribado - mortalidad)'!$B$14:$B$90,'ORDEN DE CUARENTENA'!B25,'Acuario (Arribado - mortalidad)'!$F$14:$F$90)</f>
        <v>0</v>
      </c>
      <c r="BF25" s="219">
        <f>SUMIF('Acuario (Arribado - mortalidad)'!$B$14:$B$90,'ORDEN DE CUARENTENA'!B25,'Acuario (Arribado - mortalidad)'!$K$14:$K$90)</f>
        <v>0</v>
      </c>
      <c r="BG25" s="219">
        <f>SUMIF('Acuario (Arribado - mortalidad)'!$B$14:$B$90,'ORDEN DE CUARENTENA'!B25,'Acuario (Arribado - mortalidad)'!$G$14:$G$90)</f>
        <v>0</v>
      </c>
      <c r="BH25" s="219">
        <f>SUMIF('Acuario (Arribado - mortalidad)'!$B$14:$B$90,'ORDEN DE CUARENTENA'!B25,'Acuario (Arribado - mortalidad)'!$O$14:$O$90)</f>
        <v>0</v>
      </c>
      <c r="BI25" s="219">
        <f>SUMIF('Acuario (Arribado - mortalidad)'!$B$14:$B$90,'ORDEN DE CUARENTENA'!B25,'Acuario (Arribado - mortalidad)'!$BG$14:$BG$90)</f>
        <v>0</v>
      </c>
      <c r="BJ25" s="219">
        <f>SUMIF('Acuario (Arribado - mortalidad)'!$B$14:$B$90,'ORDEN DE CUARENTENA'!B25,'Acuario (Arribado - mortalidad)'!$BH$14:$BH$90)</f>
        <v>0</v>
      </c>
      <c r="BK25" s="46"/>
      <c r="BL25" s="263" t="str">
        <f>IFERROR(VLOOKUP(AN25,CITES[],2,FALSE),"")</f>
        <v/>
      </c>
      <c r="BM25" s="49"/>
      <c r="BN25" s="7" t="s">
        <v>47</v>
      </c>
      <c r="BO25" s="7" t="s">
        <v>571</v>
      </c>
      <c r="BQ25" s="7" t="s">
        <v>643</v>
      </c>
      <c r="BV25" s="7" t="s">
        <v>689</v>
      </c>
      <c r="BX25" s="7" t="s">
        <v>10188</v>
      </c>
      <c r="BY25" s="7" t="s">
        <v>797</v>
      </c>
      <c r="BZ25" s="7" t="s">
        <v>8835</v>
      </c>
      <c r="CB25" t="s">
        <v>9200</v>
      </c>
      <c r="CC25" t="s">
        <v>9171</v>
      </c>
    </row>
    <row r="26" spans="1:81" x14ac:dyDescent="0.25">
      <c r="A26" s="459"/>
      <c r="B26" s="5">
        <v>13</v>
      </c>
      <c r="C26" s="422"/>
      <c r="D26" s="423"/>
      <c r="E26" s="423"/>
      <c r="F26" s="423"/>
      <c r="G26" s="423"/>
      <c r="H26" s="423"/>
      <c r="I26" s="424"/>
      <c r="J26" s="380"/>
      <c r="K26" s="380"/>
      <c r="L26" s="380"/>
      <c r="M26" s="380"/>
      <c r="N26" s="425" t="e">
        <f>INDEX(AMBIENTE!D$2:D$756,MATCH(R26,AMBIENTE!C$2:C$756,0))</f>
        <v>#N/A</v>
      </c>
      <c r="O26" s="426"/>
      <c r="P26" s="426"/>
      <c r="Q26" s="427"/>
      <c r="R26" s="428"/>
      <c r="S26" s="429"/>
      <c r="T26" s="429"/>
      <c r="U26" s="429"/>
      <c r="V26" s="429"/>
      <c r="W26" s="429"/>
      <c r="X26" s="430"/>
      <c r="Y26" s="374"/>
      <c r="Z26" s="375"/>
      <c r="AA26" s="375"/>
      <c r="AB26" s="375"/>
      <c r="AC26" s="376"/>
      <c r="AD26" s="357"/>
      <c r="AE26" s="358"/>
      <c r="AF26" s="359"/>
      <c r="AG26" s="372" t="str">
        <f>IFERROR(VLOOKUP(Item[[#This Row],[Concatenado]],CITES[],2,FALSE),"")</f>
        <v/>
      </c>
      <c r="AH26" s="373"/>
      <c r="AI26" s="372" t="str">
        <f>IFERROR(VLOOKUP(Item[[#This Row],[Concatenado]],SuscepEARs[],2,FALSE),"")</f>
        <v/>
      </c>
      <c r="AJ26" s="373"/>
      <c r="AK26" s="6"/>
      <c r="AL26" s="43"/>
      <c r="AM26" s="46">
        <v>13</v>
      </c>
      <c r="AN26" s="46" t="str">
        <f t="shared" si="3"/>
        <v xml:space="preserve"> </v>
      </c>
      <c r="AO26" s="46">
        <f t="shared" si="0"/>
        <v>0</v>
      </c>
      <c r="AP26" s="46">
        <f t="shared" si="1"/>
        <v>0</v>
      </c>
      <c r="AQ26" s="46" t="str">
        <f t="shared" si="2"/>
        <v/>
      </c>
      <c r="AR26" s="46">
        <f>SUMIF('Acuario (Arribado - mortalidad)'!$B$14:$B$90,'ORDEN DE CUARENTENA'!B26,'Acuario (Arribado - mortalidad)'!$F$14:$F$90)</f>
        <v>0</v>
      </c>
      <c r="AS26" s="46" t="str">
        <f>IF(AR26&gt;0, IF(SUMIF('Acuario (Arribado - mortalidad)'!$B$14:$B$90,'ORDEN DE CUARENTENA'!B26,'Acuario (Arribado - mortalidad)'!$K$14:$K$90)=0, "0", SUMIF('Acuario (Arribado - mortalidad)'!$B$14:$B$90,'ORDEN DE CUARENTENA'!B26,'Acuario (Arribado - mortalidad)'!$K$14:$K$90)),"")</f>
        <v/>
      </c>
      <c r="AT26" s="46">
        <f>IF(AR26 = AS26,"0", SUMIF('Acuario (Arribado - mortalidad)'!$B$14:$B$90,'ORDEN DE CUARENTENA'!B26,'Acuario (Arribado - mortalidad)'!$G$14:$G$90))</f>
        <v>0</v>
      </c>
      <c r="AU26" s="48" t="str">
        <f>IFERROR(Item[[#This Row],[mortalidad acumulada]]/Item[[#This Row],[cantidad arribada]],"")</f>
        <v/>
      </c>
      <c r="AV26" s="46">
        <f>IF(ISTEXT(R26),IF(Item[[#This Row],[cantidad arribada]]=0,"No llega",Item[[#This Row],[cantidad arribada]]),)</f>
        <v>0</v>
      </c>
      <c r="AW26" s="46" t="str">
        <f>IFERROR(VLOOKUP(B26,'Tratamientos-Eventos'!$B$9:$S$20,19,FALSE),"")</f>
        <v/>
      </c>
      <c r="AX26" s="46">
        <f>SUMIF('Acuario (Arribado - mortalidad)'!$B$14:$B$90,'ORDEN DE CUARENTENA'!B26,'Acuario (Arribado - mortalidad)'!$O$14:$O$90)</f>
        <v>0</v>
      </c>
      <c r="AY26" s="46">
        <f>SUMIF('Acuario (Arribado - mortalidad)'!$B$14:$B$90,'ORDEN DE CUARENTENA'!B26,'Acuario (Arribado - mortalidad)'!$BG$14:$BG$90)</f>
        <v>0</v>
      </c>
      <c r="AZ26" s="46">
        <f>SUMIF('Acuario (Arribado - mortalidad)'!$B$14:$B$90,'ORDEN DE CUARENTENA'!B26,'Acuario (Arribado - mortalidad)'!$BH$14:$BH$90)</f>
        <v>0</v>
      </c>
      <c r="BA26" s="46" t="str">
        <f>IFERROR(Item[[#This Row],[Mortalidad dia 1]]/Item[[#This Row],[cantidad arribada]],"")</f>
        <v/>
      </c>
      <c r="BB26" s="46" t="str">
        <f>IFERROR(Item[[#This Row],[Mortalidad 2 a 8  (Sem 1)]]/Item[[#This Row],[cantidad arribada]],"")</f>
        <v/>
      </c>
      <c r="BC26" s="46" t="str">
        <f>IFERROR(Item[[#This Row],[Mortalidad 9 a 15 (Sem 2)]]/Item[[#This Row],[cantidad arribada]],"")</f>
        <v/>
      </c>
      <c r="BD26" s="46"/>
      <c r="BE26" s="219">
        <f>SUMIF('Acuario (Arribado - mortalidad)'!$B$14:$B$90,'ORDEN DE CUARENTENA'!B26,'Acuario (Arribado - mortalidad)'!$F$14:$F$90)</f>
        <v>0</v>
      </c>
      <c r="BF26" s="219">
        <f>SUMIF('Acuario (Arribado - mortalidad)'!$B$14:$B$90,'ORDEN DE CUARENTENA'!B26,'Acuario (Arribado - mortalidad)'!$K$14:$K$90)</f>
        <v>0</v>
      </c>
      <c r="BG26" s="219">
        <f>SUMIF('Acuario (Arribado - mortalidad)'!$B$14:$B$90,'ORDEN DE CUARENTENA'!B26,'Acuario (Arribado - mortalidad)'!$G$14:$G$90)</f>
        <v>0</v>
      </c>
      <c r="BH26" s="219">
        <f>SUMIF('Acuario (Arribado - mortalidad)'!$B$14:$B$90,'ORDEN DE CUARENTENA'!B26,'Acuario (Arribado - mortalidad)'!$O$14:$O$90)</f>
        <v>0</v>
      </c>
      <c r="BI26" s="219">
        <f>SUMIF('Acuario (Arribado - mortalidad)'!$B$14:$B$90,'ORDEN DE CUARENTENA'!B26,'Acuario (Arribado - mortalidad)'!$BG$14:$BG$90)</f>
        <v>0</v>
      </c>
      <c r="BJ26" s="219">
        <f>SUMIF('Acuario (Arribado - mortalidad)'!$B$14:$B$90,'ORDEN DE CUARENTENA'!B26,'Acuario (Arribado - mortalidad)'!$BH$14:$BH$90)</f>
        <v>0</v>
      </c>
      <c r="BK26" s="46"/>
      <c r="BL26" s="263" t="str">
        <f>IFERROR(VLOOKUP(AN26,CITES[],2,FALSE),"")</f>
        <v/>
      </c>
      <c r="BM26" s="49"/>
      <c r="BN26" s="7" t="s">
        <v>48</v>
      </c>
      <c r="BO26" s="7" t="s">
        <v>572</v>
      </c>
      <c r="BQ26" s="7" t="s">
        <v>9022</v>
      </c>
      <c r="BV26" s="7" t="s">
        <v>690</v>
      </c>
      <c r="BX26" s="7" t="s">
        <v>10189</v>
      </c>
      <c r="BY26" s="7" t="s">
        <v>797</v>
      </c>
      <c r="BZ26" s="7" t="s">
        <v>8835</v>
      </c>
      <c r="CB26" t="s">
        <v>9201</v>
      </c>
      <c r="CC26" t="s">
        <v>9171</v>
      </c>
    </row>
    <row r="27" spans="1:81" x14ac:dyDescent="0.25">
      <c r="A27" s="459"/>
      <c r="B27" s="5">
        <v>14</v>
      </c>
      <c r="C27" s="422"/>
      <c r="D27" s="423"/>
      <c r="E27" s="423"/>
      <c r="F27" s="423"/>
      <c r="G27" s="423"/>
      <c r="H27" s="423"/>
      <c r="I27" s="424"/>
      <c r="J27" s="380"/>
      <c r="K27" s="380"/>
      <c r="L27" s="380"/>
      <c r="M27" s="380"/>
      <c r="N27" s="425" t="e">
        <f>INDEX(AMBIENTE!D$2:D$756,MATCH(R27,AMBIENTE!C$2:C$756,0))</f>
        <v>#N/A</v>
      </c>
      <c r="O27" s="426"/>
      <c r="P27" s="426"/>
      <c r="Q27" s="427"/>
      <c r="R27" s="428"/>
      <c r="S27" s="429"/>
      <c r="T27" s="429"/>
      <c r="U27" s="429"/>
      <c r="V27" s="429"/>
      <c r="W27" s="429"/>
      <c r="X27" s="430"/>
      <c r="Y27" s="374"/>
      <c r="Z27" s="375"/>
      <c r="AA27" s="375"/>
      <c r="AB27" s="375"/>
      <c r="AC27" s="376"/>
      <c r="AD27" s="357"/>
      <c r="AE27" s="358"/>
      <c r="AF27" s="359"/>
      <c r="AG27" s="372" t="str">
        <f>IFERROR(VLOOKUP(Item[[#This Row],[Concatenado]],CITES[],2,FALSE),"")</f>
        <v/>
      </c>
      <c r="AH27" s="373"/>
      <c r="AI27" s="372" t="str">
        <f>IFERROR(VLOOKUP(Item[[#This Row],[Concatenado]],SuscepEARs[],2,FALSE),"")</f>
        <v/>
      </c>
      <c r="AJ27" s="373"/>
      <c r="AK27" s="6"/>
      <c r="AL27" s="43"/>
      <c r="AM27" s="46">
        <v>14</v>
      </c>
      <c r="AN27" s="46" t="str">
        <f t="shared" si="3"/>
        <v xml:space="preserve"> </v>
      </c>
      <c r="AO27" s="46">
        <f t="shared" si="0"/>
        <v>0</v>
      </c>
      <c r="AP27" s="46">
        <f t="shared" si="1"/>
        <v>0</v>
      </c>
      <c r="AQ27" s="46" t="str">
        <f t="shared" si="2"/>
        <v/>
      </c>
      <c r="AR27" s="46">
        <f>SUMIF('Acuario (Arribado - mortalidad)'!$B$14:$B$90,'ORDEN DE CUARENTENA'!B27,'Acuario (Arribado - mortalidad)'!$F$14:$F$90)</f>
        <v>0</v>
      </c>
      <c r="AS27" s="46" t="str">
        <f>IF(AR27&gt;0, IF(SUMIF('Acuario (Arribado - mortalidad)'!$B$14:$B$90,'ORDEN DE CUARENTENA'!B27,'Acuario (Arribado - mortalidad)'!$K$14:$K$90)=0, "0", SUMIF('Acuario (Arribado - mortalidad)'!$B$14:$B$90,'ORDEN DE CUARENTENA'!B27,'Acuario (Arribado - mortalidad)'!$K$14:$K$90)),"")</f>
        <v/>
      </c>
      <c r="AT27" s="46">
        <f>IF(AR27 = AS27,"0", SUMIF('Acuario (Arribado - mortalidad)'!$B$14:$B$90,'ORDEN DE CUARENTENA'!B27,'Acuario (Arribado - mortalidad)'!$G$14:$G$90))</f>
        <v>0</v>
      </c>
      <c r="AU27" s="48" t="str">
        <f>IFERROR(Item[[#This Row],[mortalidad acumulada]]/Item[[#This Row],[cantidad arribada]],"")</f>
        <v/>
      </c>
      <c r="AV27" s="46">
        <f>IF(ISTEXT(R27),IF(Item[[#This Row],[cantidad arribada]]=0,"No llega",Item[[#This Row],[cantidad arribada]]),)</f>
        <v>0</v>
      </c>
      <c r="AW27" s="46" t="str">
        <f>IFERROR(VLOOKUP(B27,'Tratamientos-Eventos'!$B$9:$S$20,19,FALSE),"")</f>
        <v/>
      </c>
      <c r="AX27" s="46">
        <f>SUMIF('Acuario (Arribado - mortalidad)'!$B$14:$B$90,'ORDEN DE CUARENTENA'!B27,'Acuario (Arribado - mortalidad)'!$O$14:$O$90)</f>
        <v>0</v>
      </c>
      <c r="AY27" s="46">
        <f>SUMIF('Acuario (Arribado - mortalidad)'!$B$14:$B$90,'ORDEN DE CUARENTENA'!B27,'Acuario (Arribado - mortalidad)'!$BG$14:$BG$90)</f>
        <v>0</v>
      </c>
      <c r="AZ27" s="46">
        <f>SUMIF('Acuario (Arribado - mortalidad)'!$B$14:$B$90,'ORDEN DE CUARENTENA'!B27,'Acuario (Arribado - mortalidad)'!$BH$14:$BH$90)</f>
        <v>0</v>
      </c>
      <c r="BA27" s="46" t="str">
        <f>IFERROR(Item[[#This Row],[Mortalidad dia 1]]/Item[[#This Row],[cantidad arribada]],"")</f>
        <v/>
      </c>
      <c r="BB27" s="46" t="str">
        <f>IFERROR(Item[[#This Row],[Mortalidad 2 a 8  (Sem 1)]]/Item[[#This Row],[cantidad arribada]],"")</f>
        <v/>
      </c>
      <c r="BC27" s="46" t="str">
        <f>IFERROR(Item[[#This Row],[Mortalidad 9 a 15 (Sem 2)]]/Item[[#This Row],[cantidad arribada]],"")</f>
        <v/>
      </c>
      <c r="BD27" s="46"/>
      <c r="BE27" s="219">
        <f>SUMIF('Acuario (Arribado - mortalidad)'!$B$14:$B$90,'ORDEN DE CUARENTENA'!B27,'Acuario (Arribado - mortalidad)'!$F$14:$F$90)</f>
        <v>0</v>
      </c>
      <c r="BF27" s="219">
        <f>SUMIF('Acuario (Arribado - mortalidad)'!$B$14:$B$90,'ORDEN DE CUARENTENA'!B27,'Acuario (Arribado - mortalidad)'!$K$14:$K$90)</f>
        <v>0</v>
      </c>
      <c r="BG27" s="219">
        <f>SUMIF('Acuario (Arribado - mortalidad)'!$B$14:$B$90,'ORDEN DE CUARENTENA'!B27,'Acuario (Arribado - mortalidad)'!$G$14:$G$90)</f>
        <v>0</v>
      </c>
      <c r="BH27" s="219">
        <f>SUMIF('Acuario (Arribado - mortalidad)'!$B$14:$B$90,'ORDEN DE CUARENTENA'!B27,'Acuario (Arribado - mortalidad)'!$O$14:$O$90)</f>
        <v>0</v>
      </c>
      <c r="BI27" s="219">
        <f>SUMIF('Acuario (Arribado - mortalidad)'!$B$14:$B$90,'ORDEN DE CUARENTENA'!B27,'Acuario (Arribado - mortalidad)'!$BG$14:$BG$90)</f>
        <v>0</v>
      </c>
      <c r="BJ27" s="219">
        <f>SUMIF('Acuario (Arribado - mortalidad)'!$B$14:$B$90,'ORDEN DE CUARENTENA'!B27,'Acuario (Arribado - mortalidad)'!$BH$14:$BH$90)</f>
        <v>0</v>
      </c>
      <c r="BK27" s="46"/>
      <c r="BL27" s="263" t="str">
        <f>IFERROR(VLOOKUP(AN27,CITES[],2,FALSE),"")</f>
        <v/>
      </c>
      <c r="BM27" s="49"/>
      <c r="BN27" s="7" t="s">
        <v>49</v>
      </c>
      <c r="BO27" s="7" t="s">
        <v>573</v>
      </c>
      <c r="BQ27" s="7" t="s">
        <v>644</v>
      </c>
      <c r="BV27" s="7" t="s">
        <v>691</v>
      </c>
      <c r="BX27" s="7" t="s">
        <v>10190</v>
      </c>
      <c r="BY27" s="7" t="s">
        <v>797</v>
      </c>
      <c r="BZ27" s="7" t="s">
        <v>8835</v>
      </c>
      <c r="CB27" t="s">
        <v>9202</v>
      </c>
      <c r="CC27" t="s">
        <v>9171</v>
      </c>
    </row>
    <row r="28" spans="1:81" x14ac:dyDescent="0.25">
      <c r="A28" s="459"/>
      <c r="B28" s="5">
        <v>15</v>
      </c>
      <c r="C28" s="422"/>
      <c r="D28" s="423"/>
      <c r="E28" s="423"/>
      <c r="F28" s="423"/>
      <c r="G28" s="423"/>
      <c r="H28" s="423"/>
      <c r="I28" s="424"/>
      <c r="J28" s="380"/>
      <c r="K28" s="380"/>
      <c r="L28" s="380"/>
      <c r="M28" s="380"/>
      <c r="N28" s="425" t="e">
        <f>INDEX(AMBIENTE!D$2:D$756,MATCH(R28,AMBIENTE!C$2:C$756,0))</f>
        <v>#N/A</v>
      </c>
      <c r="O28" s="426"/>
      <c r="P28" s="426"/>
      <c r="Q28" s="427"/>
      <c r="R28" s="428"/>
      <c r="S28" s="429"/>
      <c r="T28" s="429"/>
      <c r="U28" s="429"/>
      <c r="V28" s="429"/>
      <c r="W28" s="429"/>
      <c r="X28" s="430"/>
      <c r="Y28" s="374"/>
      <c r="Z28" s="375"/>
      <c r="AA28" s="375"/>
      <c r="AB28" s="375"/>
      <c r="AC28" s="376"/>
      <c r="AD28" s="357"/>
      <c r="AE28" s="358"/>
      <c r="AF28" s="359"/>
      <c r="AG28" s="372" t="str">
        <f>IFERROR(VLOOKUP(Item[[#This Row],[Concatenado]],CITES[],2,FALSE),"")</f>
        <v/>
      </c>
      <c r="AH28" s="373"/>
      <c r="AI28" s="372" t="str">
        <f>IFERROR(VLOOKUP(Item[[#This Row],[Concatenado]],SuscepEARs[],2,FALSE),"")</f>
        <v/>
      </c>
      <c r="AJ28" s="373"/>
      <c r="AK28" s="6"/>
      <c r="AL28" s="43"/>
      <c r="AM28" s="46">
        <v>15</v>
      </c>
      <c r="AN28" s="46" t="str">
        <f t="shared" si="3"/>
        <v xml:space="preserve"> </v>
      </c>
      <c r="AO28" s="46">
        <f t="shared" si="0"/>
        <v>0</v>
      </c>
      <c r="AP28" s="46">
        <f t="shared" si="1"/>
        <v>0</v>
      </c>
      <c r="AQ28" s="46" t="str">
        <f t="shared" si="2"/>
        <v/>
      </c>
      <c r="AR28" s="46">
        <f>SUMIF('Acuario (Arribado - mortalidad)'!$B$14:$B$90,'ORDEN DE CUARENTENA'!B28,'Acuario (Arribado - mortalidad)'!$F$14:$F$90)</f>
        <v>0</v>
      </c>
      <c r="AS28" s="46" t="str">
        <f>IF(AR28&gt;0, IF(SUMIF('Acuario (Arribado - mortalidad)'!$B$14:$B$90,'ORDEN DE CUARENTENA'!B28,'Acuario (Arribado - mortalidad)'!$K$14:$K$90)=0, "0", SUMIF('Acuario (Arribado - mortalidad)'!$B$14:$B$90,'ORDEN DE CUARENTENA'!B28,'Acuario (Arribado - mortalidad)'!$K$14:$K$90)),"")</f>
        <v/>
      </c>
      <c r="AT28" s="46">
        <f>IF(AR28 = AS28,"0", SUMIF('Acuario (Arribado - mortalidad)'!$B$14:$B$90,'ORDEN DE CUARENTENA'!B28,'Acuario (Arribado - mortalidad)'!$G$14:$G$90))</f>
        <v>0</v>
      </c>
      <c r="AU28" s="48" t="str">
        <f>IFERROR(Item[[#This Row],[mortalidad acumulada]]/Item[[#This Row],[cantidad arribada]],"")</f>
        <v/>
      </c>
      <c r="AV28" s="46">
        <f>IF(ISTEXT(R28),IF(Item[[#This Row],[cantidad arribada]]=0,"No llega",Item[[#This Row],[cantidad arribada]]),)</f>
        <v>0</v>
      </c>
      <c r="AW28" s="46" t="str">
        <f>IFERROR(VLOOKUP(B28,'Tratamientos-Eventos'!$B$9:$S$20,19,FALSE),"")</f>
        <v/>
      </c>
      <c r="AX28" s="46">
        <f>SUMIF('Acuario (Arribado - mortalidad)'!$B$14:$B$90,'ORDEN DE CUARENTENA'!B28,'Acuario (Arribado - mortalidad)'!$O$14:$O$90)</f>
        <v>0</v>
      </c>
      <c r="AY28" s="46">
        <f>SUMIF('Acuario (Arribado - mortalidad)'!$B$14:$B$90,'ORDEN DE CUARENTENA'!B28,'Acuario (Arribado - mortalidad)'!$BG$14:$BG$90)</f>
        <v>0</v>
      </c>
      <c r="AZ28" s="46">
        <f>SUMIF('Acuario (Arribado - mortalidad)'!$B$14:$B$90,'ORDEN DE CUARENTENA'!B28,'Acuario (Arribado - mortalidad)'!$BH$14:$BH$90)</f>
        <v>0</v>
      </c>
      <c r="BA28" s="46" t="str">
        <f>IFERROR(Item[[#This Row],[Mortalidad dia 1]]/Item[[#This Row],[cantidad arribada]],"")</f>
        <v/>
      </c>
      <c r="BB28" s="46" t="str">
        <f>IFERROR(Item[[#This Row],[Mortalidad 2 a 8  (Sem 1)]]/Item[[#This Row],[cantidad arribada]],"")</f>
        <v/>
      </c>
      <c r="BC28" s="46" t="str">
        <f>IFERROR(Item[[#This Row],[Mortalidad 9 a 15 (Sem 2)]]/Item[[#This Row],[cantidad arribada]],"")</f>
        <v/>
      </c>
      <c r="BD28" s="46"/>
      <c r="BE28" s="219">
        <f>SUMIF('Acuario (Arribado - mortalidad)'!$B$14:$B$90,'ORDEN DE CUARENTENA'!B28,'Acuario (Arribado - mortalidad)'!$F$14:$F$90)</f>
        <v>0</v>
      </c>
      <c r="BF28" s="219">
        <f>SUMIF('Acuario (Arribado - mortalidad)'!$B$14:$B$90,'ORDEN DE CUARENTENA'!B28,'Acuario (Arribado - mortalidad)'!$K$14:$K$90)</f>
        <v>0</v>
      </c>
      <c r="BG28" s="219">
        <f>SUMIF('Acuario (Arribado - mortalidad)'!$B$14:$B$90,'ORDEN DE CUARENTENA'!B28,'Acuario (Arribado - mortalidad)'!$G$14:$G$90)</f>
        <v>0</v>
      </c>
      <c r="BH28" s="219">
        <f>SUMIF('Acuario (Arribado - mortalidad)'!$B$14:$B$90,'ORDEN DE CUARENTENA'!B28,'Acuario (Arribado - mortalidad)'!$O$14:$O$90)</f>
        <v>0</v>
      </c>
      <c r="BI28" s="219">
        <f>SUMIF('Acuario (Arribado - mortalidad)'!$B$14:$B$90,'ORDEN DE CUARENTENA'!B28,'Acuario (Arribado - mortalidad)'!$BG$14:$BG$90)</f>
        <v>0</v>
      </c>
      <c r="BJ28" s="219">
        <f>SUMIF('Acuario (Arribado - mortalidad)'!$B$14:$B$90,'ORDEN DE CUARENTENA'!B28,'Acuario (Arribado - mortalidad)'!$BH$14:$BH$90)</f>
        <v>0</v>
      </c>
      <c r="BK28" s="46"/>
      <c r="BL28" s="263" t="str">
        <f>IFERROR(VLOOKUP(AN28,CITES[],2,FALSE),"")</f>
        <v/>
      </c>
      <c r="BM28" s="49"/>
      <c r="BN28" s="7" t="s">
        <v>50</v>
      </c>
      <c r="BO28" s="7" t="s">
        <v>574</v>
      </c>
      <c r="BQ28" s="7" t="s">
        <v>9023</v>
      </c>
      <c r="BV28" s="7" t="s">
        <v>692</v>
      </c>
      <c r="BX28" s="7" t="s">
        <v>10191</v>
      </c>
      <c r="BY28" s="7" t="s">
        <v>797</v>
      </c>
      <c r="BZ28" s="7" t="s">
        <v>8835</v>
      </c>
      <c r="CB28" t="s">
        <v>9203</v>
      </c>
      <c r="CC28" t="s">
        <v>9171</v>
      </c>
    </row>
    <row r="29" spans="1:81" x14ac:dyDescent="0.25">
      <c r="A29" s="458" t="s">
        <v>10307</v>
      </c>
      <c r="B29" s="5">
        <v>16</v>
      </c>
      <c r="C29" s="422"/>
      <c r="D29" s="423"/>
      <c r="E29" s="423"/>
      <c r="F29" s="423"/>
      <c r="G29" s="423"/>
      <c r="H29" s="423"/>
      <c r="I29" s="424"/>
      <c r="J29" s="380"/>
      <c r="K29" s="380"/>
      <c r="L29" s="380"/>
      <c r="M29" s="380"/>
      <c r="N29" s="425" t="e">
        <f>INDEX(AMBIENTE!D$2:D$756,MATCH(R29,AMBIENTE!C$2:C$756,0))</f>
        <v>#N/A</v>
      </c>
      <c r="O29" s="426"/>
      <c r="P29" s="426"/>
      <c r="Q29" s="427"/>
      <c r="R29" s="428"/>
      <c r="S29" s="429"/>
      <c r="T29" s="429"/>
      <c r="U29" s="429"/>
      <c r="V29" s="429"/>
      <c r="W29" s="429"/>
      <c r="X29" s="430"/>
      <c r="Y29" s="374"/>
      <c r="Z29" s="375"/>
      <c r="AA29" s="375"/>
      <c r="AB29" s="375"/>
      <c r="AC29" s="376"/>
      <c r="AD29" s="357"/>
      <c r="AE29" s="358"/>
      <c r="AF29" s="359"/>
      <c r="AG29" s="372" t="str">
        <f>IFERROR(VLOOKUP(Item[[#This Row],[Concatenado]],CITES[],2,FALSE),"")</f>
        <v/>
      </c>
      <c r="AH29" s="373"/>
      <c r="AI29" s="372" t="str">
        <f>IFERROR(VLOOKUP(Item[[#This Row],[Concatenado]],SuscepEARs[],2,FALSE),"")</f>
        <v/>
      </c>
      <c r="AJ29" s="373"/>
      <c r="AK29" s="6"/>
      <c r="AL29" s="43"/>
      <c r="AM29" s="46">
        <v>16</v>
      </c>
      <c r="AN29" s="46" t="str">
        <f t="shared" si="3"/>
        <v xml:space="preserve"> </v>
      </c>
      <c r="AO29" s="46">
        <f t="shared" si="0"/>
        <v>0</v>
      </c>
      <c r="AP29" s="46">
        <f t="shared" si="1"/>
        <v>0</v>
      </c>
      <c r="AQ29" s="46" t="str">
        <f t="shared" si="2"/>
        <v/>
      </c>
      <c r="AR29" s="46">
        <f>SUMIF('Acuario (Arribado - mortalidad)'!$B$14:$B$90,'ORDEN DE CUARENTENA'!B29,'Acuario (Arribado - mortalidad)'!$F$14:$F$90)</f>
        <v>0</v>
      </c>
      <c r="AS29" s="46" t="str">
        <f>IF(AR29&gt;0, IF(SUMIF('Acuario (Arribado - mortalidad)'!$B$14:$B$90,'ORDEN DE CUARENTENA'!B29,'Acuario (Arribado - mortalidad)'!$K$14:$K$90)=0, "0", SUMIF('Acuario (Arribado - mortalidad)'!$B$14:$B$90,'ORDEN DE CUARENTENA'!B29,'Acuario (Arribado - mortalidad)'!$K$14:$K$90)),"")</f>
        <v/>
      </c>
      <c r="AT29" s="46">
        <f>IF(AR29 = AS29,"0", SUMIF('Acuario (Arribado - mortalidad)'!$B$14:$B$90,'ORDEN DE CUARENTENA'!B29,'Acuario (Arribado - mortalidad)'!$G$14:$G$90))</f>
        <v>0</v>
      </c>
      <c r="AU29" s="48" t="str">
        <f>IFERROR(Item[[#This Row],[mortalidad acumulada]]/Item[[#This Row],[cantidad arribada]],"")</f>
        <v/>
      </c>
      <c r="AV29" s="46">
        <f>IF(ISTEXT(R29),IF(Item[[#This Row],[cantidad arribada]]=0,"No llega",Item[[#This Row],[cantidad arribada]]),)</f>
        <v>0</v>
      </c>
      <c r="AW29" s="46" t="str">
        <f>IFERROR(VLOOKUP(B29,'Tratamientos-Eventos'!$B$9:$S$20,19,FALSE),"")</f>
        <v/>
      </c>
      <c r="AX29" s="46">
        <f>SUMIF('Acuario (Arribado - mortalidad)'!$B$14:$B$90,'ORDEN DE CUARENTENA'!B29,'Acuario (Arribado - mortalidad)'!$O$14:$O$90)</f>
        <v>0</v>
      </c>
      <c r="AY29" s="46">
        <f>SUMIF('Acuario (Arribado - mortalidad)'!$B$14:$B$90,'ORDEN DE CUARENTENA'!B29,'Acuario (Arribado - mortalidad)'!$BG$14:$BG$90)</f>
        <v>0</v>
      </c>
      <c r="AZ29" s="46">
        <f>SUMIF('Acuario (Arribado - mortalidad)'!$B$14:$B$90,'ORDEN DE CUARENTENA'!B29,'Acuario (Arribado - mortalidad)'!$BH$14:$BH$90)</f>
        <v>0</v>
      </c>
      <c r="BA29" s="46" t="str">
        <f>IFERROR(Item[[#This Row],[Mortalidad dia 1]]/Item[[#This Row],[cantidad arribada]],"")</f>
        <v/>
      </c>
      <c r="BB29" s="46" t="str">
        <f>IFERROR(Item[[#This Row],[Mortalidad 2 a 8  (Sem 1)]]/Item[[#This Row],[cantidad arribada]],"")</f>
        <v/>
      </c>
      <c r="BC29" s="46" t="str">
        <f>IFERROR(Item[[#This Row],[Mortalidad 9 a 15 (Sem 2)]]/Item[[#This Row],[cantidad arribada]],"")</f>
        <v/>
      </c>
      <c r="BD29" s="46"/>
      <c r="BE29" s="219">
        <f>SUMIF('Acuario (Arribado - mortalidad)'!$B$14:$B$90,'ORDEN DE CUARENTENA'!B29,'Acuario (Arribado - mortalidad)'!$F$14:$F$90)</f>
        <v>0</v>
      </c>
      <c r="BF29" s="219">
        <f>SUMIF('Acuario (Arribado - mortalidad)'!$B$14:$B$90,'ORDEN DE CUARENTENA'!B29,'Acuario (Arribado - mortalidad)'!$K$14:$K$90)</f>
        <v>0</v>
      </c>
      <c r="BG29" s="219">
        <f>SUMIF('Acuario (Arribado - mortalidad)'!$B$14:$B$90,'ORDEN DE CUARENTENA'!B29,'Acuario (Arribado - mortalidad)'!$G$14:$G$90)</f>
        <v>0</v>
      </c>
      <c r="BH29" s="219">
        <f>SUMIF('Acuario (Arribado - mortalidad)'!$B$14:$B$90,'ORDEN DE CUARENTENA'!B29,'Acuario (Arribado - mortalidad)'!$O$14:$O$90)</f>
        <v>0</v>
      </c>
      <c r="BI29" s="219">
        <f>SUMIF('Acuario (Arribado - mortalidad)'!$B$14:$B$90,'ORDEN DE CUARENTENA'!B29,'Acuario (Arribado - mortalidad)'!$BG$14:$BG$90)</f>
        <v>0</v>
      </c>
      <c r="BJ29" s="219">
        <f>SUMIF('Acuario (Arribado - mortalidad)'!$B$14:$B$90,'ORDEN DE CUARENTENA'!B29,'Acuario (Arribado - mortalidad)'!$BH$14:$BH$90)</f>
        <v>0</v>
      </c>
      <c r="BK29" s="46"/>
      <c r="BL29" s="263" t="str">
        <f>IFERROR(VLOOKUP(AN29,CITES[],2,FALSE),"")</f>
        <v/>
      </c>
      <c r="BM29" s="49"/>
      <c r="BN29" s="7" t="s">
        <v>51</v>
      </c>
      <c r="BO29" s="7" t="s">
        <v>575</v>
      </c>
      <c r="BQ29" s="7" t="s">
        <v>645</v>
      </c>
      <c r="BV29" s="7" t="s">
        <v>693</v>
      </c>
      <c r="BX29" s="7" t="s">
        <v>10192</v>
      </c>
      <c r="BY29" s="7" t="s">
        <v>797</v>
      </c>
      <c r="BZ29" s="7" t="s">
        <v>8835</v>
      </c>
      <c r="CB29" t="s">
        <v>9204</v>
      </c>
      <c r="CC29" t="s">
        <v>9171</v>
      </c>
    </row>
    <row r="30" spans="1:81" x14ac:dyDescent="0.25">
      <c r="A30" s="458"/>
      <c r="B30" s="5">
        <v>17</v>
      </c>
      <c r="C30" s="422"/>
      <c r="D30" s="423"/>
      <c r="E30" s="423"/>
      <c r="F30" s="423"/>
      <c r="G30" s="423"/>
      <c r="H30" s="423"/>
      <c r="I30" s="424"/>
      <c r="J30" s="380"/>
      <c r="K30" s="380"/>
      <c r="L30" s="380"/>
      <c r="M30" s="380"/>
      <c r="N30" s="425" t="e">
        <f>INDEX(AMBIENTE!D$2:D$756,MATCH(R30,AMBIENTE!C$2:C$756,0))</f>
        <v>#N/A</v>
      </c>
      <c r="O30" s="426"/>
      <c r="P30" s="426"/>
      <c r="Q30" s="427"/>
      <c r="R30" s="428"/>
      <c r="S30" s="429"/>
      <c r="T30" s="429"/>
      <c r="U30" s="429"/>
      <c r="V30" s="429"/>
      <c r="W30" s="429"/>
      <c r="X30" s="430"/>
      <c r="Y30" s="374"/>
      <c r="Z30" s="375"/>
      <c r="AA30" s="375"/>
      <c r="AB30" s="375"/>
      <c r="AC30" s="376"/>
      <c r="AD30" s="357"/>
      <c r="AE30" s="358"/>
      <c r="AF30" s="359"/>
      <c r="AG30" s="372" t="str">
        <f>IFERROR(VLOOKUP(Item[[#This Row],[Concatenado]],CITES[],2,FALSE),"")</f>
        <v/>
      </c>
      <c r="AH30" s="373"/>
      <c r="AI30" s="372" t="str">
        <f>IFERROR(VLOOKUP(Item[[#This Row],[Concatenado]],SuscepEARs[],2,FALSE),"")</f>
        <v/>
      </c>
      <c r="AJ30" s="373"/>
      <c r="AK30" s="6"/>
      <c r="AL30" s="43"/>
      <c r="AM30" s="46">
        <v>17</v>
      </c>
      <c r="AN30" s="46" t="str">
        <f t="shared" si="3"/>
        <v xml:space="preserve"> </v>
      </c>
      <c r="AO30" s="46">
        <f t="shared" si="0"/>
        <v>0</v>
      </c>
      <c r="AP30" s="46">
        <f t="shared" si="1"/>
        <v>0</v>
      </c>
      <c r="AQ30" s="46" t="str">
        <f t="shared" si="2"/>
        <v/>
      </c>
      <c r="AR30" s="46">
        <f>SUMIF('Acuario (Arribado - mortalidad)'!$B$14:$B$90,'ORDEN DE CUARENTENA'!B30,'Acuario (Arribado - mortalidad)'!$F$14:$F$90)</f>
        <v>0</v>
      </c>
      <c r="AS30" s="46" t="str">
        <f>IF(AR30&gt;0, IF(SUMIF('Acuario (Arribado - mortalidad)'!$B$14:$B$90,'ORDEN DE CUARENTENA'!B30,'Acuario (Arribado - mortalidad)'!$K$14:$K$90)=0, "0", SUMIF('Acuario (Arribado - mortalidad)'!$B$14:$B$90,'ORDEN DE CUARENTENA'!B30,'Acuario (Arribado - mortalidad)'!$K$14:$K$90)),"")</f>
        <v/>
      </c>
      <c r="AT30" s="46">
        <f>IF(AR30 = AS30,"0", SUMIF('Acuario (Arribado - mortalidad)'!$B$14:$B$90,'ORDEN DE CUARENTENA'!B30,'Acuario (Arribado - mortalidad)'!$G$14:$G$90))</f>
        <v>0</v>
      </c>
      <c r="AU30" s="48" t="str">
        <f>IFERROR(Item[[#This Row],[mortalidad acumulada]]/Item[[#This Row],[cantidad arribada]],"")</f>
        <v/>
      </c>
      <c r="AV30" s="46">
        <f>IF(ISTEXT(R30),IF(Item[[#This Row],[cantidad arribada]]=0,"No llega",Item[[#This Row],[cantidad arribada]]),)</f>
        <v>0</v>
      </c>
      <c r="AW30" s="46" t="str">
        <f>IFERROR(VLOOKUP(B30,'Tratamientos-Eventos'!$B$9:$S$20,19,FALSE),"")</f>
        <v/>
      </c>
      <c r="AX30" s="46">
        <f>SUMIF('Acuario (Arribado - mortalidad)'!$B$14:$B$90,'ORDEN DE CUARENTENA'!B30,'Acuario (Arribado - mortalidad)'!$O$14:$O$90)</f>
        <v>0</v>
      </c>
      <c r="AY30" s="46">
        <f>SUMIF('Acuario (Arribado - mortalidad)'!$B$14:$B$90,'ORDEN DE CUARENTENA'!B30,'Acuario (Arribado - mortalidad)'!$BG$14:$BG$90)</f>
        <v>0</v>
      </c>
      <c r="AZ30" s="46">
        <f>SUMIF('Acuario (Arribado - mortalidad)'!$B$14:$B$90,'ORDEN DE CUARENTENA'!B30,'Acuario (Arribado - mortalidad)'!$BH$14:$BH$90)</f>
        <v>0</v>
      </c>
      <c r="BA30" s="46" t="str">
        <f>IFERROR(Item[[#This Row],[Mortalidad dia 1]]/Item[[#This Row],[cantidad arribada]],"")</f>
        <v/>
      </c>
      <c r="BB30" s="46" t="str">
        <f>IFERROR(Item[[#This Row],[Mortalidad 2 a 8  (Sem 1)]]/Item[[#This Row],[cantidad arribada]],"")</f>
        <v/>
      </c>
      <c r="BC30" s="46" t="str">
        <f>IFERROR(Item[[#This Row],[Mortalidad 9 a 15 (Sem 2)]]/Item[[#This Row],[cantidad arribada]],"")</f>
        <v/>
      </c>
      <c r="BD30" s="46"/>
      <c r="BE30" s="219">
        <f>SUMIF('Acuario (Arribado - mortalidad)'!$B$14:$B$90,'ORDEN DE CUARENTENA'!B30,'Acuario (Arribado - mortalidad)'!$F$14:$F$90)</f>
        <v>0</v>
      </c>
      <c r="BF30" s="219">
        <f>SUMIF('Acuario (Arribado - mortalidad)'!$B$14:$B$90,'ORDEN DE CUARENTENA'!B30,'Acuario (Arribado - mortalidad)'!$K$14:$K$90)</f>
        <v>0</v>
      </c>
      <c r="BG30" s="219">
        <f>SUMIF('Acuario (Arribado - mortalidad)'!$B$14:$B$90,'ORDEN DE CUARENTENA'!B30,'Acuario (Arribado - mortalidad)'!$G$14:$G$90)</f>
        <v>0</v>
      </c>
      <c r="BH30" s="219">
        <f>SUMIF('Acuario (Arribado - mortalidad)'!$B$14:$B$90,'ORDEN DE CUARENTENA'!B30,'Acuario (Arribado - mortalidad)'!$O$14:$O$90)</f>
        <v>0</v>
      </c>
      <c r="BI30" s="219">
        <f>SUMIF('Acuario (Arribado - mortalidad)'!$B$14:$B$90,'ORDEN DE CUARENTENA'!B30,'Acuario (Arribado - mortalidad)'!$BG$14:$BG$90)</f>
        <v>0</v>
      </c>
      <c r="BJ30" s="219">
        <f>SUMIF('Acuario (Arribado - mortalidad)'!$B$14:$B$90,'ORDEN DE CUARENTENA'!B30,'Acuario (Arribado - mortalidad)'!$BH$14:$BH$90)</f>
        <v>0</v>
      </c>
      <c r="BK30" s="46"/>
      <c r="BL30" s="263" t="str">
        <f>IFERROR(VLOOKUP(AN30,CITES[],2,FALSE),"")</f>
        <v/>
      </c>
      <c r="BM30" s="49"/>
      <c r="BN30" s="7" t="s">
        <v>52</v>
      </c>
      <c r="BO30" s="7" t="s">
        <v>576</v>
      </c>
      <c r="BQ30" s="7" t="s">
        <v>646</v>
      </c>
      <c r="BV30" s="7" t="s">
        <v>694</v>
      </c>
      <c r="BX30" s="7" t="s">
        <v>10193</v>
      </c>
      <c r="BY30" s="7" t="s">
        <v>797</v>
      </c>
      <c r="BZ30" s="7" t="s">
        <v>8835</v>
      </c>
      <c r="CB30" t="s">
        <v>9205</v>
      </c>
      <c r="CC30" t="s">
        <v>9171</v>
      </c>
    </row>
    <row r="31" spans="1:81" x14ac:dyDescent="0.25">
      <c r="A31" s="50"/>
      <c r="B31" s="5">
        <v>18</v>
      </c>
      <c r="C31" s="422"/>
      <c r="D31" s="423"/>
      <c r="E31" s="423"/>
      <c r="F31" s="423"/>
      <c r="G31" s="423"/>
      <c r="H31" s="423"/>
      <c r="I31" s="424"/>
      <c r="J31" s="380"/>
      <c r="K31" s="380"/>
      <c r="L31" s="380"/>
      <c r="M31" s="380"/>
      <c r="N31" s="425" t="e">
        <f>INDEX(AMBIENTE!D$2:D$756,MATCH(R31,AMBIENTE!C$2:C$756,0))</f>
        <v>#N/A</v>
      </c>
      <c r="O31" s="426"/>
      <c r="P31" s="426"/>
      <c r="Q31" s="427"/>
      <c r="R31" s="428"/>
      <c r="S31" s="429"/>
      <c r="T31" s="429"/>
      <c r="U31" s="429"/>
      <c r="V31" s="429"/>
      <c r="W31" s="429"/>
      <c r="X31" s="430"/>
      <c r="Y31" s="374"/>
      <c r="Z31" s="375"/>
      <c r="AA31" s="375"/>
      <c r="AB31" s="375"/>
      <c r="AC31" s="376"/>
      <c r="AD31" s="357"/>
      <c r="AE31" s="358"/>
      <c r="AF31" s="359"/>
      <c r="AG31" s="372" t="str">
        <f>IFERROR(VLOOKUP(Item[[#This Row],[Concatenado]],CITES[],2,FALSE),"")</f>
        <v/>
      </c>
      <c r="AH31" s="373"/>
      <c r="AI31" s="372" t="str">
        <f>IFERROR(VLOOKUP(Item[[#This Row],[Concatenado]],SuscepEARs[],2,FALSE),"")</f>
        <v/>
      </c>
      <c r="AJ31" s="373"/>
      <c r="AL31" s="43"/>
      <c r="AM31" s="46">
        <v>18</v>
      </c>
      <c r="AN31" s="46" t="str">
        <f t="shared" si="3"/>
        <v xml:space="preserve"> </v>
      </c>
      <c r="AO31" s="46">
        <f t="shared" si="0"/>
        <v>0</v>
      </c>
      <c r="AP31" s="46">
        <f t="shared" si="1"/>
        <v>0</v>
      </c>
      <c r="AQ31" s="46" t="str">
        <f t="shared" si="2"/>
        <v/>
      </c>
      <c r="AR31" s="46">
        <f>SUMIF('Acuario (Arribado - mortalidad)'!$B$14:$B$90,'ORDEN DE CUARENTENA'!B31,'Acuario (Arribado - mortalidad)'!$F$14:$F$90)</f>
        <v>0</v>
      </c>
      <c r="AS31" s="46" t="str">
        <f>IF(AR31&gt;0, IF(SUMIF('Acuario (Arribado - mortalidad)'!$B$14:$B$90,'ORDEN DE CUARENTENA'!B31,'Acuario (Arribado - mortalidad)'!$K$14:$K$90)=0, "0", SUMIF('Acuario (Arribado - mortalidad)'!$B$14:$B$90,'ORDEN DE CUARENTENA'!B31,'Acuario (Arribado - mortalidad)'!$K$14:$K$90)),"")</f>
        <v/>
      </c>
      <c r="AT31" s="46">
        <f>IF(AR31 = AS31,"0", SUMIF('Acuario (Arribado - mortalidad)'!$B$14:$B$90,'ORDEN DE CUARENTENA'!B31,'Acuario (Arribado - mortalidad)'!$G$14:$G$90))</f>
        <v>0</v>
      </c>
      <c r="AU31" s="48" t="str">
        <f>IFERROR(Item[[#This Row],[mortalidad acumulada]]/Item[[#This Row],[cantidad arribada]],"")</f>
        <v/>
      </c>
      <c r="AV31" s="46">
        <f>IF(ISTEXT(R31),IF(Item[[#This Row],[cantidad arribada]]=0,"No llega",Item[[#This Row],[cantidad arribada]]),)</f>
        <v>0</v>
      </c>
      <c r="AW31" s="46" t="str">
        <f>IFERROR(VLOOKUP(B31,'Tratamientos-Eventos'!$B$9:$S$20,19,FALSE),"")</f>
        <v/>
      </c>
      <c r="AX31" s="46">
        <f>SUMIF('Acuario (Arribado - mortalidad)'!$B$14:$B$90,'ORDEN DE CUARENTENA'!B31,'Acuario (Arribado - mortalidad)'!$O$14:$O$90)</f>
        <v>0</v>
      </c>
      <c r="AY31" s="46">
        <f>SUMIF('Acuario (Arribado - mortalidad)'!$B$14:$B$90,'ORDEN DE CUARENTENA'!B31,'Acuario (Arribado - mortalidad)'!$BG$14:$BG$90)</f>
        <v>0</v>
      </c>
      <c r="AZ31" s="46">
        <f>SUMIF('Acuario (Arribado - mortalidad)'!$B$14:$B$90,'ORDEN DE CUARENTENA'!B31,'Acuario (Arribado - mortalidad)'!$BH$14:$BH$90)</f>
        <v>0</v>
      </c>
      <c r="BA31" s="46" t="str">
        <f>IFERROR(Item[[#This Row],[Mortalidad dia 1]]/Item[[#This Row],[cantidad arribada]],"")</f>
        <v/>
      </c>
      <c r="BB31" s="46" t="str">
        <f>IFERROR(Item[[#This Row],[Mortalidad 2 a 8  (Sem 1)]]/Item[[#This Row],[cantidad arribada]],"")</f>
        <v/>
      </c>
      <c r="BC31" s="46" t="str">
        <f>IFERROR(Item[[#This Row],[Mortalidad 9 a 15 (Sem 2)]]/Item[[#This Row],[cantidad arribada]],"")</f>
        <v/>
      </c>
      <c r="BD31" s="46"/>
      <c r="BE31" s="219">
        <f>SUMIF('Acuario (Arribado - mortalidad)'!$B$14:$B$90,'ORDEN DE CUARENTENA'!B31,'Acuario (Arribado - mortalidad)'!$F$14:$F$90)</f>
        <v>0</v>
      </c>
      <c r="BF31" s="219">
        <f>SUMIF('Acuario (Arribado - mortalidad)'!$B$14:$B$90,'ORDEN DE CUARENTENA'!B31,'Acuario (Arribado - mortalidad)'!$K$14:$K$90)</f>
        <v>0</v>
      </c>
      <c r="BG31" s="219">
        <f>SUMIF('Acuario (Arribado - mortalidad)'!$B$14:$B$90,'ORDEN DE CUARENTENA'!B31,'Acuario (Arribado - mortalidad)'!$G$14:$G$90)</f>
        <v>0</v>
      </c>
      <c r="BH31" s="219">
        <f>SUMIF('Acuario (Arribado - mortalidad)'!$B$14:$B$90,'ORDEN DE CUARENTENA'!B31,'Acuario (Arribado - mortalidad)'!$O$14:$O$90)</f>
        <v>0</v>
      </c>
      <c r="BI31" s="219">
        <f>SUMIF('Acuario (Arribado - mortalidad)'!$B$14:$B$90,'ORDEN DE CUARENTENA'!B31,'Acuario (Arribado - mortalidad)'!$BG$14:$BG$90)</f>
        <v>0</v>
      </c>
      <c r="BJ31" s="219">
        <f>SUMIF('Acuario (Arribado - mortalidad)'!$B$14:$B$90,'ORDEN DE CUARENTENA'!B31,'Acuario (Arribado - mortalidad)'!$BH$14:$BH$90)</f>
        <v>0</v>
      </c>
      <c r="BK31" s="46"/>
      <c r="BL31" s="264"/>
      <c r="BM31" s="49"/>
      <c r="BN31" s="7" t="s">
        <v>53</v>
      </c>
      <c r="BO31" s="7" t="s">
        <v>577</v>
      </c>
      <c r="BQ31" s="7" t="s">
        <v>9024</v>
      </c>
      <c r="BV31" s="7" t="s">
        <v>695</v>
      </c>
      <c r="BX31" s="7" t="s">
        <v>10194</v>
      </c>
      <c r="BY31" s="7" t="s">
        <v>797</v>
      </c>
      <c r="BZ31" s="7" t="s">
        <v>8835</v>
      </c>
      <c r="CB31" t="s">
        <v>10246</v>
      </c>
      <c r="CC31" t="s">
        <v>10247</v>
      </c>
    </row>
    <row r="32" spans="1:81" x14ac:dyDescent="0.25">
      <c r="A32" s="50"/>
      <c r="B32" s="5">
        <v>19</v>
      </c>
      <c r="C32" s="422"/>
      <c r="D32" s="423"/>
      <c r="E32" s="423"/>
      <c r="F32" s="423"/>
      <c r="G32" s="423"/>
      <c r="H32" s="423"/>
      <c r="I32" s="424"/>
      <c r="J32" s="380"/>
      <c r="K32" s="380"/>
      <c r="L32" s="380"/>
      <c r="M32" s="380"/>
      <c r="N32" s="425" t="e">
        <f>INDEX(AMBIENTE!D$2:D$756,MATCH(R32,AMBIENTE!C$2:C$756,0))</f>
        <v>#N/A</v>
      </c>
      <c r="O32" s="426"/>
      <c r="P32" s="426"/>
      <c r="Q32" s="427"/>
      <c r="R32" s="428"/>
      <c r="S32" s="429"/>
      <c r="T32" s="429"/>
      <c r="U32" s="429"/>
      <c r="V32" s="429"/>
      <c r="W32" s="429"/>
      <c r="X32" s="430"/>
      <c r="Y32" s="374"/>
      <c r="Z32" s="375"/>
      <c r="AA32" s="375"/>
      <c r="AB32" s="375"/>
      <c r="AC32" s="376"/>
      <c r="AD32" s="357"/>
      <c r="AE32" s="358"/>
      <c r="AF32" s="359"/>
      <c r="AG32" s="372" t="str">
        <f>IFERROR(VLOOKUP(Item[[#This Row],[Concatenado]],CITES[],2,FALSE),"")</f>
        <v/>
      </c>
      <c r="AH32" s="373"/>
      <c r="AI32" s="372" t="str">
        <f>IFERROR(VLOOKUP(Item[[#This Row],[Concatenado]],SuscepEARs[],2,FALSE),"")</f>
        <v/>
      </c>
      <c r="AJ32" s="373"/>
      <c r="AL32" s="43"/>
      <c r="AM32" s="46">
        <v>19</v>
      </c>
      <c r="AN32" s="46" t="str">
        <f t="shared" si="3"/>
        <v xml:space="preserve"> </v>
      </c>
      <c r="AO32" s="46">
        <f t="shared" si="0"/>
        <v>0</v>
      </c>
      <c r="AP32" s="46">
        <f t="shared" si="1"/>
        <v>0</v>
      </c>
      <c r="AQ32" s="46" t="str">
        <f t="shared" si="2"/>
        <v/>
      </c>
      <c r="AR32" s="46">
        <f>SUMIF('Acuario (Arribado - mortalidad)'!$B$14:$B$90,'ORDEN DE CUARENTENA'!B32,'Acuario (Arribado - mortalidad)'!$F$14:$F$90)</f>
        <v>0</v>
      </c>
      <c r="AS32" s="46" t="str">
        <f>IF(AR32&gt;0, IF(SUMIF('Acuario (Arribado - mortalidad)'!$B$14:$B$90,'ORDEN DE CUARENTENA'!B32,'Acuario (Arribado - mortalidad)'!$K$14:$K$90)=0, "0", SUMIF('Acuario (Arribado - mortalidad)'!$B$14:$B$90,'ORDEN DE CUARENTENA'!B32,'Acuario (Arribado - mortalidad)'!$K$14:$K$90)),"")</f>
        <v/>
      </c>
      <c r="AT32" s="46">
        <f>IF(AR32 = AS32,"0", SUMIF('Acuario (Arribado - mortalidad)'!$B$14:$B$90,'ORDEN DE CUARENTENA'!B32,'Acuario (Arribado - mortalidad)'!$G$14:$G$90))</f>
        <v>0</v>
      </c>
      <c r="AU32" s="48" t="str">
        <f>IFERROR(Item[[#This Row],[mortalidad acumulada]]/Item[[#This Row],[cantidad arribada]],"")</f>
        <v/>
      </c>
      <c r="AV32" s="46">
        <f>IF(ISTEXT(R32),IF(Item[[#This Row],[cantidad arribada]]=0,"No llega",Item[[#This Row],[cantidad arribada]]),)</f>
        <v>0</v>
      </c>
      <c r="AW32" s="46" t="str">
        <f>IFERROR(VLOOKUP(B32,'Tratamientos-Eventos'!$B$9:$S$20,19,FALSE),"")</f>
        <v/>
      </c>
      <c r="AX32" s="46">
        <f>SUMIF('Acuario (Arribado - mortalidad)'!$B$14:$B$90,'ORDEN DE CUARENTENA'!B32,'Acuario (Arribado - mortalidad)'!$O$14:$O$90)</f>
        <v>0</v>
      </c>
      <c r="AY32" s="46">
        <f>SUMIF('Acuario (Arribado - mortalidad)'!$B$14:$B$90,'ORDEN DE CUARENTENA'!B32,'Acuario (Arribado - mortalidad)'!$BG$14:$BG$90)</f>
        <v>0</v>
      </c>
      <c r="AZ32" s="46">
        <f>SUMIF('Acuario (Arribado - mortalidad)'!$B$14:$B$90,'ORDEN DE CUARENTENA'!B32,'Acuario (Arribado - mortalidad)'!$BH$14:$BH$90)</f>
        <v>0</v>
      </c>
      <c r="BA32" s="46" t="str">
        <f>IFERROR(Item[[#This Row],[Mortalidad dia 1]]/Item[[#This Row],[cantidad arribada]],"")</f>
        <v/>
      </c>
      <c r="BB32" s="46" t="str">
        <f>IFERROR(Item[[#This Row],[Mortalidad 2 a 8  (Sem 1)]]/Item[[#This Row],[cantidad arribada]],"")</f>
        <v/>
      </c>
      <c r="BC32" s="46" t="str">
        <f>IFERROR(Item[[#This Row],[Mortalidad 9 a 15 (Sem 2)]]/Item[[#This Row],[cantidad arribada]],"")</f>
        <v/>
      </c>
      <c r="BD32" s="46"/>
      <c r="BE32" s="219">
        <f>SUMIF('Acuario (Arribado - mortalidad)'!$B$14:$B$90,'ORDEN DE CUARENTENA'!B32,'Acuario (Arribado - mortalidad)'!$F$14:$F$90)</f>
        <v>0</v>
      </c>
      <c r="BF32" s="219">
        <f>SUMIF('Acuario (Arribado - mortalidad)'!$B$14:$B$90,'ORDEN DE CUARENTENA'!B32,'Acuario (Arribado - mortalidad)'!$K$14:$K$90)</f>
        <v>0</v>
      </c>
      <c r="BG32" s="219">
        <f>SUMIF('Acuario (Arribado - mortalidad)'!$B$14:$B$90,'ORDEN DE CUARENTENA'!B32,'Acuario (Arribado - mortalidad)'!$G$14:$G$90)</f>
        <v>0</v>
      </c>
      <c r="BH32" s="219">
        <f>SUMIF('Acuario (Arribado - mortalidad)'!$B$14:$B$90,'ORDEN DE CUARENTENA'!B32,'Acuario (Arribado - mortalidad)'!$O$14:$O$90)</f>
        <v>0</v>
      </c>
      <c r="BI32" s="219">
        <f>SUMIF('Acuario (Arribado - mortalidad)'!$B$14:$B$90,'ORDEN DE CUARENTENA'!B32,'Acuario (Arribado - mortalidad)'!$BG$14:$BG$90)</f>
        <v>0</v>
      </c>
      <c r="BJ32" s="219">
        <f>SUMIF('Acuario (Arribado - mortalidad)'!$B$14:$B$90,'ORDEN DE CUARENTENA'!B32,'Acuario (Arribado - mortalidad)'!$BH$14:$BH$90)</f>
        <v>0</v>
      </c>
      <c r="BK32" s="46"/>
      <c r="BL32" s="264"/>
      <c r="BN32" s="7" t="s">
        <v>54</v>
      </c>
      <c r="BO32" s="7" t="s">
        <v>578</v>
      </c>
      <c r="BQ32" s="7" t="s">
        <v>647</v>
      </c>
      <c r="BV32" s="7" t="s">
        <v>696</v>
      </c>
      <c r="BX32" s="7" t="s">
        <v>10195</v>
      </c>
      <c r="BY32" s="7" t="s">
        <v>797</v>
      </c>
      <c r="BZ32" s="7" t="s">
        <v>8835</v>
      </c>
      <c r="CB32" t="s">
        <v>10248</v>
      </c>
      <c r="CC32" t="s">
        <v>10249</v>
      </c>
    </row>
    <row r="33" spans="1:81" x14ac:dyDescent="0.25">
      <c r="A33" s="50"/>
      <c r="B33" s="5">
        <v>20</v>
      </c>
      <c r="C33" s="422"/>
      <c r="D33" s="423"/>
      <c r="E33" s="423"/>
      <c r="F33" s="423"/>
      <c r="G33" s="423"/>
      <c r="H33" s="423"/>
      <c r="I33" s="424"/>
      <c r="J33" s="380"/>
      <c r="K33" s="380"/>
      <c r="L33" s="380"/>
      <c r="M33" s="380"/>
      <c r="N33" s="425" t="e">
        <f>INDEX(AMBIENTE!D$2:D$756,MATCH(R33,AMBIENTE!C$2:C$756,0))</f>
        <v>#N/A</v>
      </c>
      <c r="O33" s="426"/>
      <c r="P33" s="426"/>
      <c r="Q33" s="427"/>
      <c r="R33" s="428"/>
      <c r="S33" s="429"/>
      <c r="T33" s="429"/>
      <c r="U33" s="429"/>
      <c r="V33" s="429"/>
      <c r="W33" s="429"/>
      <c r="X33" s="430"/>
      <c r="Y33" s="374"/>
      <c r="Z33" s="375"/>
      <c r="AA33" s="375"/>
      <c r="AB33" s="375"/>
      <c r="AC33" s="376"/>
      <c r="AD33" s="357"/>
      <c r="AE33" s="358"/>
      <c r="AF33" s="359"/>
      <c r="AG33" s="372" t="str">
        <f>IFERROR(VLOOKUP(Item[[#This Row],[Concatenado]],CITES[],2,FALSE),"")</f>
        <v/>
      </c>
      <c r="AH33" s="373"/>
      <c r="AI33" s="372" t="str">
        <f>IFERROR(VLOOKUP(Item[[#This Row],[Concatenado]],SuscepEARs[],2,FALSE),"")</f>
        <v/>
      </c>
      <c r="AJ33" s="373"/>
      <c r="AL33" s="43"/>
      <c r="AM33" s="46">
        <v>20</v>
      </c>
      <c r="AN33" s="46" t="str">
        <f t="shared" si="3"/>
        <v xml:space="preserve"> </v>
      </c>
      <c r="AO33" s="46">
        <f t="shared" si="0"/>
        <v>0</v>
      </c>
      <c r="AP33" s="46">
        <f t="shared" si="1"/>
        <v>0</v>
      </c>
      <c r="AQ33" s="46" t="str">
        <f t="shared" si="2"/>
        <v/>
      </c>
      <c r="AR33" s="46">
        <f>SUMIF('Acuario (Arribado - mortalidad)'!$B$14:$B$90,'ORDEN DE CUARENTENA'!B33,'Acuario (Arribado - mortalidad)'!$F$14:$F$90)</f>
        <v>0</v>
      </c>
      <c r="AS33" s="46" t="str">
        <f>IF(AR33&gt;0, IF(SUMIF('Acuario (Arribado - mortalidad)'!$B$14:$B$90,'ORDEN DE CUARENTENA'!B33,'Acuario (Arribado - mortalidad)'!$K$14:$K$90)=0, "0", SUMIF('Acuario (Arribado - mortalidad)'!$B$14:$B$90,'ORDEN DE CUARENTENA'!B33,'Acuario (Arribado - mortalidad)'!$K$14:$K$90)),"")</f>
        <v/>
      </c>
      <c r="AT33" s="46">
        <f>IF(AR33 = AS33,"0", SUMIF('Acuario (Arribado - mortalidad)'!$B$14:$B$90,'ORDEN DE CUARENTENA'!B33,'Acuario (Arribado - mortalidad)'!$G$14:$G$90))</f>
        <v>0</v>
      </c>
      <c r="AU33" s="48" t="str">
        <f>IFERROR(Item[[#This Row],[mortalidad acumulada]]/Item[[#This Row],[cantidad arribada]],"")</f>
        <v/>
      </c>
      <c r="AV33" s="46">
        <f>IF(ISTEXT(R33),IF(Item[[#This Row],[cantidad arribada]]=0,"No llega",Item[[#This Row],[cantidad arribada]]),)</f>
        <v>0</v>
      </c>
      <c r="AW33" s="46" t="str">
        <f>IFERROR(VLOOKUP(B33,'Tratamientos-Eventos'!$B$9:$S$20,19,FALSE),"")</f>
        <v/>
      </c>
      <c r="AX33" s="46">
        <f>SUMIF('Acuario (Arribado - mortalidad)'!$B$14:$B$90,'ORDEN DE CUARENTENA'!B33,'Acuario (Arribado - mortalidad)'!$O$14:$O$90)</f>
        <v>0</v>
      </c>
      <c r="AY33" s="46">
        <f>SUMIF('Acuario (Arribado - mortalidad)'!$B$14:$B$90,'ORDEN DE CUARENTENA'!B33,'Acuario (Arribado - mortalidad)'!$BG$14:$BG$90)</f>
        <v>0</v>
      </c>
      <c r="AZ33" s="46">
        <f>SUMIF('Acuario (Arribado - mortalidad)'!$B$14:$B$90,'ORDEN DE CUARENTENA'!B33,'Acuario (Arribado - mortalidad)'!$BH$14:$BH$90)</f>
        <v>0</v>
      </c>
      <c r="BA33" s="46" t="str">
        <f>IFERROR(Item[[#This Row],[Mortalidad dia 1]]/Item[[#This Row],[cantidad arribada]],"")</f>
        <v/>
      </c>
      <c r="BB33" s="46" t="str">
        <f>IFERROR(Item[[#This Row],[Mortalidad 2 a 8  (Sem 1)]]/Item[[#This Row],[cantidad arribada]],"")</f>
        <v/>
      </c>
      <c r="BC33" s="46" t="str">
        <f>IFERROR(Item[[#This Row],[Mortalidad 9 a 15 (Sem 2)]]/Item[[#This Row],[cantidad arribada]],"")</f>
        <v/>
      </c>
      <c r="BD33" s="46"/>
      <c r="BE33" s="219">
        <f>SUMIF('Acuario (Arribado - mortalidad)'!$B$14:$B$90,'ORDEN DE CUARENTENA'!B33,'Acuario (Arribado - mortalidad)'!$F$14:$F$90)</f>
        <v>0</v>
      </c>
      <c r="BF33" s="219">
        <f>SUMIF('Acuario (Arribado - mortalidad)'!$B$14:$B$90,'ORDEN DE CUARENTENA'!B33,'Acuario (Arribado - mortalidad)'!$K$14:$K$90)</f>
        <v>0</v>
      </c>
      <c r="BG33" s="219">
        <f>SUMIF('Acuario (Arribado - mortalidad)'!$B$14:$B$90,'ORDEN DE CUARENTENA'!B33,'Acuario (Arribado - mortalidad)'!$G$14:$G$90)</f>
        <v>0</v>
      </c>
      <c r="BH33" s="219">
        <f>SUMIF('Acuario (Arribado - mortalidad)'!$B$14:$B$90,'ORDEN DE CUARENTENA'!B33,'Acuario (Arribado - mortalidad)'!$O$14:$O$90)</f>
        <v>0</v>
      </c>
      <c r="BI33" s="219">
        <f>SUMIF('Acuario (Arribado - mortalidad)'!$B$14:$B$90,'ORDEN DE CUARENTENA'!B33,'Acuario (Arribado - mortalidad)'!$BG$14:$BG$90)</f>
        <v>0</v>
      </c>
      <c r="BJ33" s="219">
        <f>SUMIF('Acuario (Arribado - mortalidad)'!$B$14:$B$90,'ORDEN DE CUARENTENA'!B33,'Acuario (Arribado - mortalidad)'!$BH$14:$BH$90)</f>
        <v>0</v>
      </c>
      <c r="BK33" s="46"/>
      <c r="BL33" s="264"/>
      <c r="BN33" s="7" t="s">
        <v>55</v>
      </c>
      <c r="BO33" s="7" t="s">
        <v>579</v>
      </c>
      <c r="BQ33" s="7" t="s">
        <v>648</v>
      </c>
      <c r="BV33" s="7" t="s">
        <v>8982</v>
      </c>
      <c r="BX33" s="7" t="s">
        <v>10196</v>
      </c>
      <c r="BY33" s="7" t="s">
        <v>797</v>
      </c>
      <c r="BZ33" s="7" t="s">
        <v>8835</v>
      </c>
      <c r="CB33" t="s">
        <v>9140</v>
      </c>
      <c r="CC33" t="s">
        <v>9171</v>
      </c>
    </row>
    <row r="34" spans="1:81" x14ac:dyDescent="0.25">
      <c r="A34" s="50"/>
      <c r="B34" s="5">
        <v>21</v>
      </c>
      <c r="C34" s="422"/>
      <c r="D34" s="423"/>
      <c r="E34" s="423"/>
      <c r="F34" s="423"/>
      <c r="G34" s="423"/>
      <c r="H34" s="423"/>
      <c r="I34" s="424"/>
      <c r="J34" s="380"/>
      <c r="K34" s="380"/>
      <c r="L34" s="380"/>
      <c r="M34" s="380"/>
      <c r="N34" s="425" t="e">
        <f>INDEX(AMBIENTE!D$2:D$756,MATCH(R34,AMBIENTE!C$2:C$756,0))</f>
        <v>#N/A</v>
      </c>
      <c r="O34" s="426"/>
      <c r="P34" s="426"/>
      <c r="Q34" s="427"/>
      <c r="R34" s="428"/>
      <c r="S34" s="429"/>
      <c r="T34" s="429"/>
      <c r="U34" s="429"/>
      <c r="V34" s="429"/>
      <c r="W34" s="429"/>
      <c r="X34" s="430"/>
      <c r="Y34" s="374"/>
      <c r="Z34" s="375"/>
      <c r="AA34" s="375"/>
      <c r="AB34" s="375"/>
      <c r="AC34" s="376"/>
      <c r="AD34" s="357"/>
      <c r="AE34" s="358"/>
      <c r="AF34" s="359"/>
      <c r="AG34" s="372" t="str">
        <f>IFERROR(VLOOKUP(Item[[#This Row],[Concatenado]],CITES[],2,FALSE),"")</f>
        <v/>
      </c>
      <c r="AH34" s="373"/>
      <c r="AI34" s="372" t="str">
        <f>IFERROR(VLOOKUP(Item[[#This Row],[Concatenado]],SuscepEARs[],2,FALSE),"")</f>
        <v/>
      </c>
      <c r="AJ34" s="373"/>
      <c r="AL34" s="43"/>
      <c r="AM34" s="46">
        <v>21</v>
      </c>
      <c r="AN34" s="46" t="str">
        <f t="shared" si="3"/>
        <v xml:space="preserve"> </v>
      </c>
      <c r="AO34" s="46">
        <f t="shared" si="0"/>
        <v>0</v>
      </c>
      <c r="AP34" s="46">
        <f t="shared" si="1"/>
        <v>0</v>
      </c>
      <c r="AQ34" s="46" t="str">
        <f t="shared" si="2"/>
        <v/>
      </c>
      <c r="AR34" s="46">
        <f>SUMIF('Acuario (Arribado - mortalidad)'!$B$14:$B$90,'ORDEN DE CUARENTENA'!B34,'Acuario (Arribado - mortalidad)'!$F$14:$F$90)</f>
        <v>0</v>
      </c>
      <c r="AS34" s="46" t="str">
        <f>IF(AR34&gt;0, IF(SUMIF('Acuario (Arribado - mortalidad)'!$B$14:$B$90,'ORDEN DE CUARENTENA'!B34,'Acuario (Arribado - mortalidad)'!$K$14:$K$90)=0, "0", SUMIF('Acuario (Arribado - mortalidad)'!$B$14:$B$90,'ORDEN DE CUARENTENA'!B34,'Acuario (Arribado - mortalidad)'!$K$14:$K$90)),"")</f>
        <v/>
      </c>
      <c r="AT34" s="46">
        <f>IF(AR34 = AS34,"0", SUMIF('Acuario (Arribado - mortalidad)'!$B$14:$B$90,'ORDEN DE CUARENTENA'!B34,'Acuario (Arribado - mortalidad)'!$G$14:$G$90))</f>
        <v>0</v>
      </c>
      <c r="AU34" s="48" t="str">
        <f>IFERROR(Item[[#This Row],[mortalidad acumulada]]/Item[[#This Row],[cantidad arribada]],"")</f>
        <v/>
      </c>
      <c r="AV34" s="46">
        <f>IF(ISTEXT(R34),IF(Item[[#This Row],[cantidad arribada]]=0,"No llega",Item[[#This Row],[cantidad arribada]]),)</f>
        <v>0</v>
      </c>
      <c r="AW34" s="46" t="str">
        <f>IFERROR(VLOOKUP(B34,'Tratamientos-Eventos'!$B$9:$S$20,19,FALSE),"")</f>
        <v/>
      </c>
      <c r="AX34" s="46">
        <f>SUMIF('Acuario (Arribado - mortalidad)'!$B$14:$B$90,'ORDEN DE CUARENTENA'!B34,'Acuario (Arribado - mortalidad)'!$O$14:$O$90)</f>
        <v>0</v>
      </c>
      <c r="AY34" s="46">
        <f>SUMIF('Acuario (Arribado - mortalidad)'!$B$14:$B$90,'ORDEN DE CUARENTENA'!B34,'Acuario (Arribado - mortalidad)'!$BG$14:$BG$90)</f>
        <v>0</v>
      </c>
      <c r="AZ34" s="46">
        <f>SUMIF('Acuario (Arribado - mortalidad)'!$B$14:$B$90,'ORDEN DE CUARENTENA'!B34,'Acuario (Arribado - mortalidad)'!$BH$14:$BH$90)</f>
        <v>0</v>
      </c>
      <c r="BA34" s="46" t="str">
        <f>IFERROR(Item[[#This Row],[Mortalidad dia 1]]/Item[[#This Row],[cantidad arribada]],"")</f>
        <v/>
      </c>
      <c r="BB34" s="46" t="str">
        <f>IFERROR(Item[[#This Row],[Mortalidad 2 a 8  (Sem 1)]]/Item[[#This Row],[cantidad arribada]],"")</f>
        <v/>
      </c>
      <c r="BC34" s="46" t="str">
        <f>IFERROR(Item[[#This Row],[Mortalidad 9 a 15 (Sem 2)]]/Item[[#This Row],[cantidad arribada]],"")</f>
        <v/>
      </c>
      <c r="BD34" s="46"/>
      <c r="BE34" s="219">
        <f>SUMIF('Acuario (Arribado - mortalidad)'!$B$14:$B$90,'ORDEN DE CUARENTENA'!B34,'Acuario (Arribado - mortalidad)'!$F$14:$F$90)</f>
        <v>0</v>
      </c>
      <c r="BF34" s="219">
        <f>SUMIF('Acuario (Arribado - mortalidad)'!$B$14:$B$90,'ORDEN DE CUARENTENA'!B34,'Acuario (Arribado - mortalidad)'!$K$14:$K$90)</f>
        <v>0</v>
      </c>
      <c r="BG34" s="219">
        <f>SUMIF('Acuario (Arribado - mortalidad)'!$B$14:$B$90,'ORDEN DE CUARENTENA'!B34,'Acuario (Arribado - mortalidad)'!$G$14:$G$90)</f>
        <v>0</v>
      </c>
      <c r="BH34" s="219">
        <f>SUMIF('Acuario (Arribado - mortalidad)'!$B$14:$B$90,'ORDEN DE CUARENTENA'!B34,'Acuario (Arribado - mortalidad)'!$O$14:$O$90)</f>
        <v>0</v>
      </c>
      <c r="BI34" s="219">
        <f>SUMIF('Acuario (Arribado - mortalidad)'!$B$14:$B$90,'ORDEN DE CUARENTENA'!B34,'Acuario (Arribado - mortalidad)'!$BG$14:$BG$90)</f>
        <v>0</v>
      </c>
      <c r="BJ34" s="219">
        <f>SUMIF('Acuario (Arribado - mortalidad)'!$B$14:$B$90,'ORDEN DE CUARENTENA'!B34,'Acuario (Arribado - mortalidad)'!$BH$14:$BH$90)</f>
        <v>0</v>
      </c>
      <c r="BK34" s="46"/>
      <c r="BL34" s="264"/>
      <c r="BN34" s="7" t="s">
        <v>56</v>
      </c>
      <c r="BO34" s="7" t="s">
        <v>580</v>
      </c>
      <c r="BQ34" s="7" t="s">
        <v>649</v>
      </c>
      <c r="BV34" s="7" t="s">
        <v>697</v>
      </c>
      <c r="BX34" s="7" t="s">
        <v>10197</v>
      </c>
      <c r="BY34" s="7" t="s">
        <v>797</v>
      </c>
      <c r="BZ34" s="7" t="s">
        <v>8835</v>
      </c>
      <c r="CB34" t="s">
        <v>9141</v>
      </c>
      <c r="CC34" t="s">
        <v>9171</v>
      </c>
    </row>
    <row r="35" spans="1:81" x14ac:dyDescent="0.25">
      <c r="A35" s="50"/>
      <c r="B35" s="5">
        <v>22</v>
      </c>
      <c r="C35" s="422"/>
      <c r="D35" s="423"/>
      <c r="E35" s="423"/>
      <c r="F35" s="423"/>
      <c r="G35" s="423"/>
      <c r="H35" s="423"/>
      <c r="I35" s="424"/>
      <c r="J35" s="380"/>
      <c r="K35" s="380"/>
      <c r="L35" s="380"/>
      <c r="M35" s="380"/>
      <c r="N35" s="425" t="e">
        <f>INDEX(AMBIENTE!D$2:D$756,MATCH(R35,AMBIENTE!C$2:C$756,0))</f>
        <v>#N/A</v>
      </c>
      <c r="O35" s="426"/>
      <c r="P35" s="426"/>
      <c r="Q35" s="427"/>
      <c r="R35" s="428"/>
      <c r="S35" s="429"/>
      <c r="T35" s="429"/>
      <c r="U35" s="429"/>
      <c r="V35" s="429"/>
      <c r="W35" s="429"/>
      <c r="X35" s="430"/>
      <c r="Y35" s="374"/>
      <c r="Z35" s="375"/>
      <c r="AA35" s="375"/>
      <c r="AB35" s="375"/>
      <c r="AC35" s="376"/>
      <c r="AD35" s="357"/>
      <c r="AE35" s="358"/>
      <c r="AF35" s="359"/>
      <c r="AG35" s="372" t="str">
        <f>IFERROR(VLOOKUP(Item[[#This Row],[Concatenado]],CITES[],2,FALSE),"")</f>
        <v/>
      </c>
      <c r="AH35" s="373"/>
      <c r="AI35" s="372" t="str">
        <f>IFERROR(VLOOKUP(Item[[#This Row],[Concatenado]],SuscepEARs[],2,FALSE),"")</f>
        <v/>
      </c>
      <c r="AJ35" s="373"/>
      <c r="AL35" s="43"/>
      <c r="AM35" s="46">
        <v>22</v>
      </c>
      <c r="AN35" s="46" t="str">
        <f t="shared" si="3"/>
        <v xml:space="preserve"> </v>
      </c>
      <c r="AO35" s="46">
        <f t="shared" si="0"/>
        <v>0</v>
      </c>
      <c r="AP35" s="46">
        <f t="shared" si="1"/>
        <v>0</v>
      </c>
      <c r="AQ35" s="46" t="str">
        <f t="shared" si="2"/>
        <v/>
      </c>
      <c r="AR35" s="46">
        <f>SUMIF('Acuario (Arribado - mortalidad)'!$B$14:$B$90,'ORDEN DE CUARENTENA'!B35,'Acuario (Arribado - mortalidad)'!$F$14:$F$90)</f>
        <v>0</v>
      </c>
      <c r="AS35" s="46" t="str">
        <f>IF(AR35&gt;0, IF(SUMIF('Acuario (Arribado - mortalidad)'!$B$14:$B$90,'ORDEN DE CUARENTENA'!B35,'Acuario (Arribado - mortalidad)'!$K$14:$K$90)=0, "0", SUMIF('Acuario (Arribado - mortalidad)'!$B$14:$B$90,'ORDEN DE CUARENTENA'!B35,'Acuario (Arribado - mortalidad)'!$K$14:$K$90)),"")</f>
        <v/>
      </c>
      <c r="AT35" s="46">
        <f>IF(AR35 = AS35,"0", SUMIF('Acuario (Arribado - mortalidad)'!$B$14:$B$90,'ORDEN DE CUARENTENA'!B35,'Acuario (Arribado - mortalidad)'!$G$14:$G$90))</f>
        <v>0</v>
      </c>
      <c r="AU35" s="48" t="str">
        <f>IFERROR(Item[[#This Row],[mortalidad acumulada]]/Item[[#This Row],[cantidad arribada]],"")</f>
        <v/>
      </c>
      <c r="AV35" s="46">
        <f>IF(ISTEXT(R35),IF(Item[[#This Row],[cantidad arribada]]=0,"No llega",Item[[#This Row],[cantidad arribada]]),)</f>
        <v>0</v>
      </c>
      <c r="AW35" s="46" t="str">
        <f>IFERROR(VLOOKUP(B35,'Tratamientos-Eventos'!$B$9:$S$20,19,FALSE),"")</f>
        <v/>
      </c>
      <c r="AX35" s="46">
        <f>SUMIF('Acuario (Arribado - mortalidad)'!$B$14:$B$90,'ORDEN DE CUARENTENA'!B35,'Acuario (Arribado - mortalidad)'!$O$14:$O$90)</f>
        <v>0</v>
      </c>
      <c r="AY35" s="46">
        <f>SUMIF('Acuario (Arribado - mortalidad)'!$B$14:$B$90,'ORDEN DE CUARENTENA'!B35,'Acuario (Arribado - mortalidad)'!$BG$14:$BG$90)</f>
        <v>0</v>
      </c>
      <c r="AZ35" s="46">
        <f>SUMIF('Acuario (Arribado - mortalidad)'!$B$14:$B$90,'ORDEN DE CUARENTENA'!B35,'Acuario (Arribado - mortalidad)'!$BH$14:$BH$90)</f>
        <v>0</v>
      </c>
      <c r="BA35" s="46" t="str">
        <f>IFERROR(Item[[#This Row],[Mortalidad dia 1]]/Item[[#This Row],[cantidad arribada]],"")</f>
        <v/>
      </c>
      <c r="BB35" s="46" t="str">
        <f>IFERROR(Item[[#This Row],[Mortalidad 2 a 8  (Sem 1)]]/Item[[#This Row],[cantidad arribada]],"")</f>
        <v/>
      </c>
      <c r="BC35" s="46" t="str">
        <f>IFERROR(Item[[#This Row],[Mortalidad 9 a 15 (Sem 2)]]/Item[[#This Row],[cantidad arribada]],"")</f>
        <v/>
      </c>
      <c r="BD35" s="46"/>
      <c r="BE35" s="219">
        <f>SUMIF('Acuario (Arribado - mortalidad)'!$B$14:$B$90,'ORDEN DE CUARENTENA'!B35,'Acuario (Arribado - mortalidad)'!$F$14:$F$90)</f>
        <v>0</v>
      </c>
      <c r="BF35" s="219">
        <f>SUMIF('Acuario (Arribado - mortalidad)'!$B$14:$B$90,'ORDEN DE CUARENTENA'!B35,'Acuario (Arribado - mortalidad)'!$K$14:$K$90)</f>
        <v>0</v>
      </c>
      <c r="BG35" s="219">
        <f>SUMIF('Acuario (Arribado - mortalidad)'!$B$14:$B$90,'ORDEN DE CUARENTENA'!B35,'Acuario (Arribado - mortalidad)'!$G$14:$G$90)</f>
        <v>0</v>
      </c>
      <c r="BH35" s="219">
        <f>SUMIF('Acuario (Arribado - mortalidad)'!$B$14:$B$90,'ORDEN DE CUARENTENA'!B35,'Acuario (Arribado - mortalidad)'!$O$14:$O$90)</f>
        <v>0</v>
      </c>
      <c r="BI35" s="219">
        <f>SUMIF('Acuario (Arribado - mortalidad)'!$B$14:$B$90,'ORDEN DE CUARENTENA'!B35,'Acuario (Arribado - mortalidad)'!$BG$14:$BG$90)</f>
        <v>0</v>
      </c>
      <c r="BJ35" s="219">
        <f>SUMIF('Acuario (Arribado - mortalidad)'!$B$14:$B$90,'ORDEN DE CUARENTENA'!B35,'Acuario (Arribado - mortalidad)'!$BH$14:$BH$90)</f>
        <v>0</v>
      </c>
      <c r="BK35" s="46"/>
      <c r="BL35" s="264"/>
      <c r="BN35" s="7" t="s">
        <v>57</v>
      </c>
      <c r="BO35" s="7" t="s">
        <v>581</v>
      </c>
      <c r="BQ35" s="7" t="s">
        <v>650</v>
      </c>
      <c r="BV35" s="7" t="s">
        <v>698</v>
      </c>
      <c r="BX35" s="7" t="s">
        <v>10198</v>
      </c>
      <c r="BY35" s="7" t="s">
        <v>797</v>
      </c>
      <c r="BZ35" s="7" t="s">
        <v>8835</v>
      </c>
      <c r="CB35" t="s">
        <v>9142</v>
      </c>
      <c r="CC35" t="s">
        <v>9171</v>
      </c>
    </row>
    <row r="36" spans="1:81" x14ac:dyDescent="0.25">
      <c r="A36" s="50"/>
      <c r="B36" s="5">
        <v>23</v>
      </c>
      <c r="C36" s="422"/>
      <c r="D36" s="423"/>
      <c r="E36" s="423"/>
      <c r="F36" s="423"/>
      <c r="G36" s="423"/>
      <c r="H36" s="423"/>
      <c r="I36" s="424"/>
      <c r="J36" s="380"/>
      <c r="K36" s="380"/>
      <c r="L36" s="380"/>
      <c r="M36" s="380"/>
      <c r="N36" s="425" t="e">
        <f>INDEX(AMBIENTE!D$2:D$756,MATCH(R36,AMBIENTE!C$2:C$756,0))</f>
        <v>#N/A</v>
      </c>
      <c r="O36" s="426"/>
      <c r="P36" s="426"/>
      <c r="Q36" s="427"/>
      <c r="R36" s="428"/>
      <c r="S36" s="429"/>
      <c r="T36" s="429"/>
      <c r="U36" s="429"/>
      <c r="V36" s="429"/>
      <c r="W36" s="429"/>
      <c r="X36" s="430"/>
      <c r="Y36" s="374"/>
      <c r="Z36" s="375"/>
      <c r="AA36" s="375"/>
      <c r="AB36" s="375"/>
      <c r="AC36" s="376"/>
      <c r="AD36" s="357"/>
      <c r="AE36" s="358"/>
      <c r="AF36" s="359"/>
      <c r="AG36" s="372" t="str">
        <f>IFERROR(VLOOKUP(Item[[#This Row],[Concatenado]],CITES[],2,FALSE),"")</f>
        <v/>
      </c>
      <c r="AH36" s="373"/>
      <c r="AI36" s="372" t="str">
        <f>IFERROR(VLOOKUP(Item[[#This Row],[Concatenado]],SuscepEARs[],2,FALSE),"")</f>
        <v/>
      </c>
      <c r="AJ36" s="373"/>
      <c r="AL36" s="43"/>
      <c r="AM36" s="46">
        <v>23</v>
      </c>
      <c r="AN36" s="46" t="str">
        <f t="shared" si="3"/>
        <v xml:space="preserve"> </v>
      </c>
      <c r="AO36" s="46">
        <f t="shared" si="0"/>
        <v>0</v>
      </c>
      <c r="AP36" s="46">
        <f t="shared" si="1"/>
        <v>0</v>
      </c>
      <c r="AQ36" s="46" t="str">
        <f t="shared" si="2"/>
        <v/>
      </c>
      <c r="AR36" s="46">
        <f>SUMIF('Acuario (Arribado - mortalidad)'!$B$14:$B$90,'ORDEN DE CUARENTENA'!B36,'Acuario (Arribado - mortalidad)'!$F$14:$F$90)</f>
        <v>0</v>
      </c>
      <c r="AS36" s="46" t="str">
        <f>IF(AR36&gt;0, IF(SUMIF('Acuario (Arribado - mortalidad)'!$B$14:$B$90,'ORDEN DE CUARENTENA'!B36,'Acuario (Arribado - mortalidad)'!$K$14:$K$90)=0, "0", SUMIF('Acuario (Arribado - mortalidad)'!$B$14:$B$90,'ORDEN DE CUARENTENA'!B36,'Acuario (Arribado - mortalidad)'!$K$14:$K$90)),"")</f>
        <v/>
      </c>
      <c r="AT36" s="46">
        <f>IF(AR36 = AS36,"0", SUMIF('Acuario (Arribado - mortalidad)'!$B$14:$B$90,'ORDEN DE CUARENTENA'!B36,'Acuario (Arribado - mortalidad)'!$G$14:$G$90))</f>
        <v>0</v>
      </c>
      <c r="AU36" s="48" t="str">
        <f>IFERROR(Item[[#This Row],[mortalidad acumulada]]/Item[[#This Row],[cantidad arribada]],"")</f>
        <v/>
      </c>
      <c r="AV36" s="46">
        <f>IF(ISTEXT(R36),IF(Item[[#This Row],[cantidad arribada]]=0,"No llega",Item[[#This Row],[cantidad arribada]]),)</f>
        <v>0</v>
      </c>
      <c r="AW36" s="46" t="str">
        <f>IFERROR(VLOOKUP(B36,'Tratamientos-Eventos'!$B$9:$S$20,19,FALSE),"")</f>
        <v/>
      </c>
      <c r="AX36" s="46">
        <f>SUMIF('Acuario (Arribado - mortalidad)'!$B$14:$B$90,'ORDEN DE CUARENTENA'!B36,'Acuario (Arribado - mortalidad)'!$O$14:$O$90)</f>
        <v>0</v>
      </c>
      <c r="AY36" s="46">
        <f>SUMIF('Acuario (Arribado - mortalidad)'!$B$14:$B$90,'ORDEN DE CUARENTENA'!B36,'Acuario (Arribado - mortalidad)'!$BG$14:$BG$90)</f>
        <v>0</v>
      </c>
      <c r="AZ36" s="46">
        <f>SUMIF('Acuario (Arribado - mortalidad)'!$B$14:$B$90,'ORDEN DE CUARENTENA'!B36,'Acuario (Arribado - mortalidad)'!$BH$14:$BH$90)</f>
        <v>0</v>
      </c>
      <c r="BA36" s="46" t="str">
        <f>IFERROR(Item[[#This Row],[Mortalidad dia 1]]/Item[[#This Row],[cantidad arribada]],"")</f>
        <v/>
      </c>
      <c r="BB36" s="46" t="str">
        <f>IFERROR(Item[[#This Row],[Mortalidad 2 a 8  (Sem 1)]]/Item[[#This Row],[cantidad arribada]],"")</f>
        <v/>
      </c>
      <c r="BC36" s="46" t="str">
        <f>IFERROR(Item[[#This Row],[Mortalidad 9 a 15 (Sem 2)]]/Item[[#This Row],[cantidad arribada]],"")</f>
        <v/>
      </c>
      <c r="BD36" s="46"/>
      <c r="BE36" s="219">
        <f>SUMIF('Acuario (Arribado - mortalidad)'!$B$14:$B$90,'ORDEN DE CUARENTENA'!B36,'Acuario (Arribado - mortalidad)'!$F$14:$F$90)</f>
        <v>0</v>
      </c>
      <c r="BF36" s="219">
        <f>SUMIF('Acuario (Arribado - mortalidad)'!$B$14:$B$90,'ORDEN DE CUARENTENA'!B36,'Acuario (Arribado - mortalidad)'!$K$14:$K$90)</f>
        <v>0</v>
      </c>
      <c r="BG36" s="219">
        <f>SUMIF('Acuario (Arribado - mortalidad)'!$B$14:$B$90,'ORDEN DE CUARENTENA'!B36,'Acuario (Arribado - mortalidad)'!$G$14:$G$90)</f>
        <v>0</v>
      </c>
      <c r="BH36" s="219">
        <f>SUMIF('Acuario (Arribado - mortalidad)'!$B$14:$B$90,'ORDEN DE CUARENTENA'!B36,'Acuario (Arribado - mortalidad)'!$O$14:$O$90)</f>
        <v>0</v>
      </c>
      <c r="BI36" s="219">
        <f>SUMIF('Acuario (Arribado - mortalidad)'!$B$14:$B$90,'ORDEN DE CUARENTENA'!B36,'Acuario (Arribado - mortalidad)'!$BG$14:$BG$90)</f>
        <v>0</v>
      </c>
      <c r="BJ36" s="219">
        <f>SUMIF('Acuario (Arribado - mortalidad)'!$B$14:$B$90,'ORDEN DE CUARENTENA'!B36,'Acuario (Arribado - mortalidad)'!$BH$14:$BH$90)</f>
        <v>0</v>
      </c>
      <c r="BK36" s="46"/>
      <c r="BL36" s="264"/>
      <c r="BN36" s="7" t="s">
        <v>58</v>
      </c>
      <c r="BO36" s="7" t="s">
        <v>582</v>
      </c>
      <c r="BQ36" s="7" t="s">
        <v>651</v>
      </c>
      <c r="BV36" s="7" t="s">
        <v>699</v>
      </c>
      <c r="BX36" s="7" t="s">
        <v>10199</v>
      </c>
      <c r="BY36" s="7" t="s">
        <v>797</v>
      </c>
      <c r="BZ36" s="7" t="s">
        <v>8835</v>
      </c>
      <c r="CB36" t="s">
        <v>9143</v>
      </c>
      <c r="CC36" t="s">
        <v>9171</v>
      </c>
    </row>
    <row r="37" spans="1:81" x14ac:dyDescent="0.25">
      <c r="A37" s="50"/>
      <c r="B37" s="5">
        <v>24</v>
      </c>
      <c r="C37" s="422"/>
      <c r="D37" s="423"/>
      <c r="E37" s="423"/>
      <c r="F37" s="423"/>
      <c r="G37" s="423"/>
      <c r="H37" s="423"/>
      <c r="I37" s="424"/>
      <c r="J37" s="380"/>
      <c r="K37" s="380"/>
      <c r="L37" s="380"/>
      <c r="M37" s="380"/>
      <c r="N37" s="425" t="e">
        <f>INDEX(AMBIENTE!D$2:D$756,MATCH(R37,AMBIENTE!C$2:C$756,0))</f>
        <v>#N/A</v>
      </c>
      <c r="O37" s="426"/>
      <c r="P37" s="426"/>
      <c r="Q37" s="427"/>
      <c r="R37" s="428"/>
      <c r="S37" s="429"/>
      <c r="T37" s="429"/>
      <c r="U37" s="429"/>
      <c r="V37" s="429"/>
      <c r="W37" s="429"/>
      <c r="X37" s="430"/>
      <c r="Y37" s="374"/>
      <c r="Z37" s="375"/>
      <c r="AA37" s="375"/>
      <c r="AB37" s="375"/>
      <c r="AC37" s="376"/>
      <c r="AD37" s="357"/>
      <c r="AE37" s="358"/>
      <c r="AF37" s="359"/>
      <c r="AG37" s="372" t="str">
        <f>IFERROR(VLOOKUP(Item[[#This Row],[Concatenado]],CITES[],2,FALSE),"")</f>
        <v/>
      </c>
      <c r="AH37" s="373"/>
      <c r="AI37" s="372" t="str">
        <f>IFERROR(VLOOKUP(Item[[#This Row],[Concatenado]],SuscepEARs[],2,FALSE),"")</f>
        <v/>
      </c>
      <c r="AJ37" s="373"/>
      <c r="AL37" s="43"/>
      <c r="AM37" s="46">
        <v>24</v>
      </c>
      <c r="AN37" s="46" t="str">
        <f t="shared" si="3"/>
        <v xml:space="preserve"> </v>
      </c>
      <c r="AO37" s="46">
        <f t="shared" si="0"/>
        <v>0</v>
      </c>
      <c r="AP37" s="46">
        <f t="shared" si="1"/>
        <v>0</v>
      </c>
      <c r="AQ37" s="46" t="str">
        <f t="shared" si="2"/>
        <v/>
      </c>
      <c r="AR37" s="46">
        <f>SUMIF('Acuario (Arribado - mortalidad)'!$B$14:$B$90,'ORDEN DE CUARENTENA'!B37,'Acuario (Arribado - mortalidad)'!$F$14:$F$90)</f>
        <v>0</v>
      </c>
      <c r="AS37" s="46" t="str">
        <f>IF(AR37&gt;0, IF(SUMIF('Acuario (Arribado - mortalidad)'!$B$14:$B$90,'ORDEN DE CUARENTENA'!B37,'Acuario (Arribado - mortalidad)'!$K$14:$K$90)=0, "0", SUMIF('Acuario (Arribado - mortalidad)'!$B$14:$B$90,'ORDEN DE CUARENTENA'!B37,'Acuario (Arribado - mortalidad)'!$K$14:$K$90)),"")</f>
        <v/>
      </c>
      <c r="AT37" s="46">
        <f>IF(AR37 = AS37,"0", SUMIF('Acuario (Arribado - mortalidad)'!$B$14:$B$90,'ORDEN DE CUARENTENA'!B37,'Acuario (Arribado - mortalidad)'!$G$14:$G$90))</f>
        <v>0</v>
      </c>
      <c r="AU37" s="48" t="str">
        <f>IFERROR(Item[[#This Row],[mortalidad acumulada]]/Item[[#This Row],[cantidad arribada]],"")</f>
        <v/>
      </c>
      <c r="AV37" s="46">
        <f>IF(ISTEXT(R37),IF(Item[[#This Row],[cantidad arribada]]=0,"No llega",Item[[#This Row],[cantidad arribada]]),)</f>
        <v>0</v>
      </c>
      <c r="AW37" s="46" t="str">
        <f>IFERROR(VLOOKUP(B37,'Tratamientos-Eventos'!$B$9:$S$20,19,FALSE),"")</f>
        <v/>
      </c>
      <c r="AX37" s="46">
        <f>SUMIF('Acuario (Arribado - mortalidad)'!$B$14:$B$90,'ORDEN DE CUARENTENA'!B37,'Acuario (Arribado - mortalidad)'!$O$14:$O$90)</f>
        <v>0</v>
      </c>
      <c r="AY37" s="46">
        <f>SUMIF('Acuario (Arribado - mortalidad)'!$B$14:$B$90,'ORDEN DE CUARENTENA'!B37,'Acuario (Arribado - mortalidad)'!$BG$14:$BG$90)</f>
        <v>0</v>
      </c>
      <c r="AZ37" s="46">
        <f>SUMIF('Acuario (Arribado - mortalidad)'!$B$14:$B$90,'ORDEN DE CUARENTENA'!B37,'Acuario (Arribado - mortalidad)'!$BH$14:$BH$90)</f>
        <v>0</v>
      </c>
      <c r="BA37" s="46" t="str">
        <f>IFERROR(Item[[#This Row],[Mortalidad dia 1]]/Item[[#This Row],[cantidad arribada]],"")</f>
        <v/>
      </c>
      <c r="BB37" s="46" t="str">
        <f>IFERROR(Item[[#This Row],[Mortalidad 2 a 8  (Sem 1)]]/Item[[#This Row],[cantidad arribada]],"")</f>
        <v/>
      </c>
      <c r="BC37" s="46" t="str">
        <f>IFERROR(Item[[#This Row],[Mortalidad 9 a 15 (Sem 2)]]/Item[[#This Row],[cantidad arribada]],"")</f>
        <v/>
      </c>
      <c r="BD37" s="46"/>
      <c r="BE37" s="219">
        <f>SUMIF('Acuario (Arribado - mortalidad)'!$B$14:$B$90,'ORDEN DE CUARENTENA'!B37,'Acuario (Arribado - mortalidad)'!$F$14:$F$90)</f>
        <v>0</v>
      </c>
      <c r="BF37" s="219">
        <f>SUMIF('Acuario (Arribado - mortalidad)'!$B$14:$B$90,'ORDEN DE CUARENTENA'!B37,'Acuario (Arribado - mortalidad)'!$K$14:$K$90)</f>
        <v>0</v>
      </c>
      <c r="BG37" s="219">
        <f>SUMIF('Acuario (Arribado - mortalidad)'!$B$14:$B$90,'ORDEN DE CUARENTENA'!B37,'Acuario (Arribado - mortalidad)'!$G$14:$G$90)</f>
        <v>0</v>
      </c>
      <c r="BH37" s="219">
        <f>SUMIF('Acuario (Arribado - mortalidad)'!$B$14:$B$90,'ORDEN DE CUARENTENA'!B37,'Acuario (Arribado - mortalidad)'!$O$14:$O$90)</f>
        <v>0</v>
      </c>
      <c r="BI37" s="219">
        <f>SUMIF('Acuario (Arribado - mortalidad)'!$B$14:$B$90,'ORDEN DE CUARENTENA'!B37,'Acuario (Arribado - mortalidad)'!$BG$14:$BG$90)</f>
        <v>0</v>
      </c>
      <c r="BJ37" s="219">
        <f>SUMIF('Acuario (Arribado - mortalidad)'!$B$14:$B$90,'ORDEN DE CUARENTENA'!B37,'Acuario (Arribado - mortalidad)'!$BH$14:$BH$90)</f>
        <v>0</v>
      </c>
      <c r="BK37" s="46"/>
      <c r="BL37" s="264"/>
      <c r="BN37" s="7" t="s">
        <v>59</v>
      </c>
      <c r="BO37" s="7" t="s">
        <v>583</v>
      </c>
      <c r="BV37" s="7" t="s">
        <v>700</v>
      </c>
      <c r="BX37" s="7" t="s">
        <v>10200</v>
      </c>
      <c r="BY37" s="7" t="s">
        <v>797</v>
      </c>
      <c r="BZ37" s="7" t="s">
        <v>8835</v>
      </c>
      <c r="CB37" t="s">
        <v>9170</v>
      </c>
      <c r="CC37" t="s">
        <v>9172</v>
      </c>
    </row>
    <row r="38" spans="1:81" x14ac:dyDescent="0.25">
      <c r="A38" s="50"/>
      <c r="B38" s="5">
        <v>25</v>
      </c>
      <c r="C38" s="422"/>
      <c r="D38" s="423"/>
      <c r="E38" s="423"/>
      <c r="F38" s="423"/>
      <c r="G38" s="423"/>
      <c r="H38" s="423"/>
      <c r="I38" s="424"/>
      <c r="J38" s="380"/>
      <c r="K38" s="380"/>
      <c r="L38" s="380"/>
      <c r="M38" s="380"/>
      <c r="N38" s="425" t="e">
        <f>INDEX(AMBIENTE!D$2:D$756,MATCH(R38,AMBIENTE!C$2:C$756,0))</f>
        <v>#N/A</v>
      </c>
      <c r="O38" s="426"/>
      <c r="P38" s="426"/>
      <c r="Q38" s="427"/>
      <c r="R38" s="428"/>
      <c r="S38" s="429"/>
      <c r="T38" s="429"/>
      <c r="U38" s="429"/>
      <c r="V38" s="429"/>
      <c r="W38" s="429"/>
      <c r="X38" s="430"/>
      <c r="Y38" s="374"/>
      <c r="Z38" s="375"/>
      <c r="AA38" s="375"/>
      <c r="AB38" s="375"/>
      <c r="AC38" s="376"/>
      <c r="AD38" s="357"/>
      <c r="AE38" s="358"/>
      <c r="AF38" s="359"/>
      <c r="AG38" s="372" t="str">
        <f>IFERROR(VLOOKUP(Item[[#This Row],[Concatenado]],CITES[],2,FALSE),"")</f>
        <v/>
      </c>
      <c r="AH38" s="373"/>
      <c r="AI38" s="372" t="str">
        <f>IFERROR(VLOOKUP(Item[[#This Row],[Concatenado]],SuscepEARs[],2,FALSE),"")</f>
        <v/>
      </c>
      <c r="AJ38" s="373"/>
      <c r="AL38" s="43"/>
      <c r="AM38" s="46">
        <v>25</v>
      </c>
      <c r="AN38" s="46" t="str">
        <f t="shared" si="3"/>
        <v xml:space="preserve"> </v>
      </c>
      <c r="AO38" s="46">
        <f t="shared" si="0"/>
        <v>0</v>
      </c>
      <c r="AP38" s="46">
        <f t="shared" si="1"/>
        <v>0</v>
      </c>
      <c r="AQ38" s="46" t="str">
        <f t="shared" si="2"/>
        <v/>
      </c>
      <c r="AR38" s="46">
        <f>SUMIF('Acuario (Arribado - mortalidad)'!$B$14:$B$90,'ORDEN DE CUARENTENA'!B38,'Acuario (Arribado - mortalidad)'!$F$14:$F$90)</f>
        <v>0</v>
      </c>
      <c r="AS38" s="46" t="str">
        <f>IF(AR38&gt;0, IF(SUMIF('Acuario (Arribado - mortalidad)'!$B$14:$B$90,'ORDEN DE CUARENTENA'!B38,'Acuario (Arribado - mortalidad)'!$K$14:$K$90)=0, "0", SUMIF('Acuario (Arribado - mortalidad)'!$B$14:$B$90,'ORDEN DE CUARENTENA'!B38,'Acuario (Arribado - mortalidad)'!$K$14:$K$90)),"")</f>
        <v/>
      </c>
      <c r="AT38" s="46">
        <f>IF(AR38 = AS38,"0", SUMIF('Acuario (Arribado - mortalidad)'!$B$14:$B$90,'ORDEN DE CUARENTENA'!B38,'Acuario (Arribado - mortalidad)'!$G$14:$G$90))</f>
        <v>0</v>
      </c>
      <c r="AU38" s="48" t="str">
        <f>IFERROR(Item[[#This Row],[mortalidad acumulada]]/Item[[#This Row],[cantidad arribada]],"")</f>
        <v/>
      </c>
      <c r="AV38" s="46">
        <f>IF(ISTEXT(R38),IF(Item[[#This Row],[cantidad arribada]]=0,"No llega",Item[[#This Row],[cantidad arribada]]),)</f>
        <v>0</v>
      </c>
      <c r="AW38" s="46" t="str">
        <f>IFERROR(VLOOKUP(B38,'Tratamientos-Eventos'!$B$9:$S$20,19,FALSE),"")</f>
        <v/>
      </c>
      <c r="AX38" s="46">
        <f>SUMIF('Acuario (Arribado - mortalidad)'!$B$14:$B$90,'ORDEN DE CUARENTENA'!B38,'Acuario (Arribado - mortalidad)'!$O$14:$O$90)</f>
        <v>0</v>
      </c>
      <c r="AY38" s="46">
        <f>SUMIF('Acuario (Arribado - mortalidad)'!$B$14:$B$90,'ORDEN DE CUARENTENA'!B38,'Acuario (Arribado - mortalidad)'!$BG$14:$BG$90)</f>
        <v>0</v>
      </c>
      <c r="AZ38" s="46">
        <f>SUMIF('Acuario (Arribado - mortalidad)'!$B$14:$B$90,'ORDEN DE CUARENTENA'!B38,'Acuario (Arribado - mortalidad)'!$BH$14:$BH$90)</f>
        <v>0</v>
      </c>
      <c r="BA38" s="46" t="str">
        <f>IFERROR(Item[[#This Row],[Mortalidad dia 1]]/Item[[#This Row],[cantidad arribada]],"")</f>
        <v/>
      </c>
      <c r="BB38" s="46" t="str">
        <f>IFERROR(Item[[#This Row],[Mortalidad 2 a 8  (Sem 1)]]/Item[[#This Row],[cantidad arribada]],"")</f>
        <v/>
      </c>
      <c r="BC38" s="46" t="str">
        <f>IFERROR(Item[[#This Row],[Mortalidad 9 a 15 (Sem 2)]]/Item[[#This Row],[cantidad arribada]],"")</f>
        <v/>
      </c>
      <c r="BD38" s="46"/>
      <c r="BE38" s="219">
        <f>SUMIF('Acuario (Arribado - mortalidad)'!$B$14:$B$90,'ORDEN DE CUARENTENA'!B38,'Acuario (Arribado - mortalidad)'!$F$14:$F$90)</f>
        <v>0</v>
      </c>
      <c r="BF38" s="219">
        <f>SUMIF('Acuario (Arribado - mortalidad)'!$B$14:$B$90,'ORDEN DE CUARENTENA'!B38,'Acuario (Arribado - mortalidad)'!$K$14:$K$90)</f>
        <v>0</v>
      </c>
      <c r="BG38" s="219">
        <f>SUMIF('Acuario (Arribado - mortalidad)'!$B$14:$B$90,'ORDEN DE CUARENTENA'!B38,'Acuario (Arribado - mortalidad)'!$G$14:$G$90)</f>
        <v>0</v>
      </c>
      <c r="BH38" s="219">
        <f>SUMIF('Acuario (Arribado - mortalidad)'!$B$14:$B$90,'ORDEN DE CUARENTENA'!B38,'Acuario (Arribado - mortalidad)'!$O$14:$O$90)</f>
        <v>0</v>
      </c>
      <c r="BI38" s="219">
        <f>SUMIF('Acuario (Arribado - mortalidad)'!$B$14:$B$90,'ORDEN DE CUARENTENA'!B38,'Acuario (Arribado - mortalidad)'!$BG$14:$BG$90)</f>
        <v>0</v>
      </c>
      <c r="BJ38" s="219">
        <f>SUMIF('Acuario (Arribado - mortalidad)'!$B$14:$B$90,'ORDEN DE CUARENTENA'!B38,'Acuario (Arribado - mortalidad)'!$BH$14:$BH$90)</f>
        <v>0</v>
      </c>
      <c r="BK38" s="46"/>
      <c r="BL38" s="264"/>
      <c r="BN38" s="7" t="s">
        <v>60</v>
      </c>
      <c r="BO38" s="7" t="s">
        <v>584</v>
      </c>
      <c r="BV38" s="7" t="s">
        <v>701</v>
      </c>
      <c r="BX38" s="7" t="s">
        <v>10201</v>
      </c>
      <c r="BY38" s="7" t="s">
        <v>797</v>
      </c>
      <c r="BZ38" s="7" t="s">
        <v>8835</v>
      </c>
      <c r="CB38" t="s">
        <v>9144</v>
      </c>
      <c r="CC38" t="s">
        <v>9171</v>
      </c>
    </row>
    <row r="39" spans="1:81" x14ac:dyDescent="0.25">
      <c r="A39" s="50"/>
      <c r="B39" s="5">
        <v>26</v>
      </c>
      <c r="C39" s="422"/>
      <c r="D39" s="423"/>
      <c r="E39" s="423"/>
      <c r="F39" s="423"/>
      <c r="G39" s="423"/>
      <c r="H39" s="423"/>
      <c r="I39" s="424"/>
      <c r="J39" s="380"/>
      <c r="K39" s="380"/>
      <c r="L39" s="380"/>
      <c r="M39" s="380"/>
      <c r="N39" s="425" t="e">
        <f>INDEX(AMBIENTE!D$2:D$756,MATCH(R39,AMBIENTE!C$2:C$756,0))</f>
        <v>#N/A</v>
      </c>
      <c r="O39" s="426"/>
      <c r="P39" s="426"/>
      <c r="Q39" s="427"/>
      <c r="R39" s="428"/>
      <c r="S39" s="429"/>
      <c r="T39" s="429"/>
      <c r="U39" s="429"/>
      <c r="V39" s="429"/>
      <c r="W39" s="429"/>
      <c r="X39" s="430"/>
      <c r="Y39" s="374"/>
      <c r="Z39" s="375"/>
      <c r="AA39" s="375"/>
      <c r="AB39" s="375"/>
      <c r="AC39" s="376"/>
      <c r="AD39" s="357"/>
      <c r="AE39" s="358"/>
      <c r="AF39" s="359"/>
      <c r="AG39" s="372" t="str">
        <f>IFERROR(VLOOKUP(Item[[#This Row],[Concatenado]],CITES[],2,FALSE),"")</f>
        <v/>
      </c>
      <c r="AH39" s="373"/>
      <c r="AI39" s="372" t="str">
        <f>IFERROR(VLOOKUP(Item[[#This Row],[Concatenado]],SuscepEARs[],2,FALSE),"")</f>
        <v/>
      </c>
      <c r="AJ39" s="373"/>
      <c r="AL39" s="43"/>
      <c r="AM39" s="46">
        <v>26</v>
      </c>
      <c r="AN39" s="46" t="str">
        <f t="shared" si="3"/>
        <v xml:space="preserve"> </v>
      </c>
      <c r="AO39" s="46">
        <f t="shared" si="0"/>
        <v>0</v>
      </c>
      <c r="AP39" s="46">
        <f t="shared" si="1"/>
        <v>0</v>
      </c>
      <c r="AQ39" s="46" t="str">
        <f t="shared" si="2"/>
        <v/>
      </c>
      <c r="AR39" s="46">
        <f>SUMIF('Acuario (Arribado - mortalidad)'!$B$14:$B$90,'ORDEN DE CUARENTENA'!B39,'Acuario (Arribado - mortalidad)'!$F$14:$F$90)</f>
        <v>0</v>
      </c>
      <c r="AS39" s="46" t="str">
        <f>IF(AR39&gt;0, IF(SUMIF('Acuario (Arribado - mortalidad)'!$B$14:$B$90,'ORDEN DE CUARENTENA'!B39,'Acuario (Arribado - mortalidad)'!$K$14:$K$90)=0, "0", SUMIF('Acuario (Arribado - mortalidad)'!$B$14:$B$90,'ORDEN DE CUARENTENA'!B39,'Acuario (Arribado - mortalidad)'!$K$14:$K$90)),"")</f>
        <v/>
      </c>
      <c r="AT39" s="46">
        <f>IF(AR39 = AS39,"0", SUMIF('Acuario (Arribado - mortalidad)'!$B$14:$B$90,'ORDEN DE CUARENTENA'!B39,'Acuario (Arribado - mortalidad)'!$G$14:$G$90))</f>
        <v>0</v>
      </c>
      <c r="AU39" s="48" t="str">
        <f>IFERROR(Item[[#This Row],[mortalidad acumulada]]/Item[[#This Row],[cantidad arribada]],"")</f>
        <v/>
      </c>
      <c r="AV39" s="46">
        <f>IF(ISTEXT(R39),IF(Item[[#This Row],[cantidad arribada]]=0,"No llega",Item[[#This Row],[cantidad arribada]]),)</f>
        <v>0</v>
      </c>
      <c r="AW39" s="46" t="str">
        <f>IFERROR(VLOOKUP(B39,'Tratamientos-Eventos'!$B$9:$S$20,19,FALSE),"")</f>
        <v/>
      </c>
      <c r="AX39" s="46">
        <f>SUMIF('Acuario (Arribado - mortalidad)'!$B$14:$B$90,'ORDEN DE CUARENTENA'!B39,'Acuario (Arribado - mortalidad)'!$O$14:$O$90)</f>
        <v>0</v>
      </c>
      <c r="AY39" s="46">
        <f>SUMIF('Acuario (Arribado - mortalidad)'!$B$14:$B$90,'ORDEN DE CUARENTENA'!B39,'Acuario (Arribado - mortalidad)'!$BG$14:$BG$90)</f>
        <v>0</v>
      </c>
      <c r="AZ39" s="46">
        <f>SUMIF('Acuario (Arribado - mortalidad)'!$B$14:$B$90,'ORDEN DE CUARENTENA'!B39,'Acuario (Arribado - mortalidad)'!$BH$14:$BH$90)</f>
        <v>0</v>
      </c>
      <c r="BA39" s="46" t="str">
        <f>IFERROR(Item[[#This Row],[Mortalidad dia 1]]/Item[[#This Row],[cantidad arribada]],"")</f>
        <v/>
      </c>
      <c r="BB39" s="46" t="str">
        <f>IFERROR(Item[[#This Row],[Mortalidad 2 a 8  (Sem 1)]]/Item[[#This Row],[cantidad arribada]],"")</f>
        <v/>
      </c>
      <c r="BC39" s="46" t="str">
        <f>IFERROR(Item[[#This Row],[Mortalidad 9 a 15 (Sem 2)]]/Item[[#This Row],[cantidad arribada]],"")</f>
        <v/>
      </c>
      <c r="BD39" s="46"/>
      <c r="BE39" s="219">
        <f>SUMIF('Acuario (Arribado - mortalidad)'!$B$14:$B$90,'ORDEN DE CUARENTENA'!B39,'Acuario (Arribado - mortalidad)'!$F$14:$F$90)</f>
        <v>0</v>
      </c>
      <c r="BF39" s="219">
        <f>SUMIF('Acuario (Arribado - mortalidad)'!$B$14:$B$90,'ORDEN DE CUARENTENA'!B39,'Acuario (Arribado - mortalidad)'!$K$14:$K$90)</f>
        <v>0</v>
      </c>
      <c r="BG39" s="219">
        <f>SUMIF('Acuario (Arribado - mortalidad)'!$B$14:$B$90,'ORDEN DE CUARENTENA'!B39,'Acuario (Arribado - mortalidad)'!$G$14:$G$90)</f>
        <v>0</v>
      </c>
      <c r="BH39" s="219">
        <f>SUMIF('Acuario (Arribado - mortalidad)'!$B$14:$B$90,'ORDEN DE CUARENTENA'!B39,'Acuario (Arribado - mortalidad)'!$O$14:$O$90)</f>
        <v>0</v>
      </c>
      <c r="BI39" s="219">
        <f>SUMIF('Acuario (Arribado - mortalidad)'!$B$14:$B$90,'ORDEN DE CUARENTENA'!B39,'Acuario (Arribado - mortalidad)'!$BG$14:$BG$90)</f>
        <v>0</v>
      </c>
      <c r="BJ39" s="219">
        <f>SUMIF('Acuario (Arribado - mortalidad)'!$B$14:$B$90,'ORDEN DE CUARENTENA'!B39,'Acuario (Arribado - mortalidad)'!$BH$14:$BH$90)</f>
        <v>0</v>
      </c>
      <c r="BK39" s="46"/>
      <c r="BL39" s="264"/>
      <c r="BN39" s="7" t="s">
        <v>61</v>
      </c>
      <c r="BO39" s="7" t="s">
        <v>585</v>
      </c>
      <c r="BV39" s="7" t="s">
        <v>702</v>
      </c>
      <c r="BX39" s="7" t="s">
        <v>10202</v>
      </c>
      <c r="BY39" s="7" t="s">
        <v>797</v>
      </c>
      <c r="BZ39" s="7" t="s">
        <v>8835</v>
      </c>
      <c r="CB39" t="s">
        <v>9145</v>
      </c>
      <c r="CC39" t="s">
        <v>9171</v>
      </c>
    </row>
    <row r="40" spans="1:81" x14ac:dyDescent="0.25">
      <c r="A40" s="50"/>
      <c r="B40" s="5">
        <v>27</v>
      </c>
      <c r="C40" s="422"/>
      <c r="D40" s="423"/>
      <c r="E40" s="423"/>
      <c r="F40" s="423"/>
      <c r="G40" s="423"/>
      <c r="H40" s="423"/>
      <c r="I40" s="424"/>
      <c r="J40" s="380"/>
      <c r="K40" s="380"/>
      <c r="L40" s="380"/>
      <c r="M40" s="380"/>
      <c r="N40" s="425" t="e">
        <f>INDEX(AMBIENTE!D$2:D$756,MATCH(R40,AMBIENTE!C$2:C$756,0))</f>
        <v>#N/A</v>
      </c>
      <c r="O40" s="426"/>
      <c r="P40" s="426"/>
      <c r="Q40" s="427"/>
      <c r="R40" s="428"/>
      <c r="S40" s="429"/>
      <c r="T40" s="429"/>
      <c r="U40" s="429"/>
      <c r="V40" s="429"/>
      <c r="W40" s="429"/>
      <c r="X40" s="430"/>
      <c r="Y40" s="374"/>
      <c r="Z40" s="375"/>
      <c r="AA40" s="375"/>
      <c r="AB40" s="375"/>
      <c r="AC40" s="376"/>
      <c r="AD40" s="357"/>
      <c r="AE40" s="358"/>
      <c r="AF40" s="359"/>
      <c r="AG40" s="372" t="str">
        <f>IFERROR(VLOOKUP(Item[[#This Row],[Concatenado]],CITES[],2,FALSE),"")</f>
        <v/>
      </c>
      <c r="AH40" s="373"/>
      <c r="AI40" s="372" t="str">
        <f>IFERROR(VLOOKUP(Item[[#This Row],[Concatenado]],SuscepEARs[],2,FALSE),"")</f>
        <v/>
      </c>
      <c r="AJ40" s="373"/>
      <c r="AL40" s="43"/>
      <c r="AM40" s="46">
        <v>27</v>
      </c>
      <c r="AN40" s="46" t="str">
        <f t="shared" si="3"/>
        <v xml:space="preserve"> </v>
      </c>
      <c r="AO40" s="46">
        <f t="shared" si="0"/>
        <v>0</v>
      </c>
      <c r="AP40" s="46">
        <f t="shared" si="1"/>
        <v>0</v>
      </c>
      <c r="AQ40" s="46" t="str">
        <f t="shared" si="2"/>
        <v/>
      </c>
      <c r="AR40" s="46">
        <f>SUMIF('Acuario (Arribado - mortalidad)'!$B$14:$B$90,'ORDEN DE CUARENTENA'!B40,'Acuario (Arribado - mortalidad)'!$F$14:$F$90)</f>
        <v>0</v>
      </c>
      <c r="AS40" s="46" t="str">
        <f>IF(AR40&gt;0, IF(SUMIF('Acuario (Arribado - mortalidad)'!$B$14:$B$90,'ORDEN DE CUARENTENA'!B40,'Acuario (Arribado - mortalidad)'!$K$14:$K$90)=0, "0", SUMIF('Acuario (Arribado - mortalidad)'!$B$14:$B$90,'ORDEN DE CUARENTENA'!B40,'Acuario (Arribado - mortalidad)'!$K$14:$K$90)),"")</f>
        <v/>
      </c>
      <c r="AT40" s="46">
        <f>IF(AR40 = AS40,"0", SUMIF('Acuario (Arribado - mortalidad)'!$B$14:$B$90,'ORDEN DE CUARENTENA'!B40,'Acuario (Arribado - mortalidad)'!$G$14:$G$90))</f>
        <v>0</v>
      </c>
      <c r="AU40" s="48" t="str">
        <f>IFERROR(Item[[#This Row],[mortalidad acumulada]]/Item[[#This Row],[cantidad arribada]],"")</f>
        <v/>
      </c>
      <c r="AV40" s="46">
        <f>IF(ISTEXT(R40),IF(Item[[#This Row],[cantidad arribada]]=0,"No llega",Item[[#This Row],[cantidad arribada]]),)</f>
        <v>0</v>
      </c>
      <c r="AW40" s="46" t="str">
        <f>IFERROR(VLOOKUP(B40,'Tratamientos-Eventos'!$B$9:$S$20,19,FALSE),"")</f>
        <v/>
      </c>
      <c r="AX40" s="46">
        <f>SUMIF('Acuario (Arribado - mortalidad)'!$B$14:$B$90,'ORDEN DE CUARENTENA'!B40,'Acuario (Arribado - mortalidad)'!$O$14:$O$90)</f>
        <v>0</v>
      </c>
      <c r="AY40" s="46">
        <f>SUMIF('Acuario (Arribado - mortalidad)'!$B$14:$B$90,'ORDEN DE CUARENTENA'!B40,'Acuario (Arribado - mortalidad)'!$BG$14:$BG$90)</f>
        <v>0</v>
      </c>
      <c r="AZ40" s="46">
        <f>SUMIF('Acuario (Arribado - mortalidad)'!$B$14:$B$90,'ORDEN DE CUARENTENA'!B40,'Acuario (Arribado - mortalidad)'!$BH$14:$BH$90)</f>
        <v>0</v>
      </c>
      <c r="BA40" s="46" t="str">
        <f>IFERROR(Item[[#This Row],[Mortalidad dia 1]]/Item[[#This Row],[cantidad arribada]],"")</f>
        <v/>
      </c>
      <c r="BB40" s="46" t="str">
        <f>IFERROR(Item[[#This Row],[Mortalidad 2 a 8  (Sem 1)]]/Item[[#This Row],[cantidad arribada]],"")</f>
        <v/>
      </c>
      <c r="BC40" s="46" t="str">
        <f>IFERROR(Item[[#This Row],[Mortalidad 9 a 15 (Sem 2)]]/Item[[#This Row],[cantidad arribada]],"")</f>
        <v/>
      </c>
      <c r="BD40" s="46"/>
      <c r="BE40" s="219">
        <f>SUMIF('Acuario (Arribado - mortalidad)'!$B$14:$B$90,'ORDEN DE CUARENTENA'!B40,'Acuario (Arribado - mortalidad)'!$F$14:$F$90)</f>
        <v>0</v>
      </c>
      <c r="BF40" s="219">
        <f>SUMIF('Acuario (Arribado - mortalidad)'!$B$14:$B$90,'ORDEN DE CUARENTENA'!B40,'Acuario (Arribado - mortalidad)'!$K$14:$K$90)</f>
        <v>0</v>
      </c>
      <c r="BG40" s="219">
        <f>SUMIF('Acuario (Arribado - mortalidad)'!$B$14:$B$90,'ORDEN DE CUARENTENA'!B40,'Acuario (Arribado - mortalidad)'!$G$14:$G$90)</f>
        <v>0</v>
      </c>
      <c r="BH40" s="219">
        <f>SUMIF('Acuario (Arribado - mortalidad)'!$B$14:$B$90,'ORDEN DE CUARENTENA'!B40,'Acuario (Arribado - mortalidad)'!$O$14:$O$90)</f>
        <v>0</v>
      </c>
      <c r="BI40" s="219">
        <f>SUMIF('Acuario (Arribado - mortalidad)'!$B$14:$B$90,'ORDEN DE CUARENTENA'!B40,'Acuario (Arribado - mortalidad)'!$BG$14:$BG$90)</f>
        <v>0</v>
      </c>
      <c r="BJ40" s="219">
        <f>SUMIF('Acuario (Arribado - mortalidad)'!$B$14:$B$90,'ORDEN DE CUARENTENA'!B40,'Acuario (Arribado - mortalidad)'!$BH$14:$BH$90)</f>
        <v>0</v>
      </c>
      <c r="BK40" s="46"/>
      <c r="BL40" s="264"/>
      <c r="BN40" s="7" t="s">
        <v>62</v>
      </c>
      <c r="BO40" s="7" t="s">
        <v>586</v>
      </c>
      <c r="BV40" s="7" t="s">
        <v>703</v>
      </c>
      <c r="BX40" s="7" t="s">
        <v>10278</v>
      </c>
      <c r="BY40" s="7" t="s">
        <v>797</v>
      </c>
      <c r="BZ40" s="7" t="s">
        <v>8835</v>
      </c>
      <c r="CB40" t="s">
        <v>9146</v>
      </c>
      <c r="CC40" t="s">
        <v>9173</v>
      </c>
    </row>
    <row r="41" spans="1:81" x14ac:dyDescent="0.25">
      <c r="A41" s="50"/>
      <c r="B41" s="5">
        <v>28</v>
      </c>
      <c r="C41" s="422"/>
      <c r="D41" s="423"/>
      <c r="E41" s="423"/>
      <c r="F41" s="423"/>
      <c r="G41" s="423"/>
      <c r="H41" s="423"/>
      <c r="I41" s="424"/>
      <c r="J41" s="380"/>
      <c r="K41" s="380"/>
      <c r="L41" s="380"/>
      <c r="M41" s="380"/>
      <c r="N41" s="425" t="e">
        <f>INDEX(AMBIENTE!D$2:D$756,MATCH(R41,AMBIENTE!C$2:C$756,0))</f>
        <v>#N/A</v>
      </c>
      <c r="O41" s="426"/>
      <c r="P41" s="426"/>
      <c r="Q41" s="427"/>
      <c r="R41" s="428"/>
      <c r="S41" s="429"/>
      <c r="T41" s="429"/>
      <c r="U41" s="429"/>
      <c r="V41" s="429"/>
      <c r="W41" s="429"/>
      <c r="X41" s="430"/>
      <c r="Y41" s="374"/>
      <c r="Z41" s="375"/>
      <c r="AA41" s="375"/>
      <c r="AB41" s="375"/>
      <c r="AC41" s="376"/>
      <c r="AD41" s="357"/>
      <c r="AE41" s="358"/>
      <c r="AF41" s="359"/>
      <c r="AG41" s="372" t="str">
        <f>IFERROR(VLOOKUP(Item[[#This Row],[Concatenado]],CITES[],2,FALSE),"")</f>
        <v/>
      </c>
      <c r="AH41" s="373"/>
      <c r="AI41" s="372" t="str">
        <f>IFERROR(VLOOKUP(Item[[#This Row],[Concatenado]],SuscepEARs[],2,FALSE),"")</f>
        <v/>
      </c>
      <c r="AJ41" s="373"/>
      <c r="AL41" s="43"/>
      <c r="AM41" s="46">
        <v>28</v>
      </c>
      <c r="AN41" s="46" t="str">
        <f t="shared" si="3"/>
        <v xml:space="preserve"> </v>
      </c>
      <c r="AO41" s="46">
        <f t="shared" si="0"/>
        <v>0</v>
      </c>
      <c r="AP41" s="46">
        <f t="shared" si="1"/>
        <v>0</v>
      </c>
      <c r="AQ41" s="46" t="str">
        <f t="shared" si="2"/>
        <v/>
      </c>
      <c r="AR41" s="46">
        <f>SUMIF('Acuario (Arribado - mortalidad)'!$B$14:$B$90,'ORDEN DE CUARENTENA'!B41,'Acuario (Arribado - mortalidad)'!$F$14:$F$90)</f>
        <v>0</v>
      </c>
      <c r="AS41" s="46" t="str">
        <f>IF(AR41&gt;0, IF(SUMIF('Acuario (Arribado - mortalidad)'!$B$14:$B$90,'ORDEN DE CUARENTENA'!B41,'Acuario (Arribado - mortalidad)'!$K$14:$K$90)=0, "0", SUMIF('Acuario (Arribado - mortalidad)'!$B$14:$B$90,'ORDEN DE CUARENTENA'!B41,'Acuario (Arribado - mortalidad)'!$K$14:$K$90)),"")</f>
        <v/>
      </c>
      <c r="AT41" s="46">
        <f>IF(AR41 = AS41,"0", SUMIF('Acuario (Arribado - mortalidad)'!$B$14:$B$90,'ORDEN DE CUARENTENA'!B41,'Acuario (Arribado - mortalidad)'!$G$14:$G$90))</f>
        <v>0</v>
      </c>
      <c r="AU41" s="48" t="str">
        <f>IFERROR(Item[[#This Row],[mortalidad acumulada]]/Item[[#This Row],[cantidad arribada]],"")</f>
        <v/>
      </c>
      <c r="AV41" s="46">
        <f>IF(ISTEXT(R41),IF(Item[[#This Row],[cantidad arribada]]=0,"No llega",Item[[#This Row],[cantidad arribada]]),)</f>
        <v>0</v>
      </c>
      <c r="AW41" s="46" t="str">
        <f>IFERROR(VLOOKUP(B41,'Tratamientos-Eventos'!$B$9:$S$20,19,FALSE),"")</f>
        <v/>
      </c>
      <c r="AX41" s="46">
        <f>SUMIF('Acuario (Arribado - mortalidad)'!$B$14:$B$90,'ORDEN DE CUARENTENA'!B41,'Acuario (Arribado - mortalidad)'!$O$14:$O$90)</f>
        <v>0</v>
      </c>
      <c r="AY41" s="46">
        <f>SUMIF('Acuario (Arribado - mortalidad)'!$B$14:$B$90,'ORDEN DE CUARENTENA'!B41,'Acuario (Arribado - mortalidad)'!$BG$14:$BG$90)</f>
        <v>0</v>
      </c>
      <c r="AZ41" s="46">
        <f>SUMIF('Acuario (Arribado - mortalidad)'!$B$14:$B$90,'ORDEN DE CUARENTENA'!B41,'Acuario (Arribado - mortalidad)'!$BH$14:$BH$90)</f>
        <v>0</v>
      </c>
      <c r="BA41" s="46" t="str">
        <f>IFERROR(Item[[#This Row],[Mortalidad dia 1]]/Item[[#This Row],[cantidad arribada]],"")</f>
        <v/>
      </c>
      <c r="BB41" s="46" t="str">
        <f>IFERROR(Item[[#This Row],[Mortalidad 2 a 8  (Sem 1)]]/Item[[#This Row],[cantidad arribada]],"")</f>
        <v/>
      </c>
      <c r="BC41" s="46" t="str">
        <f>IFERROR(Item[[#This Row],[Mortalidad 9 a 15 (Sem 2)]]/Item[[#This Row],[cantidad arribada]],"")</f>
        <v/>
      </c>
      <c r="BD41" s="46"/>
      <c r="BE41" s="219">
        <f>SUMIF('Acuario (Arribado - mortalidad)'!$B$14:$B$90,'ORDEN DE CUARENTENA'!B41,'Acuario (Arribado - mortalidad)'!$F$14:$F$90)</f>
        <v>0</v>
      </c>
      <c r="BF41" s="219">
        <f>SUMIF('Acuario (Arribado - mortalidad)'!$B$14:$B$90,'ORDEN DE CUARENTENA'!B41,'Acuario (Arribado - mortalidad)'!$K$14:$K$90)</f>
        <v>0</v>
      </c>
      <c r="BG41" s="219">
        <f>SUMIF('Acuario (Arribado - mortalidad)'!$B$14:$B$90,'ORDEN DE CUARENTENA'!B41,'Acuario (Arribado - mortalidad)'!$G$14:$G$90)</f>
        <v>0</v>
      </c>
      <c r="BH41" s="219">
        <f>SUMIF('Acuario (Arribado - mortalidad)'!$B$14:$B$90,'ORDEN DE CUARENTENA'!B41,'Acuario (Arribado - mortalidad)'!$O$14:$O$90)</f>
        <v>0</v>
      </c>
      <c r="BI41" s="219">
        <f>SUMIF('Acuario (Arribado - mortalidad)'!$B$14:$B$90,'ORDEN DE CUARENTENA'!B41,'Acuario (Arribado - mortalidad)'!$BG$14:$BG$90)</f>
        <v>0</v>
      </c>
      <c r="BJ41" s="219">
        <f>SUMIF('Acuario (Arribado - mortalidad)'!$B$14:$B$90,'ORDEN DE CUARENTENA'!B41,'Acuario (Arribado - mortalidad)'!$BH$14:$BH$90)</f>
        <v>0</v>
      </c>
      <c r="BK41" s="46"/>
      <c r="BL41" s="264"/>
      <c r="BN41" s="7" t="s">
        <v>63</v>
      </c>
      <c r="BO41" s="7" t="s">
        <v>587</v>
      </c>
      <c r="BV41" s="7" t="s">
        <v>704</v>
      </c>
      <c r="BX41" s="7" t="s">
        <v>9326</v>
      </c>
      <c r="BY41" s="7" t="s">
        <v>797</v>
      </c>
      <c r="BZ41" s="7" t="s">
        <v>8833</v>
      </c>
      <c r="CB41" t="s">
        <v>9147</v>
      </c>
      <c r="CC41" t="s">
        <v>9174</v>
      </c>
    </row>
    <row r="42" spans="1:81" x14ac:dyDescent="0.25">
      <c r="A42" s="50"/>
      <c r="B42" s="5">
        <v>29</v>
      </c>
      <c r="C42" s="422"/>
      <c r="D42" s="423"/>
      <c r="E42" s="423"/>
      <c r="F42" s="423"/>
      <c r="G42" s="423"/>
      <c r="H42" s="423"/>
      <c r="I42" s="424"/>
      <c r="J42" s="380"/>
      <c r="K42" s="380"/>
      <c r="L42" s="380"/>
      <c r="M42" s="380"/>
      <c r="N42" s="425" t="e">
        <f>INDEX(AMBIENTE!D$2:D$756,MATCH(R42,AMBIENTE!C$2:C$756,0))</f>
        <v>#N/A</v>
      </c>
      <c r="O42" s="426"/>
      <c r="P42" s="426"/>
      <c r="Q42" s="427"/>
      <c r="R42" s="428"/>
      <c r="S42" s="429"/>
      <c r="T42" s="429"/>
      <c r="U42" s="429"/>
      <c r="V42" s="429"/>
      <c r="W42" s="429"/>
      <c r="X42" s="430"/>
      <c r="Y42" s="374"/>
      <c r="Z42" s="375"/>
      <c r="AA42" s="375"/>
      <c r="AB42" s="375"/>
      <c r="AC42" s="376"/>
      <c r="AD42" s="357"/>
      <c r="AE42" s="358"/>
      <c r="AF42" s="359"/>
      <c r="AG42" s="372" t="str">
        <f>IFERROR(VLOOKUP(Item[[#This Row],[Concatenado]],CITES[],2,FALSE),"")</f>
        <v/>
      </c>
      <c r="AH42" s="373"/>
      <c r="AI42" s="372" t="str">
        <f>IFERROR(VLOOKUP(Item[[#This Row],[Concatenado]],SuscepEARs[],2,FALSE),"")</f>
        <v/>
      </c>
      <c r="AJ42" s="373"/>
      <c r="AL42" s="43"/>
      <c r="AM42" s="46">
        <v>29</v>
      </c>
      <c r="AN42" s="46" t="str">
        <f t="shared" si="3"/>
        <v xml:space="preserve"> </v>
      </c>
      <c r="AO42" s="46">
        <f t="shared" si="0"/>
        <v>0</v>
      </c>
      <c r="AP42" s="46">
        <f t="shared" si="1"/>
        <v>0</v>
      </c>
      <c r="AQ42" s="46" t="str">
        <f t="shared" si="2"/>
        <v/>
      </c>
      <c r="AR42" s="46">
        <f>SUMIF('Acuario (Arribado - mortalidad)'!$B$14:$B$90,'ORDEN DE CUARENTENA'!B42,'Acuario (Arribado - mortalidad)'!$F$14:$F$90)</f>
        <v>0</v>
      </c>
      <c r="AS42" s="46" t="str">
        <f>IF(AR42&gt;0, IF(SUMIF('Acuario (Arribado - mortalidad)'!$B$14:$B$90,'ORDEN DE CUARENTENA'!B42,'Acuario (Arribado - mortalidad)'!$K$14:$K$90)=0, "0", SUMIF('Acuario (Arribado - mortalidad)'!$B$14:$B$90,'ORDEN DE CUARENTENA'!B42,'Acuario (Arribado - mortalidad)'!$K$14:$K$90)),"")</f>
        <v/>
      </c>
      <c r="AT42" s="46">
        <f>IF(AR42 = AS42,"0", SUMIF('Acuario (Arribado - mortalidad)'!$B$14:$B$90,'ORDEN DE CUARENTENA'!B42,'Acuario (Arribado - mortalidad)'!$G$14:$G$90))</f>
        <v>0</v>
      </c>
      <c r="AU42" s="48" t="str">
        <f>IFERROR(Item[[#This Row],[mortalidad acumulada]]/Item[[#This Row],[cantidad arribada]],"")</f>
        <v/>
      </c>
      <c r="AV42" s="46">
        <f>IF(ISTEXT(R42),IF(Item[[#This Row],[cantidad arribada]]=0,"No llega",Item[[#This Row],[cantidad arribada]]),)</f>
        <v>0</v>
      </c>
      <c r="AW42" s="46" t="str">
        <f>IFERROR(VLOOKUP(B42,'Tratamientos-Eventos'!$B$9:$S$20,19,FALSE),"")</f>
        <v/>
      </c>
      <c r="AX42" s="46">
        <f>SUMIF('Acuario (Arribado - mortalidad)'!$B$14:$B$90,'ORDEN DE CUARENTENA'!B42,'Acuario (Arribado - mortalidad)'!$O$14:$O$90)</f>
        <v>0</v>
      </c>
      <c r="AY42" s="46">
        <f>SUMIF('Acuario (Arribado - mortalidad)'!$B$14:$B$90,'ORDEN DE CUARENTENA'!B42,'Acuario (Arribado - mortalidad)'!$BG$14:$BG$90)</f>
        <v>0</v>
      </c>
      <c r="AZ42" s="46">
        <f>SUMIF('Acuario (Arribado - mortalidad)'!$B$14:$B$90,'ORDEN DE CUARENTENA'!B42,'Acuario (Arribado - mortalidad)'!$BH$14:$BH$90)</f>
        <v>0</v>
      </c>
      <c r="BA42" s="46" t="str">
        <f>IFERROR(Item[[#This Row],[Mortalidad dia 1]]/Item[[#This Row],[cantidad arribada]],"")</f>
        <v/>
      </c>
      <c r="BB42" s="46" t="str">
        <f>IFERROR(Item[[#This Row],[Mortalidad 2 a 8  (Sem 1)]]/Item[[#This Row],[cantidad arribada]],"")</f>
        <v/>
      </c>
      <c r="BC42" s="46" t="str">
        <f>IFERROR(Item[[#This Row],[Mortalidad 9 a 15 (Sem 2)]]/Item[[#This Row],[cantidad arribada]],"")</f>
        <v/>
      </c>
      <c r="BD42" s="46"/>
      <c r="BE42" s="219">
        <f>SUMIF('Acuario (Arribado - mortalidad)'!$B$14:$B$90,'ORDEN DE CUARENTENA'!B42,'Acuario (Arribado - mortalidad)'!$F$14:$F$90)</f>
        <v>0</v>
      </c>
      <c r="BF42" s="219">
        <f>SUMIF('Acuario (Arribado - mortalidad)'!$B$14:$B$90,'ORDEN DE CUARENTENA'!B42,'Acuario (Arribado - mortalidad)'!$K$14:$K$90)</f>
        <v>0</v>
      </c>
      <c r="BG42" s="219">
        <f>SUMIF('Acuario (Arribado - mortalidad)'!$B$14:$B$90,'ORDEN DE CUARENTENA'!B42,'Acuario (Arribado - mortalidad)'!$G$14:$G$90)</f>
        <v>0</v>
      </c>
      <c r="BH42" s="219">
        <f>SUMIF('Acuario (Arribado - mortalidad)'!$B$14:$B$90,'ORDEN DE CUARENTENA'!B42,'Acuario (Arribado - mortalidad)'!$O$14:$O$90)</f>
        <v>0</v>
      </c>
      <c r="BI42" s="219">
        <f>SUMIF('Acuario (Arribado - mortalidad)'!$B$14:$B$90,'ORDEN DE CUARENTENA'!B42,'Acuario (Arribado - mortalidad)'!$BG$14:$BG$90)</f>
        <v>0</v>
      </c>
      <c r="BJ42" s="219">
        <f>SUMIF('Acuario (Arribado - mortalidad)'!$B$14:$B$90,'ORDEN DE CUARENTENA'!B42,'Acuario (Arribado - mortalidad)'!$BH$14:$BH$90)</f>
        <v>0</v>
      </c>
      <c r="BK42" s="46"/>
      <c r="BL42" s="264"/>
      <c r="BN42" s="7" t="s">
        <v>65</v>
      </c>
      <c r="BO42" s="7" t="s">
        <v>588</v>
      </c>
      <c r="BV42" s="7" t="s">
        <v>705</v>
      </c>
      <c r="BX42" s="7" t="s">
        <v>9327</v>
      </c>
      <c r="BY42" s="7" t="s">
        <v>797</v>
      </c>
      <c r="BZ42" s="7" t="s">
        <v>8832</v>
      </c>
      <c r="CB42" t="s">
        <v>9148</v>
      </c>
      <c r="CC42" t="s">
        <v>10250</v>
      </c>
    </row>
    <row r="43" spans="1:81" x14ac:dyDescent="0.25">
      <c r="A43" s="50"/>
      <c r="B43" s="5">
        <v>30</v>
      </c>
      <c r="C43" s="422"/>
      <c r="D43" s="423"/>
      <c r="E43" s="423"/>
      <c r="F43" s="423"/>
      <c r="G43" s="423"/>
      <c r="H43" s="423"/>
      <c r="I43" s="424"/>
      <c r="J43" s="380"/>
      <c r="K43" s="380"/>
      <c r="L43" s="380"/>
      <c r="M43" s="380"/>
      <c r="N43" s="425" t="e">
        <f>INDEX(AMBIENTE!D$2:D$756,MATCH(R43,AMBIENTE!C$2:C$756,0))</f>
        <v>#N/A</v>
      </c>
      <c r="O43" s="426"/>
      <c r="P43" s="426"/>
      <c r="Q43" s="427"/>
      <c r="R43" s="428"/>
      <c r="S43" s="429"/>
      <c r="T43" s="429"/>
      <c r="U43" s="429"/>
      <c r="V43" s="429"/>
      <c r="W43" s="429"/>
      <c r="X43" s="430"/>
      <c r="Y43" s="374"/>
      <c r="Z43" s="375"/>
      <c r="AA43" s="375"/>
      <c r="AB43" s="375"/>
      <c r="AC43" s="376"/>
      <c r="AD43" s="357"/>
      <c r="AE43" s="358"/>
      <c r="AF43" s="359"/>
      <c r="AG43" s="372" t="str">
        <f>IFERROR(VLOOKUP(Item[[#This Row],[Concatenado]],CITES[],2,FALSE),"")</f>
        <v/>
      </c>
      <c r="AH43" s="373"/>
      <c r="AI43" s="372" t="str">
        <f>IFERROR(VLOOKUP(Item[[#This Row],[Concatenado]],SuscepEARs[],2,FALSE),"")</f>
        <v/>
      </c>
      <c r="AJ43" s="373"/>
      <c r="AL43" s="43"/>
      <c r="AM43" s="46">
        <v>30</v>
      </c>
      <c r="AN43" s="46" t="str">
        <f t="shared" si="3"/>
        <v xml:space="preserve"> </v>
      </c>
      <c r="AO43" s="46">
        <f t="shared" si="0"/>
        <v>0</v>
      </c>
      <c r="AP43" s="46">
        <f t="shared" si="1"/>
        <v>0</v>
      </c>
      <c r="AQ43" s="46" t="str">
        <f t="shared" si="2"/>
        <v/>
      </c>
      <c r="AR43" s="46">
        <f>SUMIF('Acuario (Arribado - mortalidad)'!$B$14:$B$90,'ORDEN DE CUARENTENA'!B43,'Acuario (Arribado - mortalidad)'!$F$14:$F$90)</f>
        <v>0</v>
      </c>
      <c r="AS43" s="46" t="str">
        <f>IF(AR43&gt;0, IF(SUMIF('Acuario (Arribado - mortalidad)'!$B$14:$B$90,'ORDEN DE CUARENTENA'!B43,'Acuario (Arribado - mortalidad)'!$K$14:$K$90)=0, "0", SUMIF('Acuario (Arribado - mortalidad)'!$B$14:$B$90,'ORDEN DE CUARENTENA'!B43,'Acuario (Arribado - mortalidad)'!$K$14:$K$90)),"")</f>
        <v/>
      </c>
      <c r="AT43" s="46">
        <f>IF(AR43 = AS43,"0", SUMIF('Acuario (Arribado - mortalidad)'!$B$14:$B$90,'ORDEN DE CUARENTENA'!B43,'Acuario (Arribado - mortalidad)'!$G$14:$G$90))</f>
        <v>0</v>
      </c>
      <c r="AU43" s="48" t="str">
        <f>IFERROR(Item[[#This Row],[mortalidad acumulada]]/Item[[#This Row],[cantidad arribada]],"")</f>
        <v/>
      </c>
      <c r="AV43" s="46">
        <f>IF(ISTEXT(R43),IF(Item[[#This Row],[cantidad arribada]]=0,"No llega",Item[[#This Row],[cantidad arribada]]),)</f>
        <v>0</v>
      </c>
      <c r="AW43" s="46" t="str">
        <f>IFERROR(VLOOKUP(B43,'Tratamientos-Eventos'!$B$9:$S$20,19,FALSE),"")</f>
        <v/>
      </c>
      <c r="AX43" s="46">
        <f>SUMIF('Acuario (Arribado - mortalidad)'!$B$14:$B$90,'ORDEN DE CUARENTENA'!B43,'Acuario (Arribado - mortalidad)'!$O$14:$O$90)</f>
        <v>0</v>
      </c>
      <c r="AY43" s="46">
        <f>SUMIF('Acuario (Arribado - mortalidad)'!$B$14:$B$90,'ORDEN DE CUARENTENA'!B43,'Acuario (Arribado - mortalidad)'!$BG$14:$BG$90)</f>
        <v>0</v>
      </c>
      <c r="AZ43" s="46">
        <f>SUMIF('Acuario (Arribado - mortalidad)'!$B$14:$B$90,'ORDEN DE CUARENTENA'!B43,'Acuario (Arribado - mortalidad)'!$BH$14:$BH$90)</f>
        <v>0</v>
      </c>
      <c r="BA43" s="46" t="str">
        <f>IFERROR(Item[[#This Row],[Mortalidad dia 1]]/Item[[#This Row],[cantidad arribada]],"")</f>
        <v/>
      </c>
      <c r="BB43" s="46" t="str">
        <f>IFERROR(Item[[#This Row],[Mortalidad 2 a 8  (Sem 1)]]/Item[[#This Row],[cantidad arribada]],"")</f>
        <v/>
      </c>
      <c r="BC43" s="46" t="str">
        <f>IFERROR(Item[[#This Row],[Mortalidad 9 a 15 (Sem 2)]]/Item[[#This Row],[cantidad arribada]],"")</f>
        <v/>
      </c>
      <c r="BD43" s="46"/>
      <c r="BE43" s="219">
        <f>SUMIF('Acuario (Arribado - mortalidad)'!$B$14:$B$90,'ORDEN DE CUARENTENA'!B43,'Acuario (Arribado - mortalidad)'!$F$14:$F$90)</f>
        <v>0</v>
      </c>
      <c r="BF43" s="219">
        <f>SUMIF('Acuario (Arribado - mortalidad)'!$B$14:$B$90,'ORDEN DE CUARENTENA'!B43,'Acuario (Arribado - mortalidad)'!$K$14:$K$90)</f>
        <v>0</v>
      </c>
      <c r="BG43" s="219">
        <f>SUMIF('Acuario (Arribado - mortalidad)'!$B$14:$B$90,'ORDEN DE CUARENTENA'!B43,'Acuario (Arribado - mortalidad)'!$G$14:$G$90)</f>
        <v>0</v>
      </c>
      <c r="BH43" s="219">
        <f>SUMIF('Acuario (Arribado - mortalidad)'!$B$14:$B$90,'ORDEN DE CUARENTENA'!B43,'Acuario (Arribado - mortalidad)'!$O$14:$O$90)</f>
        <v>0</v>
      </c>
      <c r="BI43" s="219">
        <f>SUMIF('Acuario (Arribado - mortalidad)'!$B$14:$B$90,'ORDEN DE CUARENTENA'!B43,'Acuario (Arribado - mortalidad)'!$BG$14:$BG$90)</f>
        <v>0</v>
      </c>
      <c r="BJ43" s="219">
        <f>SUMIF('Acuario (Arribado - mortalidad)'!$B$14:$B$90,'ORDEN DE CUARENTENA'!B43,'Acuario (Arribado - mortalidad)'!$BH$14:$BH$90)</f>
        <v>0</v>
      </c>
      <c r="BK43" s="46"/>
      <c r="BL43" s="264"/>
      <c r="BN43" s="7" t="s">
        <v>66</v>
      </c>
      <c r="BO43" s="7" t="s">
        <v>589</v>
      </c>
      <c r="BV43" s="7" t="s">
        <v>706</v>
      </c>
      <c r="BX43" s="7" t="s">
        <v>9328</v>
      </c>
      <c r="BY43" s="7" t="s">
        <v>797</v>
      </c>
      <c r="BZ43" s="7" t="s">
        <v>8834</v>
      </c>
      <c r="CB43" t="s">
        <v>10251</v>
      </c>
      <c r="CC43" t="s">
        <v>10247</v>
      </c>
    </row>
    <row r="44" spans="1:81" x14ac:dyDescent="0.25">
      <c r="A44" s="50"/>
      <c r="B44" s="5">
        <v>31</v>
      </c>
      <c r="C44" s="422"/>
      <c r="D44" s="423"/>
      <c r="E44" s="423"/>
      <c r="F44" s="423"/>
      <c r="G44" s="423"/>
      <c r="H44" s="423"/>
      <c r="I44" s="424"/>
      <c r="J44" s="380"/>
      <c r="K44" s="380"/>
      <c r="L44" s="380"/>
      <c r="M44" s="380"/>
      <c r="N44" s="425" t="e">
        <f>INDEX(AMBIENTE!D$2:D$756,MATCH(R44,AMBIENTE!C$2:C$756,0))</f>
        <v>#N/A</v>
      </c>
      <c r="O44" s="426"/>
      <c r="P44" s="426"/>
      <c r="Q44" s="427"/>
      <c r="R44" s="428"/>
      <c r="S44" s="429"/>
      <c r="T44" s="429"/>
      <c r="U44" s="429"/>
      <c r="V44" s="429"/>
      <c r="W44" s="429"/>
      <c r="X44" s="430"/>
      <c r="Y44" s="374"/>
      <c r="Z44" s="375"/>
      <c r="AA44" s="375"/>
      <c r="AB44" s="375"/>
      <c r="AC44" s="376"/>
      <c r="AD44" s="357"/>
      <c r="AE44" s="358"/>
      <c r="AF44" s="359"/>
      <c r="AG44" s="372" t="str">
        <f>IFERROR(VLOOKUP(Item[[#This Row],[Concatenado]],CITES[],2,FALSE),"")</f>
        <v/>
      </c>
      <c r="AH44" s="373"/>
      <c r="AI44" s="372" t="str">
        <f>IFERROR(VLOOKUP(Item[[#This Row],[Concatenado]],SuscepEARs[],2,FALSE),"")</f>
        <v/>
      </c>
      <c r="AJ44" s="373"/>
      <c r="AL44" s="43"/>
      <c r="AM44" s="46">
        <v>31</v>
      </c>
      <c r="AN44" s="46" t="str">
        <f t="shared" si="3"/>
        <v xml:space="preserve"> </v>
      </c>
      <c r="AO44" s="46">
        <f t="shared" si="0"/>
        <v>0</v>
      </c>
      <c r="AP44" s="46">
        <f t="shared" si="1"/>
        <v>0</v>
      </c>
      <c r="AQ44" s="46" t="str">
        <f t="shared" si="2"/>
        <v/>
      </c>
      <c r="AR44" s="46">
        <f>SUMIF('Acuario (Arribado - mortalidad)'!$B$14:$B$90,'ORDEN DE CUARENTENA'!B44,'Acuario (Arribado - mortalidad)'!$F$14:$F$90)</f>
        <v>0</v>
      </c>
      <c r="AS44" s="46" t="str">
        <f>IF(AR44&gt;0, IF(SUMIF('Acuario (Arribado - mortalidad)'!$B$14:$B$90,'ORDEN DE CUARENTENA'!B44,'Acuario (Arribado - mortalidad)'!$K$14:$K$90)=0, "0", SUMIF('Acuario (Arribado - mortalidad)'!$B$14:$B$90,'ORDEN DE CUARENTENA'!B44,'Acuario (Arribado - mortalidad)'!$K$14:$K$90)),"")</f>
        <v/>
      </c>
      <c r="AT44" s="46">
        <f>IF(AR44 = AS44,"0", SUMIF('Acuario (Arribado - mortalidad)'!$B$14:$B$90,'ORDEN DE CUARENTENA'!B44,'Acuario (Arribado - mortalidad)'!$G$14:$G$90))</f>
        <v>0</v>
      </c>
      <c r="AU44" s="48" t="str">
        <f>IFERROR(Item[[#This Row],[mortalidad acumulada]]/Item[[#This Row],[cantidad arribada]],"")</f>
        <v/>
      </c>
      <c r="AV44" s="46">
        <f>IF(ISTEXT(R44),IF(Item[[#This Row],[cantidad arribada]]=0,"No llega",Item[[#This Row],[cantidad arribada]]),)</f>
        <v>0</v>
      </c>
      <c r="AW44" s="46" t="str">
        <f>IFERROR(VLOOKUP(B44,'Tratamientos-Eventos'!$B$9:$S$20,19,FALSE),"")</f>
        <v/>
      </c>
      <c r="AX44" s="46">
        <f>SUMIF('Acuario (Arribado - mortalidad)'!$B$14:$B$90,'ORDEN DE CUARENTENA'!B44,'Acuario (Arribado - mortalidad)'!$O$14:$O$90)</f>
        <v>0</v>
      </c>
      <c r="AY44" s="46">
        <f>SUMIF('Acuario (Arribado - mortalidad)'!$B$14:$B$90,'ORDEN DE CUARENTENA'!B44,'Acuario (Arribado - mortalidad)'!$BG$14:$BG$90)</f>
        <v>0</v>
      </c>
      <c r="AZ44" s="46">
        <f>SUMIF('Acuario (Arribado - mortalidad)'!$B$14:$B$90,'ORDEN DE CUARENTENA'!B44,'Acuario (Arribado - mortalidad)'!$BH$14:$BH$90)</f>
        <v>0</v>
      </c>
      <c r="BA44" s="46" t="str">
        <f>IFERROR(Item[[#This Row],[Mortalidad dia 1]]/Item[[#This Row],[cantidad arribada]],"")</f>
        <v/>
      </c>
      <c r="BB44" s="46" t="str">
        <f>IFERROR(Item[[#This Row],[Mortalidad 2 a 8  (Sem 1)]]/Item[[#This Row],[cantidad arribada]],"")</f>
        <v/>
      </c>
      <c r="BC44" s="46" t="str">
        <f>IFERROR(Item[[#This Row],[Mortalidad 9 a 15 (Sem 2)]]/Item[[#This Row],[cantidad arribada]],"")</f>
        <v/>
      </c>
      <c r="BD44" s="46"/>
      <c r="BE44" s="219">
        <f>SUMIF('Acuario (Arribado - mortalidad)'!$B$14:$B$90,'ORDEN DE CUARENTENA'!B44,'Acuario (Arribado - mortalidad)'!$F$14:$F$90)</f>
        <v>0</v>
      </c>
      <c r="BF44" s="219">
        <f>SUMIF('Acuario (Arribado - mortalidad)'!$B$14:$B$90,'ORDEN DE CUARENTENA'!B44,'Acuario (Arribado - mortalidad)'!$K$14:$K$90)</f>
        <v>0</v>
      </c>
      <c r="BG44" s="219">
        <f>SUMIF('Acuario (Arribado - mortalidad)'!$B$14:$B$90,'ORDEN DE CUARENTENA'!B44,'Acuario (Arribado - mortalidad)'!$G$14:$G$90)</f>
        <v>0</v>
      </c>
      <c r="BH44" s="219">
        <f>SUMIF('Acuario (Arribado - mortalidad)'!$B$14:$B$90,'ORDEN DE CUARENTENA'!B44,'Acuario (Arribado - mortalidad)'!$O$14:$O$90)</f>
        <v>0</v>
      </c>
      <c r="BI44" s="219">
        <f>SUMIF('Acuario (Arribado - mortalidad)'!$B$14:$B$90,'ORDEN DE CUARENTENA'!B44,'Acuario (Arribado - mortalidad)'!$BG$14:$BG$90)</f>
        <v>0</v>
      </c>
      <c r="BJ44" s="219">
        <f>SUMIF('Acuario (Arribado - mortalidad)'!$B$14:$B$90,'ORDEN DE CUARENTENA'!B44,'Acuario (Arribado - mortalidad)'!$BH$14:$BH$90)</f>
        <v>0</v>
      </c>
      <c r="BK44" s="46"/>
      <c r="BL44" s="264"/>
      <c r="BN44" s="7" t="s">
        <v>8915</v>
      </c>
      <c r="BO44" s="39" t="s">
        <v>8967</v>
      </c>
      <c r="BV44" s="7" t="s">
        <v>707</v>
      </c>
      <c r="BX44" s="7" t="s">
        <v>10122</v>
      </c>
      <c r="BY44" s="7" t="s">
        <v>797</v>
      </c>
      <c r="BZ44" s="7" t="s">
        <v>8835</v>
      </c>
      <c r="CB44" t="s">
        <v>9206</v>
      </c>
      <c r="CC44" t="s">
        <v>10252</v>
      </c>
    </row>
    <row r="45" spans="1:81" x14ac:dyDescent="0.25">
      <c r="A45" s="50"/>
      <c r="B45" s="5">
        <v>32</v>
      </c>
      <c r="C45" s="422"/>
      <c r="D45" s="423"/>
      <c r="E45" s="423"/>
      <c r="F45" s="423"/>
      <c r="G45" s="423"/>
      <c r="H45" s="423"/>
      <c r="I45" s="424"/>
      <c r="J45" s="380"/>
      <c r="K45" s="380"/>
      <c r="L45" s="380"/>
      <c r="M45" s="380"/>
      <c r="N45" s="425" t="e">
        <f>INDEX(AMBIENTE!D$2:D$756,MATCH(R45,AMBIENTE!C$2:C$756,0))</f>
        <v>#N/A</v>
      </c>
      <c r="O45" s="426"/>
      <c r="P45" s="426"/>
      <c r="Q45" s="427"/>
      <c r="R45" s="428"/>
      <c r="S45" s="429"/>
      <c r="T45" s="429"/>
      <c r="U45" s="429"/>
      <c r="V45" s="429"/>
      <c r="W45" s="429"/>
      <c r="X45" s="430"/>
      <c r="Y45" s="374"/>
      <c r="Z45" s="375"/>
      <c r="AA45" s="375"/>
      <c r="AB45" s="375"/>
      <c r="AC45" s="376"/>
      <c r="AD45" s="357"/>
      <c r="AE45" s="358"/>
      <c r="AF45" s="359"/>
      <c r="AG45" s="372" t="str">
        <f>IFERROR(VLOOKUP(Item[[#This Row],[Concatenado]],CITES[],2,FALSE),"")</f>
        <v/>
      </c>
      <c r="AH45" s="373"/>
      <c r="AI45" s="372" t="str">
        <f>IFERROR(VLOOKUP(Item[[#This Row],[Concatenado]],SuscepEARs[],2,FALSE),"")</f>
        <v/>
      </c>
      <c r="AJ45" s="373"/>
      <c r="AL45" s="43"/>
      <c r="AM45" s="46">
        <v>32</v>
      </c>
      <c r="AN45" s="46" t="str">
        <f t="shared" si="3"/>
        <v xml:space="preserve"> </v>
      </c>
      <c r="AO45" s="46">
        <f t="shared" si="0"/>
        <v>0</v>
      </c>
      <c r="AP45" s="46">
        <f t="shared" si="1"/>
        <v>0</v>
      </c>
      <c r="AQ45" s="46" t="str">
        <f t="shared" si="2"/>
        <v/>
      </c>
      <c r="AR45" s="46">
        <f>SUMIF('Acuario (Arribado - mortalidad)'!$B$14:$B$90,'ORDEN DE CUARENTENA'!B45,'Acuario (Arribado - mortalidad)'!$F$14:$F$90)</f>
        <v>0</v>
      </c>
      <c r="AS45" s="46" t="str">
        <f>IF(AR45&gt;0, IF(SUMIF('Acuario (Arribado - mortalidad)'!$B$14:$B$90,'ORDEN DE CUARENTENA'!B45,'Acuario (Arribado - mortalidad)'!$K$14:$K$90)=0, "0", SUMIF('Acuario (Arribado - mortalidad)'!$B$14:$B$90,'ORDEN DE CUARENTENA'!B45,'Acuario (Arribado - mortalidad)'!$K$14:$K$90)),"")</f>
        <v/>
      </c>
      <c r="AT45" s="46">
        <f>IF(AR45 = AS45,"0", SUMIF('Acuario (Arribado - mortalidad)'!$B$14:$B$90,'ORDEN DE CUARENTENA'!B45,'Acuario (Arribado - mortalidad)'!$G$14:$G$90))</f>
        <v>0</v>
      </c>
      <c r="AU45" s="48" t="str">
        <f>IFERROR(Item[[#This Row],[mortalidad acumulada]]/Item[[#This Row],[cantidad arribada]],"")</f>
        <v/>
      </c>
      <c r="AV45" s="46">
        <f>IF(ISTEXT(R45),IF(Item[[#This Row],[cantidad arribada]]=0,"No llega",Item[[#This Row],[cantidad arribada]]),)</f>
        <v>0</v>
      </c>
      <c r="AW45" s="46" t="str">
        <f>IFERROR(VLOOKUP(B45,'Tratamientos-Eventos'!$B$9:$S$20,19,FALSE),"")</f>
        <v/>
      </c>
      <c r="AX45" s="46">
        <f>SUMIF('Acuario (Arribado - mortalidad)'!$B$14:$B$90,'ORDEN DE CUARENTENA'!B45,'Acuario (Arribado - mortalidad)'!$O$14:$O$90)</f>
        <v>0</v>
      </c>
      <c r="AY45" s="46">
        <f>SUMIF('Acuario (Arribado - mortalidad)'!$B$14:$B$90,'ORDEN DE CUARENTENA'!B45,'Acuario (Arribado - mortalidad)'!$BG$14:$BG$90)</f>
        <v>0</v>
      </c>
      <c r="AZ45" s="46">
        <f>SUMIF('Acuario (Arribado - mortalidad)'!$B$14:$B$90,'ORDEN DE CUARENTENA'!B45,'Acuario (Arribado - mortalidad)'!$BH$14:$BH$90)</f>
        <v>0</v>
      </c>
      <c r="BA45" s="46" t="str">
        <f>IFERROR(Item[[#This Row],[Mortalidad dia 1]]/Item[[#This Row],[cantidad arribada]],"")</f>
        <v/>
      </c>
      <c r="BB45" s="46" t="str">
        <f>IFERROR(Item[[#This Row],[Mortalidad 2 a 8  (Sem 1)]]/Item[[#This Row],[cantidad arribada]],"")</f>
        <v/>
      </c>
      <c r="BC45" s="46" t="str">
        <f>IFERROR(Item[[#This Row],[Mortalidad 9 a 15 (Sem 2)]]/Item[[#This Row],[cantidad arribada]],"")</f>
        <v/>
      </c>
      <c r="BD45" s="46"/>
      <c r="BE45" s="219">
        <f>SUMIF('Acuario (Arribado - mortalidad)'!$B$14:$B$90,'ORDEN DE CUARENTENA'!B45,'Acuario (Arribado - mortalidad)'!$F$14:$F$90)</f>
        <v>0</v>
      </c>
      <c r="BF45" s="219">
        <f>SUMIF('Acuario (Arribado - mortalidad)'!$B$14:$B$90,'ORDEN DE CUARENTENA'!B45,'Acuario (Arribado - mortalidad)'!$K$14:$K$90)</f>
        <v>0</v>
      </c>
      <c r="BG45" s="219">
        <f>SUMIF('Acuario (Arribado - mortalidad)'!$B$14:$B$90,'ORDEN DE CUARENTENA'!B45,'Acuario (Arribado - mortalidad)'!$G$14:$G$90)</f>
        <v>0</v>
      </c>
      <c r="BH45" s="219">
        <f>SUMIF('Acuario (Arribado - mortalidad)'!$B$14:$B$90,'ORDEN DE CUARENTENA'!B45,'Acuario (Arribado - mortalidad)'!$O$14:$O$90)</f>
        <v>0</v>
      </c>
      <c r="BI45" s="219">
        <f>SUMIF('Acuario (Arribado - mortalidad)'!$B$14:$B$90,'ORDEN DE CUARENTENA'!B45,'Acuario (Arribado - mortalidad)'!$BG$14:$BG$90)</f>
        <v>0</v>
      </c>
      <c r="BJ45" s="219">
        <f>SUMIF('Acuario (Arribado - mortalidad)'!$B$14:$B$90,'ORDEN DE CUARENTENA'!B45,'Acuario (Arribado - mortalidad)'!$BH$14:$BH$90)</f>
        <v>0</v>
      </c>
      <c r="BK45" s="46"/>
      <c r="BL45" s="264"/>
      <c r="BN45" s="7" t="s">
        <v>67</v>
      </c>
      <c r="BO45" s="7" t="s">
        <v>590</v>
      </c>
      <c r="BV45" s="7" t="s">
        <v>708</v>
      </c>
      <c r="BX45" s="7" t="s">
        <v>10123</v>
      </c>
      <c r="BY45" s="7" t="s">
        <v>797</v>
      </c>
      <c r="BZ45" s="7" t="s">
        <v>8835</v>
      </c>
      <c r="CB45" t="s">
        <v>9207</v>
      </c>
      <c r="CC45" t="s">
        <v>10252</v>
      </c>
    </row>
    <row r="46" spans="1:81" x14ac:dyDescent="0.25">
      <c r="A46" s="50"/>
      <c r="B46" s="5">
        <v>33</v>
      </c>
      <c r="C46" s="422"/>
      <c r="D46" s="423"/>
      <c r="E46" s="423"/>
      <c r="F46" s="423"/>
      <c r="G46" s="423"/>
      <c r="H46" s="423"/>
      <c r="I46" s="424"/>
      <c r="J46" s="380"/>
      <c r="K46" s="380"/>
      <c r="L46" s="380"/>
      <c r="M46" s="380"/>
      <c r="N46" s="425" t="e">
        <f>INDEX(AMBIENTE!D$2:D$756,MATCH(R46,AMBIENTE!C$2:C$756,0))</f>
        <v>#N/A</v>
      </c>
      <c r="O46" s="426"/>
      <c r="P46" s="426"/>
      <c r="Q46" s="427"/>
      <c r="R46" s="428"/>
      <c r="S46" s="429"/>
      <c r="T46" s="429"/>
      <c r="U46" s="429"/>
      <c r="V46" s="429"/>
      <c r="W46" s="429"/>
      <c r="X46" s="430"/>
      <c r="Y46" s="374"/>
      <c r="Z46" s="375"/>
      <c r="AA46" s="375"/>
      <c r="AB46" s="375"/>
      <c r="AC46" s="376"/>
      <c r="AD46" s="357"/>
      <c r="AE46" s="358"/>
      <c r="AF46" s="359"/>
      <c r="AG46" s="372" t="str">
        <f>IFERROR(VLOOKUP(Item[[#This Row],[Concatenado]],CITES[],2,FALSE),"")</f>
        <v/>
      </c>
      <c r="AH46" s="373"/>
      <c r="AI46" s="372" t="str">
        <f>IFERROR(VLOOKUP(Item[[#This Row],[Concatenado]],SuscepEARs[],2,FALSE),"")</f>
        <v/>
      </c>
      <c r="AJ46" s="373"/>
      <c r="AL46" s="43"/>
      <c r="AM46" s="46">
        <v>33</v>
      </c>
      <c r="AN46" s="46" t="str">
        <f t="shared" si="3"/>
        <v xml:space="preserve"> </v>
      </c>
      <c r="AO46" s="46">
        <f t="shared" si="0"/>
        <v>0</v>
      </c>
      <c r="AP46" s="46">
        <f t="shared" si="1"/>
        <v>0</v>
      </c>
      <c r="AQ46" s="46" t="str">
        <f t="shared" si="2"/>
        <v/>
      </c>
      <c r="AR46" s="46">
        <f>SUMIF('Acuario (Arribado - mortalidad)'!$B$14:$B$90,'ORDEN DE CUARENTENA'!B46,'Acuario (Arribado - mortalidad)'!$F$14:$F$90)</f>
        <v>0</v>
      </c>
      <c r="AS46" s="46" t="str">
        <f>IF(AR46&gt;0, IF(SUMIF('Acuario (Arribado - mortalidad)'!$B$14:$B$90,'ORDEN DE CUARENTENA'!B46,'Acuario (Arribado - mortalidad)'!$K$14:$K$90)=0, "0", SUMIF('Acuario (Arribado - mortalidad)'!$B$14:$B$90,'ORDEN DE CUARENTENA'!B46,'Acuario (Arribado - mortalidad)'!$K$14:$K$90)),"")</f>
        <v/>
      </c>
      <c r="AT46" s="46">
        <f>IF(AR46 = AS46,"0", SUMIF('Acuario (Arribado - mortalidad)'!$B$14:$B$90,'ORDEN DE CUARENTENA'!B46,'Acuario (Arribado - mortalidad)'!$G$14:$G$90))</f>
        <v>0</v>
      </c>
      <c r="AU46" s="48" t="str">
        <f>IFERROR(Item[[#This Row],[mortalidad acumulada]]/Item[[#This Row],[cantidad arribada]],"")</f>
        <v/>
      </c>
      <c r="AV46" s="46">
        <f>IF(ISTEXT(R46),IF(Item[[#This Row],[cantidad arribada]]=0,"No llega",Item[[#This Row],[cantidad arribada]]),)</f>
        <v>0</v>
      </c>
      <c r="AW46" s="46" t="str">
        <f>IFERROR(VLOOKUP(B46,'Tratamientos-Eventos'!$B$9:$S$20,19,FALSE),"")</f>
        <v/>
      </c>
      <c r="AX46" s="46">
        <f>SUMIF('Acuario (Arribado - mortalidad)'!$B$14:$B$90,'ORDEN DE CUARENTENA'!B46,'Acuario (Arribado - mortalidad)'!$O$14:$O$90)</f>
        <v>0</v>
      </c>
      <c r="AY46" s="46">
        <f>SUMIF('Acuario (Arribado - mortalidad)'!$B$14:$B$90,'ORDEN DE CUARENTENA'!B46,'Acuario (Arribado - mortalidad)'!$BG$14:$BG$90)</f>
        <v>0</v>
      </c>
      <c r="AZ46" s="46">
        <f>SUMIF('Acuario (Arribado - mortalidad)'!$B$14:$B$90,'ORDEN DE CUARENTENA'!B46,'Acuario (Arribado - mortalidad)'!$BH$14:$BH$90)</f>
        <v>0</v>
      </c>
      <c r="BA46" s="46" t="str">
        <f>IFERROR(Item[[#This Row],[Mortalidad dia 1]]/Item[[#This Row],[cantidad arribada]],"")</f>
        <v/>
      </c>
      <c r="BB46" s="46" t="str">
        <f>IFERROR(Item[[#This Row],[Mortalidad 2 a 8  (Sem 1)]]/Item[[#This Row],[cantidad arribada]],"")</f>
        <v/>
      </c>
      <c r="BC46" s="46" t="str">
        <f>IFERROR(Item[[#This Row],[Mortalidad 9 a 15 (Sem 2)]]/Item[[#This Row],[cantidad arribada]],"")</f>
        <v/>
      </c>
      <c r="BD46" s="46"/>
      <c r="BE46" s="219">
        <f>SUMIF('Acuario (Arribado - mortalidad)'!$B$14:$B$90,'ORDEN DE CUARENTENA'!B46,'Acuario (Arribado - mortalidad)'!$F$14:$F$90)</f>
        <v>0</v>
      </c>
      <c r="BF46" s="219">
        <f>SUMIF('Acuario (Arribado - mortalidad)'!$B$14:$B$90,'ORDEN DE CUARENTENA'!B46,'Acuario (Arribado - mortalidad)'!$K$14:$K$90)</f>
        <v>0</v>
      </c>
      <c r="BG46" s="219">
        <f>SUMIF('Acuario (Arribado - mortalidad)'!$B$14:$B$90,'ORDEN DE CUARENTENA'!B46,'Acuario (Arribado - mortalidad)'!$G$14:$G$90)</f>
        <v>0</v>
      </c>
      <c r="BH46" s="219">
        <f>SUMIF('Acuario (Arribado - mortalidad)'!$B$14:$B$90,'ORDEN DE CUARENTENA'!B46,'Acuario (Arribado - mortalidad)'!$O$14:$O$90)</f>
        <v>0</v>
      </c>
      <c r="BI46" s="219">
        <f>SUMIF('Acuario (Arribado - mortalidad)'!$B$14:$B$90,'ORDEN DE CUARENTENA'!B46,'Acuario (Arribado - mortalidad)'!$BG$14:$BG$90)</f>
        <v>0</v>
      </c>
      <c r="BJ46" s="219">
        <f>SUMIF('Acuario (Arribado - mortalidad)'!$B$14:$B$90,'ORDEN DE CUARENTENA'!B46,'Acuario (Arribado - mortalidad)'!$BH$14:$BH$90)</f>
        <v>0</v>
      </c>
      <c r="BK46" s="46"/>
      <c r="BL46" s="264"/>
      <c r="BN46" s="7" t="s">
        <v>68</v>
      </c>
      <c r="BO46" s="7" t="s">
        <v>591</v>
      </c>
      <c r="BV46" s="7" t="s">
        <v>709</v>
      </c>
      <c r="BX46" s="7" t="s">
        <v>10124</v>
      </c>
      <c r="BY46" s="7" t="s">
        <v>797</v>
      </c>
      <c r="BZ46" s="7" t="s">
        <v>8835</v>
      </c>
      <c r="CB46" t="s">
        <v>9208</v>
      </c>
      <c r="CC46" t="s">
        <v>10252</v>
      </c>
    </row>
    <row r="47" spans="1:81" x14ac:dyDescent="0.25">
      <c r="A47" s="50"/>
      <c r="B47" s="5">
        <v>34</v>
      </c>
      <c r="C47" s="422"/>
      <c r="D47" s="423"/>
      <c r="E47" s="423"/>
      <c r="F47" s="423"/>
      <c r="G47" s="423"/>
      <c r="H47" s="423"/>
      <c r="I47" s="424"/>
      <c r="J47" s="380"/>
      <c r="K47" s="380"/>
      <c r="L47" s="380"/>
      <c r="M47" s="380"/>
      <c r="N47" s="425" t="e">
        <f>INDEX(AMBIENTE!D$2:D$756,MATCH(R47,AMBIENTE!C$2:C$756,0))</f>
        <v>#N/A</v>
      </c>
      <c r="O47" s="426"/>
      <c r="P47" s="426"/>
      <c r="Q47" s="427"/>
      <c r="R47" s="428"/>
      <c r="S47" s="429"/>
      <c r="T47" s="429"/>
      <c r="U47" s="429"/>
      <c r="V47" s="429"/>
      <c r="W47" s="429"/>
      <c r="X47" s="430"/>
      <c r="Y47" s="374"/>
      <c r="Z47" s="375"/>
      <c r="AA47" s="375"/>
      <c r="AB47" s="375"/>
      <c r="AC47" s="376"/>
      <c r="AD47" s="357"/>
      <c r="AE47" s="358"/>
      <c r="AF47" s="359"/>
      <c r="AG47" s="372" t="str">
        <f>IFERROR(VLOOKUP(Item[[#This Row],[Concatenado]],CITES[],2,FALSE),"")</f>
        <v/>
      </c>
      <c r="AH47" s="373"/>
      <c r="AI47" s="372" t="str">
        <f>IFERROR(VLOOKUP(Item[[#This Row],[Concatenado]],SuscepEARs[],2,FALSE),"")</f>
        <v/>
      </c>
      <c r="AJ47" s="373"/>
      <c r="AL47" s="43"/>
      <c r="AM47" s="46">
        <v>34</v>
      </c>
      <c r="AN47" s="46" t="str">
        <f t="shared" si="3"/>
        <v xml:space="preserve"> </v>
      </c>
      <c r="AO47" s="46">
        <f t="shared" si="0"/>
        <v>0</v>
      </c>
      <c r="AP47" s="46">
        <f t="shared" si="1"/>
        <v>0</v>
      </c>
      <c r="AQ47" s="46" t="str">
        <f t="shared" si="2"/>
        <v/>
      </c>
      <c r="AR47" s="46">
        <f>SUMIF('Acuario (Arribado - mortalidad)'!$B$14:$B$90,'ORDEN DE CUARENTENA'!B47,'Acuario (Arribado - mortalidad)'!$F$14:$F$90)</f>
        <v>0</v>
      </c>
      <c r="AS47" s="46" t="str">
        <f>IF(AR47&gt;0, IF(SUMIF('Acuario (Arribado - mortalidad)'!$B$14:$B$90,'ORDEN DE CUARENTENA'!B47,'Acuario (Arribado - mortalidad)'!$K$14:$K$90)=0, "0", SUMIF('Acuario (Arribado - mortalidad)'!$B$14:$B$90,'ORDEN DE CUARENTENA'!B47,'Acuario (Arribado - mortalidad)'!$K$14:$K$90)),"")</f>
        <v/>
      </c>
      <c r="AT47" s="46">
        <f>IF(AR47 = AS47,"0", SUMIF('Acuario (Arribado - mortalidad)'!$B$14:$B$90,'ORDEN DE CUARENTENA'!B47,'Acuario (Arribado - mortalidad)'!$G$14:$G$90))</f>
        <v>0</v>
      </c>
      <c r="AU47" s="48" t="str">
        <f>IFERROR(Item[[#This Row],[mortalidad acumulada]]/Item[[#This Row],[cantidad arribada]],"")</f>
        <v/>
      </c>
      <c r="AV47" s="46">
        <f>IF(ISTEXT(R47),IF(Item[[#This Row],[cantidad arribada]]=0,"No llega",Item[[#This Row],[cantidad arribada]]),)</f>
        <v>0</v>
      </c>
      <c r="AW47" s="46" t="str">
        <f>IFERROR(VLOOKUP(B47,'Tratamientos-Eventos'!$B$9:$S$20,19,FALSE),"")</f>
        <v/>
      </c>
      <c r="AX47" s="46">
        <f>SUMIF('Acuario (Arribado - mortalidad)'!$B$14:$B$90,'ORDEN DE CUARENTENA'!B47,'Acuario (Arribado - mortalidad)'!$O$14:$O$90)</f>
        <v>0</v>
      </c>
      <c r="AY47" s="46">
        <f>SUMIF('Acuario (Arribado - mortalidad)'!$B$14:$B$90,'ORDEN DE CUARENTENA'!B47,'Acuario (Arribado - mortalidad)'!$BG$14:$BG$90)</f>
        <v>0</v>
      </c>
      <c r="AZ47" s="46">
        <f>SUMIF('Acuario (Arribado - mortalidad)'!$B$14:$B$90,'ORDEN DE CUARENTENA'!B47,'Acuario (Arribado - mortalidad)'!$BH$14:$BH$90)</f>
        <v>0</v>
      </c>
      <c r="BA47" s="46" t="str">
        <f>IFERROR(Item[[#This Row],[Mortalidad dia 1]]/Item[[#This Row],[cantidad arribada]],"")</f>
        <v/>
      </c>
      <c r="BB47" s="46" t="str">
        <f>IFERROR(Item[[#This Row],[Mortalidad 2 a 8  (Sem 1)]]/Item[[#This Row],[cantidad arribada]],"")</f>
        <v/>
      </c>
      <c r="BC47" s="46" t="str">
        <f>IFERROR(Item[[#This Row],[Mortalidad 9 a 15 (Sem 2)]]/Item[[#This Row],[cantidad arribada]],"")</f>
        <v/>
      </c>
      <c r="BD47" s="46"/>
      <c r="BE47" s="219">
        <f>SUMIF('Acuario (Arribado - mortalidad)'!$B$14:$B$90,'ORDEN DE CUARENTENA'!B47,'Acuario (Arribado - mortalidad)'!$F$14:$F$90)</f>
        <v>0</v>
      </c>
      <c r="BF47" s="219">
        <f>SUMIF('Acuario (Arribado - mortalidad)'!$B$14:$B$90,'ORDEN DE CUARENTENA'!B47,'Acuario (Arribado - mortalidad)'!$K$14:$K$90)</f>
        <v>0</v>
      </c>
      <c r="BG47" s="219">
        <f>SUMIF('Acuario (Arribado - mortalidad)'!$B$14:$B$90,'ORDEN DE CUARENTENA'!B47,'Acuario (Arribado - mortalidad)'!$G$14:$G$90)</f>
        <v>0</v>
      </c>
      <c r="BH47" s="219">
        <f>SUMIF('Acuario (Arribado - mortalidad)'!$B$14:$B$90,'ORDEN DE CUARENTENA'!B47,'Acuario (Arribado - mortalidad)'!$O$14:$O$90)</f>
        <v>0</v>
      </c>
      <c r="BI47" s="219">
        <f>SUMIF('Acuario (Arribado - mortalidad)'!$B$14:$B$90,'ORDEN DE CUARENTENA'!B47,'Acuario (Arribado - mortalidad)'!$BG$14:$BG$90)</f>
        <v>0</v>
      </c>
      <c r="BJ47" s="219">
        <f>SUMIF('Acuario (Arribado - mortalidad)'!$B$14:$B$90,'ORDEN DE CUARENTENA'!B47,'Acuario (Arribado - mortalidad)'!$BH$14:$BH$90)</f>
        <v>0</v>
      </c>
      <c r="BK47" s="46"/>
      <c r="BL47" s="264"/>
      <c r="BN47" s="7" t="s">
        <v>69</v>
      </c>
      <c r="BO47" s="7" t="s">
        <v>592</v>
      </c>
      <c r="BV47" s="7" t="s">
        <v>710</v>
      </c>
      <c r="BX47" s="7" t="s">
        <v>10125</v>
      </c>
      <c r="BY47" s="7" t="s">
        <v>797</v>
      </c>
      <c r="BZ47" s="7" t="s">
        <v>8835</v>
      </c>
      <c r="CB47" t="s">
        <v>9209</v>
      </c>
      <c r="CC47" t="s">
        <v>10252</v>
      </c>
    </row>
    <row r="48" spans="1:81" x14ac:dyDescent="0.25">
      <c r="A48" s="50"/>
      <c r="B48" s="5">
        <v>35</v>
      </c>
      <c r="C48" s="422"/>
      <c r="D48" s="423"/>
      <c r="E48" s="423"/>
      <c r="F48" s="423"/>
      <c r="G48" s="423"/>
      <c r="H48" s="423"/>
      <c r="I48" s="424"/>
      <c r="J48" s="380"/>
      <c r="K48" s="380"/>
      <c r="L48" s="380"/>
      <c r="M48" s="380"/>
      <c r="N48" s="425" t="e">
        <f>INDEX(AMBIENTE!D$2:D$756,MATCH(R48,AMBIENTE!C$2:C$756,0))</f>
        <v>#N/A</v>
      </c>
      <c r="O48" s="426"/>
      <c r="P48" s="426"/>
      <c r="Q48" s="427"/>
      <c r="R48" s="428"/>
      <c r="S48" s="429"/>
      <c r="T48" s="429"/>
      <c r="U48" s="429"/>
      <c r="V48" s="429"/>
      <c r="W48" s="429"/>
      <c r="X48" s="430"/>
      <c r="Y48" s="374"/>
      <c r="Z48" s="375"/>
      <c r="AA48" s="375"/>
      <c r="AB48" s="375"/>
      <c r="AC48" s="376"/>
      <c r="AD48" s="357"/>
      <c r="AE48" s="358"/>
      <c r="AF48" s="359"/>
      <c r="AG48" s="372" t="str">
        <f>IFERROR(VLOOKUP(Item[[#This Row],[Concatenado]],CITES[],2,FALSE),"")</f>
        <v/>
      </c>
      <c r="AH48" s="373"/>
      <c r="AI48" s="372" t="str">
        <f>IFERROR(VLOOKUP(Item[[#This Row],[Concatenado]],SuscepEARs[],2,FALSE),"")</f>
        <v/>
      </c>
      <c r="AJ48" s="373"/>
      <c r="AL48" s="43"/>
      <c r="AM48" s="46">
        <v>35</v>
      </c>
      <c r="AN48" s="46" t="str">
        <f t="shared" si="3"/>
        <v xml:space="preserve"> </v>
      </c>
      <c r="AO48" s="46">
        <f t="shared" si="0"/>
        <v>0</v>
      </c>
      <c r="AP48" s="46">
        <f t="shared" si="1"/>
        <v>0</v>
      </c>
      <c r="AQ48" s="46" t="str">
        <f t="shared" si="2"/>
        <v/>
      </c>
      <c r="AR48" s="46">
        <f>SUMIF('Acuario (Arribado - mortalidad)'!$B$14:$B$90,'ORDEN DE CUARENTENA'!B48,'Acuario (Arribado - mortalidad)'!$F$14:$F$90)</f>
        <v>0</v>
      </c>
      <c r="AS48" s="46" t="str">
        <f>IF(AR48&gt;0, IF(SUMIF('Acuario (Arribado - mortalidad)'!$B$14:$B$90,'ORDEN DE CUARENTENA'!B48,'Acuario (Arribado - mortalidad)'!$K$14:$K$90)=0, "0", SUMIF('Acuario (Arribado - mortalidad)'!$B$14:$B$90,'ORDEN DE CUARENTENA'!B48,'Acuario (Arribado - mortalidad)'!$K$14:$K$90)),"")</f>
        <v/>
      </c>
      <c r="AT48" s="46">
        <f>IF(AR48 = AS48,"0", SUMIF('Acuario (Arribado - mortalidad)'!$B$14:$B$90,'ORDEN DE CUARENTENA'!B48,'Acuario (Arribado - mortalidad)'!$G$14:$G$90))</f>
        <v>0</v>
      </c>
      <c r="AU48" s="48" t="str">
        <f>IFERROR(Item[[#This Row],[mortalidad acumulada]]/Item[[#This Row],[cantidad arribada]],"")</f>
        <v/>
      </c>
      <c r="AV48" s="46">
        <f>IF(ISTEXT(R48),IF(Item[[#This Row],[cantidad arribada]]=0,"No llega",Item[[#This Row],[cantidad arribada]]),)</f>
        <v>0</v>
      </c>
      <c r="AW48" s="46" t="str">
        <f>IFERROR(VLOOKUP(B48,'Tratamientos-Eventos'!$B$9:$S$20,19,FALSE),"")</f>
        <v/>
      </c>
      <c r="AX48" s="46">
        <f>SUMIF('Acuario (Arribado - mortalidad)'!$B$14:$B$90,'ORDEN DE CUARENTENA'!B48,'Acuario (Arribado - mortalidad)'!$O$14:$O$90)</f>
        <v>0</v>
      </c>
      <c r="AY48" s="46">
        <f>SUMIF('Acuario (Arribado - mortalidad)'!$B$14:$B$90,'ORDEN DE CUARENTENA'!B48,'Acuario (Arribado - mortalidad)'!$BG$14:$BG$90)</f>
        <v>0</v>
      </c>
      <c r="AZ48" s="46">
        <f>SUMIF('Acuario (Arribado - mortalidad)'!$B$14:$B$90,'ORDEN DE CUARENTENA'!B48,'Acuario (Arribado - mortalidad)'!$BH$14:$BH$90)</f>
        <v>0</v>
      </c>
      <c r="BA48" s="46" t="str">
        <f>IFERROR(Item[[#This Row],[Mortalidad dia 1]]/Item[[#This Row],[cantidad arribada]],"")</f>
        <v/>
      </c>
      <c r="BB48" s="46" t="str">
        <f>IFERROR(Item[[#This Row],[Mortalidad 2 a 8  (Sem 1)]]/Item[[#This Row],[cantidad arribada]],"")</f>
        <v/>
      </c>
      <c r="BC48" s="46" t="str">
        <f>IFERROR(Item[[#This Row],[Mortalidad 9 a 15 (Sem 2)]]/Item[[#This Row],[cantidad arribada]],"")</f>
        <v/>
      </c>
      <c r="BD48" s="46"/>
      <c r="BE48" s="219">
        <f>SUMIF('Acuario (Arribado - mortalidad)'!$B$14:$B$90,'ORDEN DE CUARENTENA'!B48,'Acuario (Arribado - mortalidad)'!$F$14:$F$90)</f>
        <v>0</v>
      </c>
      <c r="BF48" s="219">
        <f>SUMIF('Acuario (Arribado - mortalidad)'!$B$14:$B$90,'ORDEN DE CUARENTENA'!B48,'Acuario (Arribado - mortalidad)'!$K$14:$K$90)</f>
        <v>0</v>
      </c>
      <c r="BG48" s="219">
        <f>SUMIF('Acuario (Arribado - mortalidad)'!$B$14:$B$90,'ORDEN DE CUARENTENA'!B48,'Acuario (Arribado - mortalidad)'!$G$14:$G$90)</f>
        <v>0</v>
      </c>
      <c r="BH48" s="219">
        <f>SUMIF('Acuario (Arribado - mortalidad)'!$B$14:$B$90,'ORDEN DE CUARENTENA'!B48,'Acuario (Arribado - mortalidad)'!$O$14:$O$90)</f>
        <v>0</v>
      </c>
      <c r="BI48" s="219">
        <f>SUMIF('Acuario (Arribado - mortalidad)'!$B$14:$B$90,'ORDEN DE CUARENTENA'!B48,'Acuario (Arribado - mortalidad)'!$BG$14:$BG$90)</f>
        <v>0</v>
      </c>
      <c r="BJ48" s="219">
        <f>SUMIF('Acuario (Arribado - mortalidad)'!$B$14:$B$90,'ORDEN DE CUARENTENA'!B48,'Acuario (Arribado - mortalidad)'!$BH$14:$BH$90)</f>
        <v>0</v>
      </c>
      <c r="BK48" s="46"/>
      <c r="BL48" s="264"/>
      <c r="BN48" s="7" t="s">
        <v>70</v>
      </c>
      <c r="BO48" s="7" t="s">
        <v>593</v>
      </c>
      <c r="BV48" s="7" t="s">
        <v>711</v>
      </c>
      <c r="BX48" s="7" t="s">
        <v>9329</v>
      </c>
      <c r="BY48" s="7" t="s">
        <v>797</v>
      </c>
      <c r="BZ48" s="7" t="s">
        <v>8836</v>
      </c>
      <c r="CB48" t="s">
        <v>9210</v>
      </c>
      <c r="CC48" t="s">
        <v>10252</v>
      </c>
    </row>
    <row r="49" spans="1:81" x14ac:dyDescent="0.25">
      <c r="A49" s="50"/>
      <c r="B49" s="5">
        <v>36</v>
      </c>
      <c r="C49" s="422"/>
      <c r="D49" s="423"/>
      <c r="E49" s="423"/>
      <c r="F49" s="423"/>
      <c r="G49" s="423"/>
      <c r="H49" s="423"/>
      <c r="I49" s="424"/>
      <c r="J49" s="380"/>
      <c r="K49" s="380"/>
      <c r="L49" s="380"/>
      <c r="M49" s="380"/>
      <c r="N49" s="425" t="e">
        <f>INDEX(AMBIENTE!D$2:D$756,MATCH(R49,AMBIENTE!C$2:C$756,0))</f>
        <v>#N/A</v>
      </c>
      <c r="O49" s="426"/>
      <c r="P49" s="426"/>
      <c r="Q49" s="427"/>
      <c r="R49" s="428"/>
      <c r="S49" s="429"/>
      <c r="T49" s="429"/>
      <c r="U49" s="429"/>
      <c r="V49" s="429"/>
      <c r="W49" s="429"/>
      <c r="X49" s="430"/>
      <c r="Y49" s="374"/>
      <c r="Z49" s="375"/>
      <c r="AA49" s="375"/>
      <c r="AB49" s="375"/>
      <c r="AC49" s="376"/>
      <c r="AD49" s="357"/>
      <c r="AE49" s="358"/>
      <c r="AF49" s="359"/>
      <c r="AG49" s="372" t="str">
        <f>IFERROR(VLOOKUP(Item[[#This Row],[Concatenado]],CITES[],2,FALSE),"")</f>
        <v/>
      </c>
      <c r="AH49" s="373"/>
      <c r="AI49" s="372" t="str">
        <f>IFERROR(VLOOKUP(Item[[#This Row],[Concatenado]],SuscepEARs[],2,FALSE),"")</f>
        <v/>
      </c>
      <c r="AJ49" s="373"/>
      <c r="AL49" s="43"/>
      <c r="AM49" s="46">
        <v>36</v>
      </c>
      <c r="AN49" s="46" t="str">
        <f t="shared" si="3"/>
        <v xml:space="preserve"> </v>
      </c>
      <c r="AO49" s="46">
        <f t="shared" si="0"/>
        <v>0</v>
      </c>
      <c r="AP49" s="46">
        <f t="shared" si="1"/>
        <v>0</v>
      </c>
      <c r="AQ49" s="46" t="str">
        <f t="shared" si="2"/>
        <v/>
      </c>
      <c r="AR49" s="46">
        <f>SUMIF('Acuario (Arribado - mortalidad)'!$B$14:$B$90,'ORDEN DE CUARENTENA'!B49,'Acuario (Arribado - mortalidad)'!$F$14:$F$90)</f>
        <v>0</v>
      </c>
      <c r="AS49" s="46" t="str">
        <f>IF(AR49&gt;0, IF(SUMIF('Acuario (Arribado - mortalidad)'!$B$14:$B$90,'ORDEN DE CUARENTENA'!B49,'Acuario (Arribado - mortalidad)'!$K$14:$K$90)=0, "0", SUMIF('Acuario (Arribado - mortalidad)'!$B$14:$B$90,'ORDEN DE CUARENTENA'!B49,'Acuario (Arribado - mortalidad)'!$K$14:$K$90)),"")</f>
        <v/>
      </c>
      <c r="AT49" s="46">
        <f>IF(AR49 = AS49,"0", SUMIF('Acuario (Arribado - mortalidad)'!$B$14:$B$90,'ORDEN DE CUARENTENA'!B49,'Acuario (Arribado - mortalidad)'!$G$14:$G$90))</f>
        <v>0</v>
      </c>
      <c r="AU49" s="48" t="str">
        <f>IFERROR(Item[[#This Row],[mortalidad acumulada]]/Item[[#This Row],[cantidad arribada]],"")</f>
        <v/>
      </c>
      <c r="AV49" s="46">
        <f>IF(ISTEXT(R49),IF(Item[[#This Row],[cantidad arribada]]=0,"No llega",Item[[#This Row],[cantidad arribada]]),)</f>
        <v>0</v>
      </c>
      <c r="AW49" s="46" t="str">
        <f>IFERROR(VLOOKUP(B49,'Tratamientos-Eventos'!$B$9:$S$20,19,FALSE),"")</f>
        <v/>
      </c>
      <c r="AX49" s="46">
        <f>SUMIF('Acuario (Arribado - mortalidad)'!$B$14:$B$90,'ORDEN DE CUARENTENA'!B49,'Acuario (Arribado - mortalidad)'!$O$14:$O$90)</f>
        <v>0</v>
      </c>
      <c r="AY49" s="46">
        <f>SUMIF('Acuario (Arribado - mortalidad)'!$B$14:$B$90,'ORDEN DE CUARENTENA'!B49,'Acuario (Arribado - mortalidad)'!$BG$14:$BG$90)</f>
        <v>0</v>
      </c>
      <c r="AZ49" s="46">
        <f>SUMIF('Acuario (Arribado - mortalidad)'!$B$14:$B$90,'ORDEN DE CUARENTENA'!B49,'Acuario (Arribado - mortalidad)'!$BH$14:$BH$90)</f>
        <v>0</v>
      </c>
      <c r="BA49" s="46" t="str">
        <f>IFERROR(Item[[#This Row],[Mortalidad dia 1]]/Item[[#This Row],[cantidad arribada]],"")</f>
        <v/>
      </c>
      <c r="BB49" s="46" t="str">
        <f>IFERROR(Item[[#This Row],[Mortalidad 2 a 8  (Sem 1)]]/Item[[#This Row],[cantidad arribada]],"")</f>
        <v/>
      </c>
      <c r="BC49" s="46" t="str">
        <f>IFERROR(Item[[#This Row],[Mortalidad 9 a 15 (Sem 2)]]/Item[[#This Row],[cantidad arribada]],"")</f>
        <v/>
      </c>
      <c r="BD49" s="46"/>
      <c r="BE49" s="219">
        <f>SUMIF('Acuario (Arribado - mortalidad)'!$B$14:$B$90,'ORDEN DE CUARENTENA'!B49,'Acuario (Arribado - mortalidad)'!$F$14:$F$90)</f>
        <v>0</v>
      </c>
      <c r="BF49" s="219">
        <f>SUMIF('Acuario (Arribado - mortalidad)'!$B$14:$B$90,'ORDEN DE CUARENTENA'!B49,'Acuario (Arribado - mortalidad)'!$K$14:$K$90)</f>
        <v>0</v>
      </c>
      <c r="BG49" s="219">
        <f>SUMIF('Acuario (Arribado - mortalidad)'!$B$14:$B$90,'ORDEN DE CUARENTENA'!B49,'Acuario (Arribado - mortalidad)'!$G$14:$G$90)</f>
        <v>0</v>
      </c>
      <c r="BH49" s="219">
        <f>SUMIF('Acuario (Arribado - mortalidad)'!$B$14:$B$90,'ORDEN DE CUARENTENA'!B49,'Acuario (Arribado - mortalidad)'!$O$14:$O$90)</f>
        <v>0</v>
      </c>
      <c r="BI49" s="219">
        <f>SUMIF('Acuario (Arribado - mortalidad)'!$B$14:$B$90,'ORDEN DE CUARENTENA'!B49,'Acuario (Arribado - mortalidad)'!$BG$14:$BG$90)</f>
        <v>0</v>
      </c>
      <c r="BJ49" s="219">
        <f>SUMIF('Acuario (Arribado - mortalidad)'!$B$14:$B$90,'ORDEN DE CUARENTENA'!B49,'Acuario (Arribado - mortalidad)'!$BH$14:$BH$90)</f>
        <v>0</v>
      </c>
      <c r="BK49" s="46"/>
      <c r="BL49" s="264"/>
      <c r="BN49" s="7" t="s">
        <v>71</v>
      </c>
      <c r="BO49" s="7" t="s">
        <v>594</v>
      </c>
      <c r="BV49" s="7" t="s">
        <v>712</v>
      </c>
      <c r="BX49" s="7" t="s">
        <v>9330</v>
      </c>
      <c r="BY49" s="7" t="s">
        <v>797</v>
      </c>
      <c r="BZ49" s="7" t="s">
        <v>8836</v>
      </c>
      <c r="CB49" t="s">
        <v>9211</v>
      </c>
      <c r="CC49" t="s">
        <v>10252</v>
      </c>
    </row>
    <row r="50" spans="1:81" x14ac:dyDescent="0.25">
      <c r="A50" s="50"/>
      <c r="B50" s="5">
        <v>37</v>
      </c>
      <c r="C50" s="422"/>
      <c r="D50" s="423"/>
      <c r="E50" s="423"/>
      <c r="F50" s="423"/>
      <c r="G50" s="423"/>
      <c r="H50" s="423"/>
      <c r="I50" s="424"/>
      <c r="J50" s="380"/>
      <c r="K50" s="380"/>
      <c r="L50" s="380"/>
      <c r="M50" s="380"/>
      <c r="N50" s="425" t="e">
        <f>INDEX(AMBIENTE!D$2:D$756,MATCH(R50,AMBIENTE!C$2:C$756,0))</f>
        <v>#N/A</v>
      </c>
      <c r="O50" s="426"/>
      <c r="P50" s="426"/>
      <c r="Q50" s="427"/>
      <c r="R50" s="428"/>
      <c r="S50" s="429"/>
      <c r="T50" s="429"/>
      <c r="U50" s="429"/>
      <c r="V50" s="429"/>
      <c r="W50" s="429"/>
      <c r="X50" s="430"/>
      <c r="Y50" s="374"/>
      <c r="Z50" s="375"/>
      <c r="AA50" s="375"/>
      <c r="AB50" s="375"/>
      <c r="AC50" s="376"/>
      <c r="AD50" s="357"/>
      <c r="AE50" s="358"/>
      <c r="AF50" s="359"/>
      <c r="AG50" s="372" t="str">
        <f>IFERROR(VLOOKUP(Item[[#This Row],[Concatenado]],CITES[],2,FALSE),"")</f>
        <v/>
      </c>
      <c r="AH50" s="373"/>
      <c r="AI50" s="372" t="str">
        <f>IFERROR(VLOOKUP(Item[[#This Row],[Concatenado]],SuscepEARs[],2,FALSE),"")</f>
        <v/>
      </c>
      <c r="AJ50" s="373"/>
      <c r="AL50" s="43"/>
      <c r="AM50" s="46">
        <v>37</v>
      </c>
      <c r="AN50" s="46" t="str">
        <f t="shared" si="3"/>
        <v xml:space="preserve"> </v>
      </c>
      <c r="AO50" s="46">
        <f t="shared" si="0"/>
        <v>0</v>
      </c>
      <c r="AP50" s="46">
        <f t="shared" si="1"/>
        <v>0</v>
      </c>
      <c r="AQ50" s="46" t="str">
        <f t="shared" si="2"/>
        <v/>
      </c>
      <c r="AR50" s="46">
        <f>SUMIF('Acuario (Arribado - mortalidad)'!$B$14:$B$90,'ORDEN DE CUARENTENA'!B50,'Acuario (Arribado - mortalidad)'!$F$14:$F$90)</f>
        <v>0</v>
      </c>
      <c r="AS50" s="46" t="str">
        <f>IF(AR50&gt;0, IF(SUMIF('Acuario (Arribado - mortalidad)'!$B$14:$B$90,'ORDEN DE CUARENTENA'!B50,'Acuario (Arribado - mortalidad)'!$K$14:$K$90)=0, "0", SUMIF('Acuario (Arribado - mortalidad)'!$B$14:$B$90,'ORDEN DE CUARENTENA'!B50,'Acuario (Arribado - mortalidad)'!$K$14:$K$90)),"")</f>
        <v/>
      </c>
      <c r="AT50" s="46">
        <f>IF(AR50 = AS50,"0", SUMIF('Acuario (Arribado - mortalidad)'!$B$14:$B$90,'ORDEN DE CUARENTENA'!B50,'Acuario (Arribado - mortalidad)'!$G$14:$G$90))</f>
        <v>0</v>
      </c>
      <c r="AU50" s="48" t="str">
        <f>IFERROR(Item[[#This Row],[mortalidad acumulada]]/Item[[#This Row],[cantidad arribada]],"")</f>
        <v/>
      </c>
      <c r="AV50" s="46">
        <f>IF(ISTEXT(R50),IF(Item[[#This Row],[cantidad arribada]]=0,"No llega",Item[[#This Row],[cantidad arribada]]),)</f>
        <v>0</v>
      </c>
      <c r="AW50" s="46" t="str">
        <f>IFERROR(VLOOKUP(B50,'Tratamientos-Eventos'!$B$9:$S$20,19,FALSE),"")</f>
        <v/>
      </c>
      <c r="AX50" s="46">
        <f>SUMIF('Acuario (Arribado - mortalidad)'!$B$14:$B$90,'ORDEN DE CUARENTENA'!B50,'Acuario (Arribado - mortalidad)'!$O$14:$O$90)</f>
        <v>0</v>
      </c>
      <c r="AY50" s="46">
        <f>SUMIF('Acuario (Arribado - mortalidad)'!$B$14:$B$90,'ORDEN DE CUARENTENA'!B50,'Acuario (Arribado - mortalidad)'!$BG$14:$BG$90)</f>
        <v>0</v>
      </c>
      <c r="AZ50" s="46">
        <f>SUMIF('Acuario (Arribado - mortalidad)'!$B$14:$B$90,'ORDEN DE CUARENTENA'!B50,'Acuario (Arribado - mortalidad)'!$BH$14:$BH$90)</f>
        <v>0</v>
      </c>
      <c r="BA50" s="46" t="str">
        <f>IFERROR(Item[[#This Row],[Mortalidad dia 1]]/Item[[#This Row],[cantidad arribada]],"")</f>
        <v/>
      </c>
      <c r="BB50" s="46" t="str">
        <f>IFERROR(Item[[#This Row],[Mortalidad 2 a 8  (Sem 1)]]/Item[[#This Row],[cantidad arribada]],"")</f>
        <v/>
      </c>
      <c r="BC50" s="46" t="str">
        <f>IFERROR(Item[[#This Row],[Mortalidad 9 a 15 (Sem 2)]]/Item[[#This Row],[cantidad arribada]],"")</f>
        <v/>
      </c>
      <c r="BD50" s="46"/>
      <c r="BE50" s="219">
        <f>SUMIF('Acuario (Arribado - mortalidad)'!$B$14:$B$90,'ORDEN DE CUARENTENA'!B50,'Acuario (Arribado - mortalidad)'!$F$14:$F$90)</f>
        <v>0</v>
      </c>
      <c r="BF50" s="219">
        <f>SUMIF('Acuario (Arribado - mortalidad)'!$B$14:$B$90,'ORDEN DE CUARENTENA'!B50,'Acuario (Arribado - mortalidad)'!$K$14:$K$90)</f>
        <v>0</v>
      </c>
      <c r="BG50" s="219">
        <f>SUMIF('Acuario (Arribado - mortalidad)'!$B$14:$B$90,'ORDEN DE CUARENTENA'!B50,'Acuario (Arribado - mortalidad)'!$G$14:$G$90)</f>
        <v>0</v>
      </c>
      <c r="BH50" s="219">
        <f>SUMIF('Acuario (Arribado - mortalidad)'!$B$14:$B$90,'ORDEN DE CUARENTENA'!B50,'Acuario (Arribado - mortalidad)'!$O$14:$O$90)</f>
        <v>0</v>
      </c>
      <c r="BI50" s="219">
        <f>SUMIF('Acuario (Arribado - mortalidad)'!$B$14:$B$90,'ORDEN DE CUARENTENA'!B50,'Acuario (Arribado - mortalidad)'!$BG$14:$BG$90)</f>
        <v>0</v>
      </c>
      <c r="BJ50" s="219">
        <f>SUMIF('Acuario (Arribado - mortalidad)'!$B$14:$B$90,'ORDEN DE CUARENTENA'!B50,'Acuario (Arribado - mortalidad)'!$BH$14:$BH$90)</f>
        <v>0</v>
      </c>
      <c r="BK50" s="46"/>
      <c r="BL50" s="264"/>
      <c r="BN50" s="7" t="s">
        <v>72</v>
      </c>
      <c r="BO50" s="7" t="s">
        <v>595</v>
      </c>
      <c r="BV50" s="7" t="s">
        <v>9027</v>
      </c>
      <c r="BX50" s="7" t="s">
        <v>9331</v>
      </c>
      <c r="BY50" s="7" t="s">
        <v>797</v>
      </c>
      <c r="BZ50" s="7" t="s">
        <v>8836</v>
      </c>
      <c r="CB50" t="s">
        <v>9212</v>
      </c>
      <c r="CC50" t="s">
        <v>10252</v>
      </c>
    </row>
    <row r="51" spans="1:81" x14ac:dyDescent="0.25">
      <c r="A51" s="50"/>
      <c r="B51" s="5">
        <v>38</v>
      </c>
      <c r="C51" s="422"/>
      <c r="D51" s="423"/>
      <c r="E51" s="423"/>
      <c r="F51" s="423"/>
      <c r="G51" s="423"/>
      <c r="H51" s="423"/>
      <c r="I51" s="424"/>
      <c r="J51" s="380"/>
      <c r="K51" s="380"/>
      <c r="L51" s="380"/>
      <c r="M51" s="380"/>
      <c r="N51" s="425" t="e">
        <f>INDEX(AMBIENTE!D$2:D$756,MATCH(R51,AMBIENTE!C$2:C$756,0))</f>
        <v>#N/A</v>
      </c>
      <c r="O51" s="426"/>
      <c r="P51" s="426"/>
      <c r="Q51" s="427"/>
      <c r="R51" s="428"/>
      <c r="S51" s="429"/>
      <c r="T51" s="429"/>
      <c r="U51" s="429"/>
      <c r="V51" s="429"/>
      <c r="W51" s="429"/>
      <c r="X51" s="430"/>
      <c r="Y51" s="374"/>
      <c r="Z51" s="375"/>
      <c r="AA51" s="375"/>
      <c r="AB51" s="375"/>
      <c r="AC51" s="376"/>
      <c r="AD51" s="357"/>
      <c r="AE51" s="358"/>
      <c r="AF51" s="359"/>
      <c r="AG51" s="372" t="str">
        <f>IFERROR(VLOOKUP(Item[[#This Row],[Concatenado]],CITES[],2,FALSE),"")</f>
        <v/>
      </c>
      <c r="AH51" s="373"/>
      <c r="AI51" s="372" t="str">
        <f>IFERROR(VLOOKUP(Item[[#This Row],[Concatenado]],SuscepEARs[],2,FALSE),"")</f>
        <v/>
      </c>
      <c r="AJ51" s="373"/>
      <c r="AL51" s="43"/>
      <c r="AM51" s="46">
        <v>38</v>
      </c>
      <c r="AN51" s="46" t="str">
        <f t="shared" si="3"/>
        <v xml:space="preserve"> </v>
      </c>
      <c r="AO51" s="46">
        <f t="shared" si="0"/>
        <v>0</v>
      </c>
      <c r="AP51" s="46">
        <f t="shared" si="1"/>
        <v>0</v>
      </c>
      <c r="AQ51" s="46" t="str">
        <f t="shared" si="2"/>
        <v/>
      </c>
      <c r="AR51" s="46">
        <f>SUMIF('Acuario (Arribado - mortalidad)'!$B$14:$B$90,'ORDEN DE CUARENTENA'!B51,'Acuario (Arribado - mortalidad)'!$F$14:$F$90)</f>
        <v>0</v>
      </c>
      <c r="AS51" s="46" t="str">
        <f>IF(AR51&gt;0, IF(SUMIF('Acuario (Arribado - mortalidad)'!$B$14:$B$90,'ORDEN DE CUARENTENA'!B51,'Acuario (Arribado - mortalidad)'!$K$14:$K$90)=0, "0", SUMIF('Acuario (Arribado - mortalidad)'!$B$14:$B$90,'ORDEN DE CUARENTENA'!B51,'Acuario (Arribado - mortalidad)'!$K$14:$K$90)),"")</f>
        <v/>
      </c>
      <c r="AT51" s="46">
        <f>IF(AR51 = AS51,"0", SUMIF('Acuario (Arribado - mortalidad)'!$B$14:$B$90,'ORDEN DE CUARENTENA'!B51,'Acuario (Arribado - mortalidad)'!$G$14:$G$90))</f>
        <v>0</v>
      </c>
      <c r="AU51" s="48" t="str">
        <f>IFERROR(Item[[#This Row],[mortalidad acumulada]]/Item[[#This Row],[cantidad arribada]],"")</f>
        <v/>
      </c>
      <c r="AV51" s="46">
        <f>IF(ISTEXT(R51),IF(Item[[#This Row],[cantidad arribada]]=0,"No llega",Item[[#This Row],[cantidad arribada]]),)</f>
        <v>0</v>
      </c>
      <c r="AW51" s="46" t="str">
        <f>IFERROR(VLOOKUP(B51,'Tratamientos-Eventos'!$B$9:$S$20,19,FALSE),"")</f>
        <v/>
      </c>
      <c r="AX51" s="46">
        <f>SUMIF('Acuario (Arribado - mortalidad)'!$B$14:$B$90,'ORDEN DE CUARENTENA'!B51,'Acuario (Arribado - mortalidad)'!$O$14:$O$90)</f>
        <v>0</v>
      </c>
      <c r="AY51" s="46">
        <f>SUMIF('Acuario (Arribado - mortalidad)'!$B$14:$B$90,'ORDEN DE CUARENTENA'!B51,'Acuario (Arribado - mortalidad)'!$BG$14:$BG$90)</f>
        <v>0</v>
      </c>
      <c r="AZ51" s="46">
        <f>SUMIF('Acuario (Arribado - mortalidad)'!$B$14:$B$90,'ORDEN DE CUARENTENA'!B51,'Acuario (Arribado - mortalidad)'!$BH$14:$BH$90)</f>
        <v>0</v>
      </c>
      <c r="BA51" s="46" t="str">
        <f>IFERROR(Item[[#This Row],[Mortalidad dia 1]]/Item[[#This Row],[cantidad arribada]],"")</f>
        <v/>
      </c>
      <c r="BB51" s="46" t="str">
        <f>IFERROR(Item[[#This Row],[Mortalidad 2 a 8  (Sem 1)]]/Item[[#This Row],[cantidad arribada]],"")</f>
        <v/>
      </c>
      <c r="BC51" s="46" t="str">
        <f>IFERROR(Item[[#This Row],[Mortalidad 9 a 15 (Sem 2)]]/Item[[#This Row],[cantidad arribada]],"")</f>
        <v/>
      </c>
      <c r="BD51" s="46"/>
      <c r="BE51" s="219">
        <f>SUMIF('Acuario (Arribado - mortalidad)'!$B$14:$B$90,'ORDEN DE CUARENTENA'!B51,'Acuario (Arribado - mortalidad)'!$F$14:$F$90)</f>
        <v>0</v>
      </c>
      <c r="BF51" s="219">
        <f>SUMIF('Acuario (Arribado - mortalidad)'!$B$14:$B$90,'ORDEN DE CUARENTENA'!B51,'Acuario (Arribado - mortalidad)'!$K$14:$K$90)</f>
        <v>0</v>
      </c>
      <c r="BG51" s="219">
        <f>SUMIF('Acuario (Arribado - mortalidad)'!$B$14:$B$90,'ORDEN DE CUARENTENA'!B51,'Acuario (Arribado - mortalidad)'!$G$14:$G$90)</f>
        <v>0</v>
      </c>
      <c r="BH51" s="219">
        <f>SUMIF('Acuario (Arribado - mortalidad)'!$B$14:$B$90,'ORDEN DE CUARENTENA'!B51,'Acuario (Arribado - mortalidad)'!$O$14:$O$90)</f>
        <v>0</v>
      </c>
      <c r="BI51" s="219">
        <f>SUMIF('Acuario (Arribado - mortalidad)'!$B$14:$B$90,'ORDEN DE CUARENTENA'!B51,'Acuario (Arribado - mortalidad)'!$BG$14:$BG$90)</f>
        <v>0</v>
      </c>
      <c r="BJ51" s="219">
        <f>SUMIF('Acuario (Arribado - mortalidad)'!$B$14:$B$90,'ORDEN DE CUARENTENA'!B51,'Acuario (Arribado - mortalidad)'!$BH$14:$BH$90)</f>
        <v>0</v>
      </c>
      <c r="BK51" s="46"/>
      <c r="BL51" s="264"/>
      <c r="BN51" s="7" t="s">
        <v>73</v>
      </c>
      <c r="BO51" s="7" t="s">
        <v>596</v>
      </c>
      <c r="BV51" s="7" t="s">
        <v>9028</v>
      </c>
      <c r="BX51" s="7" t="s">
        <v>9332</v>
      </c>
      <c r="BY51" s="7" t="s">
        <v>797</v>
      </c>
      <c r="BZ51" s="7" t="s">
        <v>8836</v>
      </c>
      <c r="CB51" t="s">
        <v>9213</v>
      </c>
      <c r="CC51" t="s">
        <v>10252</v>
      </c>
    </row>
    <row r="52" spans="1:81" x14ac:dyDescent="0.25">
      <c r="A52" s="50"/>
      <c r="B52" s="5">
        <v>39</v>
      </c>
      <c r="C52" s="422"/>
      <c r="D52" s="423"/>
      <c r="E52" s="423"/>
      <c r="F52" s="423"/>
      <c r="G52" s="423"/>
      <c r="H52" s="423"/>
      <c r="I52" s="424"/>
      <c r="J52" s="380"/>
      <c r="K52" s="380"/>
      <c r="L52" s="380"/>
      <c r="M52" s="380"/>
      <c r="N52" s="425" t="e">
        <f>INDEX(AMBIENTE!D$2:D$756,MATCH(R52,AMBIENTE!C$2:C$756,0))</f>
        <v>#N/A</v>
      </c>
      <c r="O52" s="426"/>
      <c r="P52" s="426"/>
      <c r="Q52" s="427"/>
      <c r="R52" s="428"/>
      <c r="S52" s="429"/>
      <c r="T52" s="429"/>
      <c r="U52" s="429"/>
      <c r="V52" s="429"/>
      <c r="W52" s="429"/>
      <c r="X52" s="430"/>
      <c r="Y52" s="374"/>
      <c r="Z52" s="375"/>
      <c r="AA52" s="375"/>
      <c r="AB52" s="375"/>
      <c r="AC52" s="376"/>
      <c r="AD52" s="357"/>
      <c r="AE52" s="358"/>
      <c r="AF52" s="359"/>
      <c r="AG52" s="372" t="str">
        <f>IFERROR(VLOOKUP(Item[[#This Row],[Concatenado]],CITES[],2,FALSE),"")</f>
        <v/>
      </c>
      <c r="AH52" s="373"/>
      <c r="AI52" s="372" t="str">
        <f>IFERROR(VLOOKUP(Item[[#This Row],[Concatenado]],SuscepEARs[],2,FALSE),"")</f>
        <v/>
      </c>
      <c r="AJ52" s="373"/>
      <c r="AL52" s="43"/>
      <c r="AM52" s="46">
        <v>39</v>
      </c>
      <c r="AN52" s="46" t="str">
        <f t="shared" si="3"/>
        <v xml:space="preserve"> </v>
      </c>
      <c r="AO52" s="46">
        <f t="shared" si="0"/>
        <v>0</v>
      </c>
      <c r="AP52" s="46">
        <f t="shared" si="1"/>
        <v>0</v>
      </c>
      <c r="AQ52" s="46" t="str">
        <f t="shared" si="2"/>
        <v/>
      </c>
      <c r="AR52" s="46">
        <f>SUMIF('Acuario (Arribado - mortalidad)'!$B$14:$B$90,'ORDEN DE CUARENTENA'!B52,'Acuario (Arribado - mortalidad)'!$F$14:$F$90)</f>
        <v>0</v>
      </c>
      <c r="AS52" s="46" t="str">
        <f>IF(AR52&gt;0, IF(SUMIF('Acuario (Arribado - mortalidad)'!$B$14:$B$90,'ORDEN DE CUARENTENA'!B52,'Acuario (Arribado - mortalidad)'!$K$14:$K$90)=0, "0", SUMIF('Acuario (Arribado - mortalidad)'!$B$14:$B$90,'ORDEN DE CUARENTENA'!B52,'Acuario (Arribado - mortalidad)'!$K$14:$K$90)),"")</f>
        <v/>
      </c>
      <c r="AT52" s="46">
        <f>IF(AR52 = AS52,"0", SUMIF('Acuario (Arribado - mortalidad)'!$B$14:$B$90,'ORDEN DE CUARENTENA'!B52,'Acuario (Arribado - mortalidad)'!$G$14:$G$90))</f>
        <v>0</v>
      </c>
      <c r="AU52" s="48" t="str">
        <f>IFERROR(Item[[#This Row],[mortalidad acumulada]]/Item[[#This Row],[cantidad arribada]],"")</f>
        <v/>
      </c>
      <c r="AV52" s="46">
        <f>IF(ISTEXT(R52),IF(Item[[#This Row],[cantidad arribada]]=0,"No llega",Item[[#This Row],[cantidad arribada]]),)</f>
        <v>0</v>
      </c>
      <c r="AW52" s="46" t="str">
        <f>IFERROR(VLOOKUP(B52,'Tratamientos-Eventos'!$B$9:$S$20,19,FALSE),"")</f>
        <v/>
      </c>
      <c r="AX52" s="46">
        <f>SUMIF('Acuario (Arribado - mortalidad)'!$B$14:$B$90,'ORDEN DE CUARENTENA'!B52,'Acuario (Arribado - mortalidad)'!$O$14:$O$90)</f>
        <v>0</v>
      </c>
      <c r="AY52" s="46">
        <f>SUMIF('Acuario (Arribado - mortalidad)'!$B$14:$B$90,'ORDEN DE CUARENTENA'!B52,'Acuario (Arribado - mortalidad)'!$BG$14:$BG$90)</f>
        <v>0</v>
      </c>
      <c r="AZ52" s="46">
        <f>SUMIF('Acuario (Arribado - mortalidad)'!$B$14:$B$90,'ORDEN DE CUARENTENA'!B52,'Acuario (Arribado - mortalidad)'!$BH$14:$BH$90)</f>
        <v>0</v>
      </c>
      <c r="BA52" s="46" t="str">
        <f>IFERROR(Item[[#This Row],[Mortalidad dia 1]]/Item[[#This Row],[cantidad arribada]],"")</f>
        <v/>
      </c>
      <c r="BB52" s="46" t="str">
        <f>IFERROR(Item[[#This Row],[Mortalidad 2 a 8  (Sem 1)]]/Item[[#This Row],[cantidad arribada]],"")</f>
        <v/>
      </c>
      <c r="BC52" s="46" t="str">
        <f>IFERROR(Item[[#This Row],[Mortalidad 9 a 15 (Sem 2)]]/Item[[#This Row],[cantidad arribada]],"")</f>
        <v/>
      </c>
      <c r="BD52" s="46"/>
      <c r="BE52" s="219">
        <f>SUMIF('Acuario (Arribado - mortalidad)'!$B$14:$B$90,'ORDEN DE CUARENTENA'!B52,'Acuario (Arribado - mortalidad)'!$F$14:$F$90)</f>
        <v>0</v>
      </c>
      <c r="BF52" s="219">
        <f>SUMIF('Acuario (Arribado - mortalidad)'!$B$14:$B$90,'ORDEN DE CUARENTENA'!B52,'Acuario (Arribado - mortalidad)'!$K$14:$K$90)</f>
        <v>0</v>
      </c>
      <c r="BG52" s="219">
        <f>SUMIF('Acuario (Arribado - mortalidad)'!$B$14:$B$90,'ORDEN DE CUARENTENA'!B52,'Acuario (Arribado - mortalidad)'!$G$14:$G$90)</f>
        <v>0</v>
      </c>
      <c r="BH52" s="219">
        <f>SUMIF('Acuario (Arribado - mortalidad)'!$B$14:$B$90,'ORDEN DE CUARENTENA'!B52,'Acuario (Arribado - mortalidad)'!$O$14:$O$90)</f>
        <v>0</v>
      </c>
      <c r="BI52" s="219">
        <f>SUMIF('Acuario (Arribado - mortalidad)'!$B$14:$B$90,'ORDEN DE CUARENTENA'!B52,'Acuario (Arribado - mortalidad)'!$BG$14:$BG$90)</f>
        <v>0</v>
      </c>
      <c r="BJ52" s="219">
        <f>SUMIF('Acuario (Arribado - mortalidad)'!$B$14:$B$90,'ORDEN DE CUARENTENA'!B52,'Acuario (Arribado - mortalidad)'!$BH$14:$BH$90)</f>
        <v>0</v>
      </c>
      <c r="BK52" s="46"/>
      <c r="BL52" s="264"/>
      <c r="BN52" s="7" t="s">
        <v>74</v>
      </c>
      <c r="BO52" s="7" t="s">
        <v>597</v>
      </c>
      <c r="BV52" s="7" t="s">
        <v>713</v>
      </c>
      <c r="BX52" s="7" t="s">
        <v>9333</v>
      </c>
      <c r="BY52" s="7" t="s">
        <v>797</v>
      </c>
      <c r="BZ52" s="7" t="s">
        <v>8836</v>
      </c>
      <c r="CB52" t="s">
        <v>9214</v>
      </c>
      <c r="CC52" t="s">
        <v>10252</v>
      </c>
    </row>
    <row r="53" spans="1:81" x14ac:dyDescent="0.25">
      <c r="A53" s="50"/>
      <c r="B53" s="5">
        <v>40</v>
      </c>
      <c r="C53" s="422"/>
      <c r="D53" s="423"/>
      <c r="E53" s="423"/>
      <c r="F53" s="423"/>
      <c r="G53" s="423"/>
      <c r="H53" s="423"/>
      <c r="I53" s="424"/>
      <c r="J53" s="380"/>
      <c r="K53" s="380"/>
      <c r="L53" s="380"/>
      <c r="M53" s="380"/>
      <c r="N53" s="425" t="e">
        <f>INDEX(AMBIENTE!D$2:D$756,MATCH(R53,AMBIENTE!C$2:C$756,0))</f>
        <v>#N/A</v>
      </c>
      <c r="O53" s="426"/>
      <c r="P53" s="426"/>
      <c r="Q53" s="427"/>
      <c r="R53" s="428"/>
      <c r="S53" s="429"/>
      <c r="T53" s="429"/>
      <c r="U53" s="429"/>
      <c r="V53" s="429"/>
      <c r="W53" s="429"/>
      <c r="X53" s="430"/>
      <c r="Y53" s="374"/>
      <c r="Z53" s="375"/>
      <c r="AA53" s="375"/>
      <c r="AB53" s="375"/>
      <c r="AC53" s="376"/>
      <c r="AD53" s="357"/>
      <c r="AE53" s="358"/>
      <c r="AF53" s="359"/>
      <c r="AG53" s="372" t="str">
        <f>IFERROR(VLOOKUP(Item[[#This Row],[Concatenado]],CITES[],2,FALSE),"")</f>
        <v/>
      </c>
      <c r="AH53" s="373"/>
      <c r="AI53" s="372" t="str">
        <f>IFERROR(VLOOKUP(Item[[#This Row],[Concatenado]],SuscepEARs[],2,FALSE),"")</f>
        <v/>
      </c>
      <c r="AJ53" s="373"/>
      <c r="AL53" s="43"/>
      <c r="AM53" s="46">
        <v>40</v>
      </c>
      <c r="AN53" s="46" t="str">
        <f t="shared" si="3"/>
        <v xml:space="preserve"> </v>
      </c>
      <c r="AO53" s="46">
        <f t="shared" si="0"/>
        <v>0</v>
      </c>
      <c r="AP53" s="46">
        <f t="shared" si="1"/>
        <v>0</v>
      </c>
      <c r="AQ53" s="46" t="str">
        <f t="shared" si="2"/>
        <v/>
      </c>
      <c r="AR53" s="46">
        <f>SUMIF('Acuario (Arribado - mortalidad)'!$B$14:$B$90,'ORDEN DE CUARENTENA'!B53,'Acuario (Arribado - mortalidad)'!$F$14:$F$90)</f>
        <v>0</v>
      </c>
      <c r="AS53" s="46" t="str">
        <f>IF(AR53&gt;0, IF(SUMIF('Acuario (Arribado - mortalidad)'!$B$14:$B$90,'ORDEN DE CUARENTENA'!B53,'Acuario (Arribado - mortalidad)'!$K$14:$K$90)=0, "0", SUMIF('Acuario (Arribado - mortalidad)'!$B$14:$B$90,'ORDEN DE CUARENTENA'!B53,'Acuario (Arribado - mortalidad)'!$K$14:$K$90)),"")</f>
        <v/>
      </c>
      <c r="AT53" s="46">
        <f>IF(AR53 = AS53,"0", SUMIF('Acuario (Arribado - mortalidad)'!$B$14:$B$90,'ORDEN DE CUARENTENA'!B53,'Acuario (Arribado - mortalidad)'!$G$14:$G$90))</f>
        <v>0</v>
      </c>
      <c r="AU53" s="48" t="str">
        <f>IFERROR(Item[[#This Row],[mortalidad acumulada]]/Item[[#This Row],[cantidad arribada]],"")</f>
        <v/>
      </c>
      <c r="AV53" s="46">
        <f>IF(ISTEXT(R53),IF(Item[[#This Row],[cantidad arribada]]=0,"No llega",Item[[#This Row],[cantidad arribada]]),)</f>
        <v>0</v>
      </c>
      <c r="AW53" s="46" t="str">
        <f>IFERROR(VLOOKUP(B53,'Tratamientos-Eventos'!$B$9:$S$20,19,FALSE),"")</f>
        <v/>
      </c>
      <c r="AX53" s="46">
        <f>SUMIF('Acuario (Arribado - mortalidad)'!$B$14:$B$90,'ORDEN DE CUARENTENA'!B53,'Acuario (Arribado - mortalidad)'!$O$14:$O$90)</f>
        <v>0</v>
      </c>
      <c r="AY53" s="46">
        <f>SUMIF('Acuario (Arribado - mortalidad)'!$B$14:$B$90,'ORDEN DE CUARENTENA'!B53,'Acuario (Arribado - mortalidad)'!$BG$14:$BG$90)</f>
        <v>0</v>
      </c>
      <c r="AZ53" s="46">
        <f>SUMIF('Acuario (Arribado - mortalidad)'!$B$14:$B$90,'ORDEN DE CUARENTENA'!B53,'Acuario (Arribado - mortalidad)'!$BH$14:$BH$90)</f>
        <v>0</v>
      </c>
      <c r="BA53" s="46" t="str">
        <f>IFERROR(Item[[#This Row],[Mortalidad dia 1]]/Item[[#This Row],[cantidad arribada]],"")</f>
        <v/>
      </c>
      <c r="BB53" s="46" t="str">
        <f>IFERROR(Item[[#This Row],[Mortalidad 2 a 8  (Sem 1)]]/Item[[#This Row],[cantidad arribada]],"")</f>
        <v/>
      </c>
      <c r="BC53" s="46" t="str">
        <f>IFERROR(Item[[#This Row],[Mortalidad 9 a 15 (Sem 2)]]/Item[[#This Row],[cantidad arribada]],"")</f>
        <v/>
      </c>
      <c r="BD53" s="46"/>
      <c r="BE53" s="219">
        <f>SUMIF('Acuario (Arribado - mortalidad)'!$B$14:$B$90,'ORDEN DE CUARENTENA'!B53,'Acuario (Arribado - mortalidad)'!$F$14:$F$90)</f>
        <v>0</v>
      </c>
      <c r="BF53" s="219">
        <f>SUMIF('Acuario (Arribado - mortalidad)'!$B$14:$B$90,'ORDEN DE CUARENTENA'!B53,'Acuario (Arribado - mortalidad)'!$K$14:$K$90)</f>
        <v>0</v>
      </c>
      <c r="BG53" s="219">
        <f>SUMIF('Acuario (Arribado - mortalidad)'!$B$14:$B$90,'ORDEN DE CUARENTENA'!B53,'Acuario (Arribado - mortalidad)'!$G$14:$G$90)</f>
        <v>0</v>
      </c>
      <c r="BH53" s="219">
        <f>SUMIF('Acuario (Arribado - mortalidad)'!$B$14:$B$90,'ORDEN DE CUARENTENA'!B53,'Acuario (Arribado - mortalidad)'!$O$14:$O$90)</f>
        <v>0</v>
      </c>
      <c r="BI53" s="219">
        <f>SUMIF('Acuario (Arribado - mortalidad)'!$B$14:$B$90,'ORDEN DE CUARENTENA'!B53,'Acuario (Arribado - mortalidad)'!$BG$14:$BG$90)</f>
        <v>0</v>
      </c>
      <c r="BJ53" s="219">
        <f>SUMIF('Acuario (Arribado - mortalidad)'!$B$14:$B$90,'ORDEN DE CUARENTENA'!B53,'Acuario (Arribado - mortalidad)'!$BH$14:$BH$90)</f>
        <v>0</v>
      </c>
      <c r="BK53" s="46"/>
      <c r="BL53" s="264"/>
      <c r="BN53" s="7" t="s">
        <v>75</v>
      </c>
      <c r="BO53" s="7" t="s">
        <v>598</v>
      </c>
      <c r="BV53" s="7" t="s">
        <v>714</v>
      </c>
      <c r="BX53" s="7" t="s">
        <v>9334</v>
      </c>
      <c r="BY53" s="7" t="s">
        <v>797</v>
      </c>
      <c r="BZ53" s="7" t="s">
        <v>8836</v>
      </c>
      <c r="CB53" t="s">
        <v>9215</v>
      </c>
      <c r="CC53" t="s">
        <v>10252</v>
      </c>
    </row>
    <row r="54" spans="1:81" x14ac:dyDescent="0.25">
      <c r="A54" s="50"/>
      <c r="B54" s="5">
        <v>41</v>
      </c>
      <c r="C54" s="422"/>
      <c r="D54" s="423"/>
      <c r="E54" s="423"/>
      <c r="F54" s="423"/>
      <c r="G54" s="423"/>
      <c r="H54" s="423"/>
      <c r="I54" s="424"/>
      <c r="J54" s="380"/>
      <c r="K54" s="380"/>
      <c r="L54" s="380"/>
      <c r="M54" s="380"/>
      <c r="N54" s="425" t="e">
        <f>INDEX(AMBIENTE!D$2:D$756,MATCH(R54,AMBIENTE!C$2:C$756,0))</f>
        <v>#N/A</v>
      </c>
      <c r="O54" s="426"/>
      <c r="P54" s="426"/>
      <c r="Q54" s="427"/>
      <c r="R54" s="428"/>
      <c r="S54" s="429"/>
      <c r="T54" s="429"/>
      <c r="U54" s="429"/>
      <c r="V54" s="429"/>
      <c r="W54" s="429"/>
      <c r="X54" s="430"/>
      <c r="Y54" s="374"/>
      <c r="Z54" s="375"/>
      <c r="AA54" s="375"/>
      <c r="AB54" s="375"/>
      <c r="AC54" s="376"/>
      <c r="AD54" s="357"/>
      <c r="AE54" s="358"/>
      <c r="AF54" s="359"/>
      <c r="AG54" s="372" t="str">
        <f>IFERROR(VLOOKUP(Item[[#This Row],[Concatenado]],CITES[],2,FALSE),"")</f>
        <v/>
      </c>
      <c r="AH54" s="373"/>
      <c r="AI54" s="372" t="str">
        <f>IFERROR(VLOOKUP(Item[[#This Row],[Concatenado]],SuscepEARs[],2,FALSE),"")</f>
        <v/>
      </c>
      <c r="AJ54" s="373"/>
      <c r="AK54" s="50"/>
      <c r="AL54" s="43"/>
      <c r="AM54" s="46">
        <v>41</v>
      </c>
      <c r="AN54" s="46" t="str">
        <f t="shared" si="3"/>
        <v xml:space="preserve"> </v>
      </c>
      <c r="AO54" s="46">
        <f t="shared" si="0"/>
        <v>0</v>
      </c>
      <c r="AP54" s="46">
        <f t="shared" si="1"/>
        <v>0</v>
      </c>
      <c r="AQ54" s="46" t="str">
        <f t="shared" si="2"/>
        <v/>
      </c>
      <c r="AR54" s="46">
        <f>SUMIF('Acuario (Arribado - mortalidad)'!$B$14:$B$90,'ORDEN DE CUARENTENA'!B54,'Acuario (Arribado - mortalidad)'!$F$14:$F$90)</f>
        <v>0</v>
      </c>
      <c r="AS54" s="46" t="str">
        <f>IF(AR54&gt;0, IF(SUMIF('Acuario (Arribado - mortalidad)'!$B$14:$B$90,'ORDEN DE CUARENTENA'!B54,'Acuario (Arribado - mortalidad)'!$K$14:$K$90)=0, "0", SUMIF('Acuario (Arribado - mortalidad)'!$B$14:$B$90,'ORDEN DE CUARENTENA'!B54,'Acuario (Arribado - mortalidad)'!$K$14:$K$90)),"")</f>
        <v/>
      </c>
      <c r="AT54" s="46">
        <f>IF(AR54 = AS54,"0", SUMIF('Acuario (Arribado - mortalidad)'!$B$14:$B$90,'ORDEN DE CUARENTENA'!B54,'Acuario (Arribado - mortalidad)'!$G$14:$G$90))</f>
        <v>0</v>
      </c>
      <c r="AU54" s="48" t="str">
        <f>IFERROR(Item[[#This Row],[mortalidad acumulada]]/Item[[#This Row],[cantidad arribada]],"")</f>
        <v/>
      </c>
      <c r="AV54" s="46">
        <f>IF(ISTEXT(R54),IF(Item[[#This Row],[cantidad arribada]]=0,"No llega",Item[[#This Row],[cantidad arribada]]),)</f>
        <v>0</v>
      </c>
      <c r="AW54" s="46" t="str">
        <f>IFERROR(VLOOKUP(B54,'Tratamientos-Eventos'!$B$9:$S$20,19,FALSE),"")</f>
        <v/>
      </c>
      <c r="AX54" s="46">
        <f>SUMIF('Acuario (Arribado - mortalidad)'!$B$14:$B$90,'ORDEN DE CUARENTENA'!B54,'Acuario (Arribado - mortalidad)'!$O$14:$O$90)</f>
        <v>0</v>
      </c>
      <c r="AY54" s="46">
        <f>SUMIF('Acuario (Arribado - mortalidad)'!$B$14:$B$90,'ORDEN DE CUARENTENA'!B54,'Acuario (Arribado - mortalidad)'!$BG$14:$BG$90)</f>
        <v>0</v>
      </c>
      <c r="AZ54" s="46">
        <f>SUMIF('Acuario (Arribado - mortalidad)'!$B$14:$B$90,'ORDEN DE CUARENTENA'!B54,'Acuario (Arribado - mortalidad)'!$BH$14:$BH$90)</f>
        <v>0</v>
      </c>
      <c r="BA54" s="46" t="str">
        <f>IFERROR(Item[[#This Row],[Mortalidad dia 1]]/Item[[#This Row],[cantidad arribada]],"")</f>
        <v/>
      </c>
      <c r="BB54" s="46" t="str">
        <f>IFERROR(Item[[#This Row],[Mortalidad 2 a 8  (Sem 1)]]/Item[[#This Row],[cantidad arribada]],"")</f>
        <v/>
      </c>
      <c r="BC54" s="46" t="str">
        <f>IFERROR(Item[[#This Row],[Mortalidad 9 a 15 (Sem 2)]]/Item[[#This Row],[cantidad arribada]],"")</f>
        <v/>
      </c>
      <c r="BD54" s="46"/>
      <c r="BE54" s="219">
        <f>SUMIF('Acuario (Arribado - mortalidad)'!$B$14:$B$90,'ORDEN DE CUARENTENA'!B54,'Acuario (Arribado - mortalidad)'!$F$14:$F$90)</f>
        <v>0</v>
      </c>
      <c r="BF54" s="219">
        <f>SUMIF('Acuario (Arribado - mortalidad)'!$B$14:$B$90,'ORDEN DE CUARENTENA'!B54,'Acuario (Arribado - mortalidad)'!$K$14:$K$90)</f>
        <v>0</v>
      </c>
      <c r="BG54" s="219">
        <f>SUMIF('Acuario (Arribado - mortalidad)'!$B$14:$B$90,'ORDEN DE CUARENTENA'!B54,'Acuario (Arribado - mortalidad)'!$G$14:$G$90)</f>
        <v>0</v>
      </c>
      <c r="BH54" s="219">
        <f>SUMIF('Acuario (Arribado - mortalidad)'!$B$14:$B$90,'ORDEN DE CUARENTENA'!B54,'Acuario (Arribado - mortalidad)'!$O$14:$O$90)</f>
        <v>0</v>
      </c>
      <c r="BI54" s="219">
        <f>SUMIF('Acuario (Arribado - mortalidad)'!$B$14:$B$90,'ORDEN DE CUARENTENA'!B54,'Acuario (Arribado - mortalidad)'!$BG$14:$BG$90)</f>
        <v>0</v>
      </c>
      <c r="BJ54" s="219">
        <f>SUMIF('Acuario (Arribado - mortalidad)'!$B$14:$B$90,'ORDEN DE CUARENTENA'!B54,'Acuario (Arribado - mortalidad)'!$BH$14:$BH$90)</f>
        <v>0</v>
      </c>
      <c r="BK54" s="46"/>
      <c r="BL54" s="264"/>
      <c r="BN54" s="7" t="s">
        <v>76</v>
      </c>
      <c r="BO54" s="7" t="s">
        <v>599</v>
      </c>
      <c r="BV54" s="7" t="s">
        <v>715</v>
      </c>
      <c r="BX54" s="7" t="s">
        <v>9335</v>
      </c>
      <c r="BY54" s="7" t="s">
        <v>797</v>
      </c>
      <c r="BZ54" s="7" t="s">
        <v>8836</v>
      </c>
      <c r="CB54" t="s">
        <v>9216</v>
      </c>
      <c r="CC54" t="s">
        <v>10252</v>
      </c>
    </row>
    <row r="55" spans="1:81" x14ac:dyDescent="0.25">
      <c r="A55" s="50"/>
      <c r="B55" s="5">
        <v>42</v>
      </c>
      <c r="C55" s="422"/>
      <c r="D55" s="423"/>
      <c r="E55" s="423"/>
      <c r="F55" s="423"/>
      <c r="G55" s="423"/>
      <c r="H55" s="423"/>
      <c r="I55" s="424"/>
      <c r="J55" s="380"/>
      <c r="K55" s="380"/>
      <c r="L55" s="380"/>
      <c r="M55" s="380"/>
      <c r="N55" s="425" t="e">
        <f>INDEX(AMBIENTE!D$2:D$756,MATCH(R55,AMBIENTE!C$2:C$756,0))</f>
        <v>#N/A</v>
      </c>
      <c r="O55" s="426"/>
      <c r="P55" s="426"/>
      <c r="Q55" s="427"/>
      <c r="R55" s="428"/>
      <c r="S55" s="429"/>
      <c r="T55" s="429"/>
      <c r="U55" s="429"/>
      <c r="V55" s="429"/>
      <c r="W55" s="429"/>
      <c r="X55" s="430"/>
      <c r="Y55" s="374"/>
      <c r="Z55" s="375"/>
      <c r="AA55" s="375"/>
      <c r="AB55" s="375"/>
      <c r="AC55" s="376"/>
      <c r="AD55" s="357"/>
      <c r="AE55" s="358"/>
      <c r="AF55" s="359"/>
      <c r="AG55" s="372" t="str">
        <f>IFERROR(VLOOKUP(Item[[#This Row],[Concatenado]],CITES[],2,FALSE),"")</f>
        <v/>
      </c>
      <c r="AH55" s="373"/>
      <c r="AI55" s="372" t="str">
        <f>IFERROR(VLOOKUP(Item[[#This Row],[Concatenado]],SuscepEARs[],2,FALSE),"")</f>
        <v/>
      </c>
      <c r="AJ55" s="373"/>
      <c r="AK55" s="50"/>
      <c r="AL55" s="43"/>
      <c r="AM55" s="46">
        <v>42</v>
      </c>
      <c r="AN55" s="46" t="str">
        <f t="shared" si="3"/>
        <v xml:space="preserve"> </v>
      </c>
      <c r="AO55" s="46">
        <f t="shared" si="0"/>
        <v>0</v>
      </c>
      <c r="AP55" s="46">
        <f t="shared" si="1"/>
        <v>0</v>
      </c>
      <c r="AQ55" s="46" t="str">
        <f t="shared" si="2"/>
        <v/>
      </c>
      <c r="AR55" s="46">
        <f>SUMIF('Acuario (Arribado - mortalidad)'!$B$14:$B$90,'ORDEN DE CUARENTENA'!B55,'Acuario (Arribado - mortalidad)'!$F$14:$F$90)</f>
        <v>0</v>
      </c>
      <c r="AS55" s="46" t="str">
        <f>IF(AR55&gt;0, IF(SUMIF('Acuario (Arribado - mortalidad)'!$B$14:$B$90,'ORDEN DE CUARENTENA'!B55,'Acuario (Arribado - mortalidad)'!$K$14:$K$90)=0, "0", SUMIF('Acuario (Arribado - mortalidad)'!$B$14:$B$90,'ORDEN DE CUARENTENA'!B55,'Acuario (Arribado - mortalidad)'!$K$14:$K$90)),"")</f>
        <v/>
      </c>
      <c r="AT55" s="46">
        <f>IF(AR55 = AS55,"0", SUMIF('Acuario (Arribado - mortalidad)'!$B$14:$B$90,'ORDEN DE CUARENTENA'!B55,'Acuario (Arribado - mortalidad)'!$G$14:$G$90))</f>
        <v>0</v>
      </c>
      <c r="AU55" s="48" t="str">
        <f>IFERROR(Item[[#This Row],[mortalidad acumulada]]/Item[[#This Row],[cantidad arribada]],"")</f>
        <v/>
      </c>
      <c r="AV55" s="46">
        <f>IF(ISTEXT(R55),IF(Item[[#This Row],[cantidad arribada]]=0,"No llega",Item[[#This Row],[cantidad arribada]]),)</f>
        <v>0</v>
      </c>
      <c r="AW55" s="46" t="str">
        <f>IFERROR(VLOOKUP(B55,'Tratamientos-Eventos'!$B$9:$S$20,19,FALSE),"")</f>
        <v/>
      </c>
      <c r="AX55" s="46">
        <f>SUMIF('Acuario (Arribado - mortalidad)'!$B$14:$B$90,'ORDEN DE CUARENTENA'!B55,'Acuario (Arribado - mortalidad)'!$O$14:$O$90)</f>
        <v>0</v>
      </c>
      <c r="AY55" s="46">
        <f>SUMIF('Acuario (Arribado - mortalidad)'!$B$14:$B$90,'ORDEN DE CUARENTENA'!B55,'Acuario (Arribado - mortalidad)'!$BG$14:$BG$90)</f>
        <v>0</v>
      </c>
      <c r="AZ55" s="46">
        <f>SUMIF('Acuario (Arribado - mortalidad)'!$B$14:$B$90,'ORDEN DE CUARENTENA'!B55,'Acuario (Arribado - mortalidad)'!$BH$14:$BH$90)</f>
        <v>0</v>
      </c>
      <c r="BA55" s="46" t="str">
        <f>IFERROR(Item[[#This Row],[Mortalidad dia 1]]/Item[[#This Row],[cantidad arribada]],"")</f>
        <v/>
      </c>
      <c r="BB55" s="46" t="str">
        <f>IFERROR(Item[[#This Row],[Mortalidad 2 a 8  (Sem 1)]]/Item[[#This Row],[cantidad arribada]],"")</f>
        <v/>
      </c>
      <c r="BC55" s="46" t="str">
        <f>IFERROR(Item[[#This Row],[Mortalidad 9 a 15 (Sem 2)]]/Item[[#This Row],[cantidad arribada]],"")</f>
        <v/>
      </c>
      <c r="BD55" s="46"/>
      <c r="BE55" s="219">
        <f>SUMIF('Acuario (Arribado - mortalidad)'!$B$14:$B$90,'ORDEN DE CUARENTENA'!B55,'Acuario (Arribado - mortalidad)'!$F$14:$F$90)</f>
        <v>0</v>
      </c>
      <c r="BF55" s="219">
        <f>SUMIF('Acuario (Arribado - mortalidad)'!$B$14:$B$90,'ORDEN DE CUARENTENA'!B55,'Acuario (Arribado - mortalidad)'!$K$14:$K$90)</f>
        <v>0</v>
      </c>
      <c r="BG55" s="219">
        <f>SUMIF('Acuario (Arribado - mortalidad)'!$B$14:$B$90,'ORDEN DE CUARENTENA'!B55,'Acuario (Arribado - mortalidad)'!$G$14:$G$90)</f>
        <v>0</v>
      </c>
      <c r="BH55" s="219">
        <f>SUMIF('Acuario (Arribado - mortalidad)'!$B$14:$B$90,'ORDEN DE CUARENTENA'!B55,'Acuario (Arribado - mortalidad)'!$O$14:$O$90)</f>
        <v>0</v>
      </c>
      <c r="BI55" s="219">
        <f>SUMIF('Acuario (Arribado - mortalidad)'!$B$14:$B$90,'ORDEN DE CUARENTENA'!B55,'Acuario (Arribado - mortalidad)'!$BG$14:$BG$90)</f>
        <v>0</v>
      </c>
      <c r="BJ55" s="219">
        <f>SUMIF('Acuario (Arribado - mortalidad)'!$B$14:$B$90,'ORDEN DE CUARENTENA'!B55,'Acuario (Arribado - mortalidad)'!$BH$14:$BH$90)</f>
        <v>0</v>
      </c>
      <c r="BK55" s="46"/>
      <c r="BL55" s="264"/>
      <c r="BN55" s="7" t="s">
        <v>77</v>
      </c>
      <c r="BO55" s="7" t="s">
        <v>600</v>
      </c>
      <c r="BV55" s="7" t="s">
        <v>716</v>
      </c>
      <c r="BX55" s="7" t="s">
        <v>9336</v>
      </c>
      <c r="BY55" s="7" t="s">
        <v>797</v>
      </c>
      <c r="BZ55" s="7" t="s">
        <v>8836</v>
      </c>
      <c r="CB55" t="s">
        <v>9217</v>
      </c>
      <c r="CC55" t="s">
        <v>10252</v>
      </c>
    </row>
    <row r="56" spans="1:81" x14ac:dyDescent="0.25">
      <c r="A56" s="50"/>
      <c r="B56" s="5">
        <v>43</v>
      </c>
      <c r="C56" s="422"/>
      <c r="D56" s="423"/>
      <c r="E56" s="423"/>
      <c r="F56" s="423"/>
      <c r="G56" s="423"/>
      <c r="H56" s="423"/>
      <c r="I56" s="424"/>
      <c r="J56" s="380"/>
      <c r="K56" s="380"/>
      <c r="L56" s="380"/>
      <c r="M56" s="380"/>
      <c r="N56" s="425" t="e">
        <f>INDEX(AMBIENTE!D$2:D$756,MATCH(R56,AMBIENTE!C$2:C$756,0))</f>
        <v>#N/A</v>
      </c>
      <c r="O56" s="426"/>
      <c r="P56" s="426"/>
      <c r="Q56" s="427"/>
      <c r="R56" s="428"/>
      <c r="S56" s="429"/>
      <c r="T56" s="429"/>
      <c r="U56" s="429"/>
      <c r="V56" s="429"/>
      <c r="W56" s="429"/>
      <c r="X56" s="430"/>
      <c r="Y56" s="374"/>
      <c r="Z56" s="375"/>
      <c r="AA56" s="375"/>
      <c r="AB56" s="375"/>
      <c r="AC56" s="376"/>
      <c r="AD56" s="357"/>
      <c r="AE56" s="358"/>
      <c r="AF56" s="359"/>
      <c r="AG56" s="372" t="str">
        <f>IFERROR(VLOOKUP(Item[[#This Row],[Concatenado]],CITES[],2,FALSE),"")</f>
        <v/>
      </c>
      <c r="AH56" s="373"/>
      <c r="AI56" s="372" t="str">
        <f>IFERROR(VLOOKUP(Item[[#This Row],[Concatenado]],SuscepEARs[],2,FALSE),"")</f>
        <v/>
      </c>
      <c r="AJ56" s="373"/>
      <c r="AK56" s="50"/>
      <c r="AL56" s="43"/>
      <c r="AM56" s="46">
        <v>43</v>
      </c>
      <c r="AN56" s="46" t="str">
        <f t="shared" si="3"/>
        <v xml:space="preserve"> </v>
      </c>
      <c r="AO56" s="46">
        <f t="shared" si="0"/>
        <v>0</v>
      </c>
      <c r="AP56" s="46">
        <f t="shared" si="1"/>
        <v>0</v>
      </c>
      <c r="AQ56" s="46" t="str">
        <f t="shared" si="2"/>
        <v/>
      </c>
      <c r="AR56" s="46">
        <f>SUMIF('Acuario (Arribado - mortalidad)'!$B$14:$B$90,'ORDEN DE CUARENTENA'!B56,'Acuario (Arribado - mortalidad)'!$F$14:$F$90)</f>
        <v>0</v>
      </c>
      <c r="AS56" s="46" t="str">
        <f>IF(AR56&gt;0, IF(SUMIF('Acuario (Arribado - mortalidad)'!$B$14:$B$90,'ORDEN DE CUARENTENA'!B56,'Acuario (Arribado - mortalidad)'!$K$14:$K$90)=0, "0", SUMIF('Acuario (Arribado - mortalidad)'!$B$14:$B$90,'ORDEN DE CUARENTENA'!B56,'Acuario (Arribado - mortalidad)'!$K$14:$K$90)),"")</f>
        <v/>
      </c>
      <c r="AT56" s="46">
        <f>IF(AR56 = AS56,"0", SUMIF('Acuario (Arribado - mortalidad)'!$B$14:$B$90,'ORDEN DE CUARENTENA'!B56,'Acuario (Arribado - mortalidad)'!$G$14:$G$90))</f>
        <v>0</v>
      </c>
      <c r="AU56" s="48" t="str">
        <f>IFERROR(Item[[#This Row],[mortalidad acumulada]]/Item[[#This Row],[cantidad arribada]],"")</f>
        <v/>
      </c>
      <c r="AV56" s="46">
        <f>IF(ISTEXT(R56),IF(Item[[#This Row],[cantidad arribada]]=0,"No llega",Item[[#This Row],[cantidad arribada]]),)</f>
        <v>0</v>
      </c>
      <c r="AW56" s="46" t="str">
        <f>IFERROR(VLOOKUP(B56,'Tratamientos-Eventos'!$B$9:$S$20,19,FALSE),"")</f>
        <v/>
      </c>
      <c r="AX56" s="46">
        <f>SUMIF('Acuario (Arribado - mortalidad)'!$B$14:$B$90,'ORDEN DE CUARENTENA'!B56,'Acuario (Arribado - mortalidad)'!$O$14:$O$90)</f>
        <v>0</v>
      </c>
      <c r="AY56" s="46">
        <f>SUMIF('Acuario (Arribado - mortalidad)'!$B$14:$B$90,'ORDEN DE CUARENTENA'!B56,'Acuario (Arribado - mortalidad)'!$BG$14:$BG$90)</f>
        <v>0</v>
      </c>
      <c r="AZ56" s="46">
        <f>SUMIF('Acuario (Arribado - mortalidad)'!$B$14:$B$90,'ORDEN DE CUARENTENA'!B56,'Acuario (Arribado - mortalidad)'!$BH$14:$BH$90)</f>
        <v>0</v>
      </c>
      <c r="BA56" s="46" t="str">
        <f>IFERROR(Item[[#This Row],[Mortalidad dia 1]]/Item[[#This Row],[cantidad arribada]],"")</f>
        <v/>
      </c>
      <c r="BB56" s="46" t="str">
        <f>IFERROR(Item[[#This Row],[Mortalidad 2 a 8  (Sem 1)]]/Item[[#This Row],[cantidad arribada]],"")</f>
        <v/>
      </c>
      <c r="BC56" s="46" t="str">
        <f>IFERROR(Item[[#This Row],[Mortalidad 9 a 15 (Sem 2)]]/Item[[#This Row],[cantidad arribada]],"")</f>
        <v/>
      </c>
      <c r="BD56" s="46"/>
      <c r="BE56" s="219">
        <f>SUMIF('Acuario (Arribado - mortalidad)'!$B$14:$B$90,'ORDEN DE CUARENTENA'!B56,'Acuario (Arribado - mortalidad)'!$F$14:$F$90)</f>
        <v>0</v>
      </c>
      <c r="BF56" s="219">
        <f>SUMIF('Acuario (Arribado - mortalidad)'!$B$14:$B$90,'ORDEN DE CUARENTENA'!B56,'Acuario (Arribado - mortalidad)'!$K$14:$K$90)</f>
        <v>0</v>
      </c>
      <c r="BG56" s="219">
        <f>SUMIF('Acuario (Arribado - mortalidad)'!$B$14:$B$90,'ORDEN DE CUARENTENA'!B56,'Acuario (Arribado - mortalidad)'!$G$14:$G$90)</f>
        <v>0</v>
      </c>
      <c r="BH56" s="219">
        <f>SUMIF('Acuario (Arribado - mortalidad)'!$B$14:$B$90,'ORDEN DE CUARENTENA'!B56,'Acuario (Arribado - mortalidad)'!$O$14:$O$90)</f>
        <v>0</v>
      </c>
      <c r="BI56" s="219">
        <f>SUMIF('Acuario (Arribado - mortalidad)'!$B$14:$B$90,'ORDEN DE CUARENTENA'!B56,'Acuario (Arribado - mortalidad)'!$BG$14:$BG$90)</f>
        <v>0</v>
      </c>
      <c r="BJ56" s="219">
        <f>SUMIF('Acuario (Arribado - mortalidad)'!$B$14:$B$90,'ORDEN DE CUARENTENA'!B56,'Acuario (Arribado - mortalidad)'!$BH$14:$BH$90)</f>
        <v>0</v>
      </c>
      <c r="BK56" s="46"/>
      <c r="BL56" s="264"/>
      <c r="BN56" s="7" t="s">
        <v>78</v>
      </c>
      <c r="BO56" s="7" t="s">
        <v>601</v>
      </c>
      <c r="BV56" s="7" t="s">
        <v>717</v>
      </c>
      <c r="BX56" s="7" t="s">
        <v>9337</v>
      </c>
      <c r="BY56" s="7" t="s">
        <v>797</v>
      </c>
      <c r="BZ56" s="7" t="s">
        <v>8836</v>
      </c>
      <c r="CB56" t="s">
        <v>9218</v>
      </c>
      <c r="CC56" t="s">
        <v>10252</v>
      </c>
    </row>
    <row r="57" spans="1:81" x14ac:dyDescent="0.25">
      <c r="A57" s="50"/>
      <c r="B57" s="5">
        <v>44</v>
      </c>
      <c r="C57" s="422"/>
      <c r="D57" s="423"/>
      <c r="E57" s="423"/>
      <c r="F57" s="423"/>
      <c r="G57" s="423"/>
      <c r="H57" s="423"/>
      <c r="I57" s="424"/>
      <c r="J57" s="380"/>
      <c r="K57" s="380"/>
      <c r="L57" s="380"/>
      <c r="M57" s="380"/>
      <c r="N57" s="425" t="e">
        <f>INDEX(AMBIENTE!D$2:D$756,MATCH(R57,AMBIENTE!C$2:C$756,0))</f>
        <v>#N/A</v>
      </c>
      <c r="O57" s="426"/>
      <c r="P57" s="426"/>
      <c r="Q57" s="427"/>
      <c r="R57" s="428"/>
      <c r="S57" s="429"/>
      <c r="T57" s="429"/>
      <c r="U57" s="429"/>
      <c r="V57" s="429"/>
      <c r="W57" s="429"/>
      <c r="X57" s="430"/>
      <c r="Y57" s="374"/>
      <c r="Z57" s="375"/>
      <c r="AA57" s="375"/>
      <c r="AB57" s="375"/>
      <c r="AC57" s="376"/>
      <c r="AD57" s="357"/>
      <c r="AE57" s="358"/>
      <c r="AF57" s="359"/>
      <c r="AG57" s="372" t="str">
        <f>IFERROR(VLOOKUP(Item[[#This Row],[Concatenado]],CITES[],2,FALSE),"")</f>
        <v/>
      </c>
      <c r="AH57" s="373"/>
      <c r="AI57" s="372" t="str">
        <f>IFERROR(VLOOKUP(Item[[#This Row],[Concatenado]],SuscepEARs[],2,FALSE),"")</f>
        <v/>
      </c>
      <c r="AJ57" s="373"/>
      <c r="AK57" s="50"/>
      <c r="AL57" s="43"/>
      <c r="AM57" s="46">
        <v>44</v>
      </c>
      <c r="AN57" s="46" t="str">
        <f t="shared" si="3"/>
        <v xml:space="preserve"> </v>
      </c>
      <c r="AO57" s="46">
        <f t="shared" si="0"/>
        <v>0</v>
      </c>
      <c r="AP57" s="46">
        <f t="shared" si="1"/>
        <v>0</v>
      </c>
      <c r="AQ57" s="46" t="str">
        <f t="shared" si="2"/>
        <v/>
      </c>
      <c r="AR57" s="46">
        <f>SUMIF('Acuario (Arribado - mortalidad)'!$B$14:$B$90,'ORDEN DE CUARENTENA'!B57,'Acuario (Arribado - mortalidad)'!$F$14:$F$90)</f>
        <v>0</v>
      </c>
      <c r="AS57" s="46" t="str">
        <f>IF(AR57&gt;0, IF(SUMIF('Acuario (Arribado - mortalidad)'!$B$14:$B$90,'ORDEN DE CUARENTENA'!B57,'Acuario (Arribado - mortalidad)'!$K$14:$K$90)=0, "0", SUMIF('Acuario (Arribado - mortalidad)'!$B$14:$B$90,'ORDEN DE CUARENTENA'!B57,'Acuario (Arribado - mortalidad)'!$K$14:$K$90)),"")</f>
        <v/>
      </c>
      <c r="AT57" s="46">
        <f>IF(AR57 = AS57,"0", SUMIF('Acuario (Arribado - mortalidad)'!$B$14:$B$90,'ORDEN DE CUARENTENA'!B57,'Acuario (Arribado - mortalidad)'!$G$14:$G$90))</f>
        <v>0</v>
      </c>
      <c r="AU57" s="48" t="str">
        <f>IFERROR(Item[[#This Row],[mortalidad acumulada]]/Item[[#This Row],[cantidad arribada]],"")</f>
        <v/>
      </c>
      <c r="AV57" s="46">
        <f>IF(ISTEXT(R57),IF(Item[[#This Row],[cantidad arribada]]=0,"No llega",Item[[#This Row],[cantidad arribada]]),)</f>
        <v>0</v>
      </c>
      <c r="AW57" s="46" t="str">
        <f>IFERROR(VLOOKUP(B57,'Tratamientos-Eventos'!$B$9:$S$20,19,FALSE),"")</f>
        <v/>
      </c>
      <c r="AX57" s="46">
        <f>SUMIF('Acuario (Arribado - mortalidad)'!$B$14:$B$90,'ORDEN DE CUARENTENA'!B57,'Acuario (Arribado - mortalidad)'!$O$14:$O$90)</f>
        <v>0</v>
      </c>
      <c r="AY57" s="46">
        <f>SUMIF('Acuario (Arribado - mortalidad)'!$B$14:$B$90,'ORDEN DE CUARENTENA'!B57,'Acuario (Arribado - mortalidad)'!$BG$14:$BG$90)</f>
        <v>0</v>
      </c>
      <c r="AZ57" s="46">
        <f>SUMIF('Acuario (Arribado - mortalidad)'!$B$14:$B$90,'ORDEN DE CUARENTENA'!B57,'Acuario (Arribado - mortalidad)'!$BH$14:$BH$90)</f>
        <v>0</v>
      </c>
      <c r="BA57" s="46" t="str">
        <f>IFERROR(Item[[#This Row],[Mortalidad dia 1]]/Item[[#This Row],[cantidad arribada]],"")</f>
        <v/>
      </c>
      <c r="BB57" s="46" t="str">
        <f>IFERROR(Item[[#This Row],[Mortalidad 2 a 8  (Sem 1)]]/Item[[#This Row],[cantidad arribada]],"")</f>
        <v/>
      </c>
      <c r="BC57" s="46" t="str">
        <f>IFERROR(Item[[#This Row],[Mortalidad 9 a 15 (Sem 2)]]/Item[[#This Row],[cantidad arribada]],"")</f>
        <v/>
      </c>
      <c r="BD57" s="46"/>
      <c r="BE57" s="219">
        <f>SUMIF('Acuario (Arribado - mortalidad)'!$B$14:$B$90,'ORDEN DE CUARENTENA'!B57,'Acuario (Arribado - mortalidad)'!$F$14:$F$90)</f>
        <v>0</v>
      </c>
      <c r="BF57" s="219">
        <f>SUMIF('Acuario (Arribado - mortalidad)'!$B$14:$B$90,'ORDEN DE CUARENTENA'!B57,'Acuario (Arribado - mortalidad)'!$K$14:$K$90)</f>
        <v>0</v>
      </c>
      <c r="BG57" s="219">
        <f>SUMIF('Acuario (Arribado - mortalidad)'!$B$14:$B$90,'ORDEN DE CUARENTENA'!B57,'Acuario (Arribado - mortalidad)'!$G$14:$G$90)</f>
        <v>0</v>
      </c>
      <c r="BH57" s="219">
        <f>SUMIF('Acuario (Arribado - mortalidad)'!$B$14:$B$90,'ORDEN DE CUARENTENA'!B57,'Acuario (Arribado - mortalidad)'!$O$14:$O$90)</f>
        <v>0</v>
      </c>
      <c r="BI57" s="219">
        <f>SUMIF('Acuario (Arribado - mortalidad)'!$B$14:$B$90,'ORDEN DE CUARENTENA'!B57,'Acuario (Arribado - mortalidad)'!$BG$14:$BG$90)</f>
        <v>0</v>
      </c>
      <c r="BJ57" s="219">
        <f>SUMIF('Acuario (Arribado - mortalidad)'!$B$14:$B$90,'ORDEN DE CUARENTENA'!B57,'Acuario (Arribado - mortalidad)'!$BH$14:$BH$90)</f>
        <v>0</v>
      </c>
      <c r="BK57" s="46"/>
      <c r="BL57" s="264"/>
      <c r="BN57" s="7" t="s">
        <v>79</v>
      </c>
      <c r="BO57" s="7" t="s">
        <v>602</v>
      </c>
      <c r="BV57" s="7" t="s">
        <v>718</v>
      </c>
      <c r="BX57" s="7" t="s">
        <v>9338</v>
      </c>
      <c r="BY57" s="7" t="s">
        <v>797</v>
      </c>
      <c r="BZ57" s="7" t="s">
        <v>8836</v>
      </c>
      <c r="CB57" t="s">
        <v>9219</v>
      </c>
      <c r="CC57" t="s">
        <v>10252</v>
      </c>
    </row>
    <row r="58" spans="1:81" ht="15.75" thickBot="1" x14ac:dyDescent="0.3">
      <c r="A58" s="50"/>
      <c r="B58" s="16">
        <v>45</v>
      </c>
      <c r="C58" s="475"/>
      <c r="D58" s="476"/>
      <c r="E58" s="476"/>
      <c r="F58" s="476"/>
      <c r="G58" s="476"/>
      <c r="H58" s="476"/>
      <c r="I58" s="477"/>
      <c r="J58" s="478"/>
      <c r="K58" s="478"/>
      <c r="L58" s="478"/>
      <c r="M58" s="478"/>
      <c r="N58" s="479" t="e">
        <f>INDEX(AMBIENTE!D$2:D$756,MATCH(R58,AMBIENTE!C$2:C$756,0))</f>
        <v>#N/A</v>
      </c>
      <c r="O58" s="480"/>
      <c r="P58" s="480"/>
      <c r="Q58" s="481"/>
      <c r="R58" s="482"/>
      <c r="S58" s="483"/>
      <c r="T58" s="483"/>
      <c r="U58" s="483"/>
      <c r="V58" s="483"/>
      <c r="W58" s="483"/>
      <c r="X58" s="484"/>
      <c r="Y58" s="485"/>
      <c r="Z58" s="486"/>
      <c r="AA58" s="486"/>
      <c r="AB58" s="486"/>
      <c r="AC58" s="487"/>
      <c r="AD58" s="360"/>
      <c r="AE58" s="361"/>
      <c r="AF58" s="362"/>
      <c r="AG58" s="372" t="str">
        <f>IFERROR(VLOOKUP(Item[[#This Row],[Concatenado]],CITES[],2,FALSE),"")</f>
        <v/>
      </c>
      <c r="AH58" s="373"/>
      <c r="AI58" s="420" t="str">
        <f>IFERROR(VLOOKUP(Item[[#This Row],[Concatenado]],SuscepEARs[],2,FALSE),"")</f>
        <v/>
      </c>
      <c r="AJ58" s="421"/>
      <c r="AK58" s="50"/>
      <c r="AL58" s="43"/>
      <c r="AM58" s="46">
        <v>45</v>
      </c>
      <c r="AN58" s="46" t="str">
        <f t="shared" si="3"/>
        <v xml:space="preserve"> </v>
      </c>
      <c r="AO58" s="46">
        <f t="shared" si="0"/>
        <v>0</v>
      </c>
      <c r="AP58" s="46">
        <f t="shared" si="1"/>
        <v>0</v>
      </c>
      <c r="AQ58" s="46" t="str">
        <f t="shared" si="2"/>
        <v/>
      </c>
      <c r="AR58" s="46">
        <f>SUMIF('Acuario (Arribado - mortalidad)'!$B$14:$B$90,'ORDEN DE CUARENTENA'!B58,'Acuario (Arribado - mortalidad)'!$F$14:$F$90)</f>
        <v>0</v>
      </c>
      <c r="AS58" s="46" t="str">
        <f>IF(AR58&gt;0, IF(SUMIF('Acuario (Arribado - mortalidad)'!$B$14:$B$90,'ORDEN DE CUARENTENA'!B58,'Acuario (Arribado - mortalidad)'!$K$14:$K$90)=0, "0", SUMIF('Acuario (Arribado - mortalidad)'!$B$14:$B$90,'ORDEN DE CUARENTENA'!B58,'Acuario (Arribado - mortalidad)'!$K$14:$K$90)),"")</f>
        <v/>
      </c>
      <c r="AT58" s="46">
        <f>IF(AR58 = AS58,"0", SUMIF('Acuario (Arribado - mortalidad)'!$B$14:$B$90,'ORDEN DE CUARENTENA'!B58,'Acuario (Arribado - mortalidad)'!$G$14:$G$90))</f>
        <v>0</v>
      </c>
      <c r="AU58" s="48" t="str">
        <f>IFERROR(Item[[#This Row],[mortalidad acumulada]]/Item[[#This Row],[cantidad arribada]],"")</f>
        <v/>
      </c>
      <c r="AV58" s="46">
        <f>IF(ISTEXT(R58),IF(Item[[#This Row],[cantidad arribada]]=0,"No llega",Item[[#This Row],[cantidad arribada]]),)</f>
        <v>0</v>
      </c>
      <c r="AW58" s="46" t="str">
        <f>IFERROR(VLOOKUP(B58,'Tratamientos-Eventos'!$B$9:$S$20,19,FALSE),"")</f>
        <v/>
      </c>
      <c r="AX58" s="46">
        <f>SUMIF('Acuario (Arribado - mortalidad)'!$B$14:$B$90,'ORDEN DE CUARENTENA'!B58,'Acuario (Arribado - mortalidad)'!$O$14:$O$90)</f>
        <v>0</v>
      </c>
      <c r="AY58" s="46">
        <f>SUMIF('Acuario (Arribado - mortalidad)'!$B$14:$B$90,'ORDEN DE CUARENTENA'!B58,'Acuario (Arribado - mortalidad)'!$BG$14:$BG$90)</f>
        <v>0</v>
      </c>
      <c r="AZ58" s="46">
        <f>SUMIF('Acuario (Arribado - mortalidad)'!$B$14:$B$90,'ORDEN DE CUARENTENA'!B58,'Acuario (Arribado - mortalidad)'!$BH$14:$BH$90)</f>
        <v>0</v>
      </c>
      <c r="BA58" s="46" t="str">
        <f>IFERROR(Item[[#This Row],[Mortalidad dia 1]]/Item[[#This Row],[cantidad arribada]],"")</f>
        <v/>
      </c>
      <c r="BB58" s="46" t="str">
        <f>IFERROR(Item[[#This Row],[Mortalidad 2 a 8  (Sem 1)]]/Item[[#This Row],[cantidad arribada]],"")</f>
        <v/>
      </c>
      <c r="BC58" s="46" t="str">
        <f>IFERROR(Item[[#This Row],[Mortalidad 9 a 15 (Sem 2)]]/Item[[#This Row],[cantidad arribada]],"")</f>
        <v/>
      </c>
      <c r="BD58" s="46"/>
      <c r="BE58" s="219">
        <f>SUMIF('Acuario (Arribado - mortalidad)'!$B$14:$B$90,'ORDEN DE CUARENTENA'!B58,'Acuario (Arribado - mortalidad)'!$F$14:$F$90)</f>
        <v>0</v>
      </c>
      <c r="BF58" s="219">
        <f>SUMIF('Acuario (Arribado - mortalidad)'!$B$14:$B$90,'ORDEN DE CUARENTENA'!B58,'Acuario (Arribado - mortalidad)'!$K$14:$K$90)</f>
        <v>0</v>
      </c>
      <c r="BG58" s="219">
        <f>SUMIF('Acuario (Arribado - mortalidad)'!$B$14:$B$90,'ORDEN DE CUARENTENA'!B58,'Acuario (Arribado - mortalidad)'!$G$14:$G$90)</f>
        <v>0</v>
      </c>
      <c r="BH58" s="219">
        <f>SUMIF('Acuario (Arribado - mortalidad)'!$B$14:$B$90,'ORDEN DE CUARENTENA'!B58,'Acuario (Arribado - mortalidad)'!$O$14:$O$90)</f>
        <v>0</v>
      </c>
      <c r="BI58" s="219">
        <f>SUMIF('Acuario (Arribado - mortalidad)'!$B$14:$B$90,'ORDEN DE CUARENTENA'!B58,'Acuario (Arribado - mortalidad)'!$BG$14:$BG$90)</f>
        <v>0</v>
      </c>
      <c r="BJ58" s="219">
        <f>SUMIF('Acuario (Arribado - mortalidad)'!$B$14:$B$90,'ORDEN DE CUARENTENA'!B58,'Acuario (Arribado - mortalidad)'!$BH$14:$BH$90)</f>
        <v>0</v>
      </c>
      <c r="BK58" s="46"/>
      <c r="BL58" s="264"/>
      <c r="BN58" s="7" t="s">
        <v>80</v>
      </c>
      <c r="BO58" s="7" t="s">
        <v>603</v>
      </c>
      <c r="BV58" s="7" t="s">
        <v>719</v>
      </c>
      <c r="BX58" s="7" t="s">
        <v>9339</v>
      </c>
      <c r="BY58" s="7" t="s">
        <v>797</v>
      </c>
      <c r="BZ58" s="7" t="s">
        <v>8836</v>
      </c>
      <c r="CB58" t="s">
        <v>9220</v>
      </c>
      <c r="CC58" t="s">
        <v>10252</v>
      </c>
    </row>
    <row r="59" spans="1:81" ht="15.75" thickTop="1" x14ac:dyDescent="0.25">
      <c r="A59" s="51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363">
        <f>SUM(AD14:AF58)</f>
        <v>0</v>
      </c>
      <c r="AE59" s="363"/>
      <c r="AF59" s="363"/>
      <c r="AG59" s="419">
        <f>COUNTBLANK(AG14:AH58)</f>
        <v>90</v>
      </c>
      <c r="AH59" s="419"/>
      <c r="AI59" s="419">
        <f>COUNTBLANK(AI14:AJ58)</f>
        <v>90</v>
      </c>
      <c r="AJ59" s="419"/>
      <c r="AK59" s="52"/>
      <c r="AL59" s="52"/>
      <c r="AM59" s="46"/>
      <c r="AR59">
        <f>SUBTOTAL(109,Item[cantidad arribada])</f>
        <v>0</v>
      </c>
      <c r="AS59">
        <f>SUBTOTAL(109,Item[mortalidad acumulada])</f>
        <v>0</v>
      </c>
      <c r="AT59">
        <f>SUBTOTAL(109,Item[saldo])</f>
        <v>0</v>
      </c>
      <c r="AU59" s="175" t="e">
        <f>SUBTOTAL(101,Item[porcentaje mortalidad])</f>
        <v>#DIV/0!</v>
      </c>
      <c r="AV59">
        <f>SUBTOTAL(109,Item[Arribada resumen])</f>
        <v>0</v>
      </c>
      <c r="AX59">
        <f>SUBTOTAL(109,Item[Mortalidad dia 1])</f>
        <v>0</v>
      </c>
      <c r="AY59">
        <f>SUBTOTAL(109,Item[Mortalidad 2 a 8  (Sem 1)])</f>
        <v>0</v>
      </c>
      <c r="AZ59">
        <f>SUBTOTAL(109,Item[Mortalidad 9 a 15 (Sem 2)])</f>
        <v>0</v>
      </c>
      <c r="BA59" t="e">
        <f>SUBTOTAL(101,Item[% mort dia 1])</f>
        <v>#DIV/0!</v>
      </c>
      <c r="BB59" t="e">
        <f>SUBTOTAL(101,Item[% mort sem 1])</f>
        <v>#DIV/0!</v>
      </c>
      <c r="BC59" t="e">
        <f>SUBTOTAL(101,Item[% mort sem 2])</f>
        <v>#DIV/0!</v>
      </c>
      <c r="BN59" s="7" t="s">
        <v>81</v>
      </c>
      <c r="BO59" s="7" t="s">
        <v>604</v>
      </c>
      <c r="BV59" s="7" t="s">
        <v>720</v>
      </c>
      <c r="BX59" s="7" t="s">
        <v>9340</v>
      </c>
      <c r="BY59" s="7" t="s">
        <v>797</v>
      </c>
      <c r="BZ59" s="7" t="s">
        <v>8836</v>
      </c>
      <c r="CB59" t="s">
        <v>9221</v>
      </c>
      <c r="CC59" t="s">
        <v>10252</v>
      </c>
    </row>
    <row r="60" spans="1:81" ht="15.75" thickBot="1" x14ac:dyDescent="0.3">
      <c r="A60" s="53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494" t="s">
        <v>7836</v>
      </c>
      <c r="U60" s="494"/>
      <c r="V60" s="494"/>
      <c r="W60" s="494"/>
      <c r="X60" s="494"/>
      <c r="Y60" s="494"/>
      <c r="Z60" s="494"/>
      <c r="AA60" s="494"/>
      <c r="AB60" s="494"/>
      <c r="AC60" s="494"/>
      <c r="AD60" s="494"/>
      <c r="AE60" s="494"/>
      <c r="AF60" s="494"/>
      <c r="AG60" s="494"/>
      <c r="AH60" s="494"/>
      <c r="AI60" s="494"/>
      <c r="AJ60" s="494"/>
      <c r="AK60" s="52"/>
      <c r="AL60" s="52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N60" s="7" t="s">
        <v>82</v>
      </c>
      <c r="BO60" s="7" t="s">
        <v>605</v>
      </c>
      <c r="BV60" s="7" t="s">
        <v>721</v>
      </c>
      <c r="BX60" s="7" t="s">
        <v>9341</v>
      </c>
      <c r="BY60" s="7" t="s">
        <v>797</v>
      </c>
      <c r="BZ60" s="7" t="s">
        <v>8836</v>
      </c>
      <c r="CB60" t="s">
        <v>9222</v>
      </c>
      <c r="CC60" t="s">
        <v>10252</v>
      </c>
    </row>
    <row r="61" spans="1:81" ht="15" customHeight="1" thickTop="1" thickBot="1" x14ac:dyDescent="0.3">
      <c r="A61" s="53"/>
      <c r="B61" s="502" t="s">
        <v>16</v>
      </c>
      <c r="C61" s="502"/>
      <c r="D61" s="502"/>
      <c r="E61" s="502"/>
      <c r="F61" s="502"/>
      <c r="G61" s="502"/>
      <c r="H61" s="502"/>
      <c r="I61" s="502"/>
      <c r="J61" s="502"/>
      <c r="K61" s="502"/>
      <c r="L61" s="502"/>
      <c r="M61" s="502"/>
      <c r="N61" s="502"/>
      <c r="O61" s="502"/>
      <c r="P61" s="502"/>
      <c r="Q61" s="502"/>
      <c r="R61" s="502"/>
      <c r="S61" s="50"/>
      <c r="T61" s="494"/>
      <c r="U61" s="494"/>
      <c r="V61" s="494"/>
      <c r="W61" s="494"/>
      <c r="X61" s="494"/>
      <c r="Y61" s="494"/>
      <c r="Z61" s="494"/>
      <c r="AA61" s="494"/>
      <c r="AB61" s="494"/>
      <c r="AC61" s="494"/>
      <c r="AD61" s="494"/>
      <c r="AE61" s="494"/>
      <c r="AF61" s="494"/>
      <c r="AG61" s="494"/>
      <c r="AH61" s="494"/>
      <c r="AI61" s="494"/>
      <c r="AJ61" s="494"/>
      <c r="AK61" s="52"/>
      <c r="AL61" s="52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N61" s="7" t="s">
        <v>83</v>
      </c>
      <c r="BO61" s="7" t="s">
        <v>606</v>
      </c>
      <c r="BV61" s="7" t="s">
        <v>722</v>
      </c>
      <c r="BX61" s="7" t="s">
        <v>9342</v>
      </c>
      <c r="BY61" s="7" t="s">
        <v>797</v>
      </c>
      <c r="BZ61" s="7" t="s">
        <v>8836</v>
      </c>
      <c r="CB61" t="s">
        <v>9223</v>
      </c>
      <c r="CC61" t="s">
        <v>10252</v>
      </c>
    </row>
    <row r="62" spans="1:81" ht="15.75" thickTop="1" x14ac:dyDescent="0.25">
      <c r="A62" s="53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495" t="s">
        <v>7835</v>
      </c>
      <c r="U62" s="496"/>
      <c r="V62" s="496"/>
      <c r="W62" s="496"/>
      <c r="X62" s="496" t="s">
        <v>7808</v>
      </c>
      <c r="Y62" s="496"/>
      <c r="Z62" s="497"/>
      <c r="AA62" s="70" t="s">
        <v>14</v>
      </c>
      <c r="AB62" s="495" t="s">
        <v>7835</v>
      </c>
      <c r="AC62" s="496"/>
      <c r="AD62" s="496"/>
      <c r="AE62" s="496"/>
      <c r="AF62" s="507" t="s">
        <v>7808</v>
      </c>
      <c r="AG62" s="508"/>
      <c r="AH62" s="508"/>
      <c r="AI62" s="509"/>
      <c r="AJ62" s="70" t="s">
        <v>14</v>
      </c>
      <c r="AL62" s="52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N62" s="7" t="s">
        <v>84</v>
      </c>
      <c r="BO62" s="7" t="s">
        <v>607</v>
      </c>
      <c r="BV62" s="7" t="s">
        <v>723</v>
      </c>
      <c r="BX62" s="7" t="s">
        <v>9343</v>
      </c>
      <c r="BY62" s="7" t="s">
        <v>797</v>
      </c>
      <c r="BZ62" s="7" t="s">
        <v>8836</v>
      </c>
      <c r="CB62" t="s">
        <v>9224</v>
      </c>
      <c r="CC62" t="s">
        <v>10252</v>
      </c>
    </row>
    <row r="63" spans="1:81" x14ac:dyDescent="0.25">
      <c r="A63" s="53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2"/>
      <c r="T63" s="456"/>
      <c r="U63" s="457"/>
      <c r="V63" s="457"/>
      <c r="W63" s="457"/>
      <c r="X63" s="450"/>
      <c r="Y63" s="450"/>
      <c r="Z63" s="451"/>
      <c r="AA63" s="278"/>
      <c r="AB63" s="452"/>
      <c r="AC63" s="450"/>
      <c r="AD63" s="450"/>
      <c r="AE63" s="450"/>
      <c r="AF63" s="488"/>
      <c r="AG63" s="489"/>
      <c r="AH63" s="489"/>
      <c r="AI63" s="490"/>
      <c r="AJ63" s="278"/>
      <c r="AL63" s="52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N63" s="7" t="s">
        <v>85</v>
      </c>
      <c r="BO63" s="7" t="s">
        <v>608</v>
      </c>
      <c r="BV63" s="7" t="s">
        <v>724</v>
      </c>
      <c r="BX63" s="7" t="s">
        <v>9344</v>
      </c>
      <c r="BY63" s="7" t="s">
        <v>797</v>
      </c>
      <c r="BZ63" s="7" t="s">
        <v>8836</v>
      </c>
      <c r="CB63" t="s">
        <v>9225</v>
      </c>
      <c r="CC63" t="s">
        <v>10252</v>
      </c>
    </row>
    <row r="64" spans="1:81" x14ac:dyDescent="0.25">
      <c r="A64" s="50"/>
      <c r="B64" s="438"/>
      <c r="C64" s="438"/>
      <c r="D64" s="438"/>
      <c r="E64" s="438"/>
      <c r="F64" s="438"/>
      <c r="G64" s="438"/>
      <c r="H64" s="438"/>
      <c r="I64" s="438"/>
      <c r="J64" s="438"/>
      <c r="K64" s="438"/>
      <c r="L64" s="438"/>
      <c r="M64" s="438"/>
      <c r="N64" s="438"/>
      <c r="O64" s="438"/>
      <c r="P64" s="438"/>
      <c r="Q64" s="438"/>
      <c r="R64" s="438"/>
      <c r="S64" s="52"/>
      <c r="T64" s="472"/>
      <c r="U64" s="473"/>
      <c r="V64" s="473"/>
      <c r="W64" s="474"/>
      <c r="X64" s="450"/>
      <c r="Y64" s="450"/>
      <c r="Z64" s="451"/>
      <c r="AA64" s="278"/>
      <c r="AB64" s="452"/>
      <c r="AC64" s="450"/>
      <c r="AD64" s="450"/>
      <c r="AE64" s="450"/>
      <c r="AF64" s="488"/>
      <c r="AG64" s="489"/>
      <c r="AH64" s="489"/>
      <c r="AI64" s="490"/>
      <c r="AJ64" s="278"/>
      <c r="AL64" s="50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N64" s="7" t="s">
        <v>86</v>
      </c>
      <c r="BO64" s="7" t="s">
        <v>609</v>
      </c>
      <c r="BV64" s="7" t="s">
        <v>725</v>
      </c>
      <c r="BX64" s="7" t="s">
        <v>9345</v>
      </c>
      <c r="BY64" s="7" t="s">
        <v>797</v>
      </c>
      <c r="BZ64" s="7" t="s">
        <v>8836</v>
      </c>
      <c r="CB64" t="s">
        <v>9226</v>
      </c>
      <c r="CC64" t="s">
        <v>10252</v>
      </c>
    </row>
    <row r="65" spans="1:81" x14ac:dyDescent="0.25">
      <c r="A65" s="50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0"/>
      <c r="T65" s="448"/>
      <c r="U65" s="449"/>
      <c r="V65" s="449"/>
      <c r="W65" s="449"/>
      <c r="X65" s="450"/>
      <c r="Y65" s="450"/>
      <c r="Z65" s="451"/>
      <c r="AA65" s="278"/>
      <c r="AB65" s="452"/>
      <c r="AC65" s="450"/>
      <c r="AD65" s="450"/>
      <c r="AE65" s="450"/>
      <c r="AF65" s="488"/>
      <c r="AG65" s="489"/>
      <c r="AH65" s="489"/>
      <c r="AI65" s="490"/>
      <c r="AJ65" s="278"/>
      <c r="AL65" s="50"/>
      <c r="BN65" s="7" t="s">
        <v>87</v>
      </c>
      <c r="BO65" s="7" t="s">
        <v>610</v>
      </c>
      <c r="BV65" s="7" t="s">
        <v>726</v>
      </c>
      <c r="BX65" s="7" t="s">
        <v>9346</v>
      </c>
      <c r="BY65" s="7" t="s">
        <v>797</v>
      </c>
      <c r="BZ65" s="7" t="s">
        <v>8836</v>
      </c>
      <c r="CB65" t="s">
        <v>9227</v>
      </c>
      <c r="CC65" t="s">
        <v>10252</v>
      </c>
    </row>
    <row r="66" spans="1:81" ht="15.75" thickBot="1" x14ac:dyDescent="0.3">
      <c r="A66" s="50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0"/>
      <c r="T66" s="453"/>
      <c r="U66" s="454"/>
      <c r="V66" s="454"/>
      <c r="W66" s="454"/>
      <c r="X66" s="454"/>
      <c r="Y66" s="454"/>
      <c r="Z66" s="455"/>
      <c r="AA66" s="279"/>
      <c r="AB66" s="453"/>
      <c r="AC66" s="454"/>
      <c r="AD66" s="454"/>
      <c r="AE66" s="454"/>
      <c r="AF66" s="491"/>
      <c r="AG66" s="492"/>
      <c r="AH66" s="492"/>
      <c r="AI66" s="493"/>
      <c r="AJ66" s="279"/>
      <c r="AL66" s="50"/>
      <c r="BN66" s="7" t="s">
        <v>88</v>
      </c>
      <c r="BO66" s="7" t="s">
        <v>611</v>
      </c>
      <c r="BV66" s="7" t="s">
        <v>9029</v>
      </c>
      <c r="BX66" s="7" t="s">
        <v>9347</v>
      </c>
      <c r="BY66" s="7" t="s">
        <v>797</v>
      </c>
      <c r="BZ66" s="7" t="s">
        <v>8836</v>
      </c>
      <c r="CB66" t="s">
        <v>9228</v>
      </c>
      <c r="CC66" t="s">
        <v>10252</v>
      </c>
    </row>
    <row r="67" spans="1:81" ht="15.75" thickTop="1" x14ac:dyDescent="0.25">
      <c r="A67" s="50"/>
      <c r="B67" s="54"/>
      <c r="C67" s="54"/>
      <c r="D67" s="54"/>
      <c r="E67" s="54"/>
      <c r="F67" s="54"/>
      <c r="G67" s="54"/>
      <c r="H67" s="54"/>
      <c r="I67" s="54"/>
      <c r="J67" s="53"/>
      <c r="K67" s="53"/>
      <c r="L67" s="53"/>
      <c r="M67" s="53"/>
      <c r="N67" s="53"/>
      <c r="O67" s="53"/>
      <c r="P67" s="53"/>
      <c r="Q67" s="53"/>
      <c r="R67" s="53"/>
      <c r="S67" s="50"/>
      <c r="T67" s="50"/>
      <c r="U67" s="439" t="s">
        <v>17</v>
      </c>
      <c r="V67" s="439"/>
      <c r="W67" s="439"/>
      <c r="X67" s="439"/>
      <c r="Y67" s="439"/>
      <c r="Z67" s="439"/>
      <c r="AA67" s="439"/>
      <c r="AB67" s="439"/>
      <c r="AC67" s="439"/>
      <c r="AD67" s="439"/>
      <c r="AE67" s="439"/>
      <c r="AF67" s="439"/>
      <c r="AG67" s="439"/>
      <c r="AH67" s="439"/>
      <c r="AI67" s="439"/>
      <c r="AJ67" s="439"/>
      <c r="AK67" s="50"/>
      <c r="AL67" s="50"/>
      <c r="BN67" s="7" t="s">
        <v>89</v>
      </c>
      <c r="BO67" s="7" t="s">
        <v>612</v>
      </c>
      <c r="BV67" s="7" t="s">
        <v>727</v>
      </c>
      <c r="BX67" s="7" t="s">
        <v>9348</v>
      </c>
      <c r="BY67" s="7" t="s">
        <v>797</v>
      </c>
      <c r="BZ67" s="7" t="s">
        <v>8836</v>
      </c>
      <c r="CB67" t="s">
        <v>9229</v>
      </c>
      <c r="CC67" t="s">
        <v>10252</v>
      </c>
    </row>
    <row r="68" spans="1:81" x14ac:dyDescent="0.25">
      <c r="A68" s="50"/>
      <c r="B68" s="446"/>
      <c r="C68" s="446"/>
      <c r="D68" s="446"/>
      <c r="E68" s="446"/>
      <c r="F68" s="446"/>
      <c r="G68" s="446"/>
      <c r="H68" s="446"/>
      <c r="I68" s="446"/>
      <c r="J68" s="446"/>
      <c r="K68" s="55"/>
      <c r="L68" s="52"/>
      <c r="M68" s="52"/>
      <c r="N68" s="52"/>
      <c r="O68" s="52"/>
      <c r="P68" s="446"/>
      <c r="Q68" s="446"/>
      <c r="R68" s="446"/>
      <c r="S68" s="50"/>
      <c r="T68" s="50"/>
      <c r="U68" s="440" t="s">
        <v>18</v>
      </c>
      <c r="V68" s="441"/>
      <c r="W68" s="441"/>
      <c r="X68" s="442">
        <f>I6+14</f>
        <v>14</v>
      </c>
      <c r="Y68" s="442"/>
      <c r="Z68" s="442"/>
      <c r="AA68" s="442"/>
      <c r="AB68" s="442"/>
      <c r="AC68" s="443" t="s">
        <v>21</v>
      </c>
      <c r="AD68" s="444"/>
      <c r="AE68" s="444"/>
      <c r="AF68" s="444"/>
      <c r="AG68" s="444"/>
      <c r="AH68" s="444"/>
      <c r="AI68" s="444"/>
      <c r="AJ68" s="445"/>
      <c r="AK68" s="50"/>
      <c r="BN68" s="7" t="s">
        <v>90</v>
      </c>
      <c r="BO68" s="7" t="s">
        <v>613</v>
      </c>
      <c r="BV68" s="7" t="s">
        <v>728</v>
      </c>
      <c r="BX68" s="7" t="s">
        <v>9349</v>
      </c>
      <c r="BY68" s="7" t="s">
        <v>797</v>
      </c>
      <c r="BZ68" s="7" t="s">
        <v>8836</v>
      </c>
      <c r="CB68" t="s">
        <v>9230</v>
      </c>
      <c r="CC68" t="s">
        <v>10252</v>
      </c>
    </row>
    <row r="69" spans="1:81" x14ac:dyDescent="0.25">
      <c r="A69" s="50"/>
      <c r="B69" s="447"/>
      <c r="C69" s="447"/>
      <c r="D69" s="447"/>
      <c r="E69" s="447"/>
      <c r="F69" s="447"/>
      <c r="G69" s="447"/>
      <c r="H69" s="447"/>
      <c r="I69" s="447"/>
      <c r="J69" s="447"/>
      <c r="K69" s="53"/>
      <c r="L69" s="447"/>
      <c r="M69" s="447"/>
      <c r="N69" s="447"/>
      <c r="O69" s="447"/>
      <c r="P69" s="447"/>
      <c r="Q69" s="447"/>
      <c r="R69" s="447"/>
      <c r="S69" s="50"/>
      <c r="T69" s="50"/>
      <c r="U69" s="432" t="s">
        <v>10148</v>
      </c>
      <c r="V69" s="433"/>
      <c r="W69" s="433"/>
      <c r="X69" s="433"/>
      <c r="Y69" s="433"/>
      <c r="Z69" s="433"/>
      <c r="AA69" s="433"/>
      <c r="AB69" s="433"/>
      <c r="AC69" s="433"/>
      <c r="AD69" s="433"/>
      <c r="AE69" s="433"/>
      <c r="AF69" s="433"/>
      <c r="AG69" s="433"/>
      <c r="AH69" s="433"/>
      <c r="AI69" s="433"/>
      <c r="AJ69" s="434"/>
      <c r="AK69" s="50"/>
      <c r="BN69" s="7" t="s">
        <v>91</v>
      </c>
      <c r="BO69" s="7" t="s">
        <v>614</v>
      </c>
      <c r="BV69" s="7" t="s">
        <v>729</v>
      </c>
      <c r="BX69" s="7" t="s">
        <v>9350</v>
      </c>
      <c r="BY69" s="7" t="s">
        <v>797</v>
      </c>
      <c r="BZ69" s="7" t="s">
        <v>8836</v>
      </c>
      <c r="CB69" t="s">
        <v>9231</v>
      </c>
      <c r="CC69" t="s">
        <v>10252</v>
      </c>
    </row>
    <row r="70" spans="1:81" x14ac:dyDescent="0.25">
      <c r="A70" s="50"/>
      <c r="B70" s="431" t="s">
        <v>19</v>
      </c>
      <c r="C70" s="431"/>
      <c r="D70" s="431"/>
      <c r="E70" s="431"/>
      <c r="F70" s="431"/>
      <c r="G70" s="431"/>
      <c r="H70" s="431"/>
      <c r="I70" s="431"/>
      <c r="J70" s="431"/>
      <c r="K70" s="53"/>
      <c r="L70" s="431" t="s">
        <v>20</v>
      </c>
      <c r="M70" s="431"/>
      <c r="N70" s="431"/>
      <c r="O70" s="431"/>
      <c r="P70" s="431"/>
      <c r="Q70" s="431"/>
      <c r="R70" s="431"/>
      <c r="S70" s="431"/>
      <c r="T70" s="50"/>
      <c r="U70" s="432"/>
      <c r="V70" s="433"/>
      <c r="W70" s="433"/>
      <c r="X70" s="433"/>
      <c r="Y70" s="433"/>
      <c r="Z70" s="433"/>
      <c r="AA70" s="433"/>
      <c r="AB70" s="433"/>
      <c r="AC70" s="433"/>
      <c r="AD70" s="433"/>
      <c r="AE70" s="433"/>
      <c r="AF70" s="433"/>
      <c r="AG70" s="433"/>
      <c r="AH70" s="433"/>
      <c r="AI70" s="433"/>
      <c r="AJ70" s="434"/>
      <c r="AK70" s="50"/>
      <c r="BN70" s="7" t="s">
        <v>92</v>
      </c>
      <c r="BO70" s="7" t="s">
        <v>615</v>
      </c>
      <c r="BV70" s="7" t="s">
        <v>9030</v>
      </c>
      <c r="BX70" s="7" t="s">
        <v>9351</v>
      </c>
      <c r="BY70" s="7" t="s">
        <v>797</v>
      </c>
      <c r="BZ70" s="7" t="s">
        <v>8836</v>
      </c>
      <c r="CB70" t="s">
        <v>9232</v>
      </c>
      <c r="CC70" t="s">
        <v>10252</v>
      </c>
    </row>
    <row r="71" spans="1:81" x14ac:dyDescent="0.25">
      <c r="A71" s="50"/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435"/>
      <c r="V71" s="436"/>
      <c r="W71" s="436"/>
      <c r="X71" s="436"/>
      <c r="Y71" s="436"/>
      <c r="Z71" s="436"/>
      <c r="AA71" s="436"/>
      <c r="AB71" s="436"/>
      <c r="AC71" s="436"/>
      <c r="AD71" s="436"/>
      <c r="AE71" s="436"/>
      <c r="AF71" s="436"/>
      <c r="AG71" s="436"/>
      <c r="AH71" s="436"/>
      <c r="AI71" s="436"/>
      <c r="AJ71" s="437"/>
      <c r="AK71" s="50"/>
      <c r="BN71" s="7" t="s">
        <v>93</v>
      </c>
      <c r="BO71" s="7" t="s">
        <v>822</v>
      </c>
      <c r="BV71" s="7" t="s">
        <v>730</v>
      </c>
      <c r="BX71" s="7" t="s">
        <v>9352</v>
      </c>
      <c r="BY71" s="7" t="s">
        <v>797</v>
      </c>
      <c r="BZ71" s="7" t="s">
        <v>8836</v>
      </c>
      <c r="CB71" t="s">
        <v>9233</v>
      </c>
      <c r="CC71" t="s">
        <v>10252</v>
      </c>
    </row>
    <row r="72" spans="1:81" x14ac:dyDescent="0.25">
      <c r="A72" s="50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BN72" s="7" t="s">
        <v>94</v>
      </c>
      <c r="BO72" s="39" t="s">
        <v>616</v>
      </c>
      <c r="BV72" s="7" t="s">
        <v>731</v>
      </c>
      <c r="BX72" s="7" t="s">
        <v>9353</v>
      </c>
      <c r="BY72" s="7" t="s">
        <v>797</v>
      </c>
      <c r="BZ72" s="7" t="s">
        <v>8836</v>
      </c>
      <c r="CB72" t="s">
        <v>9234</v>
      </c>
      <c r="CC72" t="s">
        <v>10252</v>
      </c>
    </row>
    <row r="73" spans="1:81" x14ac:dyDescent="0.25">
      <c r="BN73" s="7" t="s">
        <v>95</v>
      </c>
      <c r="BO73" s="7" t="s">
        <v>617</v>
      </c>
      <c r="BX73" s="7" t="s">
        <v>9354</v>
      </c>
      <c r="BY73" s="7" t="s">
        <v>797</v>
      </c>
      <c r="BZ73" s="7" t="s">
        <v>8836</v>
      </c>
      <c r="CB73" t="s">
        <v>9235</v>
      </c>
      <c r="CC73" t="s">
        <v>10252</v>
      </c>
    </row>
    <row r="74" spans="1:81" x14ac:dyDescent="0.25">
      <c r="R74" s="498"/>
      <c r="S74" s="498"/>
      <c r="T74" s="498"/>
      <c r="U74" s="498"/>
      <c r="V74" s="498"/>
      <c r="W74" s="498"/>
      <c r="X74" s="498"/>
      <c r="BN74" s="7" t="s">
        <v>96</v>
      </c>
      <c r="BO74" s="7" t="s">
        <v>618</v>
      </c>
      <c r="BX74" s="7" t="s">
        <v>9355</v>
      </c>
      <c r="BY74" s="7" t="s">
        <v>797</v>
      </c>
      <c r="BZ74" s="7" t="s">
        <v>8836</v>
      </c>
      <c r="CB74" t="s">
        <v>9236</v>
      </c>
      <c r="CC74" t="s">
        <v>10252</v>
      </c>
    </row>
    <row r="75" spans="1:81" x14ac:dyDescent="0.25">
      <c r="BN75" s="7" t="s">
        <v>97</v>
      </c>
      <c r="BO75" s="7" t="s">
        <v>619</v>
      </c>
      <c r="BX75" s="7" t="s">
        <v>9356</v>
      </c>
      <c r="BY75" s="7" t="s">
        <v>797</v>
      </c>
      <c r="BZ75" s="7" t="s">
        <v>8836</v>
      </c>
      <c r="CB75" t="s">
        <v>9237</v>
      </c>
      <c r="CC75" t="s">
        <v>10252</v>
      </c>
    </row>
    <row r="76" spans="1:81" x14ac:dyDescent="0.25">
      <c r="BN76" s="7" t="s">
        <v>98</v>
      </c>
      <c r="BX76" s="7" t="s">
        <v>9357</v>
      </c>
      <c r="BY76" s="7" t="s">
        <v>797</v>
      </c>
      <c r="BZ76" s="7" t="s">
        <v>8836</v>
      </c>
      <c r="CB76" t="s">
        <v>9238</v>
      </c>
      <c r="CC76" t="s">
        <v>10252</v>
      </c>
    </row>
    <row r="77" spans="1:81" x14ac:dyDescent="0.25">
      <c r="BN77" s="7" t="s">
        <v>99</v>
      </c>
      <c r="BX77" s="7" t="s">
        <v>9358</v>
      </c>
      <c r="BY77" s="7" t="s">
        <v>797</v>
      </c>
      <c r="BZ77" s="7" t="s">
        <v>8836</v>
      </c>
      <c r="CB77" t="s">
        <v>9239</v>
      </c>
      <c r="CC77" t="s">
        <v>10252</v>
      </c>
    </row>
    <row r="78" spans="1:81" x14ac:dyDescent="0.25">
      <c r="BN78" s="7" t="s">
        <v>100</v>
      </c>
      <c r="BX78" s="7" t="s">
        <v>9359</v>
      </c>
      <c r="BY78" s="7" t="s">
        <v>797</v>
      </c>
      <c r="BZ78" s="7" t="s">
        <v>8836</v>
      </c>
      <c r="CB78" t="s">
        <v>9240</v>
      </c>
      <c r="CC78" t="s">
        <v>10252</v>
      </c>
    </row>
    <row r="79" spans="1:81" x14ac:dyDescent="0.25">
      <c r="BN79" s="7" t="s">
        <v>101</v>
      </c>
      <c r="BX79" s="7" t="s">
        <v>9360</v>
      </c>
      <c r="BY79" s="7" t="s">
        <v>797</v>
      </c>
      <c r="BZ79" s="7" t="s">
        <v>8836</v>
      </c>
      <c r="CB79" t="s">
        <v>9241</v>
      </c>
      <c r="CC79" t="s">
        <v>10252</v>
      </c>
    </row>
    <row r="80" spans="1:81" x14ac:dyDescent="0.25">
      <c r="BN80" s="7" t="s">
        <v>102</v>
      </c>
      <c r="BX80" s="7" t="s">
        <v>9361</v>
      </c>
      <c r="BY80" s="7" t="s">
        <v>797</v>
      </c>
      <c r="BZ80" s="7" t="s">
        <v>8836</v>
      </c>
      <c r="CB80" t="s">
        <v>9242</v>
      </c>
      <c r="CC80" t="s">
        <v>10252</v>
      </c>
    </row>
    <row r="81" spans="39:81" x14ac:dyDescent="0.25">
      <c r="AM81"/>
      <c r="BN81" s="7" t="s">
        <v>103</v>
      </c>
      <c r="BX81" s="7" t="s">
        <v>9362</v>
      </c>
      <c r="BY81" s="7" t="s">
        <v>797</v>
      </c>
      <c r="BZ81" s="7" t="s">
        <v>8836</v>
      </c>
      <c r="CB81" t="s">
        <v>9243</v>
      </c>
      <c r="CC81" t="s">
        <v>10252</v>
      </c>
    </row>
    <row r="82" spans="39:81" x14ac:dyDescent="0.25">
      <c r="AM82"/>
      <c r="BN82" s="7" t="s">
        <v>104</v>
      </c>
      <c r="BX82" s="7" t="s">
        <v>9363</v>
      </c>
      <c r="BY82" s="7" t="s">
        <v>797</v>
      </c>
      <c r="BZ82" s="7" t="s">
        <v>8836</v>
      </c>
      <c r="CB82" t="s">
        <v>9244</v>
      </c>
      <c r="CC82" t="s">
        <v>10252</v>
      </c>
    </row>
    <row r="83" spans="39:81" x14ac:dyDescent="0.25">
      <c r="AM83"/>
      <c r="BN83" s="7" t="s">
        <v>105</v>
      </c>
      <c r="BX83" s="7" t="s">
        <v>9364</v>
      </c>
      <c r="BY83" s="7" t="s">
        <v>797</v>
      </c>
      <c r="BZ83" s="7" t="s">
        <v>8836</v>
      </c>
      <c r="CB83" t="s">
        <v>9245</v>
      </c>
      <c r="CC83" t="s">
        <v>10252</v>
      </c>
    </row>
    <row r="84" spans="39:81" x14ac:dyDescent="0.25">
      <c r="AM84"/>
      <c r="BN84" s="7" t="s">
        <v>106</v>
      </c>
      <c r="BX84" s="7" t="s">
        <v>9365</v>
      </c>
      <c r="BY84" s="7" t="s">
        <v>797</v>
      </c>
      <c r="BZ84" s="7" t="s">
        <v>8836</v>
      </c>
      <c r="CB84" t="s">
        <v>9246</v>
      </c>
      <c r="CC84" t="s">
        <v>10252</v>
      </c>
    </row>
    <row r="85" spans="39:81" x14ac:dyDescent="0.25">
      <c r="AM85"/>
      <c r="BN85" s="7" t="s">
        <v>107</v>
      </c>
      <c r="BX85" s="7" t="s">
        <v>9366</v>
      </c>
      <c r="BY85" s="7" t="s">
        <v>797</v>
      </c>
      <c r="BZ85" s="7" t="s">
        <v>8836</v>
      </c>
      <c r="CB85" t="s">
        <v>9247</v>
      </c>
      <c r="CC85" t="s">
        <v>10252</v>
      </c>
    </row>
    <row r="86" spans="39:81" x14ac:dyDescent="0.25">
      <c r="AM86"/>
      <c r="BN86" s="7" t="s">
        <v>108</v>
      </c>
      <c r="BX86" s="7" t="s">
        <v>9367</v>
      </c>
      <c r="BY86" s="7" t="s">
        <v>797</v>
      </c>
      <c r="BZ86" s="7" t="s">
        <v>8836</v>
      </c>
      <c r="CB86" t="s">
        <v>9248</v>
      </c>
      <c r="CC86" t="s">
        <v>10252</v>
      </c>
    </row>
    <row r="87" spans="39:81" x14ac:dyDescent="0.25">
      <c r="AM87"/>
      <c r="BN87" s="7" t="s">
        <v>109</v>
      </c>
      <c r="BX87" s="7" t="s">
        <v>9368</v>
      </c>
      <c r="BY87" s="7" t="s">
        <v>797</v>
      </c>
      <c r="BZ87" s="7" t="s">
        <v>8836</v>
      </c>
      <c r="CB87" t="s">
        <v>9249</v>
      </c>
      <c r="CC87" t="s">
        <v>10252</v>
      </c>
    </row>
    <row r="88" spans="39:81" x14ac:dyDescent="0.25">
      <c r="AM88"/>
      <c r="BN88" s="7" t="s">
        <v>110</v>
      </c>
      <c r="BX88" s="7" t="s">
        <v>9369</v>
      </c>
      <c r="BY88" s="7" t="s">
        <v>797</v>
      </c>
      <c r="BZ88" s="7" t="s">
        <v>8836</v>
      </c>
      <c r="CB88" t="s">
        <v>9250</v>
      </c>
      <c r="CC88" t="s">
        <v>10252</v>
      </c>
    </row>
    <row r="89" spans="39:81" x14ac:dyDescent="0.25">
      <c r="AM89"/>
      <c r="BN89" s="7" t="s">
        <v>111</v>
      </c>
      <c r="BX89" s="7" t="s">
        <v>9370</v>
      </c>
      <c r="BY89" s="7" t="s">
        <v>797</v>
      </c>
      <c r="BZ89" s="7" t="s">
        <v>8836</v>
      </c>
      <c r="CB89" t="s">
        <v>9251</v>
      </c>
      <c r="CC89" t="s">
        <v>10252</v>
      </c>
    </row>
    <row r="90" spans="39:81" x14ac:dyDescent="0.25">
      <c r="AM90"/>
      <c r="BN90" s="39" t="s">
        <v>112</v>
      </c>
      <c r="BX90" s="7" t="s">
        <v>9371</v>
      </c>
      <c r="BY90" s="7" t="s">
        <v>797</v>
      </c>
      <c r="BZ90" s="7" t="s">
        <v>8836</v>
      </c>
      <c r="CB90" t="s">
        <v>9252</v>
      </c>
      <c r="CC90" t="s">
        <v>10252</v>
      </c>
    </row>
    <row r="91" spans="39:81" x14ac:dyDescent="0.25">
      <c r="AM91"/>
      <c r="BN91" s="7" t="s">
        <v>113</v>
      </c>
      <c r="BX91" s="7" t="s">
        <v>9372</v>
      </c>
      <c r="BY91" s="7" t="s">
        <v>797</v>
      </c>
      <c r="BZ91" s="7" t="s">
        <v>8836</v>
      </c>
      <c r="CB91" t="s">
        <v>9253</v>
      </c>
      <c r="CC91" t="s">
        <v>10252</v>
      </c>
    </row>
    <row r="92" spans="39:81" x14ac:dyDescent="0.25">
      <c r="AM92"/>
      <c r="BN92" s="7" t="s">
        <v>114</v>
      </c>
      <c r="BX92" s="7" t="s">
        <v>9373</v>
      </c>
      <c r="BY92" s="7" t="s">
        <v>797</v>
      </c>
      <c r="BZ92" s="7" t="s">
        <v>8836</v>
      </c>
      <c r="CB92" t="s">
        <v>9254</v>
      </c>
      <c r="CC92" t="s">
        <v>10252</v>
      </c>
    </row>
    <row r="93" spans="39:81" x14ac:dyDescent="0.25">
      <c r="AM93"/>
      <c r="BN93" s="7" t="s">
        <v>115</v>
      </c>
      <c r="BX93" s="7" t="s">
        <v>9374</v>
      </c>
      <c r="BY93" s="7" t="s">
        <v>797</v>
      </c>
      <c r="BZ93" s="7" t="s">
        <v>8836</v>
      </c>
      <c r="CB93" t="s">
        <v>9255</v>
      </c>
      <c r="CC93" t="s">
        <v>10252</v>
      </c>
    </row>
    <row r="94" spans="39:81" x14ac:dyDescent="0.25">
      <c r="AM94"/>
      <c r="BN94" s="7" t="s">
        <v>116</v>
      </c>
      <c r="BX94" s="7" t="s">
        <v>9375</v>
      </c>
      <c r="BY94" s="7" t="s">
        <v>797</v>
      </c>
      <c r="BZ94" s="7" t="s">
        <v>8836</v>
      </c>
      <c r="CB94" t="s">
        <v>9256</v>
      </c>
      <c r="CC94" t="s">
        <v>10252</v>
      </c>
    </row>
    <row r="95" spans="39:81" x14ac:dyDescent="0.25">
      <c r="AM95"/>
      <c r="BN95" s="7" t="s">
        <v>117</v>
      </c>
      <c r="BX95" s="7" t="s">
        <v>9376</v>
      </c>
      <c r="BY95" s="7" t="s">
        <v>797</v>
      </c>
      <c r="BZ95" s="7" t="s">
        <v>8836</v>
      </c>
      <c r="CB95" t="s">
        <v>9257</v>
      </c>
      <c r="CC95" t="s">
        <v>10252</v>
      </c>
    </row>
    <row r="96" spans="39:81" x14ac:dyDescent="0.25">
      <c r="AM96"/>
      <c r="BN96" s="7" t="s">
        <v>118</v>
      </c>
      <c r="BX96" s="7" t="s">
        <v>9377</v>
      </c>
      <c r="BY96" s="7" t="s">
        <v>797</v>
      </c>
      <c r="BZ96" s="7" t="s">
        <v>8836</v>
      </c>
      <c r="CB96" t="s">
        <v>9258</v>
      </c>
      <c r="CC96" t="s">
        <v>10252</v>
      </c>
    </row>
    <row r="97" spans="66:81" customFormat="1" x14ac:dyDescent="0.25">
      <c r="BN97" s="7" t="s">
        <v>119</v>
      </c>
      <c r="BX97" s="7" t="s">
        <v>9378</v>
      </c>
      <c r="BY97" s="7" t="s">
        <v>797</v>
      </c>
      <c r="BZ97" s="7" t="s">
        <v>8836</v>
      </c>
      <c r="CB97" t="s">
        <v>9259</v>
      </c>
      <c r="CC97" t="s">
        <v>10252</v>
      </c>
    </row>
    <row r="98" spans="66:81" customFormat="1" x14ac:dyDescent="0.25">
      <c r="BN98" s="7" t="s">
        <v>120</v>
      </c>
      <c r="BX98" s="7" t="s">
        <v>9379</v>
      </c>
      <c r="BY98" s="7" t="s">
        <v>797</v>
      </c>
      <c r="BZ98" s="7" t="s">
        <v>8836</v>
      </c>
      <c r="CB98" t="s">
        <v>9260</v>
      </c>
      <c r="CC98" t="s">
        <v>10252</v>
      </c>
    </row>
    <row r="99" spans="66:81" customFormat="1" x14ac:dyDescent="0.25">
      <c r="BN99" s="7" t="s">
        <v>121</v>
      </c>
      <c r="BX99" s="7" t="s">
        <v>9380</v>
      </c>
      <c r="BY99" s="7" t="s">
        <v>797</v>
      </c>
      <c r="BZ99" s="7" t="s">
        <v>8836</v>
      </c>
      <c r="CB99" t="s">
        <v>9261</v>
      </c>
      <c r="CC99" t="s">
        <v>10252</v>
      </c>
    </row>
    <row r="100" spans="66:81" customFormat="1" x14ac:dyDescent="0.25">
      <c r="BN100" s="7" t="s">
        <v>122</v>
      </c>
      <c r="BX100" s="7" t="s">
        <v>9381</v>
      </c>
      <c r="BY100" s="7" t="s">
        <v>797</v>
      </c>
      <c r="BZ100" s="7" t="s">
        <v>8836</v>
      </c>
      <c r="CB100" t="s">
        <v>9262</v>
      </c>
      <c r="CC100" t="s">
        <v>10252</v>
      </c>
    </row>
    <row r="101" spans="66:81" customFormat="1" x14ac:dyDescent="0.25">
      <c r="BN101" s="7" t="s">
        <v>123</v>
      </c>
      <c r="BX101" s="7" t="s">
        <v>9382</v>
      </c>
      <c r="BY101" s="7" t="s">
        <v>797</v>
      </c>
      <c r="BZ101" s="7" t="s">
        <v>8836</v>
      </c>
      <c r="CB101" t="s">
        <v>9263</v>
      </c>
      <c r="CC101" t="s">
        <v>10252</v>
      </c>
    </row>
    <row r="102" spans="66:81" customFormat="1" x14ac:dyDescent="0.25">
      <c r="BN102" s="7" t="s">
        <v>124</v>
      </c>
      <c r="BX102" s="7" t="s">
        <v>9383</v>
      </c>
      <c r="BY102" s="7" t="s">
        <v>797</v>
      </c>
      <c r="BZ102" s="7" t="s">
        <v>8836</v>
      </c>
      <c r="CB102" t="s">
        <v>9264</v>
      </c>
      <c r="CC102" t="s">
        <v>10252</v>
      </c>
    </row>
    <row r="103" spans="66:81" customFormat="1" x14ac:dyDescent="0.25">
      <c r="BN103" s="7" t="s">
        <v>125</v>
      </c>
      <c r="BX103" s="7" t="s">
        <v>9416</v>
      </c>
      <c r="BY103" s="7" t="s">
        <v>797</v>
      </c>
      <c r="BZ103" s="7" t="s">
        <v>8836</v>
      </c>
      <c r="CB103" t="s">
        <v>9265</v>
      </c>
      <c r="CC103" t="s">
        <v>10252</v>
      </c>
    </row>
    <row r="104" spans="66:81" customFormat="1" x14ac:dyDescent="0.25">
      <c r="BN104" s="7" t="s">
        <v>126</v>
      </c>
      <c r="BX104" s="7" t="s">
        <v>9625</v>
      </c>
      <c r="BY104" s="7" t="s">
        <v>797</v>
      </c>
      <c r="BZ104" s="7" t="s">
        <v>8835</v>
      </c>
      <c r="CB104" t="s">
        <v>9266</v>
      </c>
      <c r="CC104" t="s">
        <v>10252</v>
      </c>
    </row>
    <row r="105" spans="66:81" customFormat="1" x14ac:dyDescent="0.25">
      <c r="BN105" s="7" t="s">
        <v>127</v>
      </c>
      <c r="BX105" s="7" t="s">
        <v>9422</v>
      </c>
      <c r="BY105" s="7" t="s">
        <v>797</v>
      </c>
      <c r="BZ105" s="7" t="s">
        <v>8835</v>
      </c>
      <c r="CB105" t="s">
        <v>9267</v>
      </c>
      <c r="CC105" t="s">
        <v>10252</v>
      </c>
    </row>
    <row r="106" spans="66:81" customFormat="1" x14ac:dyDescent="0.25">
      <c r="BN106" s="7" t="s">
        <v>128</v>
      </c>
      <c r="BX106" s="7" t="s">
        <v>9423</v>
      </c>
      <c r="BY106" s="7" t="s">
        <v>797</v>
      </c>
      <c r="BZ106" s="7" t="s">
        <v>8835</v>
      </c>
      <c r="CB106" t="s">
        <v>9268</v>
      </c>
      <c r="CC106" t="s">
        <v>10252</v>
      </c>
    </row>
    <row r="107" spans="66:81" customFormat="1" x14ac:dyDescent="0.25">
      <c r="BN107" s="7" t="s">
        <v>129</v>
      </c>
      <c r="BX107" s="7" t="s">
        <v>9424</v>
      </c>
      <c r="BY107" s="7" t="s">
        <v>797</v>
      </c>
      <c r="BZ107" s="7" t="s">
        <v>8835</v>
      </c>
      <c r="CB107" t="s">
        <v>9269</v>
      </c>
      <c r="CC107" t="s">
        <v>10252</v>
      </c>
    </row>
    <row r="108" spans="66:81" customFormat="1" x14ac:dyDescent="0.25">
      <c r="BN108" s="7" t="s">
        <v>130</v>
      </c>
      <c r="BX108" s="7" t="s">
        <v>9425</v>
      </c>
      <c r="BY108" s="7" t="s">
        <v>797</v>
      </c>
      <c r="BZ108" s="7" t="s">
        <v>8835</v>
      </c>
      <c r="CB108" t="s">
        <v>9270</v>
      </c>
      <c r="CC108" t="s">
        <v>10252</v>
      </c>
    </row>
    <row r="109" spans="66:81" customFormat="1" x14ac:dyDescent="0.25">
      <c r="BN109" s="7" t="s">
        <v>131</v>
      </c>
      <c r="BX109" s="7" t="s">
        <v>9426</v>
      </c>
      <c r="BY109" s="7" t="s">
        <v>797</v>
      </c>
      <c r="BZ109" s="7" t="s">
        <v>8835</v>
      </c>
      <c r="CB109" t="s">
        <v>9271</v>
      </c>
      <c r="CC109" t="s">
        <v>10252</v>
      </c>
    </row>
    <row r="110" spans="66:81" customFormat="1" x14ac:dyDescent="0.25">
      <c r="BN110" s="7" t="s">
        <v>132</v>
      </c>
      <c r="BX110" s="7" t="s">
        <v>9427</v>
      </c>
      <c r="BY110" s="7" t="s">
        <v>797</v>
      </c>
      <c r="BZ110" s="7" t="s">
        <v>8835</v>
      </c>
      <c r="CB110" t="s">
        <v>9272</v>
      </c>
      <c r="CC110" t="s">
        <v>10252</v>
      </c>
    </row>
    <row r="111" spans="66:81" customFormat="1" x14ac:dyDescent="0.25">
      <c r="BN111" s="7" t="s">
        <v>133</v>
      </c>
      <c r="BX111" s="7" t="s">
        <v>9428</v>
      </c>
      <c r="BY111" s="7" t="s">
        <v>797</v>
      </c>
      <c r="BZ111" s="7" t="s">
        <v>8835</v>
      </c>
      <c r="CB111" t="s">
        <v>9273</v>
      </c>
      <c r="CC111" t="s">
        <v>10252</v>
      </c>
    </row>
    <row r="112" spans="66:81" customFormat="1" x14ac:dyDescent="0.25">
      <c r="BN112" s="7" t="s">
        <v>134</v>
      </c>
      <c r="BX112" s="7" t="s">
        <v>9429</v>
      </c>
      <c r="BY112" s="7" t="s">
        <v>797</v>
      </c>
      <c r="BZ112" s="7" t="s">
        <v>8835</v>
      </c>
      <c r="CB112" t="s">
        <v>9274</v>
      </c>
      <c r="CC112" t="s">
        <v>10252</v>
      </c>
    </row>
    <row r="113" spans="66:81" customFormat="1" x14ac:dyDescent="0.25">
      <c r="BN113" s="7" t="s">
        <v>135</v>
      </c>
      <c r="BX113" s="7" t="s">
        <v>9430</v>
      </c>
      <c r="BY113" s="7" t="s">
        <v>797</v>
      </c>
      <c r="BZ113" s="7" t="s">
        <v>8835</v>
      </c>
      <c r="CB113" t="s">
        <v>9275</v>
      </c>
      <c r="CC113" t="s">
        <v>10252</v>
      </c>
    </row>
    <row r="114" spans="66:81" customFormat="1" x14ac:dyDescent="0.25">
      <c r="BN114" s="7" t="s">
        <v>136</v>
      </c>
      <c r="BX114" s="7" t="s">
        <v>9431</v>
      </c>
      <c r="BY114" s="7" t="s">
        <v>797</v>
      </c>
      <c r="BZ114" s="7" t="s">
        <v>8835</v>
      </c>
      <c r="CB114" t="s">
        <v>9276</v>
      </c>
      <c r="CC114" t="s">
        <v>10252</v>
      </c>
    </row>
    <row r="115" spans="66:81" customFormat="1" x14ac:dyDescent="0.25">
      <c r="BN115" s="7" t="s">
        <v>137</v>
      </c>
      <c r="BX115" s="7" t="s">
        <v>9432</v>
      </c>
      <c r="BY115" s="7" t="s">
        <v>797</v>
      </c>
      <c r="BZ115" s="7" t="s">
        <v>8835</v>
      </c>
      <c r="CB115" t="s">
        <v>9277</v>
      </c>
      <c r="CC115" t="s">
        <v>10252</v>
      </c>
    </row>
    <row r="116" spans="66:81" customFormat="1" x14ac:dyDescent="0.25">
      <c r="BN116" s="7" t="s">
        <v>138</v>
      </c>
      <c r="BX116" s="7" t="s">
        <v>9433</v>
      </c>
      <c r="BY116" s="7" t="s">
        <v>797</v>
      </c>
      <c r="BZ116" s="7" t="s">
        <v>8835</v>
      </c>
      <c r="CB116" t="s">
        <v>9278</v>
      </c>
      <c r="CC116" t="s">
        <v>10252</v>
      </c>
    </row>
    <row r="117" spans="66:81" customFormat="1" x14ac:dyDescent="0.25">
      <c r="BN117" s="7" t="s">
        <v>139</v>
      </c>
      <c r="BX117" s="7" t="s">
        <v>9626</v>
      </c>
      <c r="BY117" s="7" t="s">
        <v>797</v>
      </c>
      <c r="BZ117" s="7" t="s">
        <v>8835</v>
      </c>
      <c r="CB117" t="s">
        <v>9279</v>
      </c>
      <c r="CC117" t="s">
        <v>10252</v>
      </c>
    </row>
    <row r="118" spans="66:81" customFormat="1" x14ac:dyDescent="0.25">
      <c r="BN118" s="7" t="s">
        <v>140</v>
      </c>
      <c r="BX118" s="7" t="s">
        <v>9434</v>
      </c>
      <c r="BY118" s="7" t="s">
        <v>797</v>
      </c>
      <c r="BZ118" s="7" t="s">
        <v>8835</v>
      </c>
      <c r="CB118" t="s">
        <v>9280</v>
      </c>
      <c r="CC118" t="s">
        <v>10252</v>
      </c>
    </row>
    <row r="119" spans="66:81" customFormat="1" x14ac:dyDescent="0.25">
      <c r="BN119" s="7" t="s">
        <v>141</v>
      </c>
      <c r="BX119" s="7" t="s">
        <v>9435</v>
      </c>
      <c r="BY119" s="7" t="s">
        <v>797</v>
      </c>
      <c r="BZ119" s="7" t="s">
        <v>8835</v>
      </c>
      <c r="CB119" t="s">
        <v>9281</v>
      </c>
      <c r="CC119" t="s">
        <v>10252</v>
      </c>
    </row>
    <row r="120" spans="66:81" customFormat="1" x14ac:dyDescent="0.25">
      <c r="BN120" s="7" t="s">
        <v>142</v>
      </c>
      <c r="BX120" s="7" t="s">
        <v>9436</v>
      </c>
      <c r="BY120" s="7" t="s">
        <v>797</v>
      </c>
      <c r="BZ120" s="7" t="s">
        <v>8835</v>
      </c>
      <c r="CB120" t="s">
        <v>9282</v>
      </c>
      <c r="CC120" t="s">
        <v>10252</v>
      </c>
    </row>
    <row r="121" spans="66:81" customFormat="1" x14ac:dyDescent="0.25">
      <c r="BN121" s="7" t="s">
        <v>143</v>
      </c>
      <c r="BX121" s="7" t="s">
        <v>9437</v>
      </c>
      <c r="BY121" s="7" t="s">
        <v>797</v>
      </c>
      <c r="BZ121" s="7" t="s">
        <v>8835</v>
      </c>
      <c r="CB121" t="s">
        <v>9283</v>
      </c>
      <c r="CC121" t="s">
        <v>10252</v>
      </c>
    </row>
    <row r="122" spans="66:81" customFormat="1" x14ac:dyDescent="0.25">
      <c r="BN122" s="7" t="s">
        <v>144</v>
      </c>
      <c r="BX122" s="7" t="s">
        <v>9438</v>
      </c>
      <c r="BY122" s="7" t="s">
        <v>797</v>
      </c>
      <c r="BZ122" s="7" t="s">
        <v>8835</v>
      </c>
      <c r="CB122" t="s">
        <v>9284</v>
      </c>
      <c r="CC122" t="s">
        <v>10252</v>
      </c>
    </row>
    <row r="123" spans="66:81" customFormat="1" x14ac:dyDescent="0.25">
      <c r="BN123" s="7" t="s">
        <v>145</v>
      </c>
      <c r="BX123" s="7" t="s">
        <v>9439</v>
      </c>
      <c r="BY123" s="7" t="s">
        <v>797</v>
      </c>
      <c r="BZ123" s="7" t="s">
        <v>8835</v>
      </c>
      <c r="CB123" t="s">
        <v>9285</v>
      </c>
      <c r="CC123" t="s">
        <v>10252</v>
      </c>
    </row>
    <row r="124" spans="66:81" customFormat="1" x14ac:dyDescent="0.25">
      <c r="BN124" s="7" t="s">
        <v>146</v>
      </c>
      <c r="BX124" s="7" t="s">
        <v>9440</v>
      </c>
      <c r="BY124" s="7" t="s">
        <v>797</v>
      </c>
      <c r="BZ124" s="7" t="s">
        <v>8835</v>
      </c>
      <c r="CB124" t="s">
        <v>9286</v>
      </c>
      <c r="CC124" t="s">
        <v>10252</v>
      </c>
    </row>
    <row r="125" spans="66:81" customFormat="1" x14ac:dyDescent="0.25">
      <c r="BN125" s="7" t="s">
        <v>147</v>
      </c>
      <c r="BX125" s="7" t="s">
        <v>9441</v>
      </c>
      <c r="BY125" s="7" t="s">
        <v>797</v>
      </c>
      <c r="BZ125" s="7" t="s">
        <v>8835</v>
      </c>
      <c r="CB125" t="s">
        <v>9287</v>
      </c>
      <c r="CC125" t="s">
        <v>10252</v>
      </c>
    </row>
    <row r="126" spans="66:81" customFormat="1" x14ac:dyDescent="0.25">
      <c r="BN126" s="7" t="s">
        <v>149</v>
      </c>
      <c r="BX126" s="7" t="s">
        <v>9442</v>
      </c>
      <c r="BY126" s="7" t="s">
        <v>797</v>
      </c>
      <c r="BZ126" s="7" t="s">
        <v>8835</v>
      </c>
      <c r="CB126" t="s">
        <v>9288</v>
      </c>
      <c r="CC126" t="s">
        <v>10252</v>
      </c>
    </row>
    <row r="127" spans="66:81" customFormat="1" x14ac:dyDescent="0.25">
      <c r="BN127" s="7" t="s">
        <v>150</v>
      </c>
      <c r="BX127" s="7" t="s">
        <v>9443</v>
      </c>
      <c r="BY127" s="7" t="s">
        <v>797</v>
      </c>
      <c r="BZ127" s="7" t="s">
        <v>8835</v>
      </c>
      <c r="CB127" t="s">
        <v>9289</v>
      </c>
      <c r="CC127" t="s">
        <v>10252</v>
      </c>
    </row>
    <row r="128" spans="66:81" customFormat="1" x14ac:dyDescent="0.25">
      <c r="BN128" s="7" t="s">
        <v>151</v>
      </c>
      <c r="BX128" s="7" t="s">
        <v>9444</v>
      </c>
      <c r="BY128" s="7" t="s">
        <v>797</v>
      </c>
      <c r="BZ128" s="7" t="s">
        <v>8835</v>
      </c>
      <c r="CB128" t="s">
        <v>9290</v>
      </c>
      <c r="CC128" t="s">
        <v>10252</v>
      </c>
    </row>
    <row r="129" spans="66:81" customFormat="1" x14ac:dyDescent="0.25">
      <c r="BN129" s="39" t="s">
        <v>152</v>
      </c>
      <c r="BX129" s="7" t="s">
        <v>9445</v>
      </c>
      <c r="BY129" s="7" t="s">
        <v>797</v>
      </c>
      <c r="BZ129" s="7" t="s">
        <v>8835</v>
      </c>
      <c r="CB129" t="s">
        <v>9291</v>
      </c>
      <c r="CC129" t="s">
        <v>10252</v>
      </c>
    </row>
    <row r="130" spans="66:81" customFormat="1" x14ac:dyDescent="0.25">
      <c r="BN130" s="7" t="s">
        <v>153</v>
      </c>
      <c r="BX130" s="7" t="s">
        <v>9446</v>
      </c>
      <c r="BY130" s="7" t="s">
        <v>797</v>
      </c>
      <c r="BZ130" s="7" t="s">
        <v>8835</v>
      </c>
      <c r="CB130" t="s">
        <v>9292</v>
      </c>
      <c r="CC130" t="s">
        <v>10252</v>
      </c>
    </row>
    <row r="131" spans="66:81" customFormat="1" x14ac:dyDescent="0.25">
      <c r="BN131" s="7" t="s">
        <v>154</v>
      </c>
      <c r="BX131" s="7" t="s">
        <v>9447</v>
      </c>
      <c r="BY131" s="7" t="s">
        <v>797</v>
      </c>
      <c r="BZ131" s="7" t="s">
        <v>8835</v>
      </c>
      <c r="CB131" t="s">
        <v>9149</v>
      </c>
      <c r="CC131" t="s">
        <v>9176</v>
      </c>
    </row>
    <row r="132" spans="66:81" customFormat="1" x14ac:dyDescent="0.25">
      <c r="BN132" s="39" t="s">
        <v>148</v>
      </c>
      <c r="BX132" s="7" t="s">
        <v>9448</v>
      </c>
      <c r="BY132" s="7" t="s">
        <v>797</v>
      </c>
      <c r="BZ132" s="7" t="s">
        <v>8835</v>
      </c>
      <c r="CB132" t="s">
        <v>9150</v>
      </c>
      <c r="CC132" t="s">
        <v>9171</v>
      </c>
    </row>
    <row r="133" spans="66:81" customFormat="1" x14ac:dyDescent="0.25">
      <c r="BN133" s="7" t="s">
        <v>155</v>
      </c>
      <c r="BX133" s="7" t="s">
        <v>9449</v>
      </c>
      <c r="BY133" s="7" t="s">
        <v>797</v>
      </c>
      <c r="BZ133" s="7" t="s">
        <v>8835</v>
      </c>
      <c r="CB133" t="s">
        <v>9293</v>
      </c>
      <c r="CC133" t="s">
        <v>9171</v>
      </c>
    </row>
    <row r="134" spans="66:81" customFormat="1" x14ac:dyDescent="0.25">
      <c r="BN134" s="7" t="s">
        <v>156</v>
      </c>
      <c r="BX134" s="7" t="s">
        <v>9450</v>
      </c>
      <c r="BY134" s="7" t="s">
        <v>797</v>
      </c>
      <c r="BZ134" s="7" t="s">
        <v>8835</v>
      </c>
      <c r="CB134" t="s">
        <v>9294</v>
      </c>
      <c r="CC134" t="s">
        <v>9171</v>
      </c>
    </row>
    <row r="135" spans="66:81" customFormat="1" x14ac:dyDescent="0.25">
      <c r="BN135" s="7" t="s">
        <v>157</v>
      </c>
      <c r="BX135" s="7" t="s">
        <v>9451</v>
      </c>
      <c r="BY135" s="7" t="s">
        <v>797</v>
      </c>
      <c r="BZ135" s="7" t="s">
        <v>8835</v>
      </c>
      <c r="CB135" t="s">
        <v>9295</v>
      </c>
      <c r="CC135" t="s">
        <v>9171</v>
      </c>
    </row>
    <row r="136" spans="66:81" customFormat="1" x14ac:dyDescent="0.25">
      <c r="BN136" s="7" t="s">
        <v>158</v>
      </c>
      <c r="BX136" s="7" t="s">
        <v>9452</v>
      </c>
      <c r="BY136" s="7" t="s">
        <v>797</v>
      </c>
      <c r="BZ136" s="7" t="s">
        <v>8835</v>
      </c>
      <c r="CB136" t="s">
        <v>9296</v>
      </c>
      <c r="CC136" t="s">
        <v>9171</v>
      </c>
    </row>
    <row r="137" spans="66:81" customFormat="1" x14ac:dyDescent="0.25">
      <c r="BN137" s="7" t="s">
        <v>159</v>
      </c>
      <c r="BX137" s="7" t="s">
        <v>9453</v>
      </c>
      <c r="BY137" s="7" t="s">
        <v>797</v>
      </c>
      <c r="BZ137" s="7" t="s">
        <v>8835</v>
      </c>
      <c r="CB137" t="s">
        <v>9297</v>
      </c>
      <c r="CC137" t="s">
        <v>9171</v>
      </c>
    </row>
    <row r="138" spans="66:81" customFormat="1" x14ac:dyDescent="0.25">
      <c r="BN138" s="7" t="s">
        <v>160</v>
      </c>
      <c r="BX138" s="7" t="s">
        <v>9454</v>
      </c>
      <c r="BY138" s="7" t="s">
        <v>797</v>
      </c>
      <c r="BZ138" s="7" t="s">
        <v>8835</v>
      </c>
      <c r="CB138" t="s">
        <v>9298</v>
      </c>
      <c r="CC138" t="s">
        <v>9171</v>
      </c>
    </row>
    <row r="139" spans="66:81" customFormat="1" x14ac:dyDescent="0.25">
      <c r="BN139" s="7" t="s">
        <v>161</v>
      </c>
      <c r="BX139" s="7" t="s">
        <v>9455</v>
      </c>
      <c r="BY139" s="7" t="s">
        <v>797</v>
      </c>
      <c r="BZ139" s="7" t="s">
        <v>8835</v>
      </c>
      <c r="CB139" t="s">
        <v>9299</v>
      </c>
      <c r="CC139" t="s">
        <v>9171</v>
      </c>
    </row>
    <row r="140" spans="66:81" customFormat="1" x14ac:dyDescent="0.25">
      <c r="BN140" s="7" t="s">
        <v>162</v>
      </c>
      <c r="BX140" s="7" t="s">
        <v>9456</v>
      </c>
      <c r="BY140" s="7" t="s">
        <v>797</v>
      </c>
      <c r="BZ140" s="7" t="s">
        <v>8835</v>
      </c>
      <c r="CB140" t="s">
        <v>9300</v>
      </c>
      <c r="CC140" t="s">
        <v>9171</v>
      </c>
    </row>
    <row r="141" spans="66:81" customFormat="1" x14ac:dyDescent="0.25">
      <c r="BN141" s="7" t="s">
        <v>163</v>
      </c>
      <c r="BX141" s="7" t="s">
        <v>9457</v>
      </c>
      <c r="BY141" s="7" t="s">
        <v>797</v>
      </c>
      <c r="BZ141" s="7" t="s">
        <v>8835</v>
      </c>
      <c r="CB141" t="s">
        <v>9301</v>
      </c>
      <c r="CC141" t="s">
        <v>9171</v>
      </c>
    </row>
    <row r="142" spans="66:81" customFormat="1" x14ac:dyDescent="0.25">
      <c r="BN142" s="7" t="s">
        <v>164</v>
      </c>
      <c r="BX142" s="7" t="s">
        <v>9458</v>
      </c>
      <c r="BY142" s="7" t="s">
        <v>797</v>
      </c>
      <c r="BZ142" s="7" t="s">
        <v>8835</v>
      </c>
      <c r="CB142" t="s">
        <v>9302</v>
      </c>
      <c r="CC142" t="s">
        <v>9171</v>
      </c>
    </row>
    <row r="143" spans="66:81" customFormat="1" x14ac:dyDescent="0.25">
      <c r="BN143" s="7" t="s">
        <v>165</v>
      </c>
      <c r="BX143" s="7" t="s">
        <v>9459</v>
      </c>
      <c r="BY143" s="7" t="s">
        <v>797</v>
      </c>
      <c r="BZ143" s="7" t="s">
        <v>8835</v>
      </c>
      <c r="CB143" t="s">
        <v>9303</v>
      </c>
      <c r="CC143" t="s">
        <v>9171</v>
      </c>
    </row>
    <row r="144" spans="66:81" customFormat="1" x14ac:dyDescent="0.25">
      <c r="BN144" s="7" t="s">
        <v>166</v>
      </c>
      <c r="BX144" s="7" t="s">
        <v>9460</v>
      </c>
      <c r="BY144" s="7" t="s">
        <v>797</v>
      </c>
      <c r="BZ144" s="7" t="s">
        <v>8835</v>
      </c>
      <c r="CB144" t="s">
        <v>9304</v>
      </c>
      <c r="CC144" t="s">
        <v>9171</v>
      </c>
    </row>
    <row r="145" spans="66:81" customFormat="1" x14ac:dyDescent="0.25">
      <c r="BN145" s="7" t="s">
        <v>167</v>
      </c>
      <c r="BX145" s="7" t="s">
        <v>9461</v>
      </c>
      <c r="BY145" s="7" t="s">
        <v>797</v>
      </c>
      <c r="BZ145" s="7" t="s">
        <v>8835</v>
      </c>
      <c r="CB145" t="s">
        <v>9305</v>
      </c>
      <c r="CC145" t="s">
        <v>9171</v>
      </c>
    </row>
    <row r="146" spans="66:81" customFormat="1" x14ac:dyDescent="0.25">
      <c r="BN146" s="7" t="s">
        <v>168</v>
      </c>
      <c r="BX146" s="7" t="s">
        <v>9462</v>
      </c>
      <c r="BY146" s="7" t="s">
        <v>797</v>
      </c>
      <c r="BZ146" s="7" t="s">
        <v>8835</v>
      </c>
      <c r="CB146" t="s">
        <v>9306</v>
      </c>
      <c r="CC146" t="s">
        <v>9171</v>
      </c>
    </row>
    <row r="147" spans="66:81" customFormat="1" x14ac:dyDescent="0.25">
      <c r="BN147" s="7" t="s">
        <v>169</v>
      </c>
      <c r="BX147" s="7" t="s">
        <v>9463</v>
      </c>
      <c r="BY147" s="7" t="s">
        <v>797</v>
      </c>
      <c r="BZ147" s="7" t="s">
        <v>8835</v>
      </c>
      <c r="CB147" t="s">
        <v>9307</v>
      </c>
      <c r="CC147" t="s">
        <v>9171</v>
      </c>
    </row>
    <row r="148" spans="66:81" customFormat="1" x14ac:dyDescent="0.25">
      <c r="BN148" s="7" t="s">
        <v>170</v>
      </c>
      <c r="BX148" s="7" t="s">
        <v>9464</v>
      </c>
      <c r="BY148" s="7" t="s">
        <v>797</v>
      </c>
      <c r="BZ148" s="7" t="s">
        <v>8835</v>
      </c>
      <c r="CB148" t="s">
        <v>9308</v>
      </c>
      <c r="CC148" t="s">
        <v>9171</v>
      </c>
    </row>
    <row r="149" spans="66:81" customFormat="1" x14ac:dyDescent="0.25">
      <c r="BN149" s="7" t="s">
        <v>171</v>
      </c>
      <c r="BX149" s="7" t="s">
        <v>9465</v>
      </c>
      <c r="BY149" s="7" t="s">
        <v>797</v>
      </c>
      <c r="BZ149" s="7" t="s">
        <v>8835</v>
      </c>
      <c r="CB149" t="s">
        <v>9309</v>
      </c>
      <c r="CC149" t="s">
        <v>9171</v>
      </c>
    </row>
    <row r="150" spans="66:81" customFormat="1" x14ac:dyDescent="0.25">
      <c r="BN150" s="7" t="s">
        <v>172</v>
      </c>
      <c r="BX150" s="7" t="s">
        <v>9466</v>
      </c>
      <c r="BY150" s="7" t="s">
        <v>797</v>
      </c>
      <c r="BZ150" s="7" t="s">
        <v>8835</v>
      </c>
      <c r="CB150" t="s">
        <v>9310</v>
      </c>
      <c r="CC150" t="s">
        <v>9171</v>
      </c>
    </row>
    <row r="151" spans="66:81" customFormat="1" x14ac:dyDescent="0.25">
      <c r="BN151" s="7" t="s">
        <v>173</v>
      </c>
      <c r="BX151" s="7" t="s">
        <v>9467</v>
      </c>
      <c r="BY151" s="7" t="s">
        <v>797</v>
      </c>
      <c r="BZ151" s="7" t="s">
        <v>8835</v>
      </c>
      <c r="CB151" t="s">
        <v>9311</v>
      </c>
      <c r="CC151" t="s">
        <v>9171</v>
      </c>
    </row>
    <row r="152" spans="66:81" customFormat="1" x14ac:dyDescent="0.25">
      <c r="BN152" s="7" t="s">
        <v>174</v>
      </c>
      <c r="BX152" s="7" t="s">
        <v>9468</v>
      </c>
      <c r="BY152" s="7" t="s">
        <v>797</v>
      </c>
      <c r="BZ152" s="7" t="s">
        <v>8835</v>
      </c>
      <c r="CB152" t="s">
        <v>9151</v>
      </c>
      <c r="CC152" t="s">
        <v>9175</v>
      </c>
    </row>
    <row r="153" spans="66:81" customFormat="1" x14ac:dyDescent="0.25">
      <c r="BN153" s="7" t="s">
        <v>175</v>
      </c>
      <c r="BX153" s="7" t="s">
        <v>9469</v>
      </c>
      <c r="BY153" s="7" t="s">
        <v>797</v>
      </c>
      <c r="BZ153" s="7" t="s">
        <v>8835</v>
      </c>
      <c r="CB153" t="s">
        <v>9152</v>
      </c>
      <c r="CC153" t="s">
        <v>10255</v>
      </c>
    </row>
    <row r="154" spans="66:81" customFormat="1" x14ac:dyDescent="0.25">
      <c r="BN154" s="7" t="s">
        <v>176</v>
      </c>
      <c r="BX154" s="7" t="s">
        <v>9470</v>
      </c>
      <c r="BY154" s="7" t="s">
        <v>797</v>
      </c>
      <c r="BZ154" s="7" t="s">
        <v>8835</v>
      </c>
      <c r="CB154" t="s">
        <v>9153</v>
      </c>
      <c r="CC154" t="s">
        <v>9176</v>
      </c>
    </row>
    <row r="155" spans="66:81" customFormat="1" x14ac:dyDescent="0.25">
      <c r="BN155" s="7" t="s">
        <v>177</v>
      </c>
      <c r="BX155" s="7" t="s">
        <v>9471</v>
      </c>
      <c r="BY155" s="7" t="s">
        <v>797</v>
      </c>
      <c r="BZ155" s="7" t="s">
        <v>8835</v>
      </c>
      <c r="CB155" t="s">
        <v>10253</v>
      </c>
      <c r="CC155" t="s">
        <v>10254</v>
      </c>
    </row>
    <row r="156" spans="66:81" customFormat="1" x14ac:dyDescent="0.25">
      <c r="BN156" s="7" t="s">
        <v>178</v>
      </c>
      <c r="BX156" s="7" t="s">
        <v>9472</v>
      </c>
      <c r="BY156" s="7" t="s">
        <v>797</v>
      </c>
      <c r="BZ156" s="7" t="s">
        <v>8835</v>
      </c>
      <c r="CB156" t="s">
        <v>9154</v>
      </c>
      <c r="CC156" t="s">
        <v>9177</v>
      </c>
    </row>
    <row r="157" spans="66:81" customFormat="1" x14ac:dyDescent="0.25">
      <c r="BN157" s="7" t="s">
        <v>179</v>
      </c>
      <c r="BX157" s="7" t="s">
        <v>9473</v>
      </c>
      <c r="BY157" s="7" t="s">
        <v>797</v>
      </c>
      <c r="BZ157" s="7" t="s">
        <v>8835</v>
      </c>
      <c r="CB157" t="s">
        <v>9155</v>
      </c>
      <c r="CC157" t="s">
        <v>9171</v>
      </c>
    </row>
    <row r="158" spans="66:81" customFormat="1" x14ac:dyDescent="0.25">
      <c r="BN158" s="7" t="s">
        <v>180</v>
      </c>
      <c r="BX158" s="7" t="s">
        <v>9474</v>
      </c>
      <c r="BY158" s="7" t="s">
        <v>797</v>
      </c>
      <c r="BZ158" s="7" t="s">
        <v>8835</v>
      </c>
      <c r="CB158" t="s">
        <v>9156</v>
      </c>
      <c r="CC158" t="s">
        <v>9171</v>
      </c>
    </row>
    <row r="159" spans="66:81" customFormat="1" x14ac:dyDescent="0.25">
      <c r="BN159" s="7" t="s">
        <v>181</v>
      </c>
      <c r="BX159" s="7" t="s">
        <v>9475</v>
      </c>
      <c r="BY159" s="7" t="s">
        <v>797</v>
      </c>
      <c r="BZ159" s="7" t="s">
        <v>8835</v>
      </c>
      <c r="CB159" t="s">
        <v>9157</v>
      </c>
      <c r="CC159" t="s">
        <v>10256</v>
      </c>
    </row>
    <row r="160" spans="66:81" customFormat="1" x14ac:dyDescent="0.25">
      <c r="BN160" s="7" t="s">
        <v>182</v>
      </c>
      <c r="BX160" s="7" t="s">
        <v>9476</v>
      </c>
      <c r="BY160" s="7" t="s">
        <v>797</v>
      </c>
      <c r="BZ160" s="7" t="s">
        <v>8835</v>
      </c>
      <c r="CB160" t="s">
        <v>9158</v>
      </c>
      <c r="CC160" t="s">
        <v>9171</v>
      </c>
    </row>
    <row r="161" spans="66:81" customFormat="1" x14ac:dyDescent="0.25">
      <c r="BN161" s="7" t="s">
        <v>183</v>
      </c>
      <c r="BX161" s="7" t="s">
        <v>9477</v>
      </c>
      <c r="BY161" s="7" t="s">
        <v>797</v>
      </c>
      <c r="BZ161" s="7" t="s">
        <v>8835</v>
      </c>
      <c r="CB161" t="s">
        <v>10258</v>
      </c>
      <c r="CC161" t="s">
        <v>10257</v>
      </c>
    </row>
    <row r="162" spans="66:81" customFormat="1" x14ac:dyDescent="0.25">
      <c r="BN162" s="39" t="s">
        <v>8254</v>
      </c>
      <c r="BX162" s="7" t="s">
        <v>9478</v>
      </c>
      <c r="BY162" s="7" t="s">
        <v>797</v>
      </c>
      <c r="BZ162" s="7" t="s">
        <v>8835</v>
      </c>
      <c r="CB162" t="s">
        <v>9159</v>
      </c>
      <c r="CC162" t="s">
        <v>10257</v>
      </c>
    </row>
    <row r="163" spans="66:81" customFormat="1" x14ac:dyDescent="0.25">
      <c r="BN163" s="7" t="s">
        <v>185</v>
      </c>
      <c r="BX163" s="7" t="s">
        <v>9479</v>
      </c>
      <c r="BY163" s="7" t="s">
        <v>797</v>
      </c>
      <c r="BZ163" s="7" t="s">
        <v>8835</v>
      </c>
      <c r="CB163" t="s">
        <v>10259</v>
      </c>
      <c r="CC163" t="s">
        <v>10247</v>
      </c>
    </row>
    <row r="164" spans="66:81" customFormat="1" x14ac:dyDescent="0.25">
      <c r="BN164" s="7" t="s">
        <v>186</v>
      </c>
      <c r="BX164" s="7" t="s">
        <v>9480</v>
      </c>
      <c r="BY164" s="7" t="s">
        <v>797</v>
      </c>
      <c r="BZ164" s="7" t="s">
        <v>8835</v>
      </c>
      <c r="CB164" t="s">
        <v>10260</v>
      </c>
      <c r="CC164" t="s">
        <v>10247</v>
      </c>
    </row>
    <row r="165" spans="66:81" customFormat="1" x14ac:dyDescent="0.25">
      <c r="BN165" s="7" t="s">
        <v>187</v>
      </c>
      <c r="BX165" s="7" t="s">
        <v>9481</v>
      </c>
      <c r="BY165" s="7" t="s">
        <v>797</v>
      </c>
      <c r="BZ165" s="7" t="s">
        <v>8835</v>
      </c>
      <c r="CB165" t="s">
        <v>9160</v>
      </c>
      <c r="CC165" t="s">
        <v>10261</v>
      </c>
    </row>
    <row r="166" spans="66:81" customFormat="1" x14ac:dyDescent="0.25">
      <c r="BN166" s="7" t="s">
        <v>188</v>
      </c>
      <c r="BX166" s="7" t="s">
        <v>9482</v>
      </c>
      <c r="BY166" s="7" t="s">
        <v>797</v>
      </c>
      <c r="BZ166" s="7" t="s">
        <v>8835</v>
      </c>
      <c r="CB166" t="s">
        <v>10262</v>
      </c>
      <c r="CC166" t="s">
        <v>10247</v>
      </c>
    </row>
    <row r="167" spans="66:81" customFormat="1" x14ac:dyDescent="0.25">
      <c r="BN167" s="7" t="s">
        <v>189</v>
      </c>
      <c r="BX167" s="7" t="s">
        <v>9483</v>
      </c>
      <c r="BY167" s="7" t="s">
        <v>797</v>
      </c>
      <c r="BZ167" s="7" t="s">
        <v>8835</v>
      </c>
      <c r="CB167" t="s">
        <v>10263</v>
      </c>
      <c r="CC167" t="s">
        <v>10279</v>
      </c>
    </row>
    <row r="168" spans="66:81" customFormat="1" x14ac:dyDescent="0.25">
      <c r="BN168" s="7" t="s">
        <v>190</v>
      </c>
      <c r="BX168" s="7" t="s">
        <v>9484</v>
      </c>
      <c r="BY168" s="7" t="s">
        <v>797</v>
      </c>
      <c r="BZ168" s="7" t="s">
        <v>8835</v>
      </c>
      <c r="CB168" t="s">
        <v>10264</v>
      </c>
      <c r="CC168" t="s">
        <v>10279</v>
      </c>
    </row>
    <row r="169" spans="66:81" customFormat="1" x14ac:dyDescent="0.25">
      <c r="BN169" s="7" t="s">
        <v>191</v>
      </c>
      <c r="BX169" s="7" t="s">
        <v>9485</v>
      </c>
      <c r="BY169" s="7" t="s">
        <v>797</v>
      </c>
      <c r="BZ169" s="7" t="s">
        <v>8835</v>
      </c>
      <c r="CB169" t="s">
        <v>10265</v>
      </c>
      <c r="CC169" t="s">
        <v>10247</v>
      </c>
    </row>
    <row r="170" spans="66:81" customFormat="1" x14ac:dyDescent="0.25">
      <c r="BN170" s="7" t="s">
        <v>192</v>
      </c>
      <c r="BX170" s="7" t="s">
        <v>9486</v>
      </c>
      <c r="BY170" s="7" t="s">
        <v>797</v>
      </c>
      <c r="BZ170" s="7" t="s">
        <v>8835</v>
      </c>
      <c r="CB170" t="s">
        <v>9161</v>
      </c>
      <c r="CC170" t="s">
        <v>9171</v>
      </c>
    </row>
    <row r="171" spans="66:81" customFormat="1" x14ac:dyDescent="0.25">
      <c r="BN171" s="7" t="s">
        <v>193</v>
      </c>
      <c r="BX171" s="7" t="s">
        <v>9487</v>
      </c>
      <c r="BY171" s="7" t="s">
        <v>797</v>
      </c>
      <c r="BZ171" s="7" t="s">
        <v>8835</v>
      </c>
      <c r="CB171" t="s">
        <v>9162</v>
      </c>
      <c r="CC171" t="s">
        <v>9171</v>
      </c>
    </row>
    <row r="172" spans="66:81" customFormat="1" x14ac:dyDescent="0.25">
      <c r="BN172" s="7" t="s">
        <v>194</v>
      </c>
      <c r="BX172" s="7" t="s">
        <v>9488</v>
      </c>
      <c r="BY172" s="7" t="s">
        <v>797</v>
      </c>
      <c r="BZ172" s="7" t="s">
        <v>8835</v>
      </c>
      <c r="CB172" t="s">
        <v>9163</v>
      </c>
      <c r="CC172" t="s">
        <v>9171</v>
      </c>
    </row>
    <row r="173" spans="66:81" customFormat="1" x14ac:dyDescent="0.25">
      <c r="BN173" s="7" t="s">
        <v>195</v>
      </c>
      <c r="BX173" s="7" t="s">
        <v>9489</v>
      </c>
      <c r="BY173" s="7" t="s">
        <v>797</v>
      </c>
      <c r="BZ173" s="7" t="s">
        <v>8835</v>
      </c>
      <c r="CB173" t="s">
        <v>9164</v>
      </c>
      <c r="CC173" t="s">
        <v>9171</v>
      </c>
    </row>
    <row r="174" spans="66:81" customFormat="1" x14ac:dyDescent="0.25">
      <c r="BN174" s="7" t="s">
        <v>196</v>
      </c>
      <c r="BX174" s="7" t="s">
        <v>9490</v>
      </c>
      <c r="BY174" s="7" t="s">
        <v>797</v>
      </c>
      <c r="BZ174" s="7" t="s">
        <v>8835</v>
      </c>
      <c r="CB174" t="s">
        <v>9312</v>
      </c>
      <c r="CC174" t="s">
        <v>9171</v>
      </c>
    </row>
    <row r="175" spans="66:81" customFormat="1" x14ac:dyDescent="0.25">
      <c r="BN175" s="7" t="s">
        <v>197</v>
      </c>
      <c r="BX175" s="7" t="s">
        <v>9491</v>
      </c>
      <c r="BY175" s="7" t="s">
        <v>797</v>
      </c>
      <c r="BZ175" s="7" t="s">
        <v>8835</v>
      </c>
      <c r="CB175" t="s">
        <v>9313</v>
      </c>
      <c r="CC175" t="s">
        <v>9171</v>
      </c>
    </row>
    <row r="176" spans="66:81" customFormat="1" x14ac:dyDescent="0.25">
      <c r="BN176" s="7" t="s">
        <v>198</v>
      </c>
      <c r="BX176" s="7" t="s">
        <v>9492</v>
      </c>
      <c r="BY176" s="7" t="s">
        <v>797</v>
      </c>
      <c r="BZ176" s="7" t="s">
        <v>8835</v>
      </c>
      <c r="CB176" t="s">
        <v>9314</v>
      </c>
      <c r="CC176" t="s">
        <v>9171</v>
      </c>
    </row>
    <row r="177" spans="66:81" customFormat="1" x14ac:dyDescent="0.25">
      <c r="BN177" s="7" t="s">
        <v>199</v>
      </c>
      <c r="BX177" s="7" t="s">
        <v>9493</v>
      </c>
      <c r="BY177" s="7" t="s">
        <v>797</v>
      </c>
      <c r="BZ177" s="7" t="s">
        <v>8835</v>
      </c>
      <c r="CB177" t="s">
        <v>9315</v>
      </c>
      <c r="CC177" t="s">
        <v>9171</v>
      </c>
    </row>
    <row r="178" spans="66:81" customFormat="1" x14ac:dyDescent="0.25">
      <c r="BN178" s="7" t="s">
        <v>200</v>
      </c>
      <c r="BX178" s="7" t="s">
        <v>9494</v>
      </c>
      <c r="BY178" s="7" t="s">
        <v>797</v>
      </c>
      <c r="BZ178" s="7" t="s">
        <v>8835</v>
      </c>
      <c r="CB178" t="s">
        <v>9316</v>
      </c>
      <c r="CC178" t="s">
        <v>9171</v>
      </c>
    </row>
    <row r="179" spans="66:81" customFormat="1" x14ac:dyDescent="0.25">
      <c r="BN179" s="7" t="s">
        <v>201</v>
      </c>
      <c r="BX179" s="7" t="s">
        <v>9495</v>
      </c>
      <c r="BY179" s="7" t="s">
        <v>797</v>
      </c>
      <c r="BZ179" s="7" t="s">
        <v>8835</v>
      </c>
      <c r="CB179" t="s">
        <v>9317</v>
      </c>
      <c r="CC179" t="s">
        <v>9171</v>
      </c>
    </row>
    <row r="180" spans="66:81" customFormat="1" x14ac:dyDescent="0.25">
      <c r="BN180" s="7" t="s">
        <v>202</v>
      </c>
      <c r="BX180" s="7" t="s">
        <v>9496</v>
      </c>
      <c r="BY180" s="7" t="s">
        <v>797</v>
      </c>
      <c r="BZ180" s="7" t="s">
        <v>8835</v>
      </c>
      <c r="CB180" t="s">
        <v>9318</v>
      </c>
      <c r="CC180" t="s">
        <v>9171</v>
      </c>
    </row>
    <row r="181" spans="66:81" customFormat="1" x14ac:dyDescent="0.25">
      <c r="BN181" s="7" t="s">
        <v>203</v>
      </c>
      <c r="BX181" s="7" t="s">
        <v>9497</v>
      </c>
      <c r="BY181" s="7" t="s">
        <v>797</v>
      </c>
      <c r="BZ181" s="7" t="s">
        <v>8835</v>
      </c>
      <c r="CB181" t="s">
        <v>9319</v>
      </c>
      <c r="CC181" t="s">
        <v>9171</v>
      </c>
    </row>
    <row r="182" spans="66:81" customFormat="1" x14ac:dyDescent="0.25">
      <c r="BN182" s="7" t="s">
        <v>204</v>
      </c>
      <c r="BX182" s="7" t="s">
        <v>9498</v>
      </c>
      <c r="BY182" s="7" t="s">
        <v>797</v>
      </c>
      <c r="BZ182" s="7" t="s">
        <v>8835</v>
      </c>
      <c r="CB182" t="s">
        <v>9320</v>
      </c>
      <c r="CC182" t="s">
        <v>9171</v>
      </c>
    </row>
    <row r="183" spans="66:81" customFormat="1" x14ac:dyDescent="0.25">
      <c r="BN183" s="7" t="s">
        <v>205</v>
      </c>
      <c r="BX183" s="7" t="s">
        <v>9499</v>
      </c>
      <c r="BY183" s="7" t="s">
        <v>797</v>
      </c>
      <c r="BZ183" s="7" t="s">
        <v>8835</v>
      </c>
      <c r="CB183" t="s">
        <v>9165</v>
      </c>
      <c r="CC183" t="s">
        <v>9171</v>
      </c>
    </row>
    <row r="184" spans="66:81" customFormat="1" x14ac:dyDescent="0.25">
      <c r="BN184" s="7" t="s">
        <v>206</v>
      </c>
      <c r="BX184" s="7" t="s">
        <v>9500</v>
      </c>
      <c r="BY184" s="7" t="s">
        <v>797</v>
      </c>
      <c r="BZ184" s="7" t="s">
        <v>8835</v>
      </c>
      <c r="CB184" t="s">
        <v>9166</v>
      </c>
      <c r="CC184" t="s">
        <v>9171</v>
      </c>
    </row>
    <row r="185" spans="66:81" customFormat="1" x14ac:dyDescent="0.25">
      <c r="BN185" s="39" t="s">
        <v>5927</v>
      </c>
      <c r="BX185" s="7" t="s">
        <v>9501</v>
      </c>
      <c r="BY185" s="7" t="s">
        <v>797</v>
      </c>
      <c r="BZ185" s="7" t="s">
        <v>8835</v>
      </c>
      <c r="CB185" t="s">
        <v>9167</v>
      </c>
      <c r="CC185" t="s">
        <v>10275</v>
      </c>
    </row>
    <row r="186" spans="66:81" customFormat="1" x14ac:dyDescent="0.25">
      <c r="BN186" s="7" t="s">
        <v>207</v>
      </c>
      <c r="BX186" s="7" t="s">
        <v>9502</v>
      </c>
      <c r="BY186" s="7" t="s">
        <v>797</v>
      </c>
      <c r="BZ186" s="7" t="s">
        <v>8835</v>
      </c>
      <c r="CB186" t="s">
        <v>10277</v>
      </c>
      <c r="CC186" t="s">
        <v>10275</v>
      </c>
    </row>
    <row r="187" spans="66:81" customFormat="1" x14ac:dyDescent="0.25">
      <c r="BN187" s="7" t="s">
        <v>208</v>
      </c>
      <c r="BX187" s="7" t="s">
        <v>9503</v>
      </c>
      <c r="BY187" s="7" t="s">
        <v>797</v>
      </c>
      <c r="BZ187" s="7" t="s">
        <v>8835</v>
      </c>
      <c r="CB187" t="s">
        <v>10266</v>
      </c>
      <c r="CC187" t="s">
        <v>10247</v>
      </c>
    </row>
    <row r="188" spans="66:81" customFormat="1" x14ac:dyDescent="0.25">
      <c r="BN188" s="7" t="s">
        <v>209</v>
      </c>
      <c r="BX188" s="7" t="s">
        <v>9504</v>
      </c>
      <c r="BY188" s="7" t="s">
        <v>797</v>
      </c>
      <c r="BZ188" s="7" t="s">
        <v>8835</v>
      </c>
      <c r="CB188" t="s">
        <v>10267</v>
      </c>
      <c r="CC188" t="s">
        <v>10247</v>
      </c>
    </row>
    <row r="189" spans="66:81" customFormat="1" x14ac:dyDescent="0.25">
      <c r="BN189" s="7" t="s">
        <v>210</v>
      </c>
      <c r="BX189" s="7" t="s">
        <v>9505</v>
      </c>
      <c r="BY189" s="7" t="s">
        <v>797</v>
      </c>
      <c r="BZ189" s="7" t="s">
        <v>8835</v>
      </c>
      <c r="CB189" t="s">
        <v>9168</v>
      </c>
      <c r="CC189" t="s">
        <v>9171</v>
      </c>
    </row>
    <row r="190" spans="66:81" customFormat="1" x14ac:dyDescent="0.25">
      <c r="BN190" s="7" t="s">
        <v>211</v>
      </c>
      <c r="BX190" s="7" t="s">
        <v>9506</v>
      </c>
      <c r="BY190" s="7" t="s">
        <v>797</v>
      </c>
      <c r="BZ190" s="7" t="s">
        <v>8835</v>
      </c>
      <c r="CB190" t="s">
        <v>9169</v>
      </c>
      <c r="CC190" t="s">
        <v>9171</v>
      </c>
    </row>
    <row r="191" spans="66:81" customFormat="1" x14ac:dyDescent="0.25">
      <c r="BN191" s="7" t="s">
        <v>212</v>
      </c>
      <c r="BX191" s="7" t="s">
        <v>9507</v>
      </c>
      <c r="BY191" s="7" t="s">
        <v>797</v>
      </c>
      <c r="BZ191" s="7" t="s">
        <v>8835</v>
      </c>
      <c r="CB191" t="s">
        <v>10268</v>
      </c>
      <c r="CC191" t="s">
        <v>10247</v>
      </c>
    </row>
    <row r="192" spans="66:81" customFormat="1" x14ac:dyDescent="0.25">
      <c r="BN192" s="7" t="s">
        <v>213</v>
      </c>
      <c r="BX192" s="7" t="s">
        <v>9508</v>
      </c>
      <c r="BY192" s="7" t="s">
        <v>797</v>
      </c>
      <c r="BZ192" s="7" t="s">
        <v>8835</v>
      </c>
      <c r="CB192" t="s">
        <v>10269</v>
      </c>
      <c r="CC192" t="s">
        <v>10247</v>
      </c>
    </row>
    <row r="193" spans="66:81" customFormat="1" x14ac:dyDescent="0.25">
      <c r="BN193" s="7" t="s">
        <v>214</v>
      </c>
      <c r="BX193" s="7" t="s">
        <v>9509</v>
      </c>
      <c r="BY193" s="7" t="s">
        <v>797</v>
      </c>
      <c r="BZ193" s="7" t="s">
        <v>8835</v>
      </c>
      <c r="CB193" t="s">
        <v>10270</v>
      </c>
      <c r="CC193" t="s">
        <v>9171</v>
      </c>
    </row>
    <row r="194" spans="66:81" customFormat="1" x14ac:dyDescent="0.25">
      <c r="BN194" s="7" t="s">
        <v>215</v>
      </c>
      <c r="BX194" s="7" t="s">
        <v>9510</v>
      </c>
      <c r="BY194" s="7" t="s">
        <v>797</v>
      </c>
      <c r="BZ194" s="7" t="s">
        <v>8835</v>
      </c>
      <c r="CB194" t="s">
        <v>10271</v>
      </c>
      <c r="CC194" t="s">
        <v>9171</v>
      </c>
    </row>
    <row r="195" spans="66:81" customFormat="1" x14ac:dyDescent="0.25">
      <c r="BN195" s="7" t="s">
        <v>216</v>
      </c>
      <c r="BX195" s="7" t="s">
        <v>9511</v>
      </c>
      <c r="BY195" s="7" t="s">
        <v>797</v>
      </c>
      <c r="BZ195" s="7" t="s">
        <v>8835</v>
      </c>
      <c r="CB195" t="s">
        <v>10272</v>
      </c>
      <c r="CC195" t="s">
        <v>9171</v>
      </c>
    </row>
    <row r="196" spans="66:81" customFormat="1" x14ac:dyDescent="0.25">
      <c r="BN196" s="7" t="s">
        <v>217</v>
      </c>
      <c r="BX196" s="7" t="s">
        <v>9512</v>
      </c>
      <c r="BY196" s="7" t="s">
        <v>797</v>
      </c>
      <c r="BZ196" s="7" t="s">
        <v>8835</v>
      </c>
      <c r="CB196" t="s">
        <v>10273</v>
      </c>
      <c r="CC196" t="s">
        <v>9171</v>
      </c>
    </row>
    <row r="197" spans="66:81" customFormat="1" x14ac:dyDescent="0.25">
      <c r="BN197" s="7" t="s">
        <v>218</v>
      </c>
      <c r="BX197" s="7" t="s">
        <v>9513</v>
      </c>
      <c r="BY197" s="7" t="s">
        <v>797</v>
      </c>
      <c r="BZ197" s="7" t="s">
        <v>8835</v>
      </c>
      <c r="CB197" t="s">
        <v>10274</v>
      </c>
      <c r="CC197" t="s">
        <v>9171</v>
      </c>
    </row>
    <row r="198" spans="66:81" customFormat="1" x14ac:dyDescent="0.25">
      <c r="BN198" s="7" t="s">
        <v>219</v>
      </c>
      <c r="BX198" s="7" t="s">
        <v>9514</v>
      </c>
      <c r="BY198" s="7" t="s">
        <v>797</v>
      </c>
      <c r="BZ198" s="7" t="s">
        <v>8835</v>
      </c>
    </row>
    <row r="199" spans="66:81" customFormat="1" x14ac:dyDescent="0.25">
      <c r="BN199" s="7" t="s">
        <v>220</v>
      </c>
      <c r="BX199" s="7" t="s">
        <v>9515</v>
      </c>
      <c r="BY199" s="7" t="s">
        <v>797</v>
      </c>
      <c r="BZ199" s="7" t="s">
        <v>8835</v>
      </c>
    </row>
    <row r="200" spans="66:81" customFormat="1" x14ac:dyDescent="0.25">
      <c r="BN200" s="7" t="s">
        <v>221</v>
      </c>
      <c r="BX200" s="7" t="s">
        <v>9516</v>
      </c>
      <c r="BY200" s="7" t="s">
        <v>797</v>
      </c>
      <c r="BZ200" s="7" t="s">
        <v>8835</v>
      </c>
    </row>
    <row r="201" spans="66:81" customFormat="1" x14ac:dyDescent="0.25">
      <c r="BN201" s="7" t="s">
        <v>222</v>
      </c>
      <c r="BX201" s="7" t="s">
        <v>9517</v>
      </c>
      <c r="BY201" s="7" t="s">
        <v>797</v>
      </c>
      <c r="BZ201" s="7" t="s">
        <v>8835</v>
      </c>
    </row>
    <row r="202" spans="66:81" customFormat="1" x14ac:dyDescent="0.25">
      <c r="BN202" s="7" t="s">
        <v>223</v>
      </c>
      <c r="BX202" s="7" t="s">
        <v>9518</v>
      </c>
      <c r="BY202" s="7" t="s">
        <v>797</v>
      </c>
      <c r="BZ202" s="7" t="s">
        <v>8835</v>
      </c>
    </row>
    <row r="203" spans="66:81" customFormat="1" x14ac:dyDescent="0.25">
      <c r="BN203" s="7" t="s">
        <v>224</v>
      </c>
      <c r="BX203" s="7" t="s">
        <v>9519</v>
      </c>
      <c r="BY203" s="7" t="s">
        <v>797</v>
      </c>
      <c r="BZ203" s="7" t="s">
        <v>8835</v>
      </c>
    </row>
    <row r="204" spans="66:81" customFormat="1" x14ac:dyDescent="0.25">
      <c r="BN204" s="7" t="s">
        <v>225</v>
      </c>
      <c r="BX204" s="7" t="s">
        <v>9520</v>
      </c>
      <c r="BY204" s="7" t="s">
        <v>797</v>
      </c>
      <c r="BZ204" s="7" t="s">
        <v>8835</v>
      </c>
    </row>
    <row r="205" spans="66:81" customFormat="1" x14ac:dyDescent="0.25">
      <c r="BN205" s="7" t="s">
        <v>226</v>
      </c>
      <c r="BX205" s="7" t="s">
        <v>9521</v>
      </c>
      <c r="BY205" s="7" t="s">
        <v>797</v>
      </c>
      <c r="BZ205" s="7" t="s">
        <v>8835</v>
      </c>
    </row>
    <row r="206" spans="66:81" customFormat="1" x14ac:dyDescent="0.25">
      <c r="BN206" s="7" t="s">
        <v>227</v>
      </c>
      <c r="BX206" s="7" t="s">
        <v>9522</v>
      </c>
      <c r="BY206" s="7" t="s">
        <v>797</v>
      </c>
      <c r="BZ206" s="7" t="s">
        <v>8835</v>
      </c>
    </row>
    <row r="207" spans="66:81" customFormat="1" x14ac:dyDescent="0.25">
      <c r="BN207" s="7" t="s">
        <v>228</v>
      </c>
      <c r="BX207" s="7" t="s">
        <v>9523</v>
      </c>
      <c r="BY207" s="7" t="s">
        <v>797</v>
      </c>
      <c r="BZ207" s="7" t="s">
        <v>8835</v>
      </c>
    </row>
    <row r="208" spans="66:81" customFormat="1" x14ac:dyDescent="0.25">
      <c r="BN208" s="7" t="s">
        <v>229</v>
      </c>
      <c r="BX208" s="7" t="s">
        <v>9524</v>
      </c>
      <c r="BY208" s="7" t="s">
        <v>797</v>
      </c>
      <c r="BZ208" s="7" t="s">
        <v>8835</v>
      </c>
    </row>
    <row r="209" spans="66:78" customFormat="1" x14ac:dyDescent="0.25">
      <c r="BN209" s="7" t="s">
        <v>230</v>
      </c>
      <c r="BX209" s="7" t="s">
        <v>9525</v>
      </c>
      <c r="BY209" s="7" t="s">
        <v>797</v>
      </c>
      <c r="BZ209" s="7" t="s">
        <v>8835</v>
      </c>
    </row>
    <row r="210" spans="66:78" customFormat="1" x14ac:dyDescent="0.25">
      <c r="BN210" s="7" t="s">
        <v>231</v>
      </c>
      <c r="BX210" s="7" t="s">
        <v>9526</v>
      </c>
      <c r="BY210" s="7" t="s">
        <v>797</v>
      </c>
      <c r="BZ210" s="7" t="s">
        <v>8835</v>
      </c>
    </row>
    <row r="211" spans="66:78" customFormat="1" x14ac:dyDescent="0.25">
      <c r="BN211" s="7" t="s">
        <v>232</v>
      </c>
      <c r="BX211" s="7" t="s">
        <v>9527</v>
      </c>
      <c r="BY211" s="7" t="s">
        <v>797</v>
      </c>
      <c r="BZ211" s="7" t="s">
        <v>8835</v>
      </c>
    </row>
    <row r="212" spans="66:78" customFormat="1" x14ac:dyDescent="0.25">
      <c r="BN212" s="7" t="s">
        <v>233</v>
      </c>
      <c r="BX212" s="7" t="s">
        <v>9528</v>
      </c>
      <c r="BY212" s="7" t="s">
        <v>797</v>
      </c>
      <c r="BZ212" s="7" t="s">
        <v>8835</v>
      </c>
    </row>
    <row r="213" spans="66:78" customFormat="1" x14ac:dyDescent="0.25">
      <c r="BN213" s="7" t="s">
        <v>234</v>
      </c>
      <c r="BX213" s="7" t="s">
        <v>9529</v>
      </c>
      <c r="BY213" s="7" t="s">
        <v>797</v>
      </c>
      <c r="BZ213" s="7" t="s">
        <v>8835</v>
      </c>
    </row>
    <row r="214" spans="66:78" customFormat="1" x14ac:dyDescent="0.25">
      <c r="BN214" s="7" t="s">
        <v>235</v>
      </c>
      <c r="BX214" s="7" t="s">
        <v>9530</v>
      </c>
      <c r="BY214" s="7" t="s">
        <v>797</v>
      </c>
      <c r="BZ214" s="7" t="s">
        <v>8835</v>
      </c>
    </row>
    <row r="215" spans="66:78" customFormat="1" x14ac:dyDescent="0.25">
      <c r="BN215" s="7" t="s">
        <v>236</v>
      </c>
      <c r="BX215" s="7" t="s">
        <v>9531</v>
      </c>
      <c r="BY215" s="7" t="s">
        <v>797</v>
      </c>
      <c r="BZ215" s="7" t="s">
        <v>8835</v>
      </c>
    </row>
    <row r="216" spans="66:78" customFormat="1" x14ac:dyDescent="0.25">
      <c r="BN216" s="7" t="s">
        <v>237</v>
      </c>
      <c r="BX216" s="7" t="s">
        <v>9532</v>
      </c>
      <c r="BY216" s="7" t="s">
        <v>797</v>
      </c>
      <c r="BZ216" s="7" t="s">
        <v>8835</v>
      </c>
    </row>
    <row r="217" spans="66:78" customFormat="1" x14ac:dyDescent="0.25">
      <c r="BN217" s="7" t="s">
        <v>238</v>
      </c>
      <c r="BX217" s="7" t="s">
        <v>9533</v>
      </c>
      <c r="BY217" s="7" t="s">
        <v>797</v>
      </c>
      <c r="BZ217" s="7" t="s">
        <v>8835</v>
      </c>
    </row>
    <row r="218" spans="66:78" customFormat="1" x14ac:dyDescent="0.25">
      <c r="BN218" s="7" t="s">
        <v>239</v>
      </c>
      <c r="BX218" s="7" t="s">
        <v>9534</v>
      </c>
      <c r="BY218" s="7" t="s">
        <v>797</v>
      </c>
      <c r="BZ218" s="7" t="s">
        <v>8835</v>
      </c>
    </row>
    <row r="219" spans="66:78" customFormat="1" x14ac:dyDescent="0.25">
      <c r="BN219" s="7" t="s">
        <v>240</v>
      </c>
      <c r="BX219" s="7" t="s">
        <v>9535</v>
      </c>
      <c r="BY219" s="7" t="s">
        <v>797</v>
      </c>
      <c r="BZ219" s="7" t="s">
        <v>8835</v>
      </c>
    </row>
    <row r="220" spans="66:78" customFormat="1" x14ac:dyDescent="0.25">
      <c r="BN220" s="7" t="s">
        <v>241</v>
      </c>
      <c r="BX220" s="7" t="s">
        <v>9536</v>
      </c>
      <c r="BY220" s="7" t="s">
        <v>797</v>
      </c>
      <c r="BZ220" s="7" t="s">
        <v>8835</v>
      </c>
    </row>
    <row r="221" spans="66:78" customFormat="1" x14ac:dyDescent="0.25">
      <c r="BN221" s="39" t="s">
        <v>5546</v>
      </c>
      <c r="BX221" s="7" t="s">
        <v>9537</v>
      </c>
      <c r="BY221" s="7" t="s">
        <v>797</v>
      </c>
      <c r="BZ221" s="7" t="s">
        <v>8835</v>
      </c>
    </row>
    <row r="222" spans="66:78" customFormat="1" x14ac:dyDescent="0.25">
      <c r="BN222" s="7" t="s">
        <v>242</v>
      </c>
      <c r="BX222" s="7" t="s">
        <v>9538</v>
      </c>
      <c r="BY222" s="7" t="s">
        <v>797</v>
      </c>
      <c r="BZ222" s="7" t="s">
        <v>8835</v>
      </c>
    </row>
    <row r="223" spans="66:78" customFormat="1" x14ac:dyDescent="0.25">
      <c r="BN223" s="7" t="s">
        <v>243</v>
      </c>
      <c r="BX223" s="7" t="s">
        <v>9539</v>
      </c>
      <c r="BY223" s="7" t="s">
        <v>797</v>
      </c>
      <c r="BZ223" s="7" t="s">
        <v>8835</v>
      </c>
    </row>
    <row r="224" spans="66:78" customFormat="1" x14ac:dyDescent="0.25">
      <c r="BN224" s="7" t="s">
        <v>244</v>
      </c>
      <c r="BX224" s="7" t="s">
        <v>9540</v>
      </c>
      <c r="BY224" s="7" t="s">
        <v>797</v>
      </c>
      <c r="BZ224" s="7" t="s">
        <v>8835</v>
      </c>
    </row>
    <row r="225" spans="66:78" customFormat="1" x14ac:dyDescent="0.25">
      <c r="BN225" s="7" t="s">
        <v>245</v>
      </c>
      <c r="BX225" s="7" t="s">
        <v>9541</v>
      </c>
      <c r="BY225" s="7" t="s">
        <v>797</v>
      </c>
      <c r="BZ225" s="7" t="s">
        <v>8835</v>
      </c>
    </row>
    <row r="226" spans="66:78" customFormat="1" x14ac:dyDescent="0.25">
      <c r="BN226" s="7" t="s">
        <v>246</v>
      </c>
      <c r="BX226" s="7" t="s">
        <v>9542</v>
      </c>
      <c r="BY226" s="7" t="s">
        <v>797</v>
      </c>
      <c r="BZ226" s="7" t="s">
        <v>8835</v>
      </c>
    </row>
    <row r="227" spans="66:78" customFormat="1" x14ac:dyDescent="0.25">
      <c r="BN227" s="7" t="s">
        <v>247</v>
      </c>
      <c r="BX227" s="7" t="s">
        <v>9543</v>
      </c>
      <c r="BY227" s="7" t="s">
        <v>797</v>
      </c>
      <c r="BZ227" s="7" t="s">
        <v>8835</v>
      </c>
    </row>
    <row r="228" spans="66:78" customFormat="1" x14ac:dyDescent="0.25">
      <c r="BN228" s="7" t="s">
        <v>248</v>
      </c>
      <c r="BX228" s="7" t="s">
        <v>9544</v>
      </c>
      <c r="BY228" s="7" t="s">
        <v>797</v>
      </c>
      <c r="BZ228" s="7" t="s">
        <v>8835</v>
      </c>
    </row>
    <row r="229" spans="66:78" customFormat="1" x14ac:dyDescent="0.25">
      <c r="BN229" s="7" t="s">
        <v>249</v>
      </c>
      <c r="BX229" s="7" t="s">
        <v>9545</v>
      </c>
      <c r="BY229" s="7" t="s">
        <v>797</v>
      </c>
      <c r="BZ229" s="7" t="s">
        <v>8835</v>
      </c>
    </row>
    <row r="230" spans="66:78" customFormat="1" x14ac:dyDescent="0.25">
      <c r="BN230" s="7" t="s">
        <v>250</v>
      </c>
      <c r="BX230" s="7" t="s">
        <v>9546</v>
      </c>
      <c r="BY230" s="7" t="s">
        <v>797</v>
      </c>
      <c r="BZ230" s="7" t="s">
        <v>8835</v>
      </c>
    </row>
    <row r="231" spans="66:78" customFormat="1" x14ac:dyDescent="0.25">
      <c r="BN231" s="7" t="s">
        <v>251</v>
      </c>
      <c r="BX231" s="7" t="s">
        <v>9547</v>
      </c>
      <c r="BY231" s="7" t="s">
        <v>797</v>
      </c>
      <c r="BZ231" s="7" t="s">
        <v>8835</v>
      </c>
    </row>
    <row r="232" spans="66:78" customFormat="1" x14ac:dyDescent="0.25">
      <c r="BN232" s="7" t="s">
        <v>252</v>
      </c>
      <c r="BX232" s="7" t="s">
        <v>9548</v>
      </c>
      <c r="BY232" s="7" t="s">
        <v>797</v>
      </c>
      <c r="BZ232" s="7" t="s">
        <v>8835</v>
      </c>
    </row>
    <row r="233" spans="66:78" customFormat="1" x14ac:dyDescent="0.25">
      <c r="BN233" s="7" t="s">
        <v>253</v>
      </c>
      <c r="BX233" s="7" t="s">
        <v>9549</v>
      </c>
      <c r="BY233" s="7" t="s">
        <v>797</v>
      </c>
      <c r="BZ233" s="7" t="s">
        <v>8835</v>
      </c>
    </row>
    <row r="234" spans="66:78" customFormat="1" x14ac:dyDescent="0.25">
      <c r="BN234" s="7" t="s">
        <v>254</v>
      </c>
      <c r="BX234" s="7" t="s">
        <v>9550</v>
      </c>
      <c r="BY234" s="7" t="s">
        <v>797</v>
      </c>
      <c r="BZ234" s="7" t="s">
        <v>8835</v>
      </c>
    </row>
    <row r="235" spans="66:78" customFormat="1" x14ac:dyDescent="0.25">
      <c r="BN235" s="7" t="s">
        <v>255</v>
      </c>
      <c r="BX235" s="7" t="s">
        <v>9551</v>
      </c>
      <c r="BY235" s="7" t="s">
        <v>797</v>
      </c>
      <c r="BZ235" s="7" t="s">
        <v>8835</v>
      </c>
    </row>
    <row r="236" spans="66:78" customFormat="1" x14ac:dyDescent="0.25">
      <c r="BN236" s="7" t="s">
        <v>256</v>
      </c>
      <c r="BX236" s="7" t="s">
        <v>9552</v>
      </c>
      <c r="BY236" s="7" t="s">
        <v>797</v>
      </c>
      <c r="BZ236" s="7" t="s">
        <v>8835</v>
      </c>
    </row>
    <row r="237" spans="66:78" customFormat="1" x14ac:dyDescent="0.25">
      <c r="BN237" s="7" t="s">
        <v>257</v>
      </c>
      <c r="BX237" s="7" t="s">
        <v>9553</v>
      </c>
      <c r="BY237" s="7" t="s">
        <v>797</v>
      </c>
      <c r="BZ237" s="7" t="s">
        <v>8835</v>
      </c>
    </row>
    <row r="238" spans="66:78" customFormat="1" x14ac:dyDescent="0.25">
      <c r="BN238" s="7" t="s">
        <v>258</v>
      </c>
      <c r="BX238" s="7" t="s">
        <v>9554</v>
      </c>
      <c r="BY238" s="7" t="s">
        <v>797</v>
      </c>
      <c r="BZ238" s="7" t="s">
        <v>8835</v>
      </c>
    </row>
    <row r="239" spans="66:78" customFormat="1" x14ac:dyDescent="0.25">
      <c r="BN239" s="7" t="s">
        <v>259</v>
      </c>
      <c r="BX239" s="7" t="s">
        <v>9555</v>
      </c>
      <c r="BY239" s="7" t="s">
        <v>797</v>
      </c>
      <c r="BZ239" s="7" t="s">
        <v>8835</v>
      </c>
    </row>
    <row r="240" spans="66:78" customFormat="1" x14ac:dyDescent="0.25">
      <c r="BN240" s="7" t="s">
        <v>260</v>
      </c>
      <c r="BX240" s="7" t="s">
        <v>9556</v>
      </c>
      <c r="BY240" s="7" t="s">
        <v>797</v>
      </c>
      <c r="BZ240" s="7" t="s">
        <v>8835</v>
      </c>
    </row>
    <row r="241" spans="66:78" customFormat="1" x14ac:dyDescent="0.25">
      <c r="BN241" s="7" t="s">
        <v>261</v>
      </c>
      <c r="BX241" s="7" t="s">
        <v>9557</v>
      </c>
      <c r="BY241" s="7" t="s">
        <v>797</v>
      </c>
      <c r="BZ241" s="7" t="s">
        <v>8835</v>
      </c>
    </row>
    <row r="242" spans="66:78" customFormat="1" x14ac:dyDescent="0.25">
      <c r="BN242" s="7" t="s">
        <v>262</v>
      </c>
      <c r="BX242" s="7" t="s">
        <v>9558</v>
      </c>
      <c r="BY242" s="7" t="s">
        <v>797</v>
      </c>
      <c r="BZ242" s="7" t="s">
        <v>8835</v>
      </c>
    </row>
    <row r="243" spans="66:78" customFormat="1" x14ac:dyDescent="0.25">
      <c r="BN243" s="7" t="s">
        <v>263</v>
      </c>
      <c r="BX243" s="7" t="s">
        <v>9559</v>
      </c>
      <c r="BY243" s="7" t="s">
        <v>797</v>
      </c>
      <c r="BZ243" s="7" t="s">
        <v>8835</v>
      </c>
    </row>
    <row r="244" spans="66:78" customFormat="1" x14ac:dyDescent="0.25">
      <c r="BN244" s="7" t="s">
        <v>264</v>
      </c>
      <c r="BX244" s="7" t="s">
        <v>9560</v>
      </c>
      <c r="BY244" s="7" t="s">
        <v>797</v>
      </c>
      <c r="BZ244" s="7" t="s">
        <v>8835</v>
      </c>
    </row>
    <row r="245" spans="66:78" customFormat="1" x14ac:dyDescent="0.25">
      <c r="BN245" s="7" t="s">
        <v>265</v>
      </c>
      <c r="BX245" s="7" t="s">
        <v>9561</v>
      </c>
      <c r="BY245" s="7" t="s">
        <v>797</v>
      </c>
      <c r="BZ245" s="7" t="s">
        <v>8835</v>
      </c>
    </row>
    <row r="246" spans="66:78" customFormat="1" x14ac:dyDescent="0.25">
      <c r="BN246" s="7" t="s">
        <v>266</v>
      </c>
      <c r="BX246" s="7" t="s">
        <v>9562</v>
      </c>
      <c r="BY246" s="7" t="s">
        <v>797</v>
      </c>
      <c r="BZ246" s="7" t="s">
        <v>8835</v>
      </c>
    </row>
    <row r="247" spans="66:78" customFormat="1" x14ac:dyDescent="0.25">
      <c r="BN247" s="7" t="s">
        <v>267</v>
      </c>
      <c r="BX247" s="7" t="s">
        <v>9563</v>
      </c>
      <c r="BY247" s="7" t="s">
        <v>797</v>
      </c>
      <c r="BZ247" s="7" t="s">
        <v>8835</v>
      </c>
    </row>
    <row r="248" spans="66:78" customFormat="1" x14ac:dyDescent="0.25">
      <c r="BN248" s="7" t="s">
        <v>268</v>
      </c>
      <c r="BX248" s="7" t="s">
        <v>9564</v>
      </c>
      <c r="BY248" s="7" t="s">
        <v>797</v>
      </c>
      <c r="BZ248" s="7" t="s">
        <v>8835</v>
      </c>
    </row>
    <row r="249" spans="66:78" customFormat="1" x14ac:dyDescent="0.25">
      <c r="BN249" s="7" t="s">
        <v>269</v>
      </c>
      <c r="BX249" s="7" t="s">
        <v>9565</v>
      </c>
      <c r="BY249" s="7" t="s">
        <v>797</v>
      </c>
      <c r="BZ249" s="7" t="s">
        <v>8835</v>
      </c>
    </row>
    <row r="250" spans="66:78" customFormat="1" x14ac:dyDescent="0.25">
      <c r="BN250" s="7" t="s">
        <v>270</v>
      </c>
      <c r="BX250" s="7" t="s">
        <v>9566</v>
      </c>
      <c r="BY250" s="7" t="s">
        <v>797</v>
      </c>
      <c r="BZ250" s="7" t="s">
        <v>8835</v>
      </c>
    </row>
    <row r="251" spans="66:78" customFormat="1" x14ac:dyDescent="0.25">
      <c r="BN251" s="7" t="s">
        <v>271</v>
      </c>
      <c r="BX251" s="7" t="s">
        <v>9567</v>
      </c>
      <c r="BY251" s="7" t="s">
        <v>797</v>
      </c>
      <c r="BZ251" s="7" t="s">
        <v>8835</v>
      </c>
    </row>
    <row r="252" spans="66:78" customFormat="1" x14ac:dyDescent="0.25">
      <c r="BN252" s="7" t="s">
        <v>272</v>
      </c>
      <c r="BX252" s="7" t="s">
        <v>9568</v>
      </c>
      <c r="BY252" s="7" t="s">
        <v>797</v>
      </c>
      <c r="BZ252" s="7" t="s">
        <v>8835</v>
      </c>
    </row>
    <row r="253" spans="66:78" customFormat="1" x14ac:dyDescent="0.25">
      <c r="BN253" s="7" t="s">
        <v>273</v>
      </c>
      <c r="BX253" s="7" t="s">
        <v>9569</v>
      </c>
      <c r="BY253" s="7" t="s">
        <v>797</v>
      </c>
      <c r="BZ253" s="7" t="s">
        <v>8835</v>
      </c>
    </row>
    <row r="254" spans="66:78" customFormat="1" x14ac:dyDescent="0.25">
      <c r="BN254" s="7" t="s">
        <v>274</v>
      </c>
      <c r="BX254" s="7" t="s">
        <v>9570</v>
      </c>
      <c r="BY254" s="7" t="s">
        <v>797</v>
      </c>
      <c r="BZ254" s="7" t="s">
        <v>8835</v>
      </c>
    </row>
    <row r="255" spans="66:78" customFormat="1" x14ac:dyDescent="0.25">
      <c r="BN255" s="7" t="s">
        <v>275</v>
      </c>
      <c r="BX255" s="7" t="s">
        <v>9571</v>
      </c>
      <c r="BY255" s="7" t="s">
        <v>797</v>
      </c>
      <c r="BZ255" s="7" t="s">
        <v>8835</v>
      </c>
    </row>
    <row r="256" spans="66:78" customFormat="1" x14ac:dyDescent="0.25">
      <c r="BN256" s="7" t="s">
        <v>276</v>
      </c>
      <c r="BX256" s="7" t="s">
        <v>9572</v>
      </c>
      <c r="BY256" s="7" t="s">
        <v>797</v>
      </c>
      <c r="BZ256" s="7" t="s">
        <v>8835</v>
      </c>
    </row>
    <row r="257" spans="66:78" customFormat="1" x14ac:dyDescent="0.25">
      <c r="BN257" s="7" t="s">
        <v>277</v>
      </c>
      <c r="BX257" s="7" t="s">
        <v>9573</v>
      </c>
      <c r="BY257" s="7" t="s">
        <v>797</v>
      </c>
      <c r="BZ257" s="7" t="s">
        <v>8835</v>
      </c>
    </row>
    <row r="258" spans="66:78" customFormat="1" x14ac:dyDescent="0.25">
      <c r="BN258" s="7" t="s">
        <v>278</v>
      </c>
      <c r="BX258" s="7" t="s">
        <v>9574</v>
      </c>
      <c r="BY258" s="7" t="s">
        <v>797</v>
      </c>
      <c r="BZ258" s="7" t="s">
        <v>8835</v>
      </c>
    </row>
    <row r="259" spans="66:78" customFormat="1" x14ac:dyDescent="0.25">
      <c r="BN259" s="7" t="s">
        <v>279</v>
      </c>
      <c r="BX259" s="7" t="s">
        <v>9627</v>
      </c>
      <c r="BY259" s="7" t="s">
        <v>797</v>
      </c>
      <c r="BZ259" s="7" t="s">
        <v>8835</v>
      </c>
    </row>
    <row r="260" spans="66:78" customFormat="1" x14ac:dyDescent="0.25">
      <c r="BN260" s="7" t="s">
        <v>280</v>
      </c>
      <c r="BX260" s="7" t="s">
        <v>9575</v>
      </c>
      <c r="BY260" s="7" t="s">
        <v>797</v>
      </c>
      <c r="BZ260" s="7" t="s">
        <v>8835</v>
      </c>
    </row>
    <row r="261" spans="66:78" customFormat="1" x14ac:dyDescent="0.25">
      <c r="BN261" s="7" t="s">
        <v>281</v>
      </c>
      <c r="BX261" s="7" t="s">
        <v>9576</v>
      </c>
      <c r="BY261" s="7" t="s">
        <v>797</v>
      </c>
      <c r="BZ261" s="7" t="s">
        <v>8835</v>
      </c>
    </row>
    <row r="262" spans="66:78" customFormat="1" x14ac:dyDescent="0.25">
      <c r="BN262" s="7" t="s">
        <v>282</v>
      </c>
      <c r="BX262" s="7" t="s">
        <v>9577</v>
      </c>
      <c r="BY262" s="7" t="s">
        <v>797</v>
      </c>
      <c r="BZ262" s="7" t="s">
        <v>8835</v>
      </c>
    </row>
    <row r="263" spans="66:78" customFormat="1" x14ac:dyDescent="0.25">
      <c r="BN263" s="7" t="s">
        <v>9010</v>
      </c>
      <c r="BX263" s="7" t="s">
        <v>9578</v>
      </c>
      <c r="BY263" s="7" t="s">
        <v>797</v>
      </c>
      <c r="BZ263" s="7" t="s">
        <v>8835</v>
      </c>
    </row>
    <row r="264" spans="66:78" customFormat="1" x14ac:dyDescent="0.25">
      <c r="BN264" s="7" t="s">
        <v>283</v>
      </c>
      <c r="BX264" s="7" t="s">
        <v>9579</v>
      </c>
      <c r="BY264" s="7" t="s">
        <v>797</v>
      </c>
      <c r="BZ264" s="7" t="s">
        <v>8835</v>
      </c>
    </row>
    <row r="265" spans="66:78" customFormat="1" x14ac:dyDescent="0.25">
      <c r="BN265" s="7" t="s">
        <v>284</v>
      </c>
      <c r="BX265" s="7" t="s">
        <v>9580</v>
      </c>
      <c r="BY265" s="7" t="s">
        <v>797</v>
      </c>
      <c r="BZ265" s="7" t="s">
        <v>8835</v>
      </c>
    </row>
    <row r="266" spans="66:78" customFormat="1" x14ac:dyDescent="0.25">
      <c r="BN266" s="7" t="s">
        <v>285</v>
      </c>
      <c r="BX266" s="7" t="s">
        <v>9581</v>
      </c>
      <c r="BY266" s="7" t="s">
        <v>797</v>
      </c>
      <c r="BZ266" s="7" t="s">
        <v>8835</v>
      </c>
    </row>
    <row r="267" spans="66:78" customFormat="1" x14ac:dyDescent="0.25">
      <c r="BN267" s="7" t="s">
        <v>286</v>
      </c>
      <c r="BX267" s="7" t="s">
        <v>9582</v>
      </c>
      <c r="BY267" s="7" t="s">
        <v>797</v>
      </c>
      <c r="BZ267" s="7" t="s">
        <v>8835</v>
      </c>
    </row>
    <row r="268" spans="66:78" customFormat="1" x14ac:dyDescent="0.25">
      <c r="BN268" s="7" t="s">
        <v>287</v>
      </c>
      <c r="BX268" s="7" t="s">
        <v>9583</v>
      </c>
      <c r="BY268" s="7" t="s">
        <v>797</v>
      </c>
      <c r="BZ268" s="7" t="s">
        <v>8835</v>
      </c>
    </row>
    <row r="269" spans="66:78" customFormat="1" x14ac:dyDescent="0.25">
      <c r="BN269" s="7" t="s">
        <v>288</v>
      </c>
      <c r="BX269" s="7" t="s">
        <v>9584</v>
      </c>
      <c r="BY269" s="7" t="s">
        <v>797</v>
      </c>
      <c r="BZ269" s="7" t="s">
        <v>8835</v>
      </c>
    </row>
    <row r="270" spans="66:78" customFormat="1" x14ac:dyDescent="0.25">
      <c r="BN270" s="7" t="s">
        <v>289</v>
      </c>
      <c r="BX270" s="7" t="s">
        <v>9585</v>
      </c>
      <c r="BY270" s="7" t="s">
        <v>797</v>
      </c>
      <c r="BZ270" s="7" t="s">
        <v>8835</v>
      </c>
    </row>
    <row r="271" spans="66:78" customFormat="1" x14ac:dyDescent="0.25">
      <c r="BN271" s="7" t="s">
        <v>290</v>
      </c>
      <c r="BX271" s="7" t="s">
        <v>9586</v>
      </c>
      <c r="BY271" s="7" t="s">
        <v>797</v>
      </c>
      <c r="BZ271" s="7" t="s">
        <v>8835</v>
      </c>
    </row>
    <row r="272" spans="66:78" customFormat="1" x14ac:dyDescent="0.25">
      <c r="BN272" s="7" t="s">
        <v>291</v>
      </c>
      <c r="BX272" s="7" t="s">
        <v>9587</v>
      </c>
      <c r="BY272" s="7" t="s">
        <v>797</v>
      </c>
      <c r="BZ272" s="7" t="s">
        <v>8835</v>
      </c>
    </row>
    <row r="273" spans="66:78" customFormat="1" x14ac:dyDescent="0.25">
      <c r="BN273" s="7" t="s">
        <v>292</v>
      </c>
      <c r="BX273" s="7" t="s">
        <v>9588</v>
      </c>
      <c r="BY273" s="7" t="s">
        <v>797</v>
      </c>
      <c r="BZ273" s="7" t="s">
        <v>8835</v>
      </c>
    </row>
    <row r="274" spans="66:78" customFormat="1" x14ac:dyDescent="0.25">
      <c r="BN274" s="7" t="s">
        <v>293</v>
      </c>
      <c r="BX274" s="7" t="s">
        <v>9589</v>
      </c>
      <c r="BY274" s="7" t="s">
        <v>797</v>
      </c>
      <c r="BZ274" s="7" t="s">
        <v>8835</v>
      </c>
    </row>
    <row r="275" spans="66:78" customFormat="1" x14ac:dyDescent="0.25">
      <c r="BN275" s="7" t="s">
        <v>294</v>
      </c>
      <c r="BX275" s="7" t="s">
        <v>9590</v>
      </c>
      <c r="BY275" s="7" t="s">
        <v>797</v>
      </c>
      <c r="BZ275" s="7" t="s">
        <v>8835</v>
      </c>
    </row>
    <row r="276" spans="66:78" customFormat="1" x14ac:dyDescent="0.25">
      <c r="BN276" s="7" t="s">
        <v>295</v>
      </c>
      <c r="BX276" s="7" t="s">
        <v>9591</v>
      </c>
      <c r="BY276" s="7" t="s">
        <v>797</v>
      </c>
      <c r="BZ276" s="7" t="s">
        <v>8835</v>
      </c>
    </row>
    <row r="277" spans="66:78" customFormat="1" x14ac:dyDescent="0.25">
      <c r="BN277" s="7" t="s">
        <v>296</v>
      </c>
      <c r="BX277" s="7" t="s">
        <v>9628</v>
      </c>
      <c r="BY277" s="7" t="s">
        <v>797</v>
      </c>
      <c r="BZ277" s="7" t="s">
        <v>8835</v>
      </c>
    </row>
    <row r="278" spans="66:78" customFormat="1" x14ac:dyDescent="0.25">
      <c r="BN278" s="7" t="s">
        <v>297</v>
      </c>
      <c r="BX278" s="7" t="s">
        <v>9592</v>
      </c>
      <c r="BY278" s="7" t="s">
        <v>797</v>
      </c>
      <c r="BZ278" s="7" t="s">
        <v>8835</v>
      </c>
    </row>
    <row r="279" spans="66:78" customFormat="1" x14ac:dyDescent="0.25">
      <c r="BN279" s="7" t="s">
        <v>298</v>
      </c>
      <c r="BX279" s="7" t="s">
        <v>9593</v>
      </c>
      <c r="BY279" s="7" t="s">
        <v>797</v>
      </c>
      <c r="BZ279" s="7" t="s">
        <v>8835</v>
      </c>
    </row>
    <row r="280" spans="66:78" customFormat="1" x14ac:dyDescent="0.25">
      <c r="BN280" s="7" t="s">
        <v>299</v>
      </c>
      <c r="BX280" s="7" t="s">
        <v>9594</v>
      </c>
      <c r="BY280" s="7" t="s">
        <v>797</v>
      </c>
      <c r="BZ280" s="7" t="s">
        <v>8835</v>
      </c>
    </row>
    <row r="281" spans="66:78" customFormat="1" x14ac:dyDescent="0.25">
      <c r="BN281" s="7" t="s">
        <v>300</v>
      </c>
      <c r="BX281" s="7" t="s">
        <v>9595</v>
      </c>
      <c r="BY281" s="7" t="s">
        <v>797</v>
      </c>
      <c r="BZ281" s="7" t="s">
        <v>8835</v>
      </c>
    </row>
    <row r="282" spans="66:78" customFormat="1" x14ac:dyDescent="0.25">
      <c r="BN282" s="7" t="s">
        <v>301</v>
      </c>
      <c r="BX282" s="7" t="s">
        <v>9596</v>
      </c>
      <c r="BY282" s="7" t="s">
        <v>797</v>
      </c>
      <c r="BZ282" s="7" t="s">
        <v>8835</v>
      </c>
    </row>
    <row r="283" spans="66:78" customFormat="1" x14ac:dyDescent="0.25">
      <c r="BN283" s="7" t="s">
        <v>302</v>
      </c>
      <c r="BX283" s="7" t="s">
        <v>9597</v>
      </c>
      <c r="BY283" s="7" t="s">
        <v>797</v>
      </c>
      <c r="BZ283" s="7" t="s">
        <v>8835</v>
      </c>
    </row>
    <row r="284" spans="66:78" customFormat="1" x14ac:dyDescent="0.25">
      <c r="BN284" s="7" t="s">
        <v>303</v>
      </c>
      <c r="BX284" s="7" t="s">
        <v>9598</v>
      </c>
      <c r="BY284" s="7" t="s">
        <v>797</v>
      </c>
      <c r="BZ284" s="7" t="s">
        <v>8835</v>
      </c>
    </row>
    <row r="285" spans="66:78" customFormat="1" x14ac:dyDescent="0.25">
      <c r="BN285" s="7" t="s">
        <v>304</v>
      </c>
      <c r="BX285" s="7" t="s">
        <v>9629</v>
      </c>
      <c r="BY285" s="7" t="s">
        <v>797</v>
      </c>
      <c r="BZ285" s="7" t="s">
        <v>8835</v>
      </c>
    </row>
    <row r="286" spans="66:78" customFormat="1" x14ac:dyDescent="0.25">
      <c r="BN286" s="7" t="s">
        <v>305</v>
      </c>
      <c r="BX286" s="7" t="s">
        <v>9599</v>
      </c>
      <c r="BY286" s="7" t="s">
        <v>797</v>
      </c>
      <c r="BZ286" s="7" t="s">
        <v>8835</v>
      </c>
    </row>
    <row r="287" spans="66:78" customFormat="1" x14ac:dyDescent="0.25">
      <c r="BN287" s="7" t="s">
        <v>306</v>
      </c>
      <c r="BX287" s="7" t="s">
        <v>9600</v>
      </c>
      <c r="BY287" s="7" t="s">
        <v>797</v>
      </c>
      <c r="BZ287" s="7" t="s">
        <v>8835</v>
      </c>
    </row>
    <row r="288" spans="66:78" customFormat="1" x14ac:dyDescent="0.25">
      <c r="BN288" s="7" t="s">
        <v>307</v>
      </c>
      <c r="BX288" s="7" t="s">
        <v>9601</v>
      </c>
      <c r="BY288" s="7" t="s">
        <v>797</v>
      </c>
      <c r="BZ288" s="7" t="s">
        <v>8835</v>
      </c>
    </row>
    <row r="289" spans="66:78" customFormat="1" x14ac:dyDescent="0.25">
      <c r="BN289" s="7" t="s">
        <v>308</v>
      </c>
      <c r="BX289" s="7" t="s">
        <v>9602</v>
      </c>
      <c r="BY289" s="7" t="s">
        <v>797</v>
      </c>
      <c r="BZ289" s="7" t="s">
        <v>8835</v>
      </c>
    </row>
    <row r="290" spans="66:78" customFormat="1" x14ac:dyDescent="0.25">
      <c r="BN290" s="7" t="s">
        <v>309</v>
      </c>
      <c r="BX290" s="7" t="s">
        <v>9630</v>
      </c>
      <c r="BY290" s="7" t="s">
        <v>797</v>
      </c>
      <c r="BZ290" s="7" t="s">
        <v>8835</v>
      </c>
    </row>
    <row r="291" spans="66:78" customFormat="1" x14ac:dyDescent="0.25">
      <c r="BN291" s="7" t="s">
        <v>310</v>
      </c>
      <c r="BX291" s="7" t="s">
        <v>9603</v>
      </c>
      <c r="BY291" s="7" t="s">
        <v>797</v>
      </c>
      <c r="BZ291" s="7" t="s">
        <v>8835</v>
      </c>
    </row>
    <row r="292" spans="66:78" customFormat="1" x14ac:dyDescent="0.25">
      <c r="BN292" s="7" t="s">
        <v>311</v>
      </c>
      <c r="BX292" s="7" t="s">
        <v>9604</v>
      </c>
      <c r="BY292" s="7" t="s">
        <v>797</v>
      </c>
      <c r="BZ292" s="7" t="s">
        <v>8835</v>
      </c>
    </row>
    <row r="293" spans="66:78" customFormat="1" x14ac:dyDescent="0.25">
      <c r="BN293" s="7" t="s">
        <v>312</v>
      </c>
      <c r="BX293" s="7" t="s">
        <v>9605</v>
      </c>
      <c r="BY293" s="7" t="s">
        <v>797</v>
      </c>
      <c r="BZ293" s="7" t="s">
        <v>8835</v>
      </c>
    </row>
    <row r="294" spans="66:78" customFormat="1" x14ac:dyDescent="0.25">
      <c r="BN294" s="7" t="s">
        <v>313</v>
      </c>
      <c r="BX294" s="7" t="s">
        <v>9606</v>
      </c>
      <c r="BY294" s="7" t="s">
        <v>797</v>
      </c>
      <c r="BZ294" s="7" t="s">
        <v>8835</v>
      </c>
    </row>
    <row r="295" spans="66:78" customFormat="1" x14ac:dyDescent="0.25">
      <c r="BN295" s="7" t="s">
        <v>314</v>
      </c>
      <c r="BX295" s="7" t="s">
        <v>9607</v>
      </c>
      <c r="BY295" s="7" t="s">
        <v>797</v>
      </c>
      <c r="BZ295" s="7" t="s">
        <v>8835</v>
      </c>
    </row>
    <row r="296" spans="66:78" customFormat="1" x14ac:dyDescent="0.25">
      <c r="BN296" s="7" t="s">
        <v>315</v>
      </c>
      <c r="BX296" s="7" t="s">
        <v>9608</v>
      </c>
      <c r="BY296" s="7" t="s">
        <v>797</v>
      </c>
      <c r="BZ296" s="7" t="s">
        <v>8835</v>
      </c>
    </row>
    <row r="297" spans="66:78" customFormat="1" x14ac:dyDescent="0.25">
      <c r="BN297" s="7" t="s">
        <v>316</v>
      </c>
      <c r="BX297" s="7" t="s">
        <v>9631</v>
      </c>
      <c r="BY297" s="7" t="s">
        <v>797</v>
      </c>
      <c r="BZ297" s="7" t="s">
        <v>8835</v>
      </c>
    </row>
    <row r="298" spans="66:78" customFormat="1" x14ac:dyDescent="0.25">
      <c r="BN298" s="7" t="s">
        <v>317</v>
      </c>
      <c r="BX298" s="7" t="s">
        <v>9609</v>
      </c>
      <c r="BY298" s="7" t="s">
        <v>797</v>
      </c>
      <c r="BZ298" s="7" t="s">
        <v>8835</v>
      </c>
    </row>
    <row r="299" spans="66:78" customFormat="1" x14ac:dyDescent="0.25">
      <c r="BN299" s="7" t="s">
        <v>318</v>
      </c>
      <c r="BX299" s="7" t="s">
        <v>9610</v>
      </c>
      <c r="BY299" s="7" t="s">
        <v>797</v>
      </c>
      <c r="BZ299" s="7" t="s">
        <v>8835</v>
      </c>
    </row>
    <row r="300" spans="66:78" customFormat="1" x14ac:dyDescent="0.25">
      <c r="BN300" s="7" t="s">
        <v>319</v>
      </c>
      <c r="BX300" s="7" t="s">
        <v>9611</v>
      </c>
      <c r="BY300" s="7" t="s">
        <v>797</v>
      </c>
      <c r="BZ300" s="7" t="s">
        <v>8835</v>
      </c>
    </row>
    <row r="301" spans="66:78" customFormat="1" x14ac:dyDescent="0.25">
      <c r="BN301" s="7" t="s">
        <v>320</v>
      </c>
      <c r="BX301" s="7" t="s">
        <v>9612</v>
      </c>
      <c r="BY301" s="7" t="s">
        <v>797</v>
      </c>
      <c r="BZ301" s="7" t="s">
        <v>8835</v>
      </c>
    </row>
    <row r="302" spans="66:78" customFormat="1" x14ac:dyDescent="0.25">
      <c r="BN302" s="7" t="s">
        <v>321</v>
      </c>
      <c r="BX302" s="7" t="s">
        <v>9624</v>
      </c>
      <c r="BY302" s="7" t="s">
        <v>797</v>
      </c>
      <c r="BZ302" s="7" t="s">
        <v>8835</v>
      </c>
    </row>
    <row r="303" spans="66:78" customFormat="1" x14ac:dyDescent="0.25">
      <c r="BN303" s="7" t="s">
        <v>322</v>
      </c>
      <c r="BX303" s="7" t="s">
        <v>9613</v>
      </c>
      <c r="BY303" s="7" t="s">
        <v>797</v>
      </c>
      <c r="BZ303" s="7" t="s">
        <v>8835</v>
      </c>
    </row>
    <row r="304" spans="66:78" customFormat="1" x14ac:dyDescent="0.25">
      <c r="BN304" s="7" t="s">
        <v>323</v>
      </c>
      <c r="BX304" s="7" t="s">
        <v>9614</v>
      </c>
      <c r="BY304" s="7" t="s">
        <v>797</v>
      </c>
      <c r="BZ304" s="7" t="s">
        <v>8835</v>
      </c>
    </row>
    <row r="305" spans="66:78" customFormat="1" x14ac:dyDescent="0.25">
      <c r="BN305" s="7" t="s">
        <v>324</v>
      </c>
      <c r="BX305" s="7" t="s">
        <v>9615</v>
      </c>
      <c r="BY305" s="7" t="s">
        <v>797</v>
      </c>
      <c r="BZ305" s="7" t="s">
        <v>8835</v>
      </c>
    </row>
    <row r="306" spans="66:78" customFormat="1" x14ac:dyDescent="0.25">
      <c r="BN306" s="7" t="s">
        <v>325</v>
      </c>
      <c r="BX306" s="7" t="s">
        <v>9616</v>
      </c>
      <c r="BY306" s="7" t="s">
        <v>797</v>
      </c>
      <c r="BZ306" s="7" t="s">
        <v>8835</v>
      </c>
    </row>
    <row r="307" spans="66:78" customFormat="1" x14ac:dyDescent="0.25">
      <c r="BN307" s="7" t="s">
        <v>326</v>
      </c>
      <c r="BX307" s="7" t="s">
        <v>9617</v>
      </c>
      <c r="BY307" s="7" t="s">
        <v>797</v>
      </c>
      <c r="BZ307" s="7" t="s">
        <v>8835</v>
      </c>
    </row>
    <row r="308" spans="66:78" customFormat="1" x14ac:dyDescent="0.25">
      <c r="BN308" s="7" t="s">
        <v>327</v>
      </c>
      <c r="BX308" s="7" t="s">
        <v>9618</v>
      </c>
      <c r="BY308" s="7" t="s">
        <v>797</v>
      </c>
      <c r="BZ308" s="7" t="s">
        <v>8835</v>
      </c>
    </row>
    <row r="309" spans="66:78" customFormat="1" x14ac:dyDescent="0.25">
      <c r="BN309" s="7" t="s">
        <v>328</v>
      </c>
      <c r="BX309" s="7" t="s">
        <v>9619</v>
      </c>
      <c r="BY309" s="7" t="s">
        <v>797</v>
      </c>
      <c r="BZ309" s="7" t="s">
        <v>8835</v>
      </c>
    </row>
    <row r="310" spans="66:78" customFormat="1" x14ac:dyDescent="0.25">
      <c r="BN310" s="7" t="s">
        <v>329</v>
      </c>
      <c r="BX310" s="7" t="s">
        <v>9620</v>
      </c>
      <c r="BY310" s="7" t="s">
        <v>797</v>
      </c>
      <c r="BZ310" s="7" t="s">
        <v>8835</v>
      </c>
    </row>
    <row r="311" spans="66:78" customFormat="1" x14ac:dyDescent="0.25">
      <c r="BN311" s="7" t="s">
        <v>330</v>
      </c>
      <c r="BX311" s="7" t="s">
        <v>9621</v>
      </c>
      <c r="BY311" s="7" t="s">
        <v>797</v>
      </c>
      <c r="BZ311" s="7" t="s">
        <v>8835</v>
      </c>
    </row>
    <row r="312" spans="66:78" customFormat="1" x14ac:dyDescent="0.25">
      <c r="BN312" s="7" t="s">
        <v>9011</v>
      </c>
      <c r="BX312" s="7" t="s">
        <v>9622</v>
      </c>
      <c r="BY312" s="7" t="s">
        <v>797</v>
      </c>
      <c r="BZ312" s="7" t="s">
        <v>8835</v>
      </c>
    </row>
    <row r="313" spans="66:78" customFormat="1" x14ac:dyDescent="0.25">
      <c r="BN313" s="7" t="s">
        <v>331</v>
      </c>
      <c r="BX313" s="7" t="s">
        <v>9623</v>
      </c>
      <c r="BY313" s="7" t="s">
        <v>797</v>
      </c>
      <c r="BZ313" s="7" t="s">
        <v>8835</v>
      </c>
    </row>
    <row r="314" spans="66:78" customFormat="1" x14ac:dyDescent="0.25">
      <c r="BN314" s="7" t="s">
        <v>332</v>
      </c>
      <c r="BX314" s="7" t="s">
        <v>9632</v>
      </c>
      <c r="BY314" s="7" t="s">
        <v>797</v>
      </c>
      <c r="BZ314" s="7" t="s">
        <v>8835</v>
      </c>
    </row>
    <row r="315" spans="66:78" customFormat="1" x14ac:dyDescent="0.25">
      <c r="BN315" s="7" t="s">
        <v>333</v>
      </c>
      <c r="BX315" s="7" t="s">
        <v>9633</v>
      </c>
      <c r="BY315" s="7" t="s">
        <v>797</v>
      </c>
      <c r="BZ315" s="7" t="s">
        <v>8835</v>
      </c>
    </row>
    <row r="316" spans="66:78" customFormat="1" x14ac:dyDescent="0.25">
      <c r="BN316" s="7" t="s">
        <v>334</v>
      </c>
      <c r="BX316" s="7" t="s">
        <v>9634</v>
      </c>
      <c r="BY316" s="7" t="s">
        <v>797</v>
      </c>
      <c r="BZ316" s="7" t="s">
        <v>8835</v>
      </c>
    </row>
    <row r="317" spans="66:78" customFormat="1" x14ac:dyDescent="0.25">
      <c r="BN317" s="7" t="s">
        <v>335</v>
      </c>
      <c r="BX317" s="7" t="s">
        <v>9635</v>
      </c>
      <c r="BY317" s="7" t="s">
        <v>797</v>
      </c>
      <c r="BZ317" s="7" t="s">
        <v>8835</v>
      </c>
    </row>
    <row r="318" spans="66:78" customFormat="1" x14ac:dyDescent="0.25">
      <c r="BN318" s="7" t="s">
        <v>336</v>
      </c>
      <c r="BX318" s="7" t="s">
        <v>9636</v>
      </c>
      <c r="BY318" s="7" t="s">
        <v>797</v>
      </c>
      <c r="BZ318" s="7" t="s">
        <v>8835</v>
      </c>
    </row>
    <row r="319" spans="66:78" customFormat="1" x14ac:dyDescent="0.25">
      <c r="BN319" s="7" t="s">
        <v>337</v>
      </c>
      <c r="BX319" s="7" t="s">
        <v>9637</v>
      </c>
      <c r="BY319" s="7" t="s">
        <v>797</v>
      </c>
      <c r="BZ319" s="7" t="s">
        <v>8835</v>
      </c>
    </row>
    <row r="320" spans="66:78" customFormat="1" x14ac:dyDescent="0.25">
      <c r="BN320" s="7" t="s">
        <v>338</v>
      </c>
      <c r="BX320" s="7" t="s">
        <v>9638</v>
      </c>
      <c r="BY320" s="7" t="s">
        <v>797</v>
      </c>
      <c r="BZ320" s="7" t="s">
        <v>8835</v>
      </c>
    </row>
    <row r="321" spans="66:78" customFormat="1" x14ac:dyDescent="0.25">
      <c r="BN321" s="7" t="s">
        <v>339</v>
      </c>
      <c r="BX321" s="7" t="s">
        <v>9639</v>
      </c>
      <c r="BY321" s="7" t="s">
        <v>797</v>
      </c>
      <c r="BZ321" s="7" t="s">
        <v>8835</v>
      </c>
    </row>
    <row r="322" spans="66:78" customFormat="1" x14ac:dyDescent="0.25">
      <c r="BN322" s="7" t="s">
        <v>340</v>
      </c>
      <c r="BX322" s="7" t="s">
        <v>9640</v>
      </c>
      <c r="BY322" s="7" t="s">
        <v>797</v>
      </c>
      <c r="BZ322" s="7" t="s">
        <v>8835</v>
      </c>
    </row>
    <row r="323" spans="66:78" customFormat="1" x14ac:dyDescent="0.25">
      <c r="BN323" s="7" t="s">
        <v>341</v>
      </c>
      <c r="BX323" s="7" t="s">
        <v>9641</v>
      </c>
      <c r="BY323" s="7" t="s">
        <v>797</v>
      </c>
      <c r="BZ323" s="7" t="s">
        <v>8835</v>
      </c>
    </row>
    <row r="324" spans="66:78" customFormat="1" x14ac:dyDescent="0.25">
      <c r="BN324" s="7" t="s">
        <v>342</v>
      </c>
      <c r="BX324" s="7" t="s">
        <v>9642</v>
      </c>
      <c r="BY324" s="7" t="s">
        <v>797</v>
      </c>
      <c r="BZ324" s="7" t="s">
        <v>8835</v>
      </c>
    </row>
    <row r="325" spans="66:78" customFormat="1" x14ac:dyDescent="0.25">
      <c r="BN325" s="7" t="s">
        <v>343</v>
      </c>
      <c r="BX325" s="7" t="s">
        <v>9643</v>
      </c>
      <c r="BY325" s="7" t="s">
        <v>797</v>
      </c>
      <c r="BZ325" s="7" t="s">
        <v>8835</v>
      </c>
    </row>
    <row r="326" spans="66:78" customFormat="1" x14ac:dyDescent="0.25">
      <c r="BN326" s="7" t="s">
        <v>344</v>
      </c>
      <c r="BX326" s="7" t="s">
        <v>9644</v>
      </c>
      <c r="BY326" s="7" t="s">
        <v>797</v>
      </c>
      <c r="BZ326" s="7" t="s">
        <v>8835</v>
      </c>
    </row>
    <row r="327" spans="66:78" customFormat="1" x14ac:dyDescent="0.25">
      <c r="BN327" s="7" t="s">
        <v>345</v>
      </c>
      <c r="BX327" s="7" t="s">
        <v>9645</v>
      </c>
      <c r="BY327" s="7" t="s">
        <v>797</v>
      </c>
      <c r="BZ327" s="7" t="s">
        <v>8835</v>
      </c>
    </row>
    <row r="328" spans="66:78" customFormat="1" x14ac:dyDescent="0.25">
      <c r="BN328" s="7" t="s">
        <v>346</v>
      </c>
      <c r="BX328" s="7" t="s">
        <v>9646</v>
      </c>
      <c r="BY328" s="7" t="s">
        <v>797</v>
      </c>
      <c r="BZ328" s="7" t="s">
        <v>8835</v>
      </c>
    </row>
    <row r="329" spans="66:78" customFormat="1" x14ac:dyDescent="0.25">
      <c r="BN329" s="7" t="s">
        <v>347</v>
      </c>
      <c r="BX329" s="7" t="s">
        <v>9647</v>
      </c>
      <c r="BY329" s="7" t="s">
        <v>797</v>
      </c>
      <c r="BZ329" s="7" t="s">
        <v>8835</v>
      </c>
    </row>
    <row r="330" spans="66:78" customFormat="1" x14ac:dyDescent="0.25">
      <c r="BN330" s="7" t="s">
        <v>348</v>
      </c>
      <c r="BX330" s="7" t="s">
        <v>9648</v>
      </c>
      <c r="BY330" s="7" t="s">
        <v>797</v>
      </c>
      <c r="BZ330" s="7" t="s">
        <v>8835</v>
      </c>
    </row>
    <row r="331" spans="66:78" customFormat="1" x14ac:dyDescent="0.25">
      <c r="BN331" s="7" t="s">
        <v>349</v>
      </c>
      <c r="BX331" s="7" t="s">
        <v>9649</v>
      </c>
      <c r="BY331" s="7" t="s">
        <v>797</v>
      </c>
      <c r="BZ331" s="7" t="s">
        <v>8835</v>
      </c>
    </row>
    <row r="332" spans="66:78" customFormat="1" x14ac:dyDescent="0.25">
      <c r="BN332" s="7" t="s">
        <v>350</v>
      </c>
      <c r="BX332" s="7" t="s">
        <v>9650</v>
      </c>
      <c r="BY332" s="7" t="s">
        <v>797</v>
      </c>
      <c r="BZ332" s="7" t="s">
        <v>8835</v>
      </c>
    </row>
    <row r="333" spans="66:78" customFormat="1" x14ac:dyDescent="0.25">
      <c r="BN333" s="7" t="s">
        <v>351</v>
      </c>
      <c r="BX333" s="7" t="s">
        <v>9651</v>
      </c>
      <c r="BY333" s="7" t="s">
        <v>797</v>
      </c>
      <c r="BZ333" s="7" t="s">
        <v>8835</v>
      </c>
    </row>
    <row r="334" spans="66:78" customFormat="1" x14ac:dyDescent="0.25">
      <c r="BN334" s="7" t="s">
        <v>352</v>
      </c>
      <c r="BX334" s="7" t="s">
        <v>9652</v>
      </c>
      <c r="BY334" s="7" t="s">
        <v>797</v>
      </c>
      <c r="BZ334" s="7" t="s">
        <v>8835</v>
      </c>
    </row>
    <row r="335" spans="66:78" customFormat="1" x14ac:dyDescent="0.25">
      <c r="BN335" s="7" t="s">
        <v>353</v>
      </c>
      <c r="BX335" s="7" t="s">
        <v>9653</v>
      </c>
      <c r="BY335" s="7" t="s">
        <v>797</v>
      </c>
      <c r="BZ335" s="7" t="s">
        <v>8835</v>
      </c>
    </row>
    <row r="336" spans="66:78" customFormat="1" x14ac:dyDescent="0.25">
      <c r="BN336" s="7" t="s">
        <v>354</v>
      </c>
      <c r="BX336" s="7" t="s">
        <v>9654</v>
      </c>
      <c r="BY336" s="7" t="s">
        <v>797</v>
      </c>
      <c r="BZ336" s="7" t="s">
        <v>8835</v>
      </c>
    </row>
    <row r="337" spans="66:78" customFormat="1" x14ac:dyDescent="0.25">
      <c r="BN337" s="7" t="s">
        <v>355</v>
      </c>
      <c r="BX337" s="7" t="s">
        <v>9655</v>
      </c>
      <c r="BY337" s="7" t="s">
        <v>797</v>
      </c>
      <c r="BZ337" s="7" t="s">
        <v>8835</v>
      </c>
    </row>
    <row r="338" spans="66:78" customFormat="1" x14ac:dyDescent="0.25">
      <c r="BN338" s="7" t="s">
        <v>356</v>
      </c>
      <c r="BX338" s="7" t="s">
        <v>9656</v>
      </c>
      <c r="BY338" s="7" t="s">
        <v>797</v>
      </c>
      <c r="BZ338" s="7" t="s">
        <v>8835</v>
      </c>
    </row>
    <row r="339" spans="66:78" customFormat="1" x14ac:dyDescent="0.25">
      <c r="BN339" s="7" t="s">
        <v>357</v>
      </c>
      <c r="BX339" s="7" t="s">
        <v>9657</v>
      </c>
      <c r="BY339" s="7" t="s">
        <v>797</v>
      </c>
      <c r="BZ339" s="7" t="s">
        <v>8835</v>
      </c>
    </row>
    <row r="340" spans="66:78" customFormat="1" x14ac:dyDescent="0.25">
      <c r="BN340" s="7" t="s">
        <v>358</v>
      </c>
      <c r="BX340" s="7" t="s">
        <v>9658</v>
      </c>
      <c r="BY340" s="7" t="s">
        <v>797</v>
      </c>
      <c r="BZ340" s="7" t="s">
        <v>8835</v>
      </c>
    </row>
    <row r="341" spans="66:78" customFormat="1" x14ac:dyDescent="0.25">
      <c r="BN341" s="7" t="s">
        <v>359</v>
      </c>
      <c r="BX341" s="7" t="s">
        <v>9659</v>
      </c>
      <c r="BY341" s="7" t="s">
        <v>797</v>
      </c>
      <c r="BZ341" s="7" t="s">
        <v>8835</v>
      </c>
    </row>
    <row r="342" spans="66:78" customFormat="1" x14ac:dyDescent="0.25">
      <c r="BN342" s="7" t="s">
        <v>360</v>
      </c>
      <c r="BX342" s="7" t="s">
        <v>9660</v>
      </c>
      <c r="BY342" s="7" t="s">
        <v>797</v>
      </c>
      <c r="BZ342" s="7" t="s">
        <v>8835</v>
      </c>
    </row>
    <row r="343" spans="66:78" customFormat="1" x14ac:dyDescent="0.25">
      <c r="BN343" s="7" t="s">
        <v>361</v>
      </c>
      <c r="BX343" s="7" t="s">
        <v>9661</v>
      </c>
      <c r="BY343" s="7" t="s">
        <v>797</v>
      </c>
      <c r="BZ343" s="7" t="s">
        <v>8835</v>
      </c>
    </row>
    <row r="344" spans="66:78" customFormat="1" x14ac:dyDescent="0.25">
      <c r="BN344" s="7" t="s">
        <v>362</v>
      </c>
      <c r="BX344" s="7" t="s">
        <v>9662</v>
      </c>
      <c r="BY344" s="7" t="s">
        <v>797</v>
      </c>
      <c r="BZ344" s="7" t="s">
        <v>8835</v>
      </c>
    </row>
    <row r="345" spans="66:78" customFormat="1" x14ac:dyDescent="0.25">
      <c r="BN345" s="7" t="s">
        <v>363</v>
      </c>
      <c r="BX345" s="7" t="s">
        <v>9663</v>
      </c>
      <c r="BY345" s="7" t="s">
        <v>797</v>
      </c>
      <c r="BZ345" s="7" t="s">
        <v>8835</v>
      </c>
    </row>
    <row r="346" spans="66:78" customFormat="1" x14ac:dyDescent="0.25">
      <c r="BN346" s="7" t="s">
        <v>364</v>
      </c>
      <c r="BX346" s="7" t="s">
        <v>9664</v>
      </c>
      <c r="BY346" s="7" t="s">
        <v>797</v>
      </c>
      <c r="BZ346" s="7" t="s">
        <v>8835</v>
      </c>
    </row>
    <row r="347" spans="66:78" customFormat="1" x14ac:dyDescent="0.25">
      <c r="BN347" s="7" t="s">
        <v>365</v>
      </c>
      <c r="BX347" s="7" t="s">
        <v>9665</v>
      </c>
      <c r="BY347" s="7" t="s">
        <v>797</v>
      </c>
      <c r="BZ347" s="7" t="s">
        <v>8835</v>
      </c>
    </row>
    <row r="348" spans="66:78" customFormat="1" x14ac:dyDescent="0.25">
      <c r="BN348" s="7" t="s">
        <v>366</v>
      </c>
      <c r="BX348" s="7" t="s">
        <v>9666</v>
      </c>
      <c r="BY348" s="7" t="s">
        <v>797</v>
      </c>
      <c r="BZ348" s="7" t="s">
        <v>8835</v>
      </c>
    </row>
    <row r="349" spans="66:78" customFormat="1" x14ac:dyDescent="0.25">
      <c r="BN349" s="7" t="s">
        <v>367</v>
      </c>
      <c r="BX349" s="7" t="s">
        <v>9667</v>
      </c>
      <c r="BY349" s="7" t="s">
        <v>797</v>
      </c>
      <c r="BZ349" s="7" t="s">
        <v>8835</v>
      </c>
    </row>
    <row r="350" spans="66:78" customFormat="1" x14ac:dyDescent="0.25">
      <c r="BN350" s="7" t="s">
        <v>368</v>
      </c>
      <c r="BX350" s="7" t="s">
        <v>9668</v>
      </c>
      <c r="BY350" s="7" t="s">
        <v>797</v>
      </c>
      <c r="BZ350" s="7" t="s">
        <v>8835</v>
      </c>
    </row>
    <row r="351" spans="66:78" customFormat="1" x14ac:dyDescent="0.25">
      <c r="BN351" s="7" t="s">
        <v>369</v>
      </c>
      <c r="BX351" s="7" t="s">
        <v>9669</v>
      </c>
      <c r="BY351" s="7" t="s">
        <v>797</v>
      </c>
      <c r="BZ351" s="7" t="s">
        <v>8835</v>
      </c>
    </row>
    <row r="352" spans="66:78" customFormat="1" x14ac:dyDescent="0.25">
      <c r="BN352" s="7" t="s">
        <v>370</v>
      </c>
      <c r="BX352" s="7" t="s">
        <v>9698</v>
      </c>
      <c r="BY352" s="7" t="s">
        <v>797</v>
      </c>
      <c r="BZ352" s="7" t="s">
        <v>8835</v>
      </c>
    </row>
    <row r="353" spans="66:78" customFormat="1" x14ac:dyDescent="0.25">
      <c r="BN353" s="7" t="s">
        <v>371</v>
      </c>
      <c r="BX353" s="7" t="s">
        <v>9699</v>
      </c>
      <c r="BY353" s="7" t="s">
        <v>797</v>
      </c>
      <c r="BZ353" s="7" t="s">
        <v>8835</v>
      </c>
    </row>
    <row r="354" spans="66:78" customFormat="1" x14ac:dyDescent="0.25">
      <c r="BN354" s="7" t="s">
        <v>372</v>
      </c>
      <c r="BX354" s="7" t="s">
        <v>9700</v>
      </c>
      <c r="BY354" s="7" t="s">
        <v>797</v>
      </c>
      <c r="BZ354" s="7" t="s">
        <v>8835</v>
      </c>
    </row>
    <row r="355" spans="66:78" customFormat="1" x14ac:dyDescent="0.25">
      <c r="BN355" s="7" t="s">
        <v>373</v>
      </c>
      <c r="BX355" s="7" t="s">
        <v>9701</v>
      </c>
      <c r="BY355" s="7" t="s">
        <v>797</v>
      </c>
      <c r="BZ355" s="7" t="s">
        <v>8835</v>
      </c>
    </row>
    <row r="356" spans="66:78" customFormat="1" x14ac:dyDescent="0.25">
      <c r="BN356" s="7" t="s">
        <v>374</v>
      </c>
      <c r="BX356" s="7" t="s">
        <v>9702</v>
      </c>
      <c r="BY356" s="7" t="s">
        <v>797</v>
      </c>
      <c r="BZ356" s="7" t="s">
        <v>8835</v>
      </c>
    </row>
    <row r="357" spans="66:78" customFormat="1" x14ac:dyDescent="0.25">
      <c r="BN357" s="7" t="s">
        <v>375</v>
      </c>
      <c r="BX357" s="7" t="s">
        <v>9703</v>
      </c>
      <c r="BY357" s="7" t="s">
        <v>797</v>
      </c>
      <c r="BZ357" s="7" t="s">
        <v>8835</v>
      </c>
    </row>
    <row r="358" spans="66:78" customFormat="1" x14ac:dyDescent="0.25">
      <c r="BN358" s="7" t="s">
        <v>376</v>
      </c>
      <c r="BX358" s="7" t="s">
        <v>9704</v>
      </c>
      <c r="BY358" s="7" t="s">
        <v>797</v>
      </c>
      <c r="BZ358" s="7" t="s">
        <v>8835</v>
      </c>
    </row>
    <row r="359" spans="66:78" customFormat="1" x14ac:dyDescent="0.25">
      <c r="BN359" s="7" t="s">
        <v>377</v>
      </c>
      <c r="BX359" s="7" t="s">
        <v>9705</v>
      </c>
      <c r="BY359" s="7" t="s">
        <v>797</v>
      </c>
      <c r="BZ359" s="7" t="s">
        <v>8835</v>
      </c>
    </row>
    <row r="360" spans="66:78" customFormat="1" x14ac:dyDescent="0.25">
      <c r="BN360" s="7" t="s">
        <v>378</v>
      </c>
      <c r="BX360" s="7" t="s">
        <v>9706</v>
      </c>
      <c r="BY360" s="7" t="s">
        <v>797</v>
      </c>
      <c r="BZ360" s="7" t="s">
        <v>8835</v>
      </c>
    </row>
    <row r="361" spans="66:78" customFormat="1" x14ac:dyDescent="0.25">
      <c r="BN361" s="7" t="s">
        <v>379</v>
      </c>
      <c r="BX361" s="7" t="s">
        <v>9707</v>
      </c>
      <c r="BY361" s="7" t="s">
        <v>797</v>
      </c>
      <c r="BZ361" s="7" t="s">
        <v>8835</v>
      </c>
    </row>
    <row r="362" spans="66:78" customFormat="1" x14ac:dyDescent="0.25">
      <c r="BN362" s="7" t="s">
        <v>380</v>
      </c>
      <c r="BX362" s="7" t="s">
        <v>9708</v>
      </c>
      <c r="BY362" s="7" t="s">
        <v>797</v>
      </c>
      <c r="BZ362" s="7" t="s">
        <v>8835</v>
      </c>
    </row>
    <row r="363" spans="66:78" customFormat="1" x14ac:dyDescent="0.25">
      <c r="BN363" s="7" t="s">
        <v>381</v>
      </c>
      <c r="BX363" s="7" t="s">
        <v>9709</v>
      </c>
      <c r="BY363" s="7" t="s">
        <v>797</v>
      </c>
      <c r="BZ363" s="7" t="s">
        <v>8835</v>
      </c>
    </row>
    <row r="364" spans="66:78" customFormat="1" x14ac:dyDescent="0.25">
      <c r="BN364" s="7" t="s">
        <v>382</v>
      </c>
      <c r="BX364" s="7" t="s">
        <v>9710</v>
      </c>
      <c r="BY364" s="7" t="s">
        <v>797</v>
      </c>
      <c r="BZ364" s="7" t="s">
        <v>8835</v>
      </c>
    </row>
    <row r="365" spans="66:78" customFormat="1" x14ac:dyDescent="0.25">
      <c r="BN365" s="7" t="s">
        <v>383</v>
      </c>
      <c r="BX365" s="7" t="s">
        <v>9711</v>
      </c>
      <c r="BY365" s="7" t="s">
        <v>797</v>
      </c>
      <c r="BZ365" s="7" t="s">
        <v>8835</v>
      </c>
    </row>
    <row r="366" spans="66:78" customFormat="1" x14ac:dyDescent="0.25">
      <c r="BN366" s="7" t="s">
        <v>384</v>
      </c>
      <c r="BX366" s="7" t="s">
        <v>9712</v>
      </c>
      <c r="BY366" s="7" t="s">
        <v>797</v>
      </c>
      <c r="BZ366" s="7" t="s">
        <v>8835</v>
      </c>
    </row>
    <row r="367" spans="66:78" customFormat="1" x14ac:dyDescent="0.25">
      <c r="BN367" s="7" t="s">
        <v>385</v>
      </c>
      <c r="BX367" s="7" t="s">
        <v>9713</v>
      </c>
      <c r="BY367" s="7" t="s">
        <v>797</v>
      </c>
      <c r="BZ367" s="7" t="s">
        <v>8835</v>
      </c>
    </row>
    <row r="368" spans="66:78" customFormat="1" x14ac:dyDescent="0.25">
      <c r="BN368" s="7" t="s">
        <v>386</v>
      </c>
      <c r="BX368" s="7" t="s">
        <v>9714</v>
      </c>
      <c r="BY368" s="7" t="s">
        <v>797</v>
      </c>
      <c r="BZ368" s="7" t="s">
        <v>8835</v>
      </c>
    </row>
    <row r="369" spans="66:78" customFormat="1" x14ac:dyDescent="0.25">
      <c r="BN369" s="7" t="s">
        <v>387</v>
      </c>
      <c r="BX369" s="7" t="s">
        <v>9715</v>
      </c>
      <c r="BY369" s="7" t="s">
        <v>797</v>
      </c>
      <c r="BZ369" s="7" t="s">
        <v>8835</v>
      </c>
    </row>
    <row r="370" spans="66:78" customFormat="1" x14ac:dyDescent="0.25">
      <c r="BN370" s="7" t="s">
        <v>388</v>
      </c>
      <c r="BX370" s="7" t="s">
        <v>9716</v>
      </c>
      <c r="BY370" s="7" t="s">
        <v>797</v>
      </c>
      <c r="BZ370" s="7" t="s">
        <v>8835</v>
      </c>
    </row>
    <row r="371" spans="66:78" customFormat="1" x14ac:dyDescent="0.25">
      <c r="BN371" s="7" t="s">
        <v>389</v>
      </c>
      <c r="BX371" s="7" t="s">
        <v>9717</v>
      </c>
      <c r="BY371" s="7" t="s">
        <v>797</v>
      </c>
      <c r="BZ371" s="7" t="s">
        <v>8835</v>
      </c>
    </row>
    <row r="372" spans="66:78" customFormat="1" x14ac:dyDescent="0.25">
      <c r="BN372" s="7" t="s">
        <v>390</v>
      </c>
      <c r="BX372" s="7" t="s">
        <v>9718</v>
      </c>
      <c r="BY372" s="7" t="s">
        <v>797</v>
      </c>
      <c r="BZ372" s="7" t="s">
        <v>8835</v>
      </c>
    </row>
    <row r="373" spans="66:78" customFormat="1" x14ac:dyDescent="0.25">
      <c r="BN373" s="7" t="s">
        <v>391</v>
      </c>
      <c r="BX373" s="7" t="s">
        <v>9719</v>
      </c>
      <c r="BY373" s="7" t="s">
        <v>797</v>
      </c>
      <c r="BZ373" s="7" t="s">
        <v>8835</v>
      </c>
    </row>
    <row r="374" spans="66:78" customFormat="1" x14ac:dyDescent="0.25">
      <c r="BN374" s="7" t="s">
        <v>392</v>
      </c>
      <c r="BX374" s="7" t="s">
        <v>9720</v>
      </c>
      <c r="BY374" s="7" t="s">
        <v>797</v>
      </c>
      <c r="BZ374" s="7" t="s">
        <v>8835</v>
      </c>
    </row>
    <row r="375" spans="66:78" customFormat="1" x14ac:dyDescent="0.25">
      <c r="BN375" s="7" t="s">
        <v>393</v>
      </c>
      <c r="BX375" s="7" t="s">
        <v>9721</v>
      </c>
      <c r="BY375" s="7" t="s">
        <v>797</v>
      </c>
      <c r="BZ375" s="7" t="s">
        <v>8835</v>
      </c>
    </row>
    <row r="376" spans="66:78" customFormat="1" x14ac:dyDescent="0.25">
      <c r="BN376" s="7" t="s">
        <v>394</v>
      </c>
      <c r="BX376" s="7" t="s">
        <v>9722</v>
      </c>
      <c r="BY376" s="7" t="s">
        <v>797</v>
      </c>
      <c r="BZ376" s="7" t="s">
        <v>8835</v>
      </c>
    </row>
    <row r="377" spans="66:78" customFormat="1" x14ac:dyDescent="0.25">
      <c r="BN377" s="7" t="s">
        <v>395</v>
      </c>
      <c r="BX377" s="7" t="s">
        <v>9723</v>
      </c>
      <c r="BY377" s="7" t="s">
        <v>797</v>
      </c>
      <c r="BZ377" s="7" t="s">
        <v>8835</v>
      </c>
    </row>
    <row r="378" spans="66:78" customFormat="1" x14ac:dyDescent="0.25">
      <c r="BN378" s="7" t="s">
        <v>396</v>
      </c>
      <c r="BX378" s="7" t="s">
        <v>9724</v>
      </c>
      <c r="BY378" s="7" t="s">
        <v>797</v>
      </c>
      <c r="BZ378" s="7" t="s">
        <v>8835</v>
      </c>
    </row>
    <row r="379" spans="66:78" customFormat="1" x14ac:dyDescent="0.25">
      <c r="BN379" s="7" t="s">
        <v>397</v>
      </c>
      <c r="BX379" s="7" t="s">
        <v>9725</v>
      </c>
      <c r="BY379" s="7" t="s">
        <v>797</v>
      </c>
      <c r="BZ379" s="7" t="s">
        <v>8835</v>
      </c>
    </row>
    <row r="380" spans="66:78" customFormat="1" x14ac:dyDescent="0.25">
      <c r="BN380" s="7" t="s">
        <v>398</v>
      </c>
      <c r="BX380" s="7" t="s">
        <v>9726</v>
      </c>
      <c r="BY380" s="7" t="s">
        <v>797</v>
      </c>
      <c r="BZ380" s="7" t="s">
        <v>8835</v>
      </c>
    </row>
    <row r="381" spans="66:78" customFormat="1" x14ac:dyDescent="0.25">
      <c r="BN381" s="7" t="s">
        <v>399</v>
      </c>
      <c r="BX381" s="7" t="s">
        <v>9727</v>
      </c>
      <c r="BY381" s="7" t="s">
        <v>797</v>
      </c>
      <c r="BZ381" s="7" t="s">
        <v>8835</v>
      </c>
    </row>
    <row r="382" spans="66:78" customFormat="1" x14ac:dyDescent="0.25">
      <c r="BN382" s="7" t="s">
        <v>400</v>
      </c>
      <c r="BX382" s="7" t="s">
        <v>9728</v>
      </c>
      <c r="BY382" s="7" t="s">
        <v>797</v>
      </c>
      <c r="BZ382" s="7" t="s">
        <v>8835</v>
      </c>
    </row>
    <row r="383" spans="66:78" customFormat="1" x14ac:dyDescent="0.25">
      <c r="BN383" s="7" t="s">
        <v>401</v>
      </c>
      <c r="BX383" s="7" t="s">
        <v>9729</v>
      </c>
      <c r="BY383" s="7" t="s">
        <v>797</v>
      </c>
      <c r="BZ383" s="7" t="s">
        <v>8835</v>
      </c>
    </row>
    <row r="384" spans="66:78" customFormat="1" x14ac:dyDescent="0.25">
      <c r="BN384" s="7" t="s">
        <v>402</v>
      </c>
      <c r="BX384" s="7" t="s">
        <v>9730</v>
      </c>
      <c r="BY384" s="7" t="s">
        <v>797</v>
      </c>
      <c r="BZ384" s="7" t="s">
        <v>8835</v>
      </c>
    </row>
    <row r="385" spans="66:78" customFormat="1" x14ac:dyDescent="0.25">
      <c r="BN385" s="7" t="s">
        <v>403</v>
      </c>
      <c r="BX385" s="7" t="s">
        <v>9731</v>
      </c>
      <c r="BY385" s="7" t="s">
        <v>797</v>
      </c>
      <c r="BZ385" s="7" t="s">
        <v>8835</v>
      </c>
    </row>
    <row r="386" spans="66:78" customFormat="1" x14ac:dyDescent="0.25">
      <c r="BN386" s="7" t="s">
        <v>404</v>
      </c>
      <c r="BX386" s="7" t="s">
        <v>9670</v>
      </c>
      <c r="BY386" s="7" t="s">
        <v>797</v>
      </c>
      <c r="BZ386" s="7" t="s">
        <v>8835</v>
      </c>
    </row>
    <row r="387" spans="66:78" customFormat="1" x14ac:dyDescent="0.25">
      <c r="BN387" s="7" t="s">
        <v>405</v>
      </c>
      <c r="BX387" s="7" t="s">
        <v>9733</v>
      </c>
      <c r="BY387" s="7" t="s">
        <v>797</v>
      </c>
      <c r="BZ387" s="7" t="s">
        <v>8835</v>
      </c>
    </row>
    <row r="388" spans="66:78" customFormat="1" x14ac:dyDescent="0.25">
      <c r="BN388" s="7" t="s">
        <v>406</v>
      </c>
      <c r="BX388" s="7" t="s">
        <v>9734</v>
      </c>
      <c r="BY388" s="7" t="s">
        <v>797</v>
      </c>
      <c r="BZ388" s="7" t="s">
        <v>8835</v>
      </c>
    </row>
    <row r="389" spans="66:78" customFormat="1" x14ac:dyDescent="0.25">
      <c r="BN389" s="7" t="s">
        <v>407</v>
      </c>
      <c r="BX389" s="7" t="s">
        <v>9735</v>
      </c>
      <c r="BY389" s="7" t="s">
        <v>797</v>
      </c>
      <c r="BZ389" s="7" t="s">
        <v>8835</v>
      </c>
    </row>
    <row r="390" spans="66:78" customFormat="1" x14ac:dyDescent="0.25">
      <c r="BN390" s="7" t="s">
        <v>408</v>
      </c>
      <c r="BX390" s="7" t="s">
        <v>9736</v>
      </c>
      <c r="BY390" s="7" t="s">
        <v>797</v>
      </c>
      <c r="BZ390" s="7" t="s">
        <v>8835</v>
      </c>
    </row>
    <row r="391" spans="66:78" customFormat="1" x14ac:dyDescent="0.25">
      <c r="BN391" s="7" t="s">
        <v>409</v>
      </c>
      <c r="BX391" s="7" t="s">
        <v>9737</v>
      </c>
      <c r="BY391" s="7" t="s">
        <v>797</v>
      </c>
      <c r="BZ391" s="7" t="s">
        <v>8835</v>
      </c>
    </row>
    <row r="392" spans="66:78" customFormat="1" x14ac:dyDescent="0.25">
      <c r="BN392" s="7" t="s">
        <v>410</v>
      </c>
      <c r="BX392" s="7" t="s">
        <v>9738</v>
      </c>
      <c r="BY392" s="7" t="s">
        <v>797</v>
      </c>
      <c r="BZ392" s="7" t="s">
        <v>8835</v>
      </c>
    </row>
    <row r="393" spans="66:78" customFormat="1" x14ac:dyDescent="0.25">
      <c r="BN393" s="7" t="s">
        <v>411</v>
      </c>
      <c r="BX393" s="7" t="s">
        <v>9671</v>
      </c>
      <c r="BY393" s="7" t="s">
        <v>797</v>
      </c>
      <c r="BZ393" s="7" t="s">
        <v>8835</v>
      </c>
    </row>
    <row r="394" spans="66:78" customFormat="1" x14ac:dyDescent="0.25">
      <c r="BN394" s="7" t="s">
        <v>412</v>
      </c>
      <c r="BX394" s="7" t="s">
        <v>9739</v>
      </c>
      <c r="BY394" s="7" t="s">
        <v>797</v>
      </c>
      <c r="BZ394" s="7" t="s">
        <v>8835</v>
      </c>
    </row>
    <row r="395" spans="66:78" customFormat="1" x14ac:dyDescent="0.25">
      <c r="BN395" s="7" t="s">
        <v>413</v>
      </c>
      <c r="BX395" s="7" t="s">
        <v>9740</v>
      </c>
      <c r="BY395" s="7" t="s">
        <v>797</v>
      </c>
      <c r="BZ395" s="7" t="s">
        <v>8835</v>
      </c>
    </row>
    <row r="396" spans="66:78" customFormat="1" x14ac:dyDescent="0.25">
      <c r="BN396" s="7" t="s">
        <v>414</v>
      </c>
      <c r="BX396" s="7" t="s">
        <v>9741</v>
      </c>
      <c r="BY396" s="7" t="s">
        <v>797</v>
      </c>
      <c r="BZ396" s="7" t="s">
        <v>8835</v>
      </c>
    </row>
    <row r="397" spans="66:78" customFormat="1" x14ac:dyDescent="0.25">
      <c r="BN397" s="7" t="s">
        <v>415</v>
      </c>
      <c r="BX397" s="7" t="s">
        <v>9742</v>
      </c>
      <c r="BY397" s="7" t="s">
        <v>797</v>
      </c>
      <c r="BZ397" s="7" t="s">
        <v>8835</v>
      </c>
    </row>
    <row r="398" spans="66:78" customFormat="1" x14ac:dyDescent="0.25">
      <c r="BN398" s="7" t="s">
        <v>416</v>
      </c>
      <c r="BX398" s="7" t="s">
        <v>9743</v>
      </c>
      <c r="BY398" s="7" t="s">
        <v>797</v>
      </c>
      <c r="BZ398" s="7" t="s">
        <v>8835</v>
      </c>
    </row>
    <row r="399" spans="66:78" customFormat="1" x14ac:dyDescent="0.25">
      <c r="BN399" s="7" t="s">
        <v>417</v>
      </c>
      <c r="BX399" s="7" t="s">
        <v>9744</v>
      </c>
      <c r="BY399" s="7" t="s">
        <v>797</v>
      </c>
      <c r="BZ399" s="7" t="s">
        <v>8835</v>
      </c>
    </row>
    <row r="400" spans="66:78" customFormat="1" x14ac:dyDescent="0.25">
      <c r="BN400" s="7" t="s">
        <v>418</v>
      </c>
      <c r="BX400" s="7" t="s">
        <v>9745</v>
      </c>
      <c r="BY400" s="7" t="s">
        <v>797</v>
      </c>
      <c r="BZ400" s="7" t="s">
        <v>8835</v>
      </c>
    </row>
    <row r="401" spans="66:78" customFormat="1" x14ac:dyDescent="0.25">
      <c r="BN401" s="7" t="s">
        <v>419</v>
      </c>
      <c r="BX401" s="7" t="s">
        <v>9746</v>
      </c>
      <c r="BY401" s="7" t="s">
        <v>797</v>
      </c>
      <c r="BZ401" s="7" t="s">
        <v>8835</v>
      </c>
    </row>
    <row r="402" spans="66:78" customFormat="1" x14ac:dyDescent="0.25">
      <c r="BN402" s="7" t="s">
        <v>420</v>
      </c>
      <c r="BX402" s="7" t="s">
        <v>9747</v>
      </c>
      <c r="BY402" s="7" t="s">
        <v>797</v>
      </c>
      <c r="BZ402" s="7" t="s">
        <v>8835</v>
      </c>
    </row>
    <row r="403" spans="66:78" customFormat="1" x14ac:dyDescent="0.25">
      <c r="BN403" s="7" t="s">
        <v>421</v>
      </c>
      <c r="BX403" s="7" t="s">
        <v>9748</v>
      </c>
      <c r="BY403" s="7" t="s">
        <v>797</v>
      </c>
      <c r="BZ403" s="7" t="s">
        <v>8835</v>
      </c>
    </row>
    <row r="404" spans="66:78" customFormat="1" x14ac:dyDescent="0.25">
      <c r="BN404" s="7" t="s">
        <v>422</v>
      </c>
      <c r="BX404" s="7" t="s">
        <v>9749</v>
      </c>
      <c r="BY404" s="7" t="s">
        <v>797</v>
      </c>
      <c r="BZ404" s="7" t="s">
        <v>8835</v>
      </c>
    </row>
    <row r="405" spans="66:78" customFormat="1" x14ac:dyDescent="0.25">
      <c r="BN405" s="7" t="s">
        <v>423</v>
      </c>
      <c r="BX405" s="7" t="s">
        <v>9750</v>
      </c>
      <c r="BY405" s="7" t="s">
        <v>797</v>
      </c>
      <c r="BZ405" s="7" t="s">
        <v>8835</v>
      </c>
    </row>
    <row r="406" spans="66:78" customFormat="1" x14ac:dyDescent="0.25">
      <c r="BN406" s="7" t="s">
        <v>424</v>
      </c>
      <c r="BX406" s="7" t="s">
        <v>9751</v>
      </c>
      <c r="BY406" s="7" t="s">
        <v>797</v>
      </c>
      <c r="BZ406" s="7" t="s">
        <v>8835</v>
      </c>
    </row>
    <row r="407" spans="66:78" customFormat="1" x14ac:dyDescent="0.25">
      <c r="BN407" s="7" t="s">
        <v>425</v>
      </c>
      <c r="BX407" s="7" t="s">
        <v>9752</v>
      </c>
      <c r="BY407" s="7" t="s">
        <v>797</v>
      </c>
      <c r="BZ407" s="7" t="s">
        <v>8835</v>
      </c>
    </row>
    <row r="408" spans="66:78" customFormat="1" x14ac:dyDescent="0.25">
      <c r="BN408" s="7" t="s">
        <v>426</v>
      </c>
      <c r="BX408" s="7" t="s">
        <v>9753</v>
      </c>
      <c r="BY408" s="7" t="s">
        <v>797</v>
      </c>
      <c r="BZ408" s="7" t="s">
        <v>8835</v>
      </c>
    </row>
    <row r="409" spans="66:78" customFormat="1" x14ac:dyDescent="0.25">
      <c r="BN409" s="7" t="s">
        <v>427</v>
      </c>
      <c r="BX409" s="7" t="s">
        <v>9754</v>
      </c>
      <c r="BY409" s="7" t="s">
        <v>797</v>
      </c>
      <c r="BZ409" s="7" t="s">
        <v>8835</v>
      </c>
    </row>
    <row r="410" spans="66:78" customFormat="1" x14ac:dyDescent="0.25">
      <c r="BN410" s="7" t="s">
        <v>428</v>
      </c>
      <c r="BX410" s="7" t="s">
        <v>9755</v>
      </c>
      <c r="BY410" s="7" t="s">
        <v>797</v>
      </c>
      <c r="BZ410" s="7" t="s">
        <v>8835</v>
      </c>
    </row>
    <row r="411" spans="66:78" customFormat="1" x14ac:dyDescent="0.25">
      <c r="BN411" s="7" t="s">
        <v>429</v>
      </c>
      <c r="BX411" s="7" t="s">
        <v>9756</v>
      </c>
      <c r="BY411" s="7" t="s">
        <v>797</v>
      </c>
      <c r="BZ411" s="7" t="s">
        <v>8835</v>
      </c>
    </row>
    <row r="412" spans="66:78" customFormat="1" x14ac:dyDescent="0.25">
      <c r="BN412" s="7" t="s">
        <v>430</v>
      </c>
      <c r="BX412" s="7" t="s">
        <v>9757</v>
      </c>
      <c r="BY412" s="7" t="s">
        <v>797</v>
      </c>
      <c r="BZ412" s="7" t="s">
        <v>8835</v>
      </c>
    </row>
    <row r="413" spans="66:78" customFormat="1" x14ac:dyDescent="0.25">
      <c r="BN413" s="7" t="s">
        <v>431</v>
      </c>
      <c r="BX413" s="7" t="s">
        <v>9758</v>
      </c>
      <c r="BY413" s="7" t="s">
        <v>797</v>
      </c>
      <c r="BZ413" s="7" t="s">
        <v>8835</v>
      </c>
    </row>
    <row r="414" spans="66:78" customFormat="1" x14ac:dyDescent="0.25">
      <c r="BN414" s="7" t="s">
        <v>432</v>
      </c>
      <c r="BX414" s="7" t="s">
        <v>9759</v>
      </c>
      <c r="BY414" s="7" t="s">
        <v>797</v>
      </c>
      <c r="BZ414" s="7" t="s">
        <v>8835</v>
      </c>
    </row>
    <row r="415" spans="66:78" customFormat="1" x14ac:dyDescent="0.25">
      <c r="BN415" s="7" t="s">
        <v>433</v>
      </c>
      <c r="BX415" s="7" t="s">
        <v>9760</v>
      </c>
      <c r="BY415" s="7" t="s">
        <v>797</v>
      </c>
      <c r="BZ415" s="7" t="s">
        <v>8835</v>
      </c>
    </row>
    <row r="416" spans="66:78" customFormat="1" x14ac:dyDescent="0.25">
      <c r="BN416" s="7" t="s">
        <v>434</v>
      </c>
      <c r="BX416" s="7" t="s">
        <v>9761</v>
      </c>
      <c r="BY416" s="7" t="s">
        <v>797</v>
      </c>
      <c r="BZ416" s="7" t="s">
        <v>8835</v>
      </c>
    </row>
    <row r="417" spans="66:78" customFormat="1" x14ac:dyDescent="0.25">
      <c r="BN417" s="7" t="s">
        <v>435</v>
      </c>
      <c r="BX417" s="7" t="s">
        <v>9762</v>
      </c>
      <c r="BY417" s="7" t="s">
        <v>797</v>
      </c>
      <c r="BZ417" s="7" t="s">
        <v>8835</v>
      </c>
    </row>
    <row r="418" spans="66:78" customFormat="1" x14ac:dyDescent="0.25">
      <c r="BN418" s="7" t="s">
        <v>436</v>
      </c>
      <c r="BX418" s="7" t="s">
        <v>9672</v>
      </c>
      <c r="BY418" s="7" t="s">
        <v>797</v>
      </c>
      <c r="BZ418" s="7" t="s">
        <v>8835</v>
      </c>
    </row>
    <row r="419" spans="66:78" customFormat="1" x14ac:dyDescent="0.25">
      <c r="BN419" s="7" t="s">
        <v>437</v>
      </c>
      <c r="BX419" s="7" t="s">
        <v>9732</v>
      </c>
      <c r="BY419" s="7" t="s">
        <v>797</v>
      </c>
      <c r="BZ419" s="7" t="s">
        <v>8835</v>
      </c>
    </row>
    <row r="420" spans="66:78" customFormat="1" x14ac:dyDescent="0.25">
      <c r="BN420" s="7" t="s">
        <v>438</v>
      </c>
      <c r="BX420" s="7" t="s">
        <v>9768</v>
      </c>
      <c r="BY420" s="7" t="s">
        <v>797</v>
      </c>
      <c r="BZ420" s="7" t="s">
        <v>8835</v>
      </c>
    </row>
    <row r="421" spans="66:78" customFormat="1" x14ac:dyDescent="0.25">
      <c r="BN421" s="7" t="s">
        <v>439</v>
      </c>
      <c r="BX421" s="7" t="s">
        <v>9769</v>
      </c>
      <c r="BY421" s="7" t="s">
        <v>797</v>
      </c>
      <c r="BZ421" s="7" t="s">
        <v>8835</v>
      </c>
    </row>
    <row r="422" spans="66:78" customFormat="1" x14ac:dyDescent="0.25">
      <c r="BN422" s="7" t="s">
        <v>440</v>
      </c>
      <c r="BX422" s="7" t="s">
        <v>9673</v>
      </c>
      <c r="BY422" s="7" t="s">
        <v>797</v>
      </c>
      <c r="BZ422" s="7" t="s">
        <v>8835</v>
      </c>
    </row>
    <row r="423" spans="66:78" customFormat="1" x14ac:dyDescent="0.25">
      <c r="BN423" s="7" t="s">
        <v>441</v>
      </c>
      <c r="BX423" s="7" t="s">
        <v>9763</v>
      </c>
      <c r="BY423" s="7" t="s">
        <v>797</v>
      </c>
      <c r="BZ423" s="7" t="s">
        <v>8835</v>
      </c>
    </row>
    <row r="424" spans="66:78" customFormat="1" x14ac:dyDescent="0.25">
      <c r="BN424" s="7" t="s">
        <v>442</v>
      </c>
      <c r="BX424" s="7" t="s">
        <v>9770</v>
      </c>
      <c r="BY424" s="7" t="s">
        <v>797</v>
      </c>
      <c r="BZ424" s="7" t="s">
        <v>8835</v>
      </c>
    </row>
    <row r="425" spans="66:78" customFormat="1" x14ac:dyDescent="0.25">
      <c r="BN425" s="7" t="s">
        <v>443</v>
      </c>
      <c r="BX425" s="7" t="s">
        <v>9771</v>
      </c>
      <c r="BY425" s="7" t="s">
        <v>797</v>
      </c>
      <c r="BZ425" s="7" t="s">
        <v>8835</v>
      </c>
    </row>
    <row r="426" spans="66:78" customFormat="1" x14ac:dyDescent="0.25">
      <c r="BN426" s="7" t="s">
        <v>444</v>
      </c>
      <c r="BX426" s="7" t="s">
        <v>9674</v>
      </c>
      <c r="BY426" s="7" t="s">
        <v>797</v>
      </c>
      <c r="BZ426" s="7" t="s">
        <v>8835</v>
      </c>
    </row>
    <row r="427" spans="66:78" customFormat="1" x14ac:dyDescent="0.25">
      <c r="BN427" s="7" t="s">
        <v>445</v>
      </c>
      <c r="BX427" s="7" t="s">
        <v>9764</v>
      </c>
      <c r="BY427" s="7" t="s">
        <v>797</v>
      </c>
      <c r="BZ427" s="7" t="s">
        <v>8835</v>
      </c>
    </row>
    <row r="428" spans="66:78" customFormat="1" x14ac:dyDescent="0.25">
      <c r="BN428" s="7" t="s">
        <v>446</v>
      </c>
      <c r="BX428" s="7" t="s">
        <v>9765</v>
      </c>
      <c r="BY428" s="7" t="s">
        <v>797</v>
      </c>
      <c r="BZ428" s="7" t="s">
        <v>8835</v>
      </c>
    </row>
    <row r="429" spans="66:78" customFormat="1" x14ac:dyDescent="0.25">
      <c r="BN429" s="7" t="s">
        <v>447</v>
      </c>
      <c r="BX429" s="7" t="s">
        <v>9766</v>
      </c>
      <c r="BY429" s="7" t="s">
        <v>797</v>
      </c>
      <c r="BZ429" s="7" t="s">
        <v>8835</v>
      </c>
    </row>
    <row r="430" spans="66:78" customFormat="1" x14ac:dyDescent="0.25">
      <c r="BN430" s="7" t="s">
        <v>448</v>
      </c>
      <c r="BX430" s="7" t="s">
        <v>9767</v>
      </c>
      <c r="BY430" s="7" t="s">
        <v>797</v>
      </c>
      <c r="BZ430" s="7" t="s">
        <v>8835</v>
      </c>
    </row>
    <row r="431" spans="66:78" customFormat="1" x14ac:dyDescent="0.25">
      <c r="BN431" s="7" t="s">
        <v>449</v>
      </c>
      <c r="BX431" s="7" t="s">
        <v>9675</v>
      </c>
      <c r="BY431" s="7" t="s">
        <v>797</v>
      </c>
      <c r="BZ431" s="7" t="s">
        <v>8835</v>
      </c>
    </row>
    <row r="432" spans="66:78" customFormat="1" x14ac:dyDescent="0.25">
      <c r="BN432" s="7" t="s">
        <v>450</v>
      </c>
      <c r="BX432" s="7" t="s">
        <v>9772</v>
      </c>
      <c r="BY432" s="7" t="s">
        <v>797</v>
      </c>
      <c r="BZ432" s="7" t="s">
        <v>8835</v>
      </c>
    </row>
    <row r="433" spans="66:78" customFormat="1" x14ac:dyDescent="0.25">
      <c r="BN433" s="7" t="s">
        <v>451</v>
      </c>
      <c r="BX433" s="7" t="s">
        <v>9773</v>
      </c>
      <c r="BY433" s="7" t="s">
        <v>797</v>
      </c>
      <c r="BZ433" s="7" t="s">
        <v>8835</v>
      </c>
    </row>
    <row r="434" spans="66:78" customFormat="1" x14ac:dyDescent="0.25">
      <c r="BN434" s="7" t="s">
        <v>452</v>
      </c>
      <c r="BX434" s="7" t="s">
        <v>9774</v>
      </c>
      <c r="BY434" s="7" t="s">
        <v>797</v>
      </c>
      <c r="BZ434" s="7" t="s">
        <v>8835</v>
      </c>
    </row>
    <row r="435" spans="66:78" customFormat="1" x14ac:dyDescent="0.25">
      <c r="BN435" s="7" t="s">
        <v>453</v>
      </c>
      <c r="BX435" s="7" t="s">
        <v>9775</v>
      </c>
      <c r="BY435" s="7" t="s">
        <v>797</v>
      </c>
      <c r="BZ435" s="7" t="s">
        <v>8835</v>
      </c>
    </row>
    <row r="436" spans="66:78" customFormat="1" x14ac:dyDescent="0.25">
      <c r="BN436" s="7" t="s">
        <v>454</v>
      </c>
      <c r="BX436" s="7" t="s">
        <v>9776</v>
      </c>
      <c r="BY436" s="7" t="s">
        <v>797</v>
      </c>
      <c r="BZ436" s="7" t="s">
        <v>8835</v>
      </c>
    </row>
    <row r="437" spans="66:78" customFormat="1" x14ac:dyDescent="0.25">
      <c r="BN437" s="7" t="s">
        <v>455</v>
      </c>
      <c r="BX437" s="7" t="s">
        <v>9777</v>
      </c>
      <c r="BY437" s="7" t="s">
        <v>797</v>
      </c>
      <c r="BZ437" s="7" t="s">
        <v>8835</v>
      </c>
    </row>
    <row r="438" spans="66:78" customFormat="1" x14ac:dyDescent="0.25">
      <c r="BN438" s="7" t="s">
        <v>456</v>
      </c>
      <c r="BX438" s="7" t="s">
        <v>9778</v>
      </c>
      <c r="BY438" s="7" t="s">
        <v>797</v>
      </c>
      <c r="BZ438" s="7" t="s">
        <v>8835</v>
      </c>
    </row>
    <row r="439" spans="66:78" customFormat="1" x14ac:dyDescent="0.25">
      <c r="BN439" s="7" t="s">
        <v>457</v>
      </c>
      <c r="BX439" s="7" t="s">
        <v>9779</v>
      </c>
      <c r="BY439" s="7" t="s">
        <v>797</v>
      </c>
      <c r="BZ439" s="7" t="s">
        <v>8835</v>
      </c>
    </row>
    <row r="440" spans="66:78" customFormat="1" x14ac:dyDescent="0.25">
      <c r="BN440" s="7" t="s">
        <v>8900</v>
      </c>
      <c r="BX440" s="7" t="s">
        <v>9676</v>
      </c>
      <c r="BY440" s="7" t="s">
        <v>797</v>
      </c>
      <c r="BZ440" s="7" t="s">
        <v>8835</v>
      </c>
    </row>
    <row r="441" spans="66:78" customFormat="1" x14ac:dyDescent="0.25">
      <c r="BN441" s="7" t="s">
        <v>458</v>
      </c>
      <c r="BX441" s="7" t="s">
        <v>9780</v>
      </c>
      <c r="BY441" s="7" t="s">
        <v>797</v>
      </c>
      <c r="BZ441" s="7" t="s">
        <v>8835</v>
      </c>
    </row>
    <row r="442" spans="66:78" customFormat="1" x14ac:dyDescent="0.25">
      <c r="BN442" s="7" t="s">
        <v>459</v>
      </c>
      <c r="BX442" s="7" t="s">
        <v>9781</v>
      </c>
      <c r="BY442" s="7" t="s">
        <v>797</v>
      </c>
      <c r="BZ442" s="7" t="s">
        <v>8835</v>
      </c>
    </row>
    <row r="443" spans="66:78" customFormat="1" x14ac:dyDescent="0.25">
      <c r="BN443" s="7" t="s">
        <v>8899</v>
      </c>
      <c r="BX443" s="7" t="s">
        <v>9782</v>
      </c>
      <c r="BY443" s="7" t="s">
        <v>797</v>
      </c>
      <c r="BZ443" s="7" t="s">
        <v>8835</v>
      </c>
    </row>
    <row r="444" spans="66:78" customFormat="1" x14ac:dyDescent="0.25">
      <c r="BN444" s="7" t="s">
        <v>8996</v>
      </c>
      <c r="BX444" s="7" t="s">
        <v>9783</v>
      </c>
      <c r="BY444" s="7" t="s">
        <v>797</v>
      </c>
      <c r="BZ444" s="7" t="s">
        <v>8835</v>
      </c>
    </row>
    <row r="445" spans="66:78" customFormat="1" x14ac:dyDescent="0.25">
      <c r="BN445" s="7" t="s">
        <v>460</v>
      </c>
      <c r="BX445" s="7" t="s">
        <v>9677</v>
      </c>
      <c r="BY445" s="7" t="s">
        <v>797</v>
      </c>
      <c r="BZ445" s="7" t="s">
        <v>8835</v>
      </c>
    </row>
    <row r="446" spans="66:78" customFormat="1" x14ac:dyDescent="0.25">
      <c r="BN446" s="7" t="s">
        <v>461</v>
      </c>
      <c r="BX446" s="7" t="s">
        <v>9784</v>
      </c>
      <c r="BY446" s="7" t="s">
        <v>797</v>
      </c>
      <c r="BZ446" s="7" t="s">
        <v>8835</v>
      </c>
    </row>
    <row r="447" spans="66:78" customFormat="1" x14ac:dyDescent="0.25">
      <c r="BN447" s="7" t="s">
        <v>462</v>
      </c>
      <c r="BX447" s="7" t="s">
        <v>9785</v>
      </c>
      <c r="BY447" s="7" t="s">
        <v>797</v>
      </c>
      <c r="BZ447" s="7" t="s">
        <v>8835</v>
      </c>
    </row>
    <row r="448" spans="66:78" customFormat="1" x14ac:dyDescent="0.25">
      <c r="BN448" s="7" t="s">
        <v>463</v>
      </c>
      <c r="BX448" s="7" t="s">
        <v>9786</v>
      </c>
      <c r="BY448" s="7" t="s">
        <v>797</v>
      </c>
      <c r="BZ448" s="7" t="s">
        <v>8835</v>
      </c>
    </row>
    <row r="449" spans="66:78" customFormat="1" x14ac:dyDescent="0.25">
      <c r="BN449" s="7" t="s">
        <v>464</v>
      </c>
      <c r="BX449" s="7" t="s">
        <v>9787</v>
      </c>
      <c r="BY449" s="7" t="s">
        <v>797</v>
      </c>
      <c r="BZ449" s="7" t="s">
        <v>8835</v>
      </c>
    </row>
    <row r="450" spans="66:78" customFormat="1" x14ac:dyDescent="0.25">
      <c r="BN450" s="7" t="s">
        <v>465</v>
      </c>
      <c r="BX450" s="7" t="s">
        <v>9788</v>
      </c>
      <c r="BY450" s="7" t="s">
        <v>797</v>
      </c>
      <c r="BZ450" s="7" t="s">
        <v>8835</v>
      </c>
    </row>
    <row r="451" spans="66:78" customFormat="1" x14ac:dyDescent="0.25">
      <c r="BN451" s="7" t="s">
        <v>466</v>
      </c>
      <c r="BX451" s="7" t="s">
        <v>9789</v>
      </c>
      <c r="BY451" s="7" t="s">
        <v>797</v>
      </c>
      <c r="BZ451" s="7" t="s">
        <v>8835</v>
      </c>
    </row>
    <row r="452" spans="66:78" customFormat="1" x14ac:dyDescent="0.25">
      <c r="BN452" s="7" t="s">
        <v>467</v>
      </c>
      <c r="BX452" s="7" t="s">
        <v>9790</v>
      </c>
      <c r="BY452" s="7" t="s">
        <v>797</v>
      </c>
      <c r="BZ452" s="7" t="s">
        <v>8835</v>
      </c>
    </row>
    <row r="453" spans="66:78" customFormat="1" x14ac:dyDescent="0.25">
      <c r="BN453" s="7" t="s">
        <v>468</v>
      </c>
      <c r="BX453" s="7" t="s">
        <v>9791</v>
      </c>
      <c r="BY453" s="7" t="s">
        <v>797</v>
      </c>
      <c r="BZ453" s="7" t="s">
        <v>8835</v>
      </c>
    </row>
    <row r="454" spans="66:78" customFormat="1" x14ac:dyDescent="0.25">
      <c r="BN454" s="7" t="s">
        <v>469</v>
      </c>
      <c r="BX454" s="7" t="s">
        <v>9792</v>
      </c>
      <c r="BY454" s="7" t="s">
        <v>797</v>
      </c>
      <c r="BZ454" s="7" t="s">
        <v>8835</v>
      </c>
    </row>
    <row r="455" spans="66:78" customFormat="1" x14ac:dyDescent="0.25">
      <c r="BN455" s="7" t="s">
        <v>470</v>
      </c>
      <c r="BX455" s="7" t="s">
        <v>9793</v>
      </c>
      <c r="BY455" s="7" t="s">
        <v>797</v>
      </c>
      <c r="BZ455" s="7" t="s">
        <v>8835</v>
      </c>
    </row>
    <row r="456" spans="66:78" customFormat="1" x14ac:dyDescent="0.25">
      <c r="BN456" s="7" t="s">
        <v>471</v>
      </c>
      <c r="BX456" s="7" t="s">
        <v>9678</v>
      </c>
      <c r="BY456" s="7" t="s">
        <v>797</v>
      </c>
      <c r="BZ456" s="7" t="s">
        <v>8835</v>
      </c>
    </row>
    <row r="457" spans="66:78" customFormat="1" x14ac:dyDescent="0.25">
      <c r="BN457" s="7" t="s">
        <v>472</v>
      </c>
      <c r="BX457" s="7" t="s">
        <v>9794</v>
      </c>
      <c r="BY457" s="7" t="s">
        <v>797</v>
      </c>
      <c r="BZ457" s="7" t="s">
        <v>8835</v>
      </c>
    </row>
    <row r="458" spans="66:78" customFormat="1" x14ac:dyDescent="0.25">
      <c r="BN458" s="7" t="s">
        <v>473</v>
      </c>
      <c r="BX458" s="7" t="s">
        <v>9795</v>
      </c>
      <c r="BY458" s="7" t="s">
        <v>797</v>
      </c>
      <c r="BZ458" s="7" t="s">
        <v>8835</v>
      </c>
    </row>
    <row r="459" spans="66:78" customFormat="1" x14ac:dyDescent="0.25">
      <c r="BN459" s="7" t="s">
        <v>474</v>
      </c>
      <c r="BX459" s="7" t="s">
        <v>9796</v>
      </c>
      <c r="BY459" s="7" t="s">
        <v>797</v>
      </c>
      <c r="BZ459" s="7" t="s">
        <v>8835</v>
      </c>
    </row>
    <row r="460" spans="66:78" customFormat="1" x14ac:dyDescent="0.25">
      <c r="BN460" s="7" t="s">
        <v>475</v>
      </c>
      <c r="BX460" s="7" t="s">
        <v>9797</v>
      </c>
      <c r="BY460" s="7" t="s">
        <v>797</v>
      </c>
      <c r="BZ460" s="7" t="s">
        <v>8835</v>
      </c>
    </row>
    <row r="461" spans="66:78" customFormat="1" x14ac:dyDescent="0.25">
      <c r="BN461" s="7" t="s">
        <v>476</v>
      </c>
      <c r="BX461" s="7" t="s">
        <v>9798</v>
      </c>
      <c r="BY461" s="7" t="s">
        <v>797</v>
      </c>
      <c r="BZ461" s="7" t="s">
        <v>8835</v>
      </c>
    </row>
    <row r="462" spans="66:78" customFormat="1" x14ac:dyDescent="0.25">
      <c r="BN462" s="7" t="s">
        <v>477</v>
      </c>
      <c r="BX462" s="7" t="s">
        <v>9679</v>
      </c>
      <c r="BY462" s="7" t="s">
        <v>797</v>
      </c>
      <c r="BZ462" s="7" t="s">
        <v>8835</v>
      </c>
    </row>
    <row r="463" spans="66:78" customFormat="1" x14ac:dyDescent="0.25">
      <c r="BN463" s="7" t="s">
        <v>478</v>
      </c>
      <c r="BX463" s="7" t="s">
        <v>9799</v>
      </c>
      <c r="BY463" s="7" t="s">
        <v>797</v>
      </c>
      <c r="BZ463" s="7" t="s">
        <v>8835</v>
      </c>
    </row>
    <row r="464" spans="66:78" customFormat="1" x14ac:dyDescent="0.25">
      <c r="BN464" s="7" t="s">
        <v>479</v>
      </c>
      <c r="BX464" s="7" t="s">
        <v>9800</v>
      </c>
      <c r="BY464" s="7" t="s">
        <v>797</v>
      </c>
      <c r="BZ464" s="7" t="s">
        <v>8835</v>
      </c>
    </row>
    <row r="465" spans="66:78" customFormat="1" x14ac:dyDescent="0.25">
      <c r="BN465" s="7" t="s">
        <v>480</v>
      </c>
      <c r="BX465" s="7" t="s">
        <v>9801</v>
      </c>
      <c r="BY465" s="7" t="s">
        <v>797</v>
      </c>
      <c r="BZ465" s="7" t="s">
        <v>8835</v>
      </c>
    </row>
    <row r="466" spans="66:78" customFormat="1" x14ac:dyDescent="0.25">
      <c r="BN466" s="7" t="s">
        <v>481</v>
      </c>
      <c r="BX466" s="7" t="s">
        <v>9802</v>
      </c>
      <c r="BY466" s="7" t="s">
        <v>797</v>
      </c>
      <c r="BZ466" s="7" t="s">
        <v>8835</v>
      </c>
    </row>
    <row r="467" spans="66:78" customFormat="1" x14ac:dyDescent="0.25">
      <c r="BN467" s="7" t="s">
        <v>482</v>
      </c>
      <c r="BX467" s="7" t="s">
        <v>9803</v>
      </c>
      <c r="BY467" s="7" t="s">
        <v>797</v>
      </c>
      <c r="BZ467" s="7" t="s">
        <v>8835</v>
      </c>
    </row>
    <row r="468" spans="66:78" customFormat="1" x14ac:dyDescent="0.25">
      <c r="BN468" s="7" t="s">
        <v>483</v>
      </c>
      <c r="BX468" s="7" t="s">
        <v>9804</v>
      </c>
      <c r="BY468" s="7" t="s">
        <v>797</v>
      </c>
      <c r="BZ468" s="7" t="s">
        <v>8835</v>
      </c>
    </row>
    <row r="469" spans="66:78" customFormat="1" x14ac:dyDescent="0.25">
      <c r="BN469" s="7" t="s">
        <v>484</v>
      </c>
      <c r="BX469" s="7" t="s">
        <v>9805</v>
      </c>
      <c r="BY469" s="7" t="s">
        <v>797</v>
      </c>
      <c r="BZ469" s="7" t="s">
        <v>8835</v>
      </c>
    </row>
    <row r="470" spans="66:78" customFormat="1" x14ac:dyDescent="0.25">
      <c r="BN470" s="7" t="s">
        <v>485</v>
      </c>
      <c r="BX470" s="7" t="s">
        <v>9806</v>
      </c>
      <c r="BY470" s="7" t="s">
        <v>797</v>
      </c>
      <c r="BZ470" s="7" t="s">
        <v>8835</v>
      </c>
    </row>
    <row r="471" spans="66:78" customFormat="1" x14ac:dyDescent="0.25">
      <c r="BN471" s="7" t="s">
        <v>486</v>
      </c>
      <c r="BX471" s="7" t="s">
        <v>9807</v>
      </c>
      <c r="BY471" s="7" t="s">
        <v>797</v>
      </c>
      <c r="BZ471" s="7" t="s">
        <v>8835</v>
      </c>
    </row>
    <row r="472" spans="66:78" customFormat="1" x14ac:dyDescent="0.25">
      <c r="BN472" s="7" t="s">
        <v>487</v>
      </c>
      <c r="BX472" s="7" t="s">
        <v>9808</v>
      </c>
      <c r="BY472" s="7" t="s">
        <v>797</v>
      </c>
      <c r="BZ472" s="7" t="s">
        <v>8835</v>
      </c>
    </row>
    <row r="473" spans="66:78" customFormat="1" x14ac:dyDescent="0.25">
      <c r="BN473" s="7" t="s">
        <v>488</v>
      </c>
      <c r="BX473" s="7" t="s">
        <v>9809</v>
      </c>
      <c r="BY473" s="7" t="s">
        <v>797</v>
      </c>
      <c r="BZ473" s="7" t="s">
        <v>8835</v>
      </c>
    </row>
    <row r="474" spans="66:78" customFormat="1" x14ac:dyDescent="0.25">
      <c r="BN474" s="7" t="s">
        <v>489</v>
      </c>
      <c r="BX474" s="7" t="s">
        <v>9810</v>
      </c>
      <c r="BY474" s="7" t="s">
        <v>797</v>
      </c>
      <c r="BZ474" s="7" t="s">
        <v>8835</v>
      </c>
    </row>
    <row r="475" spans="66:78" customFormat="1" x14ac:dyDescent="0.25">
      <c r="BN475" s="7" t="s">
        <v>490</v>
      </c>
      <c r="BX475" s="7" t="s">
        <v>9811</v>
      </c>
      <c r="BY475" s="7" t="s">
        <v>797</v>
      </c>
      <c r="BZ475" s="7" t="s">
        <v>8835</v>
      </c>
    </row>
    <row r="476" spans="66:78" customFormat="1" x14ac:dyDescent="0.25">
      <c r="BN476" s="7" t="s">
        <v>491</v>
      </c>
      <c r="BX476" s="7" t="s">
        <v>9812</v>
      </c>
      <c r="BY476" s="7" t="s">
        <v>797</v>
      </c>
      <c r="BZ476" s="7" t="s">
        <v>8835</v>
      </c>
    </row>
    <row r="477" spans="66:78" customFormat="1" x14ac:dyDescent="0.25">
      <c r="BN477" s="7" t="s">
        <v>492</v>
      </c>
      <c r="BX477" s="7" t="s">
        <v>9813</v>
      </c>
      <c r="BY477" s="7" t="s">
        <v>797</v>
      </c>
      <c r="BZ477" s="7" t="s">
        <v>8835</v>
      </c>
    </row>
    <row r="478" spans="66:78" customFormat="1" x14ac:dyDescent="0.25">
      <c r="BN478" s="7" t="s">
        <v>493</v>
      </c>
      <c r="BX478" s="7" t="s">
        <v>9814</v>
      </c>
      <c r="BY478" s="7" t="s">
        <v>797</v>
      </c>
      <c r="BZ478" s="7" t="s">
        <v>8835</v>
      </c>
    </row>
    <row r="479" spans="66:78" customFormat="1" x14ac:dyDescent="0.25">
      <c r="BN479" s="7" t="s">
        <v>494</v>
      </c>
      <c r="BX479" s="7" t="s">
        <v>9815</v>
      </c>
      <c r="BY479" s="7" t="s">
        <v>797</v>
      </c>
      <c r="BZ479" s="7" t="s">
        <v>8835</v>
      </c>
    </row>
    <row r="480" spans="66:78" customFormat="1" x14ac:dyDescent="0.25">
      <c r="BN480" s="7" t="s">
        <v>495</v>
      </c>
      <c r="BX480" s="7" t="s">
        <v>9816</v>
      </c>
      <c r="BY480" s="7" t="s">
        <v>797</v>
      </c>
      <c r="BZ480" s="7" t="s">
        <v>8835</v>
      </c>
    </row>
    <row r="481" spans="66:78" customFormat="1" x14ac:dyDescent="0.25">
      <c r="BN481" s="7" t="s">
        <v>496</v>
      </c>
      <c r="BX481" s="7" t="s">
        <v>9817</v>
      </c>
      <c r="BY481" s="7" t="s">
        <v>797</v>
      </c>
      <c r="BZ481" s="7" t="s">
        <v>8835</v>
      </c>
    </row>
    <row r="482" spans="66:78" customFormat="1" x14ac:dyDescent="0.25">
      <c r="BN482" s="7" t="s">
        <v>497</v>
      </c>
      <c r="BX482" s="7" t="s">
        <v>9818</v>
      </c>
      <c r="BY482" s="7" t="s">
        <v>797</v>
      </c>
      <c r="BZ482" s="7" t="s">
        <v>8835</v>
      </c>
    </row>
    <row r="483" spans="66:78" customFormat="1" x14ac:dyDescent="0.25">
      <c r="BN483" s="7" t="s">
        <v>498</v>
      </c>
      <c r="BX483" s="7" t="s">
        <v>9819</v>
      </c>
      <c r="BY483" s="7" t="s">
        <v>797</v>
      </c>
      <c r="BZ483" s="7" t="s">
        <v>8835</v>
      </c>
    </row>
    <row r="484" spans="66:78" customFormat="1" x14ac:dyDescent="0.25">
      <c r="BN484" s="7" t="s">
        <v>499</v>
      </c>
      <c r="BX484" s="7" t="s">
        <v>9680</v>
      </c>
      <c r="BY484" s="7" t="s">
        <v>797</v>
      </c>
      <c r="BZ484" s="7" t="s">
        <v>8835</v>
      </c>
    </row>
    <row r="485" spans="66:78" customFormat="1" x14ac:dyDescent="0.25">
      <c r="BN485" s="7" t="s">
        <v>500</v>
      </c>
      <c r="BX485" s="7" t="s">
        <v>9820</v>
      </c>
      <c r="BY485" s="7" t="s">
        <v>797</v>
      </c>
      <c r="BZ485" s="7" t="s">
        <v>8835</v>
      </c>
    </row>
    <row r="486" spans="66:78" customFormat="1" x14ac:dyDescent="0.25">
      <c r="BN486" s="7" t="s">
        <v>501</v>
      </c>
      <c r="BX486" s="7" t="s">
        <v>9821</v>
      </c>
      <c r="BY486" s="7" t="s">
        <v>797</v>
      </c>
      <c r="BZ486" s="7" t="s">
        <v>8835</v>
      </c>
    </row>
    <row r="487" spans="66:78" customFormat="1" x14ac:dyDescent="0.25">
      <c r="BN487" s="7" t="s">
        <v>502</v>
      </c>
      <c r="BX487" s="7" t="s">
        <v>9822</v>
      </c>
      <c r="BY487" s="7" t="s">
        <v>797</v>
      </c>
      <c r="BZ487" s="7" t="s">
        <v>8835</v>
      </c>
    </row>
    <row r="488" spans="66:78" customFormat="1" x14ac:dyDescent="0.25">
      <c r="BN488" s="7" t="s">
        <v>503</v>
      </c>
      <c r="BX488" s="7" t="s">
        <v>9823</v>
      </c>
      <c r="BY488" s="7" t="s">
        <v>797</v>
      </c>
      <c r="BZ488" s="7" t="s">
        <v>8835</v>
      </c>
    </row>
    <row r="489" spans="66:78" customFormat="1" x14ac:dyDescent="0.25">
      <c r="BN489" s="7" t="s">
        <v>504</v>
      </c>
      <c r="BX489" s="7" t="s">
        <v>9824</v>
      </c>
      <c r="BY489" s="7" t="s">
        <v>797</v>
      </c>
      <c r="BZ489" s="7" t="s">
        <v>8835</v>
      </c>
    </row>
    <row r="490" spans="66:78" customFormat="1" x14ac:dyDescent="0.25">
      <c r="BN490" s="7" t="s">
        <v>505</v>
      </c>
      <c r="BX490" s="7" t="s">
        <v>9825</v>
      </c>
      <c r="BY490" s="7" t="s">
        <v>797</v>
      </c>
      <c r="BZ490" s="7" t="s">
        <v>8835</v>
      </c>
    </row>
    <row r="491" spans="66:78" customFormat="1" x14ac:dyDescent="0.25">
      <c r="BN491" s="7" t="s">
        <v>506</v>
      </c>
      <c r="BX491" s="7" t="s">
        <v>9826</v>
      </c>
      <c r="BY491" s="7" t="s">
        <v>797</v>
      </c>
      <c r="BZ491" s="7" t="s">
        <v>8835</v>
      </c>
    </row>
    <row r="492" spans="66:78" customFormat="1" x14ac:dyDescent="0.25">
      <c r="BN492" s="7" t="s">
        <v>507</v>
      </c>
      <c r="BX492" s="7" t="s">
        <v>9827</v>
      </c>
      <c r="BY492" s="7" t="s">
        <v>797</v>
      </c>
      <c r="BZ492" s="7" t="s">
        <v>8835</v>
      </c>
    </row>
    <row r="493" spans="66:78" customFormat="1" x14ac:dyDescent="0.25">
      <c r="BN493" s="7" t="s">
        <v>508</v>
      </c>
      <c r="BX493" s="7" t="s">
        <v>9828</v>
      </c>
      <c r="BY493" s="7" t="s">
        <v>797</v>
      </c>
      <c r="BZ493" s="7" t="s">
        <v>8835</v>
      </c>
    </row>
    <row r="494" spans="66:78" customFormat="1" x14ac:dyDescent="0.25">
      <c r="BN494" s="7" t="s">
        <v>509</v>
      </c>
      <c r="BX494" s="7" t="s">
        <v>9829</v>
      </c>
      <c r="BY494" s="7" t="s">
        <v>797</v>
      </c>
      <c r="BZ494" s="7" t="s">
        <v>8835</v>
      </c>
    </row>
    <row r="495" spans="66:78" customFormat="1" x14ac:dyDescent="0.25">
      <c r="BN495" s="7" t="s">
        <v>510</v>
      </c>
      <c r="BX495" s="7" t="s">
        <v>9830</v>
      </c>
      <c r="BY495" s="7" t="s">
        <v>797</v>
      </c>
      <c r="BZ495" s="7" t="s">
        <v>8835</v>
      </c>
    </row>
    <row r="496" spans="66:78" customFormat="1" x14ac:dyDescent="0.25">
      <c r="BN496" s="7" t="s">
        <v>511</v>
      </c>
      <c r="BX496" s="7" t="s">
        <v>9681</v>
      </c>
      <c r="BY496" s="7" t="s">
        <v>797</v>
      </c>
      <c r="BZ496" s="7" t="s">
        <v>8835</v>
      </c>
    </row>
    <row r="497" spans="66:78" customFormat="1" x14ac:dyDescent="0.25">
      <c r="BN497" s="7" t="s">
        <v>512</v>
      </c>
      <c r="BX497" s="7" t="s">
        <v>9831</v>
      </c>
      <c r="BY497" s="7" t="s">
        <v>797</v>
      </c>
      <c r="BZ497" s="7" t="s">
        <v>8835</v>
      </c>
    </row>
    <row r="498" spans="66:78" customFormat="1" x14ac:dyDescent="0.25">
      <c r="BN498" s="7" t="s">
        <v>513</v>
      </c>
      <c r="BX498" s="7" t="s">
        <v>9832</v>
      </c>
      <c r="BY498" s="7" t="s">
        <v>797</v>
      </c>
      <c r="BZ498" s="7" t="s">
        <v>8835</v>
      </c>
    </row>
    <row r="499" spans="66:78" customFormat="1" x14ac:dyDescent="0.25">
      <c r="BN499" s="7" t="s">
        <v>514</v>
      </c>
      <c r="BX499" s="7" t="s">
        <v>9833</v>
      </c>
      <c r="BY499" s="7" t="s">
        <v>797</v>
      </c>
      <c r="BZ499" s="7" t="s">
        <v>8835</v>
      </c>
    </row>
    <row r="500" spans="66:78" customFormat="1" x14ac:dyDescent="0.25">
      <c r="BN500" s="7" t="s">
        <v>515</v>
      </c>
      <c r="BX500" s="7" t="s">
        <v>9834</v>
      </c>
      <c r="BY500" s="7" t="s">
        <v>797</v>
      </c>
      <c r="BZ500" s="7" t="s">
        <v>8835</v>
      </c>
    </row>
    <row r="501" spans="66:78" customFormat="1" x14ac:dyDescent="0.25">
      <c r="BN501" s="7" t="s">
        <v>516</v>
      </c>
      <c r="BX501" s="7" t="s">
        <v>9835</v>
      </c>
      <c r="BY501" s="7" t="s">
        <v>797</v>
      </c>
      <c r="BZ501" s="7" t="s">
        <v>8835</v>
      </c>
    </row>
    <row r="502" spans="66:78" customFormat="1" x14ac:dyDescent="0.25">
      <c r="BN502" s="7" t="s">
        <v>517</v>
      </c>
      <c r="BX502" s="7" t="s">
        <v>9836</v>
      </c>
      <c r="BY502" s="7" t="s">
        <v>797</v>
      </c>
      <c r="BZ502" s="7" t="s">
        <v>8835</v>
      </c>
    </row>
    <row r="503" spans="66:78" customFormat="1" x14ac:dyDescent="0.25">
      <c r="BN503" s="7" t="s">
        <v>518</v>
      </c>
      <c r="BX503" s="7" t="s">
        <v>9837</v>
      </c>
      <c r="BY503" s="7" t="s">
        <v>797</v>
      </c>
      <c r="BZ503" s="7" t="s">
        <v>8835</v>
      </c>
    </row>
    <row r="504" spans="66:78" customFormat="1" x14ac:dyDescent="0.25">
      <c r="BN504" s="7" t="s">
        <v>519</v>
      </c>
      <c r="BX504" s="7" t="s">
        <v>9838</v>
      </c>
      <c r="BY504" s="7" t="s">
        <v>797</v>
      </c>
      <c r="BZ504" s="7" t="s">
        <v>8835</v>
      </c>
    </row>
    <row r="505" spans="66:78" customFormat="1" x14ac:dyDescent="0.25">
      <c r="BN505" s="7" t="s">
        <v>520</v>
      </c>
      <c r="BX505" s="7" t="s">
        <v>9839</v>
      </c>
      <c r="BY505" s="7" t="s">
        <v>797</v>
      </c>
      <c r="BZ505" s="7" t="s">
        <v>8835</v>
      </c>
    </row>
    <row r="506" spans="66:78" customFormat="1" x14ac:dyDescent="0.25">
      <c r="BN506" s="7" t="s">
        <v>521</v>
      </c>
      <c r="BX506" s="7" t="s">
        <v>9840</v>
      </c>
      <c r="BY506" s="7" t="s">
        <v>797</v>
      </c>
      <c r="BZ506" s="7" t="s">
        <v>8835</v>
      </c>
    </row>
    <row r="507" spans="66:78" customFormat="1" x14ac:dyDescent="0.25">
      <c r="BN507" s="7" t="s">
        <v>522</v>
      </c>
      <c r="BX507" s="7" t="s">
        <v>9841</v>
      </c>
      <c r="BY507" s="7" t="s">
        <v>797</v>
      </c>
      <c r="BZ507" s="7" t="s">
        <v>8835</v>
      </c>
    </row>
    <row r="508" spans="66:78" customFormat="1" x14ac:dyDescent="0.25">
      <c r="BN508" s="7" t="s">
        <v>8904</v>
      </c>
      <c r="BX508" s="7" t="s">
        <v>9842</v>
      </c>
      <c r="BY508" s="7" t="s">
        <v>797</v>
      </c>
      <c r="BZ508" s="7" t="s">
        <v>8835</v>
      </c>
    </row>
    <row r="509" spans="66:78" customFormat="1" x14ac:dyDescent="0.25">
      <c r="BN509" s="7" t="s">
        <v>523</v>
      </c>
      <c r="BX509" s="7" t="s">
        <v>9843</v>
      </c>
      <c r="BY509" s="7" t="s">
        <v>797</v>
      </c>
      <c r="BZ509" s="7" t="s">
        <v>8835</v>
      </c>
    </row>
    <row r="510" spans="66:78" customFormat="1" x14ac:dyDescent="0.25">
      <c r="BN510" s="7" t="s">
        <v>524</v>
      </c>
      <c r="BX510" s="7" t="s">
        <v>9844</v>
      </c>
      <c r="BY510" s="7" t="s">
        <v>797</v>
      </c>
      <c r="BZ510" s="7" t="s">
        <v>8835</v>
      </c>
    </row>
    <row r="511" spans="66:78" customFormat="1" x14ac:dyDescent="0.25">
      <c r="BN511" s="7" t="s">
        <v>525</v>
      </c>
      <c r="BX511" s="7" t="s">
        <v>9845</v>
      </c>
      <c r="BY511" s="7" t="s">
        <v>797</v>
      </c>
      <c r="BZ511" s="7" t="s">
        <v>8835</v>
      </c>
    </row>
    <row r="512" spans="66:78" customFormat="1" x14ac:dyDescent="0.25">
      <c r="BN512" s="7" t="s">
        <v>526</v>
      </c>
      <c r="BX512" s="7" t="s">
        <v>9846</v>
      </c>
      <c r="BY512" s="7" t="s">
        <v>797</v>
      </c>
      <c r="BZ512" s="7" t="s">
        <v>8835</v>
      </c>
    </row>
    <row r="513" spans="66:78" customFormat="1" x14ac:dyDescent="0.25">
      <c r="BN513" s="7" t="s">
        <v>527</v>
      </c>
      <c r="BX513" s="7" t="s">
        <v>9847</v>
      </c>
      <c r="BY513" s="7" t="s">
        <v>797</v>
      </c>
      <c r="BZ513" s="7" t="s">
        <v>8835</v>
      </c>
    </row>
    <row r="514" spans="66:78" customFormat="1" x14ac:dyDescent="0.25">
      <c r="BN514" s="7" t="s">
        <v>528</v>
      </c>
      <c r="BX514" s="7" t="s">
        <v>9848</v>
      </c>
      <c r="BY514" s="7" t="s">
        <v>797</v>
      </c>
      <c r="BZ514" s="7" t="s">
        <v>8835</v>
      </c>
    </row>
    <row r="515" spans="66:78" customFormat="1" x14ac:dyDescent="0.25">
      <c r="BN515" s="7" t="s">
        <v>529</v>
      </c>
      <c r="BX515" s="7" t="s">
        <v>9849</v>
      </c>
      <c r="BY515" s="7" t="s">
        <v>797</v>
      </c>
      <c r="BZ515" s="7" t="s">
        <v>8835</v>
      </c>
    </row>
    <row r="516" spans="66:78" customFormat="1" x14ac:dyDescent="0.25">
      <c r="BN516" s="7" t="s">
        <v>530</v>
      </c>
      <c r="BX516" s="7" t="s">
        <v>9850</v>
      </c>
      <c r="BY516" s="7" t="s">
        <v>797</v>
      </c>
      <c r="BZ516" s="7" t="s">
        <v>8835</v>
      </c>
    </row>
    <row r="517" spans="66:78" customFormat="1" x14ac:dyDescent="0.25">
      <c r="BN517" s="7" t="s">
        <v>531</v>
      </c>
      <c r="BX517" s="7" t="s">
        <v>9851</v>
      </c>
      <c r="BY517" s="7" t="s">
        <v>797</v>
      </c>
      <c r="BZ517" s="7" t="s">
        <v>8835</v>
      </c>
    </row>
    <row r="518" spans="66:78" customFormat="1" x14ac:dyDescent="0.25">
      <c r="BN518" s="7" t="s">
        <v>532</v>
      </c>
      <c r="BX518" s="7" t="s">
        <v>9852</v>
      </c>
      <c r="BY518" s="7" t="s">
        <v>797</v>
      </c>
      <c r="BZ518" s="7" t="s">
        <v>8835</v>
      </c>
    </row>
    <row r="519" spans="66:78" customFormat="1" x14ac:dyDescent="0.25">
      <c r="BN519" s="7" t="s">
        <v>533</v>
      </c>
      <c r="BX519" s="7" t="s">
        <v>9853</v>
      </c>
      <c r="BY519" s="7" t="s">
        <v>797</v>
      </c>
      <c r="BZ519" s="7" t="s">
        <v>8835</v>
      </c>
    </row>
    <row r="520" spans="66:78" customFormat="1" x14ac:dyDescent="0.25">
      <c r="BN520" s="7" t="s">
        <v>534</v>
      </c>
      <c r="BX520" s="7" t="s">
        <v>9854</v>
      </c>
      <c r="BY520" s="7" t="s">
        <v>797</v>
      </c>
      <c r="BZ520" s="7" t="s">
        <v>8835</v>
      </c>
    </row>
    <row r="521" spans="66:78" customFormat="1" x14ac:dyDescent="0.25">
      <c r="BN521" s="7" t="s">
        <v>535</v>
      </c>
      <c r="BX521" s="7" t="s">
        <v>9855</v>
      </c>
      <c r="BY521" s="7" t="s">
        <v>797</v>
      </c>
      <c r="BZ521" s="7" t="s">
        <v>8835</v>
      </c>
    </row>
    <row r="522" spans="66:78" customFormat="1" x14ac:dyDescent="0.25">
      <c r="BN522" s="7" t="s">
        <v>536</v>
      </c>
      <c r="BX522" s="7" t="s">
        <v>9856</v>
      </c>
      <c r="BY522" s="7" t="s">
        <v>797</v>
      </c>
      <c r="BZ522" s="7" t="s">
        <v>8835</v>
      </c>
    </row>
    <row r="523" spans="66:78" customFormat="1" x14ac:dyDescent="0.25">
      <c r="BN523" s="7" t="s">
        <v>537</v>
      </c>
      <c r="BX523" s="7" t="s">
        <v>9857</v>
      </c>
      <c r="BY523" s="7" t="s">
        <v>797</v>
      </c>
      <c r="BZ523" s="7" t="s">
        <v>8835</v>
      </c>
    </row>
    <row r="524" spans="66:78" customFormat="1" x14ac:dyDescent="0.25">
      <c r="BN524" s="7" t="s">
        <v>538</v>
      </c>
      <c r="BX524" s="7" t="s">
        <v>9858</v>
      </c>
      <c r="BY524" s="7" t="s">
        <v>797</v>
      </c>
      <c r="BZ524" s="7" t="s">
        <v>8835</v>
      </c>
    </row>
    <row r="525" spans="66:78" customFormat="1" x14ac:dyDescent="0.25">
      <c r="BN525" s="7" t="s">
        <v>539</v>
      </c>
      <c r="BX525" s="7" t="s">
        <v>9859</v>
      </c>
      <c r="BY525" s="7" t="s">
        <v>797</v>
      </c>
      <c r="BZ525" s="7" t="s">
        <v>8835</v>
      </c>
    </row>
    <row r="526" spans="66:78" customFormat="1" x14ac:dyDescent="0.25">
      <c r="BN526" s="7" t="s">
        <v>540</v>
      </c>
      <c r="BX526" s="7" t="s">
        <v>9860</v>
      </c>
      <c r="BY526" s="7" t="s">
        <v>797</v>
      </c>
      <c r="BZ526" s="7" t="s">
        <v>8835</v>
      </c>
    </row>
    <row r="527" spans="66:78" customFormat="1" x14ac:dyDescent="0.25">
      <c r="BN527" s="7" t="s">
        <v>541</v>
      </c>
      <c r="BX527" s="7" t="s">
        <v>9861</v>
      </c>
      <c r="BY527" s="7" t="s">
        <v>797</v>
      </c>
      <c r="BZ527" s="7" t="s">
        <v>8835</v>
      </c>
    </row>
    <row r="528" spans="66:78" customFormat="1" x14ac:dyDescent="0.25">
      <c r="BN528" s="7" t="s">
        <v>542</v>
      </c>
      <c r="BX528" s="7" t="s">
        <v>9862</v>
      </c>
      <c r="BY528" s="7" t="s">
        <v>797</v>
      </c>
      <c r="BZ528" s="7" t="s">
        <v>8835</v>
      </c>
    </row>
    <row r="529" spans="66:78" customFormat="1" x14ac:dyDescent="0.25">
      <c r="BN529" s="7" t="s">
        <v>543</v>
      </c>
      <c r="BX529" s="7" t="s">
        <v>9863</v>
      </c>
      <c r="BY529" s="7" t="s">
        <v>797</v>
      </c>
      <c r="BZ529" s="7" t="s">
        <v>8835</v>
      </c>
    </row>
    <row r="530" spans="66:78" customFormat="1" x14ac:dyDescent="0.25">
      <c r="BN530" s="7" t="s">
        <v>544</v>
      </c>
      <c r="BX530" s="7" t="s">
        <v>9864</v>
      </c>
      <c r="BY530" s="7" t="s">
        <v>797</v>
      </c>
      <c r="BZ530" s="7" t="s">
        <v>8835</v>
      </c>
    </row>
    <row r="531" spans="66:78" customFormat="1" x14ac:dyDescent="0.25">
      <c r="BN531" s="7" t="s">
        <v>545</v>
      </c>
      <c r="BX531" s="7" t="s">
        <v>9865</v>
      </c>
      <c r="BY531" s="7" t="s">
        <v>797</v>
      </c>
      <c r="BZ531" s="7" t="s">
        <v>8835</v>
      </c>
    </row>
    <row r="532" spans="66:78" customFormat="1" x14ac:dyDescent="0.25">
      <c r="BN532" s="7" t="s">
        <v>546</v>
      </c>
      <c r="BX532" s="7" t="s">
        <v>9866</v>
      </c>
      <c r="BY532" s="7" t="s">
        <v>797</v>
      </c>
      <c r="BZ532" s="7" t="s">
        <v>8835</v>
      </c>
    </row>
    <row r="533" spans="66:78" customFormat="1" x14ac:dyDescent="0.25">
      <c r="BN533" s="7" t="s">
        <v>547</v>
      </c>
      <c r="BX533" s="7" t="s">
        <v>9867</v>
      </c>
      <c r="BY533" s="7" t="s">
        <v>797</v>
      </c>
      <c r="BZ533" s="7" t="s">
        <v>8835</v>
      </c>
    </row>
    <row r="534" spans="66:78" customFormat="1" x14ac:dyDescent="0.25">
      <c r="BX534" s="7" t="s">
        <v>9868</v>
      </c>
      <c r="BY534" s="7" t="s">
        <v>797</v>
      </c>
      <c r="BZ534" s="7" t="s">
        <v>8835</v>
      </c>
    </row>
    <row r="535" spans="66:78" customFormat="1" x14ac:dyDescent="0.25">
      <c r="BX535" s="7" t="s">
        <v>9869</v>
      </c>
      <c r="BY535" s="7" t="s">
        <v>797</v>
      </c>
      <c r="BZ535" s="7" t="s">
        <v>8835</v>
      </c>
    </row>
    <row r="536" spans="66:78" customFormat="1" x14ac:dyDescent="0.25">
      <c r="BX536" s="7" t="s">
        <v>9870</v>
      </c>
      <c r="BY536" s="7" t="s">
        <v>797</v>
      </c>
      <c r="BZ536" s="7" t="s">
        <v>8835</v>
      </c>
    </row>
    <row r="537" spans="66:78" customFormat="1" x14ac:dyDescent="0.25">
      <c r="BX537" s="7" t="s">
        <v>9871</v>
      </c>
      <c r="BY537" s="7" t="s">
        <v>797</v>
      </c>
      <c r="BZ537" s="7" t="s">
        <v>8835</v>
      </c>
    </row>
    <row r="538" spans="66:78" customFormat="1" x14ac:dyDescent="0.25">
      <c r="BX538" s="7" t="s">
        <v>9872</v>
      </c>
      <c r="BY538" s="7" t="s">
        <v>797</v>
      </c>
      <c r="BZ538" s="7" t="s">
        <v>8835</v>
      </c>
    </row>
    <row r="539" spans="66:78" customFormat="1" x14ac:dyDescent="0.25">
      <c r="BX539" s="7" t="s">
        <v>9873</v>
      </c>
      <c r="BY539" s="7" t="s">
        <v>797</v>
      </c>
      <c r="BZ539" s="7" t="s">
        <v>8835</v>
      </c>
    </row>
    <row r="540" spans="66:78" customFormat="1" x14ac:dyDescent="0.25">
      <c r="BX540" s="7" t="s">
        <v>9874</v>
      </c>
      <c r="BY540" s="7" t="s">
        <v>797</v>
      </c>
      <c r="BZ540" s="7" t="s">
        <v>8835</v>
      </c>
    </row>
    <row r="541" spans="66:78" customFormat="1" x14ac:dyDescent="0.25">
      <c r="BX541" s="7" t="s">
        <v>9875</v>
      </c>
      <c r="BY541" s="7" t="s">
        <v>797</v>
      </c>
      <c r="BZ541" s="7" t="s">
        <v>8835</v>
      </c>
    </row>
    <row r="542" spans="66:78" customFormat="1" x14ac:dyDescent="0.25">
      <c r="BX542" s="7" t="s">
        <v>9876</v>
      </c>
      <c r="BY542" s="7" t="s">
        <v>797</v>
      </c>
      <c r="BZ542" s="7" t="s">
        <v>8835</v>
      </c>
    </row>
    <row r="543" spans="66:78" customFormat="1" x14ac:dyDescent="0.25">
      <c r="BX543" s="7" t="s">
        <v>9877</v>
      </c>
      <c r="BY543" s="7" t="s">
        <v>797</v>
      </c>
      <c r="BZ543" s="7" t="s">
        <v>8835</v>
      </c>
    </row>
    <row r="544" spans="66:78" customFormat="1" x14ac:dyDescent="0.25">
      <c r="BX544" s="7" t="s">
        <v>9878</v>
      </c>
      <c r="BY544" s="7" t="s">
        <v>797</v>
      </c>
      <c r="BZ544" s="7" t="s">
        <v>8835</v>
      </c>
    </row>
    <row r="545" spans="76:78" customFormat="1" x14ac:dyDescent="0.25">
      <c r="BX545" s="7" t="s">
        <v>9879</v>
      </c>
      <c r="BY545" s="7" t="s">
        <v>797</v>
      </c>
      <c r="BZ545" s="7" t="s">
        <v>8835</v>
      </c>
    </row>
    <row r="546" spans="76:78" customFormat="1" x14ac:dyDescent="0.25">
      <c r="BX546" s="7" t="s">
        <v>9880</v>
      </c>
      <c r="BY546" s="7" t="s">
        <v>797</v>
      </c>
      <c r="BZ546" s="7" t="s">
        <v>8835</v>
      </c>
    </row>
    <row r="547" spans="76:78" customFormat="1" x14ac:dyDescent="0.25">
      <c r="BX547" s="7" t="s">
        <v>9881</v>
      </c>
      <c r="BY547" s="7" t="s">
        <v>797</v>
      </c>
      <c r="BZ547" s="7" t="s">
        <v>8835</v>
      </c>
    </row>
    <row r="548" spans="76:78" customFormat="1" x14ac:dyDescent="0.25">
      <c r="BX548" s="7" t="s">
        <v>9882</v>
      </c>
      <c r="BY548" s="7" t="s">
        <v>797</v>
      </c>
      <c r="BZ548" s="7" t="s">
        <v>8835</v>
      </c>
    </row>
    <row r="549" spans="76:78" customFormat="1" x14ac:dyDescent="0.25">
      <c r="BX549" s="7" t="s">
        <v>9883</v>
      </c>
      <c r="BY549" s="7" t="s">
        <v>797</v>
      </c>
      <c r="BZ549" s="7" t="s">
        <v>8835</v>
      </c>
    </row>
    <row r="550" spans="76:78" customFormat="1" x14ac:dyDescent="0.25">
      <c r="BX550" s="7" t="s">
        <v>9884</v>
      </c>
      <c r="BY550" s="7" t="s">
        <v>797</v>
      </c>
      <c r="BZ550" s="7" t="s">
        <v>8835</v>
      </c>
    </row>
    <row r="551" spans="76:78" customFormat="1" x14ac:dyDescent="0.25">
      <c r="BX551" s="7" t="s">
        <v>9885</v>
      </c>
      <c r="BY551" s="7" t="s">
        <v>797</v>
      </c>
      <c r="BZ551" s="7" t="s">
        <v>8835</v>
      </c>
    </row>
    <row r="552" spans="76:78" customFormat="1" x14ac:dyDescent="0.25">
      <c r="BX552" s="7" t="s">
        <v>9886</v>
      </c>
      <c r="BY552" s="7" t="s">
        <v>797</v>
      </c>
      <c r="BZ552" s="7" t="s">
        <v>8835</v>
      </c>
    </row>
    <row r="553" spans="76:78" x14ac:dyDescent="0.25">
      <c r="BX553" s="7" t="s">
        <v>9887</v>
      </c>
      <c r="BY553" s="7" t="s">
        <v>797</v>
      </c>
      <c r="BZ553" s="7" t="s">
        <v>8835</v>
      </c>
    </row>
    <row r="554" spans="76:78" x14ac:dyDescent="0.25">
      <c r="BX554" s="7" t="s">
        <v>9888</v>
      </c>
      <c r="BY554" s="7" t="s">
        <v>797</v>
      </c>
      <c r="BZ554" s="7" t="s">
        <v>8835</v>
      </c>
    </row>
    <row r="555" spans="76:78" x14ac:dyDescent="0.25">
      <c r="BX555" s="7" t="s">
        <v>9889</v>
      </c>
      <c r="BY555" s="7" t="s">
        <v>797</v>
      </c>
      <c r="BZ555" s="7" t="s">
        <v>8835</v>
      </c>
    </row>
    <row r="556" spans="76:78" x14ac:dyDescent="0.25">
      <c r="BX556" s="7" t="s">
        <v>9890</v>
      </c>
      <c r="BY556" s="7" t="s">
        <v>797</v>
      </c>
      <c r="BZ556" s="7" t="s">
        <v>8835</v>
      </c>
    </row>
    <row r="557" spans="76:78" x14ac:dyDescent="0.25">
      <c r="BX557" s="7" t="s">
        <v>9891</v>
      </c>
      <c r="BY557" s="7" t="s">
        <v>797</v>
      </c>
      <c r="BZ557" s="7" t="s">
        <v>8835</v>
      </c>
    </row>
    <row r="558" spans="76:78" x14ac:dyDescent="0.25">
      <c r="BX558" s="7" t="s">
        <v>9892</v>
      </c>
      <c r="BY558" s="7" t="s">
        <v>797</v>
      </c>
      <c r="BZ558" s="7" t="s">
        <v>8835</v>
      </c>
    </row>
    <row r="559" spans="76:78" x14ac:dyDescent="0.25">
      <c r="BX559" s="7" t="s">
        <v>9893</v>
      </c>
      <c r="BY559" s="7" t="s">
        <v>797</v>
      </c>
      <c r="BZ559" s="7" t="s">
        <v>8835</v>
      </c>
    </row>
    <row r="560" spans="76:78" x14ac:dyDescent="0.25">
      <c r="BX560" s="7" t="s">
        <v>9894</v>
      </c>
      <c r="BY560" s="7" t="s">
        <v>797</v>
      </c>
      <c r="BZ560" s="7" t="s">
        <v>8835</v>
      </c>
    </row>
    <row r="561" spans="76:78" x14ac:dyDescent="0.25">
      <c r="BX561" s="7" t="s">
        <v>9682</v>
      </c>
      <c r="BY561" s="7" t="s">
        <v>797</v>
      </c>
      <c r="BZ561" s="7" t="s">
        <v>8835</v>
      </c>
    </row>
    <row r="562" spans="76:78" x14ac:dyDescent="0.25">
      <c r="BX562" s="7" t="s">
        <v>9895</v>
      </c>
      <c r="BY562" s="7" t="s">
        <v>797</v>
      </c>
      <c r="BZ562" s="7" t="s">
        <v>8835</v>
      </c>
    </row>
    <row r="563" spans="76:78" x14ac:dyDescent="0.25">
      <c r="BX563" s="7" t="s">
        <v>9896</v>
      </c>
      <c r="BY563" s="7" t="s">
        <v>797</v>
      </c>
      <c r="BZ563" s="7" t="s">
        <v>8835</v>
      </c>
    </row>
    <row r="564" spans="76:78" x14ac:dyDescent="0.25">
      <c r="BX564" s="7" t="s">
        <v>9897</v>
      </c>
      <c r="BY564" s="7" t="s">
        <v>797</v>
      </c>
      <c r="BZ564" s="7" t="s">
        <v>8835</v>
      </c>
    </row>
    <row r="565" spans="76:78" x14ac:dyDescent="0.25">
      <c r="BX565" s="7" t="s">
        <v>9898</v>
      </c>
      <c r="BY565" s="7" t="s">
        <v>797</v>
      </c>
      <c r="BZ565" s="7" t="s">
        <v>8835</v>
      </c>
    </row>
    <row r="566" spans="76:78" x14ac:dyDescent="0.25">
      <c r="BX566" s="7" t="s">
        <v>9683</v>
      </c>
      <c r="BY566" s="7" t="s">
        <v>797</v>
      </c>
      <c r="BZ566" s="7" t="s">
        <v>8835</v>
      </c>
    </row>
    <row r="567" spans="76:78" x14ac:dyDescent="0.25">
      <c r="BX567" s="7" t="s">
        <v>9899</v>
      </c>
      <c r="BY567" s="7" t="s">
        <v>797</v>
      </c>
      <c r="BZ567" s="7" t="s">
        <v>8835</v>
      </c>
    </row>
    <row r="568" spans="76:78" x14ac:dyDescent="0.25">
      <c r="BX568" s="7" t="s">
        <v>9900</v>
      </c>
      <c r="BY568" s="7" t="s">
        <v>797</v>
      </c>
      <c r="BZ568" s="7" t="s">
        <v>8835</v>
      </c>
    </row>
    <row r="569" spans="76:78" x14ac:dyDescent="0.25">
      <c r="BX569" s="7" t="s">
        <v>9901</v>
      </c>
      <c r="BY569" s="7" t="s">
        <v>797</v>
      </c>
      <c r="BZ569" s="7" t="s">
        <v>8835</v>
      </c>
    </row>
    <row r="570" spans="76:78" x14ac:dyDescent="0.25">
      <c r="BX570" s="7" t="s">
        <v>9684</v>
      </c>
      <c r="BY570" s="7" t="s">
        <v>797</v>
      </c>
      <c r="BZ570" s="7" t="s">
        <v>8835</v>
      </c>
    </row>
    <row r="571" spans="76:78" x14ac:dyDescent="0.25">
      <c r="BX571" s="7" t="s">
        <v>9902</v>
      </c>
      <c r="BY571" s="7" t="s">
        <v>797</v>
      </c>
      <c r="BZ571" s="7" t="s">
        <v>8835</v>
      </c>
    </row>
    <row r="572" spans="76:78" x14ac:dyDescent="0.25">
      <c r="BX572" s="7" t="s">
        <v>9903</v>
      </c>
      <c r="BY572" s="7" t="s">
        <v>797</v>
      </c>
      <c r="BZ572" s="7" t="s">
        <v>8835</v>
      </c>
    </row>
    <row r="573" spans="76:78" x14ac:dyDescent="0.25">
      <c r="BX573" s="7" t="s">
        <v>9904</v>
      </c>
      <c r="BY573" s="7" t="s">
        <v>797</v>
      </c>
      <c r="BZ573" s="7" t="s">
        <v>8835</v>
      </c>
    </row>
    <row r="574" spans="76:78" x14ac:dyDescent="0.25">
      <c r="BX574" s="7" t="s">
        <v>9905</v>
      </c>
      <c r="BY574" s="7" t="s">
        <v>797</v>
      </c>
      <c r="BZ574" s="7" t="s">
        <v>8835</v>
      </c>
    </row>
    <row r="575" spans="76:78" x14ac:dyDescent="0.25">
      <c r="BX575" s="7" t="s">
        <v>9685</v>
      </c>
      <c r="BY575" s="7" t="s">
        <v>797</v>
      </c>
      <c r="BZ575" s="7" t="s">
        <v>8835</v>
      </c>
    </row>
    <row r="576" spans="76:78" x14ac:dyDescent="0.25">
      <c r="BX576" s="7" t="s">
        <v>9906</v>
      </c>
      <c r="BY576" s="7" t="s">
        <v>797</v>
      </c>
      <c r="BZ576" s="7" t="s">
        <v>8835</v>
      </c>
    </row>
    <row r="577" spans="76:78" x14ac:dyDescent="0.25">
      <c r="BX577" s="7" t="s">
        <v>9907</v>
      </c>
      <c r="BY577" s="7" t="s">
        <v>797</v>
      </c>
      <c r="BZ577" s="7" t="s">
        <v>8835</v>
      </c>
    </row>
    <row r="578" spans="76:78" x14ac:dyDescent="0.25">
      <c r="BX578" s="7" t="s">
        <v>9908</v>
      </c>
      <c r="BY578" s="7" t="s">
        <v>797</v>
      </c>
      <c r="BZ578" s="7" t="s">
        <v>8835</v>
      </c>
    </row>
    <row r="579" spans="76:78" x14ac:dyDescent="0.25">
      <c r="BX579" s="7" t="s">
        <v>9909</v>
      </c>
      <c r="BY579" s="7" t="s">
        <v>797</v>
      </c>
      <c r="BZ579" s="7" t="s">
        <v>8835</v>
      </c>
    </row>
    <row r="580" spans="76:78" x14ac:dyDescent="0.25">
      <c r="BX580" s="7" t="s">
        <v>9910</v>
      </c>
      <c r="BY580" s="7" t="s">
        <v>797</v>
      </c>
      <c r="BZ580" s="7" t="s">
        <v>8835</v>
      </c>
    </row>
    <row r="581" spans="76:78" x14ac:dyDescent="0.25">
      <c r="BX581" s="7" t="s">
        <v>9911</v>
      </c>
      <c r="BY581" s="7" t="s">
        <v>797</v>
      </c>
      <c r="BZ581" s="7" t="s">
        <v>8835</v>
      </c>
    </row>
    <row r="582" spans="76:78" x14ac:dyDescent="0.25">
      <c r="BX582" s="7" t="s">
        <v>9912</v>
      </c>
      <c r="BY582" s="7" t="s">
        <v>797</v>
      </c>
      <c r="BZ582" s="7" t="s">
        <v>8835</v>
      </c>
    </row>
    <row r="583" spans="76:78" x14ac:dyDescent="0.25">
      <c r="BX583" s="7" t="s">
        <v>9913</v>
      </c>
      <c r="BY583" s="7" t="s">
        <v>797</v>
      </c>
      <c r="BZ583" s="7" t="s">
        <v>8835</v>
      </c>
    </row>
    <row r="584" spans="76:78" x14ac:dyDescent="0.25">
      <c r="BX584" s="7" t="s">
        <v>9914</v>
      </c>
      <c r="BY584" s="7" t="s">
        <v>797</v>
      </c>
      <c r="BZ584" s="7" t="s">
        <v>8835</v>
      </c>
    </row>
    <row r="585" spans="76:78" x14ac:dyDescent="0.25">
      <c r="BX585" s="7" t="s">
        <v>9915</v>
      </c>
      <c r="BY585" s="7" t="s">
        <v>797</v>
      </c>
      <c r="BZ585" s="7" t="s">
        <v>8835</v>
      </c>
    </row>
    <row r="586" spans="76:78" x14ac:dyDescent="0.25">
      <c r="BX586" s="7" t="s">
        <v>9916</v>
      </c>
      <c r="BY586" s="7" t="s">
        <v>797</v>
      </c>
      <c r="BZ586" s="7" t="s">
        <v>8835</v>
      </c>
    </row>
    <row r="587" spans="76:78" x14ac:dyDescent="0.25">
      <c r="BX587" s="7" t="s">
        <v>9917</v>
      </c>
      <c r="BY587" s="7" t="s">
        <v>797</v>
      </c>
      <c r="BZ587" s="7" t="s">
        <v>8835</v>
      </c>
    </row>
    <row r="588" spans="76:78" x14ac:dyDescent="0.25">
      <c r="BX588" s="7" t="s">
        <v>9918</v>
      </c>
      <c r="BY588" s="7" t="s">
        <v>797</v>
      </c>
      <c r="BZ588" s="7" t="s">
        <v>8835</v>
      </c>
    </row>
    <row r="589" spans="76:78" x14ac:dyDescent="0.25">
      <c r="BX589" s="7" t="s">
        <v>9919</v>
      </c>
      <c r="BY589" s="7" t="s">
        <v>797</v>
      </c>
      <c r="BZ589" s="7" t="s">
        <v>8835</v>
      </c>
    </row>
    <row r="590" spans="76:78" x14ac:dyDescent="0.25">
      <c r="BX590" s="7" t="s">
        <v>9920</v>
      </c>
      <c r="BY590" s="7" t="s">
        <v>797</v>
      </c>
      <c r="BZ590" s="7" t="s">
        <v>8835</v>
      </c>
    </row>
    <row r="591" spans="76:78" x14ac:dyDescent="0.25">
      <c r="BX591" s="7" t="s">
        <v>9921</v>
      </c>
      <c r="BY591" s="7" t="s">
        <v>797</v>
      </c>
      <c r="BZ591" s="7" t="s">
        <v>8835</v>
      </c>
    </row>
    <row r="592" spans="76:78" x14ac:dyDescent="0.25">
      <c r="BX592" s="7" t="s">
        <v>9922</v>
      </c>
      <c r="BY592" s="7" t="s">
        <v>797</v>
      </c>
      <c r="BZ592" s="7" t="s">
        <v>8835</v>
      </c>
    </row>
    <row r="593" spans="76:78" x14ac:dyDescent="0.25">
      <c r="BX593" s="7" t="s">
        <v>9923</v>
      </c>
      <c r="BY593" s="7" t="s">
        <v>797</v>
      </c>
      <c r="BZ593" s="7" t="s">
        <v>8835</v>
      </c>
    </row>
    <row r="594" spans="76:78" x14ac:dyDescent="0.25">
      <c r="BX594" s="7" t="s">
        <v>9924</v>
      </c>
      <c r="BY594" s="7" t="s">
        <v>797</v>
      </c>
      <c r="BZ594" s="7" t="s">
        <v>8835</v>
      </c>
    </row>
    <row r="595" spans="76:78" x14ac:dyDescent="0.25">
      <c r="BX595" s="7" t="s">
        <v>9686</v>
      </c>
      <c r="BY595" s="7" t="s">
        <v>797</v>
      </c>
      <c r="BZ595" s="7" t="s">
        <v>8835</v>
      </c>
    </row>
    <row r="596" spans="76:78" x14ac:dyDescent="0.25">
      <c r="BX596" s="7" t="s">
        <v>9925</v>
      </c>
      <c r="BY596" s="7" t="s">
        <v>797</v>
      </c>
      <c r="BZ596" s="7" t="s">
        <v>8835</v>
      </c>
    </row>
    <row r="597" spans="76:78" x14ac:dyDescent="0.25">
      <c r="BX597" s="7" t="s">
        <v>9926</v>
      </c>
      <c r="BY597" s="7" t="s">
        <v>797</v>
      </c>
      <c r="BZ597" s="7" t="s">
        <v>8835</v>
      </c>
    </row>
    <row r="598" spans="76:78" x14ac:dyDescent="0.25">
      <c r="BX598" s="7" t="s">
        <v>9927</v>
      </c>
      <c r="BY598" s="7" t="s">
        <v>797</v>
      </c>
      <c r="BZ598" s="7" t="s">
        <v>8835</v>
      </c>
    </row>
    <row r="599" spans="76:78" x14ac:dyDescent="0.25">
      <c r="BX599" s="7" t="s">
        <v>9928</v>
      </c>
      <c r="BY599" s="7" t="s">
        <v>797</v>
      </c>
      <c r="BZ599" s="7" t="s">
        <v>8835</v>
      </c>
    </row>
    <row r="600" spans="76:78" x14ac:dyDescent="0.25">
      <c r="BX600" s="7" t="s">
        <v>9929</v>
      </c>
      <c r="BY600" s="7" t="s">
        <v>797</v>
      </c>
      <c r="BZ600" s="7" t="s">
        <v>8835</v>
      </c>
    </row>
    <row r="601" spans="76:78" x14ac:dyDescent="0.25">
      <c r="BX601" s="7" t="s">
        <v>9930</v>
      </c>
      <c r="BY601" s="7" t="s">
        <v>797</v>
      </c>
      <c r="BZ601" s="7" t="s">
        <v>8835</v>
      </c>
    </row>
    <row r="602" spans="76:78" x14ac:dyDescent="0.25">
      <c r="BX602" s="7" t="s">
        <v>9931</v>
      </c>
      <c r="BY602" s="7" t="s">
        <v>797</v>
      </c>
      <c r="BZ602" s="7" t="s">
        <v>8835</v>
      </c>
    </row>
    <row r="603" spans="76:78" x14ac:dyDescent="0.25">
      <c r="BX603" s="7" t="s">
        <v>9687</v>
      </c>
      <c r="BY603" s="7" t="s">
        <v>797</v>
      </c>
      <c r="BZ603" s="7" t="s">
        <v>8835</v>
      </c>
    </row>
    <row r="604" spans="76:78" x14ac:dyDescent="0.25">
      <c r="BX604" s="7" t="s">
        <v>9932</v>
      </c>
      <c r="BY604" s="7" t="s">
        <v>797</v>
      </c>
      <c r="BZ604" s="7" t="s">
        <v>8835</v>
      </c>
    </row>
    <row r="605" spans="76:78" x14ac:dyDescent="0.25">
      <c r="BX605" s="7" t="s">
        <v>9933</v>
      </c>
      <c r="BY605" s="7" t="s">
        <v>797</v>
      </c>
      <c r="BZ605" s="7" t="s">
        <v>8835</v>
      </c>
    </row>
    <row r="606" spans="76:78" x14ac:dyDescent="0.25">
      <c r="BX606" s="7" t="s">
        <v>9934</v>
      </c>
      <c r="BY606" s="7" t="s">
        <v>797</v>
      </c>
      <c r="BZ606" s="7" t="s">
        <v>8835</v>
      </c>
    </row>
    <row r="607" spans="76:78" x14ac:dyDescent="0.25">
      <c r="BX607" s="7" t="s">
        <v>9935</v>
      </c>
      <c r="BY607" s="7" t="s">
        <v>797</v>
      </c>
      <c r="BZ607" s="7" t="s">
        <v>8835</v>
      </c>
    </row>
    <row r="608" spans="76:78" x14ac:dyDescent="0.25">
      <c r="BX608" s="7" t="s">
        <v>9688</v>
      </c>
      <c r="BY608" s="7" t="s">
        <v>797</v>
      </c>
      <c r="BZ608" s="7" t="s">
        <v>8835</v>
      </c>
    </row>
    <row r="609" spans="76:78" x14ac:dyDescent="0.25">
      <c r="BX609" s="7" t="s">
        <v>9936</v>
      </c>
      <c r="BY609" s="7" t="s">
        <v>797</v>
      </c>
      <c r="BZ609" s="7" t="s">
        <v>8835</v>
      </c>
    </row>
    <row r="610" spans="76:78" x14ac:dyDescent="0.25">
      <c r="BX610" s="7" t="s">
        <v>9937</v>
      </c>
      <c r="BY610" s="7" t="s">
        <v>797</v>
      </c>
      <c r="BZ610" s="7" t="s">
        <v>8835</v>
      </c>
    </row>
    <row r="611" spans="76:78" x14ac:dyDescent="0.25">
      <c r="BX611" s="7" t="s">
        <v>9938</v>
      </c>
      <c r="BY611" s="7" t="s">
        <v>797</v>
      </c>
      <c r="BZ611" s="7" t="s">
        <v>8835</v>
      </c>
    </row>
    <row r="612" spans="76:78" x14ac:dyDescent="0.25">
      <c r="BX612" s="7" t="s">
        <v>9939</v>
      </c>
      <c r="BY612" s="7" t="s">
        <v>797</v>
      </c>
      <c r="BZ612" s="7" t="s">
        <v>8835</v>
      </c>
    </row>
    <row r="613" spans="76:78" x14ac:dyDescent="0.25">
      <c r="BX613" s="7" t="s">
        <v>9940</v>
      </c>
      <c r="BY613" s="7" t="s">
        <v>797</v>
      </c>
      <c r="BZ613" s="7" t="s">
        <v>8835</v>
      </c>
    </row>
    <row r="614" spans="76:78" x14ac:dyDescent="0.25">
      <c r="BX614" s="7" t="s">
        <v>9941</v>
      </c>
      <c r="BY614" s="7" t="s">
        <v>797</v>
      </c>
      <c r="BZ614" s="7" t="s">
        <v>8835</v>
      </c>
    </row>
    <row r="615" spans="76:78" x14ac:dyDescent="0.25">
      <c r="BX615" s="7" t="s">
        <v>9689</v>
      </c>
      <c r="BY615" s="7" t="s">
        <v>797</v>
      </c>
      <c r="BZ615" s="7" t="s">
        <v>8835</v>
      </c>
    </row>
    <row r="616" spans="76:78" x14ac:dyDescent="0.25">
      <c r="BX616" s="7" t="s">
        <v>9942</v>
      </c>
      <c r="BY616" s="7" t="s">
        <v>797</v>
      </c>
      <c r="BZ616" s="7" t="s">
        <v>8835</v>
      </c>
    </row>
    <row r="617" spans="76:78" x14ac:dyDescent="0.25">
      <c r="BX617" s="7" t="s">
        <v>9943</v>
      </c>
      <c r="BY617" s="7" t="s">
        <v>797</v>
      </c>
      <c r="BZ617" s="7" t="s">
        <v>8835</v>
      </c>
    </row>
    <row r="618" spans="76:78" x14ac:dyDescent="0.25">
      <c r="BX618" s="7" t="s">
        <v>9944</v>
      </c>
      <c r="BY618" s="7" t="s">
        <v>797</v>
      </c>
      <c r="BZ618" s="7" t="s">
        <v>8835</v>
      </c>
    </row>
    <row r="619" spans="76:78" x14ac:dyDescent="0.25">
      <c r="BX619" s="7" t="s">
        <v>9945</v>
      </c>
      <c r="BY619" s="7" t="s">
        <v>797</v>
      </c>
      <c r="BZ619" s="7" t="s">
        <v>8835</v>
      </c>
    </row>
    <row r="620" spans="76:78" x14ac:dyDescent="0.25">
      <c r="BX620" s="7" t="s">
        <v>9946</v>
      </c>
      <c r="BY620" s="7" t="s">
        <v>797</v>
      </c>
      <c r="BZ620" s="7" t="s">
        <v>8835</v>
      </c>
    </row>
    <row r="621" spans="76:78" x14ac:dyDescent="0.25">
      <c r="BX621" s="7" t="s">
        <v>9947</v>
      </c>
      <c r="BY621" s="7" t="s">
        <v>797</v>
      </c>
      <c r="BZ621" s="7" t="s">
        <v>8835</v>
      </c>
    </row>
    <row r="622" spans="76:78" x14ac:dyDescent="0.25">
      <c r="BX622" s="7" t="s">
        <v>9948</v>
      </c>
      <c r="BY622" s="7" t="s">
        <v>797</v>
      </c>
      <c r="BZ622" s="7" t="s">
        <v>8835</v>
      </c>
    </row>
    <row r="623" spans="76:78" x14ac:dyDescent="0.25">
      <c r="BX623" s="7" t="s">
        <v>9949</v>
      </c>
      <c r="BY623" s="7" t="s">
        <v>797</v>
      </c>
      <c r="BZ623" s="7" t="s">
        <v>8835</v>
      </c>
    </row>
    <row r="624" spans="76:78" x14ac:dyDescent="0.25">
      <c r="BX624" s="7" t="s">
        <v>9950</v>
      </c>
      <c r="BY624" s="7" t="s">
        <v>797</v>
      </c>
      <c r="BZ624" s="7" t="s">
        <v>8835</v>
      </c>
    </row>
    <row r="625" spans="76:78" x14ac:dyDescent="0.25">
      <c r="BX625" s="7" t="s">
        <v>9690</v>
      </c>
      <c r="BY625" s="7" t="s">
        <v>797</v>
      </c>
      <c r="BZ625" s="7" t="s">
        <v>8835</v>
      </c>
    </row>
    <row r="626" spans="76:78" x14ac:dyDescent="0.25">
      <c r="BX626" s="7" t="s">
        <v>9951</v>
      </c>
      <c r="BY626" s="7" t="s">
        <v>797</v>
      </c>
      <c r="BZ626" s="7" t="s">
        <v>8835</v>
      </c>
    </row>
    <row r="627" spans="76:78" x14ac:dyDescent="0.25">
      <c r="BX627" s="7" t="s">
        <v>9952</v>
      </c>
      <c r="BY627" s="7" t="s">
        <v>797</v>
      </c>
      <c r="BZ627" s="7" t="s">
        <v>8835</v>
      </c>
    </row>
    <row r="628" spans="76:78" x14ac:dyDescent="0.25">
      <c r="BX628" s="7" t="s">
        <v>9953</v>
      </c>
      <c r="BY628" s="7" t="s">
        <v>797</v>
      </c>
      <c r="BZ628" s="7" t="s">
        <v>8835</v>
      </c>
    </row>
    <row r="629" spans="76:78" x14ac:dyDescent="0.25">
      <c r="BX629" s="7" t="s">
        <v>9954</v>
      </c>
      <c r="BY629" s="7" t="s">
        <v>797</v>
      </c>
      <c r="BZ629" s="7" t="s">
        <v>8835</v>
      </c>
    </row>
    <row r="630" spans="76:78" x14ac:dyDescent="0.25">
      <c r="BX630" s="7" t="s">
        <v>9955</v>
      </c>
      <c r="BY630" s="7" t="s">
        <v>797</v>
      </c>
      <c r="BZ630" s="7" t="s">
        <v>8835</v>
      </c>
    </row>
    <row r="631" spans="76:78" x14ac:dyDescent="0.25">
      <c r="BX631" s="7" t="s">
        <v>9956</v>
      </c>
      <c r="BY631" s="7" t="s">
        <v>797</v>
      </c>
      <c r="BZ631" s="7" t="s">
        <v>8835</v>
      </c>
    </row>
    <row r="632" spans="76:78" x14ac:dyDescent="0.25">
      <c r="BX632" s="7" t="s">
        <v>9957</v>
      </c>
      <c r="BY632" s="7" t="s">
        <v>797</v>
      </c>
      <c r="BZ632" s="7" t="s">
        <v>8835</v>
      </c>
    </row>
    <row r="633" spans="76:78" x14ac:dyDescent="0.25">
      <c r="BX633" s="7" t="s">
        <v>9958</v>
      </c>
      <c r="BY633" s="7" t="s">
        <v>797</v>
      </c>
      <c r="BZ633" s="7" t="s">
        <v>8835</v>
      </c>
    </row>
    <row r="634" spans="76:78" x14ac:dyDescent="0.25">
      <c r="BX634" s="7" t="s">
        <v>9959</v>
      </c>
      <c r="BY634" s="7" t="s">
        <v>797</v>
      </c>
      <c r="BZ634" s="7" t="s">
        <v>8835</v>
      </c>
    </row>
    <row r="635" spans="76:78" x14ac:dyDescent="0.25">
      <c r="BX635" s="7" t="s">
        <v>9960</v>
      </c>
      <c r="BY635" s="7" t="s">
        <v>797</v>
      </c>
      <c r="BZ635" s="7" t="s">
        <v>8835</v>
      </c>
    </row>
    <row r="636" spans="76:78" x14ac:dyDescent="0.25">
      <c r="BX636" s="7" t="s">
        <v>9961</v>
      </c>
      <c r="BY636" s="7" t="s">
        <v>797</v>
      </c>
      <c r="BZ636" s="7" t="s">
        <v>8835</v>
      </c>
    </row>
    <row r="637" spans="76:78" x14ac:dyDescent="0.25">
      <c r="BX637" s="7" t="s">
        <v>9962</v>
      </c>
      <c r="BY637" s="7" t="s">
        <v>797</v>
      </c>
      <c r="BZ637" s="7" t="s">
        <v>8835</v>
      </c>
    </row>
    <row r="638" spans="76:78" x14ac:dyDescent="0.25">
      <c r="BX638" s="7" t="s">
        <v>9963</v>
      </c>
      <c r="BY638" s="7" t="s">
        <v>797</v>
      </c>
      <c r="BZ638" s="7" t="s">
        <v>8835</v>
      </c>
    </row>
    <row r="639" spans="76:78" x14ac:dyDescent="0.25">
      <c r="BX639" s="7" t="s">
        <v>9964</v>
      </c>
      <c r="BY639" s="7" t="s">
        <v>797</v>
      </c>
      <c r="BZ639" s="7" t="s">
        <v>8835</v>
      </c>
    </row>
    <row r="640" spans="76:78" x14ac:dyDescent="0.25">
      <c r="BX640" s="7" t="s">
        <v>9965</v>
      </c>
      <c r="BY640" s="7" t="s">
        <v>797</v>
      </c>
      <c r="BZ640" s="7" t="s">
        <v>8835</v>
      </c>
    </row>
    <row r="641" spans="76:78" x14ac:dyDescent="0.25">
      <c r="BX641" s="7" t="s">
        <v>9966</v>
      </c>
      <c r="BY641" s="7" t="s">
        <v>797</v>
      </c>
      <c r="BZ641" s="7" t="s">
        <v>8835</v>
      </c>
    </row>
    <row r="642" spans="76:78" x14ac:dyDescent="0.25">
      <c r="BX642" s="7" t="s">
        <v>9967</v>
      </c>
      <c r="BY642" s="7" t="s">
        <v>797</v>
      </c>
      <c r="BZ642" s="7" t="s">
        <v>8835</v>
      </c>
    </row>
    <row r="643" spans="76:78" x14ac:dyDescent="0.25">
      <c r="BX643" s="7" t="s">
        <v>9968</v>
      </c>
      <c r="BY643" s="7" t="s">
        <v>797</v>
      </c>
      <c r="BZ643" s="7" t="s">
        <v>8835</v>
      </c>
    </row>
    <row r="644" spans="76:78" x14ac:dyDescent="0.25">
      <c r="BX644" s="7" t="s">
        <v>9969</v>
      </c>
      <c r="BY644" s="7" t="s">
        <v>797</v>
      </c>
      <c r="BZ644" s="7" t="s">
        <v>8835</v>
      </c>
    </row>
    <row r="645" spans="76:78" x14ac:dyDescent="0.25">
      <c r="BX645" s="7" t="s">
        <v>9970</v>
      </c>
      <c r="BY645" s="7" t="s">
        <v>797</v>
      </c>
      <c r="BZ645" s="7" t="s">
        <v>8835</v>
      </c>
    </row>
    <row r="646" spans="76:78" x14ac:dyDescent="0.25">
      <c r="BX646" s="7" t="s">
        <v>9971</v>
      </c>
      <c r="BY646" s="7" t="s">
        <v>797</v>
      </c>
      <c r="BZ646" s="7" t="s">
        <v>8835</v>
      </c>
    </row>
    <row r="647" spans="76:78" x14ac:dyDescent="0.25">
      <c r="BX647" s="7" t="s">
        <v>9972</v>
      </c>
      <c r="BY647" s="7" t="s">
        <v>797</v>
      </c>
      <c r="BZ647" s="7" t="s">
        <v>8835</v>
      </c>
    </row>
    <row r="648" spans="76:78" x14ac:dyDescent="0.25">
      <c r="BX648" s="7" t="s">
        <v>9973</v>
      </c>
      <c r="BY648" s="7" t="s">
        <v>797</v>
      </c>
      <c r="BZ648" s="7" t="s">
        <v>8835</v>
      </c>
    </row>
    <row r="649" spans="76:78" x14ac:dyDescent="0.25">
      <c r="BX649" s="7" t="s">
        <v>9974</v>
      </c>
      <c r="BY649" s="7" t="s">
        <v>797</v>
      </c>
      <c r="BZ649" s="7" t="s">
        <v>8835</v>
      </c>
    </row>
    <row r="650" spans="76:78" x14ac:dyDescent="0.25">
      <c r="BX650" s="7" t="s">
        <v>9975</v>
      </c>
      <c r="BY650" s="7" t="s">
        <v>797</v>
      </c>
      <c r="BZ650" s="7" t="s">
        <v>8835</v>
      </c>
    </row>
    <row r="651" spans="76:78" x14ac:dyDescent="0.25">
      <c r="BX651" s="7" t="s">
        <v>9976</v>
      </c>
      <c r="BY651" s="7" t="s">
        <v>797</v>
      </c>
      <c r="BZ651" s="7" t="s">
        <v>8835</v>
      </c>
    </row>
    <row r="652" spans="76:78" x14ac:dyDescent="0.25">
      <c r="BX652" s="7" t="s">
        <v>9977</v>
      </c>
      <c r="BY652" s="7" t="s">
        <v>797</v>
      </c>
      <c r="BZ652" s="7" t="s">
        <v>8835</v>
      </c>
    </row>
    <row r="653" spans="76:78" x14ac:dyDescent="0.25">
      <c r="BX653" s="7" t="s">
        <v>9978</v>
      </c>
      <c r="BY653" s="7" t="s">
        <v>797</v>
      </c>
      <c r="BZ653" s="7" t="s">
        <v>8835</v>
      </c>
    </row>
    <row r="654" spans="76:78" x14ac:dyDescent="0.25">
      <c r="BX654" s="7" t="s">
        <v>9979</v>
      </c>
      <c r="BY654" s="7" t="s">
        <v>797</v>
      </c>
      <c r="BZ654" s="7" t="s">
        <v>8835</v>
      </c>
    </row>
    <row r="655" spans="76:78" x14ac:dyDescent="0.25">
      <c r="BX655" s="7" t="s">
        <v>9980</v>
      </c>
      <c r="BY655" s="7" t="s">
        <v>797</v>
      </c>
      <c r="BZ655" s="7" t="s">
        <v>8835</v>
      </c>
    </row>
    <row r="656" spans="76:78" x14ac:dyDescent="0.25">
      <c r="BX656" s="7" t="s">
        <v>9981</v>
      </c>
      <c r="BY656" s="7" t="s">
        <v>797</v>
      </c>
      <c r="BZ656" s="7" t="s">
        <v>8835</v>
      </c>
    </row>
    <row r="657" spans="76:78" x14ac:dyDescent="0.25">
      <c r="BX657" s="7" t="s">
        <v>9982</v>
      </c>
      <c r="BY657" s="7" t="s">
        <v>797</v>
      </c>
      <c r="BZ657" s="7" t="s">
        <v>8835</v>
      </c>
    </row>
    <row r="658" spans="76:78" x14ac:dyDescent="0.25">
      <c r="BX658" s="7" t="s">
        <v>9983</v>
      </c>
      <c r="BY658" s="7" t="s">
        <v>797</v>
      </c>
      <c r="BZ658" s="7" t="s">
        <v>8835</v>
      </c>
    </row>
    <row r="659" spans="76:78" x14ac:dyDescent="0.25">
      <c r="BX659" s="7" t="s">
        <v>9984</v>
      </c>
      <c r="BY659" s="7" t="s">
        <v>797</v>
      </c>
      <c r="BZ659" s="7" t="s">
        <v>8835</v>
      </c>
    </row>
    <row r="660" spans="76:78" x14ac:dyDescent="0.25">
      <c r="BX660" s="7" t="s">
        <v>9985</v>
      </c>
      <c r="BY660" s="7" t="s">
        <v>797</v>
      </c>
      <c r="BZ660" s="7" t="s">
        <v>8835</v>
      </c>
    </row>
    <row r="661" spans="76:78" x14ac:dyDescent="0.25">
      <c r="BX661" s="7" t="s">
        <v>9986</v>
      </c>
      <c r="BY661" s="7" t="s">
        <v>797</v>
      </c>
      <c r="BZ661" s="7" t="s">
        <v>8835</v>
      </c>
    </row>
    <row r="662" spans="76:78" x14ac:dyDescent="0.25">
      <c r="BX662" s="7" t="s">
        <v>9987</v>
      </c>
      <c r="BY662" s="7" t="s">
        <v>797</v>
      </c>
      <c r="BZ662" s="7" t="s">
        <v>8835</v>
      </c>
    </row>
    <row r="663" spans="76:78" x14ac:dyDescent="0.25">
      <c r="BX663" s="7" t="s">
        <v>9988</v>
      </c>
      <c r="BY663" s="7" t="s">
        <v>797</v>
      </c>
      <c r="BZ663" s="7" t="s">
        <v>8835</v>
      </c>
    </row>
    <row r="664" spans="76:78" x14ac:dyDescent="0.25">
      <c r="BX664" s="7" t="s">
        <v>9989</v>
      </c>
      <c r="BY664" s="7" t="s">
        <v>797</v>
      </c>
      <c r="BZ664" s="7" t="s">
        <v>8835</v>
      </c>
    </row>
    <row r="665" spans="76:78" x14ac:dyDescent="0.25">
      <c r="BX665" s="7" t="s">
        <v>9990</v>
      </c>
      <c r="BY665" s="7" t="s">
        <v>797</v>
      </c>
      <c r="BZ665" s="7" t="s">
        <v>8835</v>
      </c>
    </row>
    <row r="666" spans="76:78" x14ac:dyDescent="0.25">
      <c r="BX666" s="7" t="s">
        <v>9991</v>
      </c>
      <c r="BY666" s="7" t="s">
        <v>797</v>
      </c>
      <c r="BZ666" s="7" t="s">
        <v>8835</v>
      </c>
    </row>
    <row r="667" spans="76:78" x14ac:dyDescent="0.25">
      <c r="BX667" s="7" t="s">
        <v>9992</v>
      </c>
      <c r="BY667" s="7" t="s">
        <v>797</v>
      </c>
      <c r="BZ667" s="7" t="s">
        <v>8835</v>
      </c>
    </row>
    <row r="668" spans="76:78" x14ac:dyDescent="0.25">
      <c r="BX668" s="7" t="s">
        <v>9993</v>
      </c>
      <c r="BY668" s="7" t="s">
        <v>797</v>
      </c>
      <c r="BZ668" s="7" t="s">
        <v>8835</v>
      </c>
    </row>
    <row r="669" spans="76:78" x14ac:dyDescent="0.25">
      <c r="BX669" s="7" t="s">
        <v>9994</v>
      </c>
      <c r="BY669" s="7" t="s">
        <v>797</v>
      </c>
      <c r="BZ669" s="7" t="s">
        <v>8835</v>
      </c>
    </row>
    <row r="670" spans="76:78" x14ac:dyDescent="0.25">
      <c r="BX670" s="7" t="s">
        <v>9995</v>
      </c>
      <c r="BY670" s="7" t="s">
        <v>797</v>
      </c>
      <c r="BZ670" s="7" t="s">
        <v>8835</v>
      </c>
    </row>
    <row r="671" spans="76:78" x14ac:dyDescent="0.25">
      <c r="BX671" s="7" t="s">
        <v>9996</v>
      </c>
      <c r="BY671" s="7" t="s">
        <v>797</v>
      </c>
      <c r="BZ671" s="7" t="s">
        <v>8835</v>
      </c>
    </row>
    <row r="672" spans="76:78" x14ac:dyDescent="0.25">
      <c r="BX672" s="7" t="s">
        <v>9997</v>
      </c>
      <c r="BY672" s="7" t="s">
        <v>797</v>
      </c>
      <c r="BZ672" s="7" t="s">
        <v>8835</v>
      </c>
    </row>
    <row r="673" spans="76:78" x14ac:dyDescent="0.25">
      <c r="BX673" s="7" t="s">
        <v>9691</v>
      </c>
      <c r="BY673" s="7" t="s">
        <v>797</v>
      </c>
      <c r="BZ673" s="7" t="s">
        <v>8835</v>
      </c>
    </row>
    <row r="674" spans="76:78" x14ac:dyDescent="0.25">
      <c r="BX674" s="7" t="s">
        <v>9998</v>
      </c>
      <c r="BY674" s="7" t="s">
        <v>797</v>
      </c>
      <c r="BZ674" s="7" t="s">
        <v>8835</v>
      </c>
    </row>
    <row r="675" spans="76:78" x14ac:dyDescent="0.25">
      <c r="BX675" s="7" t="s">
        <v>9999</v>
      </c>
      <c r="BY675" s="7" t="s">
        <v>797</v>
      </c>
      <c r="BZ675" s="7" t="s">
        <v>8835</v>
      </c>
    </row>
    <row r="676" spans="76:78" x14ac:dyDescent="0.25">
      <c r="BX676" s="7" t="s">
        <v>10000</v>
      </c>
      <c r="BY676" s="7" t="s">
        <v>797</v>
      </c>
      <c r="BZ676" s="7" t="s">
        <v>8835</v>
      </c>
    </row>
    <row r="677" spans="76:78" x14ac:dyDescent="0.25">
      <c r="BX677" s="7" t="s">
        <v>10001</v>
      </c>
      <c r="BY677" s="7" t="s">
        <v>797</v>
      </c>
      <c r="BZ677" s="7" t="s">
        <v>8835</v>
      </c>
    </row>
    <row r="678" spans="76:78" x14ac:dyDescent="0.25">
      <c r="BX678" s="7" t="s">
        <v>10002</v>
      </c>
      <c r="BY678" s="7" t="s">
        <v>797</v>
      </c>
      <c r="BZ678" s="7" t="s">
        <v>8835</v>
      </c>
    </row>
    <row r="679" spans="76:78" x14ac:dyDescent="0.25">
      <c r="BX679" s="7" t="s">
        <v>10003</v>
      </c>
      <c r="BY679" s="7" t="s">
        <v>797</v>
      </c>
      <c r="BZ679" s="7" t="s">
        <v>8835</v>
      </c>
    </row>
    <row r="680" spans="76:78" x14ac:dyDescent="0.25">
      <c r="BX680" s="7" t="s">
        <v>10004</v>
      </c>
      <c r="BY680" s="7" t="s">
        <v>797</v>
      </c>
      <c r="BZ680" s="7" t="s">
        <v>8835</v>
      </c>
    </row>
    <row r="681" spans="76:78" x14ac:dyDescent="0.25">
      <c r="BX681" s="7" t="s">
        <v>9692</v>
      </c>
      <c r="BY681" s="7" t="s">
        <v>797</v>
      </c>
      <c r="BZ681" s="7" t="s">
        <v>8835</v>
      </c>
    </row>
    <row r="682" spans="76:78" x14ac:dyDescent="0.25">
      <c r="BX682" s="7" t="s">
        <v>10005</v>
      </c>
      <c r="BY682" s="7" t="s">
        <v>797</v>
      </c>
      <c r="BZ682" s="7" t="s">
        <v>8835</v>
      </c>
    </row>
    <row r="683" spans="76:78" x14ac:dyDescent="0.25">
      <c r="BX683" s="7" t="s">
        <v>10006</v>
      </c>
      <c r="BY683" s="7" t="s">
        <v>797</v>
      </c>
      <c r="BZ683" s="7" t="s">
        <v>8835</v>
      </c>
    </row>
    <row r="684" spans="76:78" x14ac:dyDescent="0.25">
      <c r="BX684" s="7" t="s">
        <v>10007</v>
      </c>
      <c r="BY684" s="7" t="s">
        <v>797</v>
      </c>
      <c r="BZ684" s="7" t="s">
        <v>8835</v>
      </c>
    </row>
    <row r="685" spans="76:78" x14ac:dyDescent="0.25">
      <c r="BX685" s="7" t="s">
        <v>10008</v>
      </c>
      <c r="BY685" s="7" t="s">
        <v>797</v>
      </c>
      <c r="BZ685" s="7" t="s">
        <v>8835</v>
      </c>
    </row>
    <row r="686" spans="76:78" x14ac:dyDescent="0.25">
      <c r="BX686" s="7" t="s">
        <v>10157</v>
      </c>
      <c r="BY686" s="7" t="s">
        <v>797</v>
      </c>
      <c r="BZ686" s="7" t="s">
        <v>8835</v>
      </c>
    </row>
    <row r="687" spans="76:78" x14ac:dyDescent="0.25">
      <c r="BX687" s="7" t="s">
        <v>10158</v>
      </c>
      <c r="BY687" s="7" t="s">
        <v>797</v>
      </c>
      <c r="BZ687" s="7" t="s">
        <v>8835</v>
      </c>
    </row>
    <row r="688" spans="76:78" x14ac:dyDescent="0.25">
      <c r="BX688" s="7" t="s">
        <v>10159</v>
      </c>
      <c r="BY688" s="7" t="s">
        <v>797</v>
      </c>
      <c r="BZ688" s="7" t="s">
        <v>8835</v>
      </c>
    </row>
    <row r="689" spans="76:78" x14ac:dyDescent="0.25">
      <c r="BX689" s="7" t="s">
        <v>10160</v>
      </c>
      <c r="BY689" s="7" t="s">
        <v>797</v>
      </c>
      <c r="BZ689" s="7" t="s">
        <v>8835</v>
      </c>
    </row>
    <row r="690" spans="76:78" x14ac:dyDescent="0.25">
      <c r="BX690" s="7" t="s">
        <v>10161</v>
      </c>
      <c r="BY690" s="7" t="s">
        <v>797</v>
      </c>
      <c r="BZ690" s="7" t="s">
        <v>8835</v>
      </c>
    </row>
    <row r="691" spans="76:78" x14ac:dyDescent="0.25">
      <c r="BX691" s="7" t="s">
        <v>10162</v>
      </c>
      <c r="BY691" s="7" t="s">
        <v>797</v>
      </c>
      <c r="BZ691" s="7" t="s">
        <v>8835</v>
      </c>
    </row>
    <row r="692" spans="76:78" x14ac:dyDescent="0.25">
      <c r="BX692" s="7" t="s">
        <v>10163</v>
      </c>
      <c r="BY692" s="7" t="s">
        <v>797</v>
      </c>
      <c r="BZ692" s="7" t="s">
        <v>8835</v>
      </c>
    </row>
    <row r="693" spans="76:78" x14ac:dyDescent="0.25">
      <c r="BX693" s="7" t="s">
        <v>10164</v>
      </c>
      <c r="BY693" s="7" t="s">
        <v>797</v>
      </c>
      <c r="BZ693" s="7" t="s">
        <v>8835</v>
      </c>
    </row>
    <row r="694" spans="76:78" x14ac:dyDescent="0.25">
      <c r="BX694" s="7" t="s">
        <v>10165</v>
      </c>
      <c r="BY694" s="7" t="s">
        <v>797</v>
      </c>
      <c r="BZ694" s="7" t="s">
        <v>8835</v>
      </c>
    </row>
    <row r="695" spans="76:78" x14ac:dyDescent="0.25">
      <c r="BX695" s="7" t="s">
        <v>10166</v>
      </c>
      <c r="BY695" s="7" t="s">
        <v>797</v>
      </c>
      <c r="BZ695" s="7" t="s">
        <v>8835</v>
      </c>
    </row>
    <row r="696" spans="76:78" x14ac:dyDescent="0.25">
      <c r="BX696" s="7" t="s">
        <v>9693</v>
      </c>
      <c r="BY696" s="7" t="s">
        <v>797</v>
      </c>
      <c r="BZ696" s="7" t="s">
        <v>8835</v>
      </c>
    </row>
    <row r="697" spans="76:78" x14ac:dyDescent="0.25">
      <c r="BX697" s="7" t="s">
        <v>10009</v>
      </c>
      <c r="BY697" s="7" t="s">
        <v>797</v>
      </c>
      <c r="BZ697" s="7" t="s">
        <v>8835</v>
      </c>
    </row>
    <row r="698" spans="76:78" x14ac:dyDescent="0.25">
      <c r="BX698" s="7" t="s">
        <v>10010</v>
      </c>
      <c r="BY698" s="7" t="s">
        <v>797</v>
      </c>
      <c r="BZ698" s="7" t="s">
        <v>8835</v>
      </c>
    </row>
    <row r="699" spans="76:78" x14ac:dyDescent="0.25">
      <c r="BX699" s="7" t="s">
        <v>10011</v>
      </c>
      <c r="BY699" s="7" t="s">
        <v>797</v>
      </c>
      <c r="BZ699" s="7" t="s">
        <v>8835</v>
      </c>
    </row>
    <row r="700" spans="76:78" x14ac:dyDescent="0.25">
      <c r="BX700" s="7" t="s">
        <v>10012</v>
      </c>
      <c r="BY700" s="7" t="s">
        <v>797</v>
      </c>
      <c r="BZ700" s="7" t="s">
        <v>8835</v>
      </c>
    </row>
    <row r="701" spans="76:78" x14ac:dyDescent="0.25">
      <c r="BX701" s="7" t="s">
        <v>10013</v>
      </c>
      <c r="BY701" s="7" t="s">
        <v>797</v>
      </c>
      <c r="BZ701" s="7" t="s">
        <v>8835</v>
      </c>
    </row>
    <row r="702" spans="76:78" x14ac:dyDescent="0.25">
      <c r="BX702" s="7" t="s">
        <v>10014</v>
      </c>
      <c r="BY702" s="7" t="s">
        <v>797</v>
      </c>
      <c r="BZ702" s="7" t="s">
        <v>8835</v>
      </c>
    </row>
    <row r="703" spans="76:78" x14ac:dyDescent="0.25">
      <c r="BX703" s="7" t="s">
        <v>10015</v>
      </c>
      <c r="BY703" s="7" t="s">
        <v>797</v>
      </c>
      <c r="BZ703" s="7" t="s">
        <v>8835</v>
      </c>
    </row>
    <row r="704" spans="76:78" x14ac:dyDescent="0.25">
      <c r="BX704" s="7" t="s">
        <v>9694</v>
      </c>
      <c r="BY704" s="7" t="s">
        <v>797</v>
      </c>
      <c r="BZ704" s="7" t="s">
        <v>8835</v>
      </c>
    </row>
    <row r="705" spans="76:78" x14ac:dyDescent="0.25">
      <c r="BX705" s="7" t="s">
        <v>10016</v>
      </c>
      <c r="BY705" s="7" t="s">
        <v>797</v>
      </c>
      <c r="BZ705" s="7" t="s">
        <v>8835</v>
      </c>
    </row>
    <row r="706" spans="76:78" x14ac:dyDescent="0.25">
      <c r="BX706" s="7" t="s">
        <v>10017</v>
      </c>
      <c r="BY706" s="7" t="s">
        <v>797</v>
      </c>
      <c r="BZ706" s="7" t="s">
        <v>8835</v>
      </c>
    </row>
    <row r="707" spans="76:78" x14ac:dyDescent="0.25">
      <c r="BX707" s="7" t="s">
        <v>10018</v>
      </c>
      <c r="BY707" s="7" t="s">
        <v>797</v>
      </c>
      <c r="BZ707" s="7" t="s">
        <v>8835</v>
      </c>
    </row>
    <row r="708" spans="76:78" x14ac:dyDescent="0.25">
      <c r="BX708" s="7" t="s">
        <v>10019</v>
      </c>
      <c r="BY708" s="7" t="s">
        <v>797</v>
      </c>
      <c r="BZ708" s="7" t="s">
        <v>8835</v>
      </c>
    </row>
    <row r="709" spans="76:78" x14ac:dyDescent="0.25">
      <c r="BX709" s="7" t="s">
        <v>10020</v>
      </c>
      <c r="BY709" s="7" t="s">
        <v>797</v>
      </c>
      <c r="BZ709" s="7" t="s">
        <v>8835</v>
      </c>
    </row>
    <row r="710" spans="76:78" x14ac:dyDescent="0.25">
      <c r="BX710" s="7" t="s">
        <v>10021</v>
      </c>
      <c r="BY710" s="7" t="s">
        <v>797</v>
      </c>
      <c r="BZ710" s="7" t="s">
        <v>8835</v>
      </c>
    </row>
    <row r="711" spans="76:78" x14ac:dyDescent="0.25">
      <c r="BX711" s="7" t="s">
        <v>10022</v>
      </c>
      <c r="BY711" s="7" t="s">
        <v>797</v>
      </c>
      <c r="BZ711" s="7" t="s">
        <v>8835</v>
      </c>
    </row>
    <row r="712" spans="76:78" x14ac:dyDescent="0.25">
      <c r="BX712" s="7" t="s">
        <v>10023</v>
      </c>
      <c r="BY712" s="7" t="s">
        <v>797</v>
      </c>
      <c r="BZ712" s="7" t="s">
        <v>8835</v>
      </c>
    </row>
    <row r="713" spans="76:78" x14ac:dyDescent="0.25">
      <c r="BX713" s="7" t="s">
        <v>10024</v>
      </c>
      <c r="BY713" s="7" t="s">
        <v>797</v>
      </c>
      <c r="BZ713" s="7" t="s">
        <v>8835</v>
      </c>
    </row>
    <row r="714" spans="76:78" x14ac:dyDescent="0.25">
      <c r="BX714" s="7" t="s">
        <v>9695</v>
      </c>
      <c r="BY714" s="7" t="s">
        <v>797</v>
      </c>
      <c r="BZ714" s="7" t="s">
        <v>8835</v>
      </c>
    </row>
    <row r="715" spans="76:78" x14ac:dyDescent="0.25">
      <c r="BX715" s="7" t="s">
        <v>10025</v>
      </c>
      <c r="BY715" s="7" t="s">
        <v>797</v>
      </c>
      <c r="BZ715" s="7" t="s">
        <v>8835</v>
      </c>
    </row>
    <row r="716" spans="76:78" x14ac:dyDescent="0.25">
      <c r="BX716" s="7" t="s">
        <v>10026</v>
      </c>
      <c r="BY716" s="7" t="s">
        <v>797</v>
      </c>
      <c r="BZ716" s="7" t="s">
        <v>8835</v>
      </c>
    </row>
    <row r="717" spans="76:78" x14ac:dyDescent="0.25">
      <c r="BX717" s="7" t="s">
        <v>10027</v>
      </c>
      <c r="BY717" s="7" t="s">
        <v>797</v>
      </c>
      <c r="BZ717" s="7" t="s">
        <v>8835</v>
      </c>
    </row>
    <row r="718" spans="76:78" x14ac:dyDescent="0.25">
      <c r="BX718" s="7" t="s">
        <v>9696</v>
      </c>
      <c r="BY718" s="7" t="s">
        <v>797</v>
      </c>
      <c r="BZ718" s="7" t="s">
        <v>8835</v>
      </c>
    </row>
    <row r="719" spans="76:78" x14ac:dyDescent="0.25">
      <c r="BX719" s="7" t="s">
        <v>10028</v>
      </c>
      <c r="BY719" s="7" t="s">
        <v>797</v>
      </c>
      <c r="BZ719" s="7" t="s">
        <v>8835</v>
      </c>
    </row>
    <row r="720" spans="76:78" x14ac:dyDescent="0.25">
      <c r="BX720" s="7" t="s">
        <v>10029</v>
      </c>
      <c r="BY720" s="7" t="s">
        <v>797</v>
      </c>
      <c r="BZ720" s="7" t="s">
        <v>8835</v>
      </c>
    </row>
    <row r="721" spans="76:78" x14ac:dyDescent="0.25">
      <c r="BX721" s="7" t="s">
        <v>10030</v>
      </c>
      <c r="BY721" s="7" t="s">
        <v>797</v>
      </c>
      <c r="BZ721" s="7" t="s">
        <v>8835</v>
      </c>
    </row>
    <row r="722" spans="76:78" x14ac:dyDescent="0.25">
      <c r="BX722" s="7" t="s">
        <v>10031</v>
      </c>
      <c r="BY722" s="7" t="s">
        <v>797</v>
      </c>
      <c r="BZ722" s="7" t="s">
        <v>8835</v>
      </c>
    </row>
    <row r="723" spans="76:78" x14ac:dyDescent="0.25">
      <c r="BX723" s="7" t="s">
        <v>10032</v>
      </c>
      <c r="BY723" s="7" t="s">
        <v>797</v>
      </c>
      <c r="BZ723" s="7" t="s">
        <v>8835</v>
      </c>
    </row>
    <row r="724" spans="76:78" x14ac:dyDescent="0.25">
      <c r="BX724" s="7" t="s">
        <v>10033</v>
      </c>
      <c r="BY724" s="7" t="s">
        <v>797</v>
      </c>
      <c r="BZ724" s="7" t="s">
        <v>8835</v>
      </c>
    </row>
    <row r="725" spans="76:78" x14ac:dyDescent="0.25">
      <c r="BX725" s="7" t="s">
        <v>10034</v>
      </c>
      <c r="BY725" s="7" t="s">
        <v>797</v>
      </c>
      <c r="BZ725" s="7" t="s">
        <v>8835</v>
      </c>
    </row>
    <row r="726" spans="76:78" x14ac:dyDescent="0.25">
      <c r="BX726" s="7" t="s">
        <v>10035</v>
      </c>
      <c r="BY726" s="7" t="s">
        <v>797</v>
      </c>
      <c r="BZ726" s="7" t="s">
        <v>8835</v>
      </c>
    </row>
    <row r="727" spans="76:78" x14ac:dyDescent="0.25">
      <c r="BX727" s="7" t="s">
        <v>10036</v>
      </c>
      <c r="BY727" s="7" t="s">
        <v>797</v>
      </c>
      <c r="BZ727" s="7" t="s">
        <v>8835</v>
      </c>
    </row>
    <row r="728" spans="76:78" x14ac:dyDescent="0.25">
      <c r="BX728" s="7" t="s">
        <v>9697</v>
      </c>
      <c r="BY728" s="7" t="s">
        <v>797</v>
      </c>
      <c r="BZ728" s="7" t="s">
        <v>8835</v>
      </c>
    </row>
    <row r="729" spans="76:78" x14ac:dyDescent="0.25">
      <c r="BX729" s="7" t="s">
        <v>10037</v>
      </c>
      <c r="BY729" s="7" t="s">
        <v>797</v>
      </c>
      <c r="BZ729" s="7" t="s">
        <v>8835</v>
      </c>
    </row>
    <row r="730" spans="76:78" x14ac:dyDescent="0.25">
      <c r="BX730" s="7" t="s">
        <v>10038</v>
      </c>
      <c r="BY730" s="7" t="s">
        <v>797</v>
      </c>
      <c r="BZ730" s="7" t="s">
        <v>8835</v>
      </c>
    </row>
    <row r="731" spans="76:78" x14ac:dyDescent="0.25">
      <c r="BX731" s="7" t="s">
        <v>10039</v>
      </c>
      <c r="BY731" s="7" t="s">
        <v>797</v>
      </c>
      <c r="BZ731" s="7" t="s">
        <v>8835</v>
      </c>
    </row>
    <row r="732" spans="76:78" x14ac:dyDescent="0.25">
      <c r="BX732" s="7" t="s">
        <v>617</v>
      </c>
      <c r="BY732" s="7" t="s">
        <v>797</v>
      </c>
      <c r="BZ732" s="7" t="s">
        <v>8835</v>
      </c>
    </row>
    <row r="733" spans="76:78" x14ac:dyDescent="0.25">
      <c r="BX733" s="7" t="s">
        <v>10040</v>
      </c>
      <c r="BY733" s="7" t="s">
        <v>797</v>
      </c>
      <c r="BZ733" s="7" t="s">
        <v>8835</v>
      </c>
    </row>
    <row r="734" spans="76:78" x14ac:dyDescent="0.25">
      <c r="BX734" s="7" t="s">
        <v>10041</v>
      </c>
      <c r="BY734" s="7" t="s">
        <v>797</v>
      </c>
      <c r="BZ734" s="7" t="s">
        <v>8835</v>
      </c>
    </row>
    <row r="735" spans="76:78" x14ac:dyDescent="0.25">
      <c r="BX735" s="7" t="s">
        <v>10042</v>
      </c>
      <c r="BY735" s="7" t="s">
        <v>797</v>
      </c>
      <c r="BZ735" s="7" t="s">
        <v>8835</v>
      </c>
    </row>
    <row r="736" spans="76:78" x14ac:dyDescent="0.25">
      <c r="BX736" s="7" t="s">
        <v>10043</v>
      </c>
      <c r="BY736" s="7" t="s">
        <v>797</v>
      </c>
      <c r="BZ736" s="7" t="s">
        <v>8835</v>
      </c>
    </row>
    <row r="737" spans="76:78" x14ac:dyDescent="0.25">
      <c r="BX737" s="7" t="s">
        <v>10044</v>
      </c>
      <c r="BY737" s="7" t="s">
        <v>797</v>
      </c>
      <c r="BZ737" s="7" t="s">
        <v>8835</v>
      </c>
    </row>
    <row r="738" spans="76:78" x14ac:dyDescent="0.25">
      <c r="BX738" s="7" t="s">
        <v>10045</v>
      </c>
      <c r="BY738" s="7" t="s">
        <v>797</v>
      </c>
      <c r="BZ738" s="7" t="s">
        <v>8835</v>
      </c>
    </row>
    <row r="739" spans="76:78" x14ac:dyDescent="0.25">
      <c r="BX739" s="7" t="s">
        <v>10046</v>
      </c>
      <c r="BY739" s="7" t="s">
        <v>797</v>
      </c>
      <c r="BZ739" s="7" t="s">
        <v>8835</v>
      </c>
    </row>
    <row r="740" spans="76:78" x14ac:dyDescent="0.25">
      <c r="BX740" s="7" t="s">
        <v>10047</v>
      </c>
      <c r="BY740" s="7" t="s">
        <v>797</v>
      </c>
      <c r="BZ740" s="7" t="s">
        <v>8835</v>
      </c>
    </row>
    <row r="741" spans="76:78" x14ac:dyDescent="0.25">
      <c r="BX741" s="7" t="s">
        <v>10048</v>
      </c>
      <c r="BY741" s="7" t="s">
        <v>797</v>
      </c>
      <c r="BZ741" s="7" t="s">
        <v>8835</v>
      </c>
    </row>
    <row r="742" spans="76:78" x14ac:dyDescent="0.25">
      <c r="BX742" s="7" t="s">
        <v>10049</v>
      </c>
      <c r="BY742" s="7" t="s">
        <v>797</v>
      </c>
      <c r="BZ742" s="7" t="s">
        <v>8835</v>
      </c>
    </row>
    <row r="743" spans="76:78" x14ac:dyDescent="0.25">
      <c r="BX743" s="7" t="s">
        <v>10050</v>
      </c>
      <c r="BY743" s="7" t="s">
        <v>797</v>
      </c>
      <c r="BZ743" s="7" t="s">
        <v>8835</v>
      </c>
    </row>
    <row r="744" spans="76:78" x14ac:dyDescent="0.25">
      <c r="BX744" s="7" t="s">
        <v>10051</v>
      </c>
      <c r="BY744" s="7" t="s">
        <v>797</v>
      </c>
      <c r="BZ744" s="7" t="s">
        <v>8835</v>
      </c>
    </row>
    <row r="745" spans="76:78" x14ac:dyDescent="0.25">
      <c r="BX745" s="7" t="s">
        <v>10052</v>
      </c>
      <c r="BY745" s="7" t="s">
        <v>797</v>
      </c>
      <c r="BZ745" s="7" t="s">
        <v>8835</v>
      </c>
    </row>
    <row r="746" spans="76:78" x14ac:dyDescent="0.25">
      <c r="BX746" s="7" t="s">
        <v>10053</v>
      </c>
      <c r="BY746" s="7" t="s">
        <v>797</v>
      </c>
      <c r="BZ746" s="7" t="s">
        <v>8835</v>
      </c>
    </row>
    <row r="747" spans="76:78" x14ac:dyDescent="0.25">
      <c r="BX747" s="7" t="s">
        <v>10120</v>
      </c>
      <c r="BY747" s="7" t="s">
        <v>797</v>
      </c>
      <c r="BZ747" s="7" t="s">
        <v>8835</v>
      </c>
    </row>
    <row r="748" spans="76:78" x14ac:dyDescent="0.25">
      <c r="BX748" s="7" t="s">
        <v>10121</v>
      </c>
      <c r="BY748" s="7" t="s">
        <v>797</v>
      </c>
      <c r="BZ748" s="7" t="s">
        <v>8835</v>
      </c>
    </row>
    <row r="749" spans="76:78" x14ac:dyDescent="0.25">
      <c r="BX749" s="7" t="s">
        <v>9384</v>
      </c>
      <c r="BY749" s="7" t="s">
        <v>10167</v>
      </c>
      <c r="BZ749" s="7" t="s">
        <v>8837</v>
      </c>
    </row>
    <row r="750" spans="76:78" x14ac:dyDescent="0.25">
      <c r="BX750" s="7" t="s">
        <v>9415</v>
      </c>
      <c r="BY750" s="7" t="s">
        <v>9417</v>
      </c>
      <c r="BZ750" s="7" t="s">
        <v>8838</v>
      </c>
    </row>
    <row r="751" spans="76:78" x14ac:dyDescent="0.25">
      <c r="BX751" s="7" t="s">
        <v>9385</v>
      </c>
      <c r="BY751" s="7" t="s">
        <v>9417</v>
      </c>
      <c r="BZ751" s="7" t="s">
        <v>8838</v>
      </c>
    </row>
    <row r="752" spans="76:78" x14ac:dyDescent="0.25">
      <c r="BX752" s="7" t="s">
        <v>9386</v>
      </c>
      <c r="BY752" s="7" t="s">
        <v>9417</v>
      </c>
      <c r="BZ752" s="7" t="s">
        <v>8838</v>
      </c>
    </row>
    <row r="753" spans="76:78" x14ac:dyDescent="0.25">
      <c r="BX753" s="7" t="s">
        <v>9387</v>
      </c>
      <c r="BY753" s="7" t="s">
        <v>9417</v>
      </c>
      <c r="BZ753" s="7" t="s">
        <v>8838</v>
      </c>
    </row>
    <row r="754" spans="76:78" x14ac:dyDescent="0.25">
      <c r="BX754" s="7" t="s">
        <v>9388</v>
      </c>
      <c r="BY754" s="7" t="s">
        <v>9417</v>
      </c>
      <c r="BZ754" s="7" t="s">
        <v>8838</v>
      </c>
    </row>
    <row r="755" spans="76:78" x14ac:dyDescent="0.25">
      <c r="BX755" s="7" t="s">
        <v>9389</v>
      </c>
      <c r="BY755" s="7" t="s">
        <v>9417</v>
      </c>
      <c r="BZ755" s="7" t="s">
        <v>8838</v>
      </c>
    </row>
    <row r="756" spans="76:78" x14ac:dyDescent="0.25">
      <c r="BX756" s="7" t="s">
        <v>9390</v>
      </c>
      <c r="BY756" s="7" t="s">
        <v>9417</v>
      </c>
      <c r="BZ756" s="7" t="s">
        <v>8838</v>
      </c>
    </row>
    <row r="757" spans="76:78" x14ac:dyDescent="0.25">
      <c r="BX757" s="7" t="s">
        <v>9391</v>
      </c>
      <c r="BY757" s="7" t="s">
        <v>9417</v>
      </c>
      <c r="BZ757" s="7" t="s">
        <v>8838</v>
      </c>
    </row>
    <row r="758" spans="76:78" x14ac:dyDescent="0.25">
      <c r="BX758" s="7" t="s">
        <v>9392</v>
      </c>
      <c r="BY758" s="7" t="s">
        <v>9417</v>
      </c>
      <c r="BZ758" s="7" t="s">
        <v>8838</v>
      </c>
    </row>
    <row r="759" spans="76:78" x14ac:dyDescent="0.25">
      <c r="BX759" s="7" t="s">
        <v>9393</v>
      </c>
      <c r="BY759" s="7" t="s">
        <v>9417</v>
      </c>
      <c r="BZ759" s="7" t="s">
        <v>8838</v>
      </c>
    </row>
    <row r="760" spans="76:78" x14ac:dyDescent="0.25">
      <c r="BX760" s="7" t="s">
        <v>9394</v>
      </c>
      <c r="BY760" s="7" t="s">
        <v>9417</v>
      </c>
      <c r="BZ760" s="7" t="s">
        <v>8838</v>
      </c>
    </row>
    <row r="761" spans="76:78" x14ac:dyDescent="0.25">
      <c r="BX761" s="7" t="s">
        <v>9395</v>
      </c>
      <c r="BY761" s="7" t="s">
        <v>9417</v>
      </c>
      <c r="BZ761" s="7" t="s">
        <v>8838</v>
      </c>
    </row>
    <row r="762" spans="76:78" x14ac:dyDescent="0.25">
      <c r="BX762" s="7" t="s">
        <v>9396</v>
      </c>
      <c r="BY762" s="7" t="s">
        <v>9417</v>
      </c>
      <c r="BZ762" s="7" t="s">
        <v>8838</v>
      </c>
    </row>
    <row r="763" spans="76:78" x14ac:dyDescent="0.25">
      <c r="BX763" s="7" t="s">
        <v>9397</v>
      </c>
      <c r="BY763" s="7" t="s">
        <v>9417</v>
      </c>
      <c r="BZ763" s="7" t="s">
        <v>8838</v>
      </c>
    </row>
    <row r="764" spans="76:78" x14ac:dyDescent="0.25">
      <c r="BX764" s="7" t="s">
        <v>9398</v>
      </c>
      <c r="BY764" s="7" t="s">
        <v>9417</v>
      </c>
      <c r="BZ764" s="7" t="s">
        <v>8838</v>
      </c>
    </row>
    <row r="765" spans="76:78" x14ac:dyDescent="0.25">
      <c r="BX765" s="7" t="s">
        <v>9399</v>
      </c>
      <c r="BY765" s="7" t="s">
        <v>9417</v>
      </c>
      <c r="BZ765" s="7" t="s">
        <v>8838</v>
      </c>
    </row>
    <row r="766" spans="76:78" x14ac:dyDescent="0.25">
      <c r="BX766" s="7" t="s">
        <v>9400</v>
      </c>
      <c r="BY766" s="7" t="s">
        <v>9417</v>
      </c>
      <c r="BZ766" s="7" t="s">
        <v>8838</v>
      </c>
    </row>
    <row r="767" spans="76:78" x14ac:dyDescent="0.25">
      <c r="BX767" s="7" t="s">
        <v>9401</v>
      </c>
      <c r="BY767" s="7" t="s">
        <v>9417</v>
      </c>
      <c r="BZ767" s="7" t="s">
        <v>8838</v>
      </c>
    </row>
    <row r="768" spans="76:78" x14ac:dyDescent="0.25">
      <c r="BX768" s="7" t="s">
        <v>9402</v>
      </c>
      <c r="BY768" s="7" t="s">
        <v>9417</v>
      </c>
      <c r="BZ768" s="7" t="s">
        <v>8838</v>
      </c>
    </row>
    <row r="769" spans="76:78" x14ac:dyDescent="0.25">
      <c r="BX769" s="7" t="s">
        <v>9403</v>
      </c>
      <c r="BY769" s="7" t="s">
        <v>9417</v>
      </c>
      <c r="BZ769" s="7" t="s">
        <v>8838</v>
      </c>
    </row>
    <row r="770" spans="76:78" x14ac:dyDescent="0.25">
      <c r="BX770" s="7" t="s">
        <v>9404</v>
      </c>
      <c r="BY770" s="7" t="s">
        <v>9417</v>
      </c>
      <c r="BZ770" s="7" t="s">
        <v>8838</v>
      </c>
    </row>
    <row r="771" spans="76:78" x14ac:dyDescent="0.25">
      <c r="BX771" s="7" t="s">
        <v>9405</v>
      </c>
      <c r="BY771" s="7" t="s">
        <v>9417</v>
      </c>
      <c r="BZ771" s="7" t="s">
        <v>8838</v>
      </c>
    </row>
    <row r="772" spans="76:78" x14ac:dyDescent="0.25">
      <c r="BX772" s="7" t="s">
        <v>9406</v>
      </c>
      <c r="BY772" s="7" t="s">
        <v>9417</v>
      </c>
      <c r="BZ772" s="7" t="s">
        <v>8838</v>
      </c>
    </row>
    <row r="773" spans="76:78" x14ac:dyDescent="0.25">
      <c r="BX773" s="7" t="s">
        <v>9407</v>
      </c>
      <c r="BY773" s="7" t="s">
        <v>9417</v>
      </c>
      <c r="BZ773" s="7" t="s">
        <v>8838</v>
      </c>
    </row>
    <row r="774" spans="76:78" x14ac:dyDescent="0.25">
      <c r="BX774" s="7" t="s">
        <v>9408</v>
      </c>
      <c r="BY774" s="7" t="s">
        <v>9417</v>
      </c>
      <c r="BZ774" s="7" t="s">
        <v>8838</v>
      </c>
    </row>
    <row r="775" spans="76:78" x14ac:dyDescent="0.25">
      <c r="BX775" s="7" t="s">
        <v>9409</v>
      </c>
      <c r="BY775" s="7" t="s">
        <v>9417</v>
      </c>
      <c r="BZ775" s="7" t="s">
        <v>8838</v>
      </c>
    </row>
    <row r="776" spans="76:78" x14ac:dyDescent="0.25">
      <c r="BX776" s="7" t="s">
        <v>9410</v>
      </c>
      <c r="BY776" s="7" t="s">
        <v>9417</v>
      </c>
      <c r="BZ776" s="7" t="s">
        <v>8838</v>
      </c>
    </row>
    <row r="777" spans="76:78" x14ac:dyDescent="0.25">
      <c r="BX777" s="7" t="s">
        <v>9411</v>
      </c>
      <c r="BY777" s="7" t="s">
        <v>9417</v>
      </c>
      <c r="BZ777" s="7" t="s">
        <v>8838</v>
      </c>
    </row>
    <row r="778" spans="76:78" x14ac:dyDescent="0.25">
      <c r="BX778" s="7" t="s">
        <v>9412</v>
      </c>
      <c r="BY778" s="7" t="s">
        <v>9417</v>
      </c>
      <c r="BZ778" s="7" t="s">
        <v>8838</v>
      </c>
    </row>
    <row r="779" spans="76:78" x14ac:dyDescent="0.25">
      <c r="BX779" s="7" t="s">
        <v>9413</v>
      </c>
      <c r="BY779" s="7" t="s">
        <v>9417</v>
      </c>
      <c r="BZ779" s="7" t="s">
        <v>8838</v>
      </c>
    </row>
    <row r="780" spans="76:78" x14ac:dyDescent="0.25">
      <c r="BX780" s="7" t="s">
        <v>9414</v>
      </c>
      <c r="BY780" s="7" t="s">
        <v>9417</v>
      </c>
      <c r="BZ780" s="7" t="s">
        <v>8838</v>
      </c>
    </row>
    <row r="781" spans="76:78" x14ac:dyDescent="0.25">
      <c r="BX781" s="7"/>
      <c r="BY781" s="7"/>
      <c r="BZ781" s="7"/>
    </row>
    <row r="782" spans="76:78" x14ac:dyDescent="0.25">
      <c r="BX782" s="7"/>
      <c r="BY782" s="7"/>
      <c r="BZ782" s="7"/>
    </row>
    <row r="783" spans="76:78" x14ac:dyDescent="0.25">
      <c r="BX783" s="7"/>
      <c r="BY783" s="7"/>
      <c r="BZ783" s="7"/>
    </row>
    <row r="784" spans="76:78" x14ac:dyDescent="0.25">
      <c r="BX784" s="7"/>
      <c r="BY784" s="7"/>
      <c r="BZ784" s="7"/>
    </row>
    <row r="785" spans="76:78" x14ac:dyDescent="0.25">
      <c r="BX785" s="7"/>
      <c r="BY785" s="7"/>
      <c r="BZ785" s="7"/>
    </row>
  </sheetData>
  <sheetProtection algorithmName="SHA-512" hashValue="QOysMjhS43IVYrzQd1cRmXRrQvHg27bevBh/MV/0vuntt75uWo0NY4s+9H4BKSEYp7lQUTc8oLOXpMtCfE2WCA==" saltValue="5JFfG/sRNYqwZ3HnfDu5sg==" spinCount="100000" sheet="1" objects="1" scenarios="1"/>
  <mergeCells count="444">
    <mergeCell ref="R74:X74"/>
    <mergeCell ref="AE7:AF7"/>
    <mergeCell ref="AH7:AI7"/>
    <mergeCell ref="AE8:AF8"/>
    <mergeCell ref="AE9:AF9"/>
    <mergeCell ref="AH8:AI8"/>
    <mergeCell ref="AH9:AI9"/>
    <mergeCell ref="B61:R61"/>
    <mergeCell ref="AI12:AJ13"/>
    <mergeCell ref="AF62:AI62"/>
    <mergeCell ref="Y13:AC13"/>
    <mergeCell ref="AG58:AH58"/>
    <mergeCell ref="R54:X54"/>
    <mergeCell ref="Y54:AC54"/>
    <mergeCell ref="AG54:AH54"/>
    <mergeCell ref="C55:I55"/>
    <mergeCell ref="J55:M55"/>
    <mergeCell ref="N55:Q55"/>
    <mergeCell ref="R55:X55"/>
    <mergeCell ref="Y55:AC55"/>
    <mergeCell ref="Y56:AC56"/>
    <mergeCell ref="AG56:AH56"/>
    <mergeCell ref="C57:I57"/>
    <mergeCell ref="J57:M57"/>
    <mergeCell ref="AF63:AI63"/>
    <mergeCell ref="AF64:AI64"/>
    <mergeCell ref="AF65:AI65"/>
    <mergeCell ref="AF66:AI66"/>
    <mergeCell ref="T60:AJ61"/>
    <mergeCell ref="AG55:AH55"/>
    <mergeCell ref="R24:X24"/>
    <mergeCell ref="R25:X25"/>
    <mergeCell ref="AG59:AH59"/>
    <mergeCell ref="AG27:AH27"/>
    <mergeCell ref="AG28:AH28"/>
    <mergeCell ref="AG29:AH29"/>
    <mergeCell ref="AG30:AH30"/>
    <mergeCell ref="AG25:AH25"/>
    <mergeCell ref="AG26:AH26"/>
    <mergeCell ref="Y31:AC31"/>
    <mergeCell ref="AG31:AH31"/>
    <mergeCell ref="Y32:AC32"/>
    <mergeCell ref="R28:X28"/>
    <mergeCell ref="R29:X29"/>
    <mergeCell ref="R30:X30"/>
    <mergeCell ref="T62:W62"/>
    <mergeCell ref="X62:Z62"/>
    <mergeCell ref="AB62:AE62"/>
    <mergeCell ref="X63:Z63"/>
    <mergeCell ref="AB63:AE63"/>
    <mergeCell ref="T64:W64"/>
    <mergeCell ref="X64:Z64"/>
    <mergeCell ref="AB64:AE64"/>
    <mergeCell ref="C58:I58"/>
    <mergeCell ref="J58:M58"/>
    <mergeCell ref="N58:Q58"/>
    <mergeCell ref="R58:X58"/>
    <mergeCell ref="Y58:AC58"/>
    <mergeCell ref="Y57:AC57"/>
    <mergeCell ref="AG57:AH57"/>
    <mergeCell ref="C56:I56"/>
    <mergeCell ref="J56:M56"/>
    <mergeCell ref="N56:Q56"/>
    <mergeCell ref="R56:X56"/>
    <mergeCell ref="B12:B13"/>
    <mergeCell ref="C12:I13"/>
    <mergeCell ref="Y29:AC29"/>
    <mergeCell ref="R27:X27"/>
    <mergeCell ref="C31:I31"/>
    <mergeCell ref="J31:M31"/>
    <mergeCell ref="N31:Q31"/>
    <mergeCell ref="R31:X31"/>
    <mergeCell ref="J28:M28"/>
    <mergeCell ref="N28:Q28"/>
    <mergeCell ref="N19:Q19"/>
    <mergeCell ref="J20:M20"/>
    <mergeCell ref="N20:Q20"/>
    <mergeCell ref="J29:M29"/>
    <mergeCell ref="N29:Q29"/>
    <mergeCell ref="J30:M30"/>
    <mergeCell ref="N30:Q30"/>
    <mergeCell ref="N57:Q57"/>
    <mergeCell ref="C23:I23"/>
    <mergeCell ref="C15:I15"/>
    <mergeCell ref="C16:I16"/>
    <mergeCell ref="C14:I14"/>
    <mergeCell ref="J12:M13"/>
    <mergeCell ref="J14:M14"/>
    <mergeCell ref="N12:Q13"/>
    <mergeCell ref="N14:Q14"/>
    <mergeCell ref="R13:X13"/>
    <mergeCell ref="R12:AC12"/>
    <mergeCell ref="J15:M15"/>
    <mergeCell ref="N15:Q15"/>
    <mergeCell ref="R14:X14"/>
    <mergeCell ref="R16:X16"/>
    <mergeCell ref="R15:X15"/>
    <mergeCell ref="J16:M16"/>
    <mergeCell ref="N16:Q16"/>
    <mergeCell ref="R23:X23"/>
    <mergeCell ref="A29:A30"/>
    <mergeCell ref="A24:A28"/>
    <mergeCell ref="N26:Q26"/>
    <mergeCell ref="J27:M27"/>
    <mergeCell ref="N27:Q27"/>
    <mergeCell ref="J25:M25"/>
    <mergeCell ref="N25:Q25"/>
    <mergeCell ref="N17:Q17"/>
    <mergeCell ref="N18:Q18"/>
    <mergeCell ref="J23:M23"/>
    <mergeCell ref="N23:Q23"/>
    <mergeCell ref="C24:I24"/>
    <mergeCell ref="C21:I21"/>
    <mergeCell ref="C22:I22"/>
    <mergeCell ref="C19:I19"/>
    <mergeCell ref="C20:I20"/>
    <mergeCell ref="C17:I17"/>
    <mergeCell ref="C18:I18"/>
    <mergeCell ref="C30:I30"/>
    <mergeCell ref="C28:I28"/>
    <mergeCell ref="C29:I29"/>
    <mergeCell ref="C26:I26"/>
    <mergeCell ref="C27:I27"/>
    <mergeCell ref="C25:I25"/>
    <mergeCell ref="AG17:AH17"/>
    <mergeCell ref="Y22:AC22"/>
    <mergeCell ref="Y17:AC17"/>
    <mergeCell ref="Y19:AC19"/>
    <mergeCell ref="Y21:AC21"/>
    <mergeCell ref="J21:M21"/>
    <mergeCell ref="N21:Q21"/>
    <mergeCell ref="J22:M22"/>
    <mergeCell ref="N22:Q22"/>
    <mergeCell ref="Y20:AC20"/>
    <mergeCell ref="AG19:AH19"/>
    <mergeCell ref="AG20:AH20"/>
    <mergeCell ref="AG21:AH21"/>
    <mergeCell ref="AG22:AH22"/>
    <mergeCell ref="J17:M17"/>
    <mergeCell ref="J19:M19"/>
    <mergeCell ref="R17:X17"/>
    <mergeCell ref="R18:X18"/>
    <mergeCell ref="R19:X19"/>
    <mergeCell ref="R20:X20"/>
    <mergeCell ref="R21:X21"/>
    <mergeCell ref="R22:X22"/>
    <mergeCell ref="L69:R69"/>
    <mergeCell ref="C54:I54"/>
    <mergeCell ref="J54:M54"/>
    <mergeCell ref="C32:I32"/>
    <mergeCell ref="J32:M32"/>
    <mergeCell ref="N32:Q32"/>
    <mergeCell ref="R26:X26"/>
    <mergeCell ref="J24:M24"/>
    <mergeCell ref="N24:Q24"/>
    <mergeCell ref="J26:M26"/>
    <mergeCell ref="R57:X57"/>
    <mergeCell ref="N33:Q33"/>
    <mergeCell ref="R33:X33"/>
    <mergeCell ref="C53:I53"/>
    <mergeCell ref="J53:M53"/>
    <mergeCell ref="N53:Q53"/>
    <mergeCell ref="R53:X53"/>
    <mergeCell ref="N47:Q47"/>
    <mergeCell ref="R47:X47"/>
    <mergeCell ref="C49:I49"/>
    <mergeCell ref="J49:M49"/>
    <mergeCell ref="N49:Q49"/>
    <mergeCell ref="R49:X49"/>
    <mergeCell ref="T63:W63"/>
    <mergeCell ref="AG23:AH23"/>
    <mergeCell ref="B70:J70"/>
    <mergeCell ref="U69:AJ71"/>
    <mergeCell ref="B64:R64"/>
    <mergeCell ref="U67:AJ67"/>
    <mergeCell ref="U68:W68"/>
    <mergeCell ref="X68:AB68"/>
    <mergeCell ref="AC68:AJ68"/>
    <mergeCell ref="B68:J68"/>
    <mergeCell ref="P68:R68"/>
    <mergeCell ref="B69:J69"/>
    <mergeCell ref="L70:S70"/>
    <mergeCell ref="T65:W65"/>
    <mergeCell ref="X65:Z65"/>
    <mergeCell ref="AB65:AE65"/>
    <mergeCell ref="T66:W66"/>
    <mergeCell ref="X66:Z66"/>
    <mergeCell ref="AB66:AE66"/>
    <mergeCell ref="N54:Q54"/>
    <mergeCell ref="C37:I37"/>
    <mergeCell ref="J37:M37"/>
    <mergeCell ref="R39:X39"/>
    <mergeCell ref="C47:I47"/>
    <mergeCell ref="J47:M47"/>
    <mergeCell ref="Y30:AC30"/>
    <mergeCell ref="Y26:AC26"/>
    <mergeCell ref="Y27:AC27"/>
    <mergeCell ref="Y28:AC28"/>
    <mergeCell ref="Y23:AC23"/>
    <mergeCell ref="Y24:AC24"/>
    <mergeCell ref="Y25:AC25"/>
    <mergeCell ref="AD19:AF19"/>
    <mergeCell ref="AD20:AF20"/>
    <mergeCell ref="AD21:AF21"/>
    <mergeCell ref="AD22:AF22"/>
    <mergeCell ref="AD23:AF23"/>
    <mergeCell ref="AD24:AF24"/>
    <mergeCell ref="AD25:AF25"/>
    <mergeCell ref="AD26:AF26"/>
    <mergeCell ref="AD27:AF27"/>
    <mergeCell ref="AD28:AF28"/>
    <mergeCell ref="AD29:AF29"/>
    <mergeCell ref="AD30:AF30"/>
    <mergeCell ref="Y35:AC35"/>
    <mergeCell ref="AG35:AH35"/>
    <mergeCell ref="C36:I36"/>
    <mergeCell ref="J36:M36"/>
    <mergeCell ref="N36:Q36"/>
    <mergeCell ref="R36:X36"/>
    <mergeCell ref="Y36:AC36"/>
    <mergeCell ref="AG36:AH36"/>
    <mergeCell ref="AG32:AH32"/>
    <mergeCell ref="Y33:AC33"/>
    <mergeCell ref="AG33:AH33"/>
    <mergeCell ref="C34:I34"/>
    <mergeCell ref="J34:M34"/>
    <mergeCell ref="N34:Q34"/>
    <mergeCell ref="R34:X34"/>
    <mergeCell ref="Y34:AC34"/>
    <mergeCell ref="AG34:AH34"/>
    <mergeCell ref="C35:I35"/>
    <mergeCell ref="J35:M35"/>
    <mergeCell ref="N35:Q35"/>
    <mergeCell ref="R35:X35"/>
    <mergeCell ref="R32:X32"/>
    <mergeCell ref="C33:I33"/>
    <mergeCell ref="J33:M33"/>
    <mergeCell ref="Y37:AC37"/>
    <mergeCell ref="AG37:AH37"/>
    <mergeCell ref="C38:I38"/>
    <mergeCell ref="J38:M38"/>
    <mergeCell ref="N38:Q38"/>
    <mergeCell ref="R38:X38"/>
    <mergeCell ref="Y38:AC38"/>
    <mergeCell ref="AG38:AH38"/>
    <mergeCell ref="N37:Q37"/>
    <mergeCell ref="R37:X37"/>
    <mergeCell ref="Y39:AC39"/>
    <mergeCell ref="AG39:AH39"/>
    <mergeCell ref="C40:I40"/>
    <mergeCell ref="J40:M40"/>
    <mergeCell ref="N40:Q40"/>
    <mergeCell ref="R40:X40"/>
    <mergeCell ref="Y40:AC40"/>
    <mergeCell ref="AG40:AH40"/>
    <mergeCell ref="C39:I39"/>
    <mergeCell ref="AD40:AF40"/>
    <mergeCell ref="J39:M39"/>
    <mergeCell ref="N39:Q39"/>
    <mergeCell ref="Y41:AC41"/>
    <mergeCell ref="AG41:AH41"/>
    <mergeCell ref="C42:I42"/>
    <mergeCell ref="J42:M42"/>
    <mergeCell ref="N42:Q42"/>
    <mergeCell ref="R42:X42"/>
    <mergeCell ref="Y42:AC42"/>
    <mergeCell ref="AG42:AH42"/>
    <mergeCell ref="AD41:AF41"/>
    <mergeCell ref="AD42:AF42"/>
    <mergeCell ref="C41:I41"/>
    <mergeCell ref="J41:M41"/>
    <mergeCell ref="N41:Q41"/>
    <mergeCell ref="R41:X41"/>
    <mergeCell ref="Y43:AC43"/>
    <mergeCell ref="AG43:AH43"/>
    <mergeCell ref="C44:I44"/>
    <mergeCell ref="J44:M44"/>
    <mergeCell ref="N44:Q44"/>
    <mergeCell ref="R44:X44"/>
    <mergeCell ref="Y44:AC44"/>
    <mergeCell ref="AG44:AH44"/>
    <mergeCell ref="AD43:AF43"/>
    <mergeCell ref="AD44:AF44"/>
    <mergeCell ref="C43:I43"/>
    <mergeCell ref="J43:M43"/>
    <mergeCell ref="N43:Q43"/>
    <mergeCell ref="R43:X43"/>
    <mergeCell ref="Y45:AC45"/>
    <mergeCell ref="AG45:AH45"/>
    <mergeCell ref="C46:I46"/>
    <mergeCell ref="J46:M46"/>
    <mergeCell ref="N46:Q46"/>
    <mergeCell ref="R46:X46"/>
    <mergeCell ref="Y46:AC46"/>
    <mergeCell ref="AG46:AH46"/>
    <mergeCell ref="AD45:AF45"/>
    <mergeCell ref="AD46:AF46"/>
    <mergeCell ref="C45:I45"/>
    <mergeCell ref="J45:M45"/>
    <mergeCell ref="N45:Q45"/>
    <mergeCell ref="R45:X45"/>
    <mergeCell ref="Y47:AC47"/>
    <mergeCell ref="AG47:AH47"/>
    <mergeCell ref="C48:I48"/>
    <mergeCell ref="J48:M48"/>
    <mergeCell ref="N48:Q48"/>
    <mergeCell ref="R48:X48"/>
    <mergeCell ref="Y48:AC48"/>
    <mergeCell ref="AG48:AH48"/>
    <mergeCell ref="AD47:AF47"/>
    <mergeCell ref="AD48:AF48"/>
    <mergeCell ref="Y49:AC49"/>
    <mergeCell ref="AG49:AH49"/>
    <mergeCell ref="C50:I50"/>
    <mergeCell ref="J50:M50"/>
    <mergeCell ref="N50:Q50"/>
    <mergeCell ref="R50:X50"/>
    <mergeCell ref="Y50:AC50"/>
    <mergeCell ref="AG50:AH50"/>
    <mergeCell ref="AD49:AF49"/>
    <mergeCell ref="AD50:AF50"/>
    <mergeCell ref="Y53:AC53"/>
    <mergeCell ref="AG53:AH53"/>
    <mergeCell ref="C51:I51"/>
    <mergeCell ref="J51:M51"/>
    <mergeCell ref="N51:Q51"/>
    <mergeCell ref="R51:X51"/>
    <mergeCell ref="Y51:AC51"/>
    <mergeCell ref="AG51:AH51"/>
    <mergeCell ref="C52:I52"/>
    <mergeCell ref="J52:M52"/>
    <mergeCell ref="N52:Q52"/>
    <mergeCell ref="R52:X52"/>
    <mergeCell ref="Y52:AC52"/>
    <mergeCell ref="AG52:AH52"/>
    <mergeCell ref="AD51:AF51"/>
    <mergeCell ref="AD52:AF52"/>
    <mergeCell ref="AD53:AF53"/>
    <mergeCell ref="AI59:AJ59"/>
    <mergeCell ref="AI49:AJ49"/>
    <mergeCell ref="AI50:AJ50"/>
    <mergeCell ref="AI51:AJ51"/>
    <mergeCell ref="AI52:AJ52"/>
    <mergeCell ref="AI53:AJ53"/>
    <mergeCell ref="AI54:AJ54"/>
    <mergeCell ref="AI55:AJ55"/>
    <mergeCell ref="AI56:AJ56"/>
    <mergeCell ref="AI57:AJ57"/>
    <mergeCell ref="AI58:AJ58"/>
    <mergeCell ref="AG11:AJ11"/>
    <mergeCell ref="AI40:AJ40"/>
    <mergeCell ref="AI41:AJ41"/>
    <mergeCell ref="AI42:AJ42"/>
    <mergeCell ref="AI43:AJ43"/>
    <mergeCell ref="AI44:AJ44"/>
    <mergeCell ref="AI45:AJ45"/>
    <mergeCell ref="AI46:AJ46"/>
    <mergeCell ref="AI47:AJ47"/>
    <mergeCell ref="AI22:AJ22"/>
    <mergeCell ref="AI23:AJ23"/>
    <mergeCell ref="AI24:AJ24"/>
    <mergeCell ref="AI25:AJ25"/>
    <mergeCell ref="AI26:AJ26"/>
    <mergeCell ref="AI27:AJ27"/>
    <mergeCell ref="AI28:AJ28"/>
    <mergeCell ref="AI29:AJ29"/>
    <mergeCell ref="AI30:AJ30"/>
    <mergeCell ref="AI19:AJ19"/>
    <mergeCell ref="AI20:AJ20"/>
    <mergeCell ref="AI21:AJ21"/>
    <mergeCell ref="AG14:AH14"/>
    <mergeCell ref="AG15:AH15"/>
    <mergeCell ref="AG24:AH24"/>
    <mergeCell ref="AI48:AJ48"/>
    <mergeCell ref="AI31:AJ31"/>
    <mergeCell ref="AI32:AJ32"/>
    <mergeCell ref="AI33:AJ33"/>
    <mergeCell ref="AI34:AJ34"/>
    <mergeCell ref="AI35:AJ35"/>
    <mergeCell ref="AI36:AJ36"/>
    <mergeCell ref="AI37:AJ37"/>
    <mergeCell ref="AI38:AJ38"/>
    <mergeCell ref="AI39:AJ39"/>
    <mergeCell ref="AB3:AD4"/>
    <mergeCell ref="Q7:U7"/>
    <mergeCell ref="Q9:U9"/>
    <mergeCell ref="Q6:U6"/>
    <mergeCell ref="N4:X4"/>
    <mergeCell ref="S8:U8"/>
    <mergeCell ref="O8:R8"/>
    <mergeCell ref="F8:N8"/>
    <mergeCell ref="H9:N9"/>
    <mergeCell ref="B6:H6"/>
    <mergeCell ref="H7:N7"/>
    <mergeCell ref="B9:G9"/>
    <mergeCell ref="B7:G7"/>
    <mergeCell ref="O7:P7"/>
    <mergeCell ref="W7:Z7"/>
    <mergeCell ref="O6:P6"/>
    <mergeCell ref="I6:N6"/>
    <mergeCell ref="AB7:AC7"/>
    <mergeCell ref="AB8:AC9"/>
    <mergeCell ref="B8:E8"/>
    <mergeCell ref="O9:P9"/>
    <mergeCell ref="M5:Y5"/>
    <mergeCell ref="AD12:AF13"/>
    <mergeCell ref="AD14:AF14"/>
    <mergeCell ref="AD15:AF15"/>
    <mergeCell ref="AD16:AF16"/>
    <mergeCell ref="AD17:AF17"/>
    <mergeCell ref="AD18:AF18"/>
    <mergeCell ref="AE2:AJ2"/>
    <mergeCell ref="AB2:AD2"/>
    <mergeCell ref="AI14:AJ14"/>
    <mergeCell ref="AI15:AJ15"/>
    <mergeCell ref="AI16:AJ16"/>
    <mergeCell ref="AI17:AJ17"/>
    <mergeCell ref="AI18:AJ18"/>
    <mergeCell ref="AG18:AH18"/>
    <mergeCell ref="Y18:AC18"/>
    <mergeCell ref="C11:AF11"/>
    <mergeCell ref="J18:M18"/>
    <mergeCell ref="AG16:AH16"/>
    <mergeCell ref="Y16:AC16"/>
    <mergeCell ref="Y14:AC14"/>
    <mergeCell ref="Y15:AC15"/>
    <mergeCell ref="AG12:AH13"/>
    <mergeCell ref="W8:Z9"/>
    <mergeCell ref="AE3:AJ4"/>
    <mergeCell ref="AD54:AF54"/>
    <mergeCell ref="AD55:AF55"/>
    <mergeCell ref="AD56:AF56"/>
    <mergeCell ref="AD57:AF57"/>
    <mergeCell ref="AD58:AF58"/>
    <mergeCell ref="AD59:AF59"/>
    <mergeCell ref="AD31:AF31"/>
    <mergeCell ref="AD32:AF32"/>
    <mergeCell ref="AD33:AF33"/>
    <mergeCell ref="AD34:AF34"/>
    <mergeCell ref="AD35:AF35"/>
    <mergeCell ref="AD36:AF36"/>
    <mergeCell ref="AD37:AF37"/>
    <mergeCell ref="AD38:AF38"/>
    <mergeCell ref="AD39:AF39"/>
  </mergeCells>
  <conditionalFormatting sqref="N14:Q58">
    <cfRule type="expression" dxfId="31" priority="3">
      <formula>ISERROR($N14:$Q58)</formula>
    </cfRule>
  </conditionalFormatting>
  <conditionalFormatting sqref="Q6 X68:AB68">
    <cfRule type="expression" dxfId="30" priority="8">
      <formula>$I$6=0</formula>
    </cfRule>
  </conditionalFormatting>
  <conditionalFormatting sqref="AG7:AG9 AK15:AK29">
    <cfRule type="cellIs" dxfId="29" priority="10" stopIfTrue="1" operator="equal">
      <formula>0</formula>
    </cfRule>
  </conditionalFormatting>
  <dataValidations xWindow="1068" yWindow="723" count="9">
    <dataValidation type="list" allowBlank="1" showInputMessage="1" showErrorMessage="1" errorTitle="Atención" error="Debe seleccionar especie de la lista desplegable. Si no aparece lista, debe seleccionar primero el género en columna anterior." promptTitle="Importante" prompt="Para que se muestre lista desplegable con especies debe seleccionar el el género en la columna anterior." sqref="Y14:AC58" xr:uid="{00000000-0002-0000-0000-000000000000}">
      <formula1>INDIRECT($R14)</formula1>
    </dataValidation>
    <dataValidation showInputMessage="1" showErrorMessage="1" sqref="Q6" xr:uid="{00000000-0002-0000-0000-000001000000}"/>
    <dataValidation errorStyle="warning" allowBlank="1" promptTitle="Importante" prompt="Seleccione de lista desplegable, o escriba nombre científico." sqref="AD14 AD16:AD58 BM15:BM31 BL14:BL30" xr:uid="{00000000-0002-0000-0000-000002000000}"/>
    <dataValidation errorStyle="information" allowBlank="1" errorTitle="Atención" error="Solo debe seleccionar los ambientes de la lista desplegable." promptTitle="Seleccione ambiente" prompt="Seleccionar ambiente al cual la especie a declarar será mantenida._x000a_" sqref="N14:Q58" xr:uid="{00000000-0002-0000-0000-000003000000}"/>
    <dataValidation allowBlank="1" showInputMessage="1" showErrorMessage="1" promptTitle="Importante" prompt="Incluir puntos y guión" sqref="Q7:U7" xr:uid="{00000000-0002-0000-0000-000004000000}"/>
    <dataValidation type="list" allowBlank="1" showInputMessage="1" showErrorMessage="1" sqref="Q9:U9" xr:uid="{00000000-0002-0000-0000-000005000000}">
      <formula1>$BL$6:$BL$12</formula1>
    </dataValidation>
    <dataValidation type="list" allowBlank="1" showErrorMessage="1" errorTitle="Atención" error="Sólo se puede seleccionar un grupo de la lista desplegable." promptTitle="Importante" prompt="Seleccione de lista desplegable el grupo al que pertenece la especie a declarar." sqref="J14:M58" xr:uid="{00000000-0002-0000-0000-000006000000}">
      <formula1>$BN$1:$BV$1</formula1>
    </dataValidation>
    <dataValidation type="list" allowBlank="1" showInputMessage="1" showErrorMessage="1" errorTitle="Atención" error="Sólo se puede seleccionar un genero o especie de la lista desplegable. Si no ve lista, primero seleccione lista en columna Categoría." promptTitle="Importante" prompt="Para que se muestre lista desplegable con géneros o especies autorizadas segùn resolución debe primero seleccionar el grupo al que pertenece la especie en la columna &quot;Categoría&quot;." sqref="R14:X58" xr:uid="{00000000-0002-0000-0000-000007000000}">
      <formula1>INDIRECT($J14)</formula1>
    </dataValidation>
    <dataValidation type="list" allowBlank="1" showInputMessage="1" showErrorMessage="1" sqref="AE2:AJ2" xr:uid="{00000000-0002-0000-0000-000008000000}">
      <formula1>$BM$1:$BM$16</formula1>
    </dataValidation>
  </dataValidations>
  <pageMargins left="0.7" right="0.7" top="0.75" bottom="0.75" header="0.3" footer="0.3"/>
  <pageSetup scale="64" orientation="portrait" r:id="rId1"/>
  <colBreaks count="1" manualBreakCount="1">
    <brk id="37" max="70" man="1"/>
  </colBreaks>
  <ignoredErrors>
    <ignoredError sqref="AJ14" unlockedFormula="1"/>
    <ignoredError sqref="N14:Q58" evalError="1"/>
  </ignoredErrors>
  <drawing r:id="rId2"/>
  <legacyDrawing r:id="rId3"/>
  <tableParts count="12"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L1555"/>
  <sheetViews>
    <sheetView view="pageBreakPreview" zoomScale="120" zoomScaleNormal="100" zoomScaleSheetLayoutView="120" workbookViewId="0"/>
  </sheetViews>
  <sheetFormatPr baseColWidth="10" defaultColWidth="11.42578125" defaultRowHeight="16.5" customHeight="1" x14ac:dyDescent="0.25"/>
  <cols>
    <col min="1" max="1" width="3.5703125" style="79" customWidth="1"/>
    <col min="2" max="2" width="3.5703125" style="100" customWidth="1"/>
    <col min="3" max="3" width="3.5703125" style="103" customWidth="1"/>
    <col min="4" max="9" width="3.5703125" style="100" customWidth="1"/>
    <col min="10" max="12" width="3.5703125" style="79" customWidth="1"/>
    <col min="13" max="13" width="3.5703125" style="104" customWidth="1"/>
    <col min="14" max="26" width="3.5703125" style="105" customWidth="1"/>
    <col min="27" max="27" width="3.5703125" style="79" customWidth="1"/>
    <col min="28" max="28" width="3.5703125" style="100" customWidth="1"/>
    <col min="29" max="29" width="3.5703125" style="99" customWidth="1"/>
    <col min="30" max="47" width="3.5703125" style="100" customWidth="1"/>
    <col min="48" max="54" width="3.5703125" style="79" customWidth="1"/>
    <col min="55" max="55" width="11.42578125" style="79"/>
    <col min="56" max="56" width="17.28515625" style="79" hidden="1" customWidth="1"/>
    <col min="57" max="57" width="21" style="79" hidden="1" customWidth="1"/>
    <col min="58" max="59" width="11.42578125" style="79" hidden="1" customWidth="1"/>
    <col min="60" max="60" width="11" style="79" hidden="1" customWidth="1"/>
    <col min="61" max="61" width="12.28515625" style="79" hidden="1" customWidth="1"/>
    <col min="62" max="62" width="11.42578125" style="79" hidden="1" customWidth="1"/>
    <col min="63" max="63" width="13.7109375" style="79" hidden="1" customWidth="1"/>
    <col min="64" max="64" width="11.42578125" style="79" hidden="1" customWidth="1"/>
    <col min="65" max="65" width="0" style="79" hidden="1" customWidth="1"/>
    <col min="66" max="16384" width="11.42578125" style="79"/>
  </cols>
  <sheetData>
    <row r="1" spans="1:58" ht="16.5" customHeight="1" thickBot="1" x14ac:dyDescent="0.25">
      <c r="A1" s="74"/>
      <c r="B1" s="75"/>
      <c r="C1" s="76"/>
      <c r="D1" s="77"/>
      <c r="E1" s="77"/>
      <c r="F1" s="77"/>
      <c r="G1" s="77"/>
      <c r="H1" s="77"/>
      <c r="I1" s="77"/>
      <c r="J1" s="74"/>
      <c r="K1" s="74"/>
      <c r="L1" s="74"/>
      <c r="M1" s="75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4"/>
      <c r="AB1" s="77"/>
      <c r="AC1" s="75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4"/>
      <c r="AW1" s="74"/>
      <c r="AX1" s="74"/>
      <c r="AY1" s="74"/>
      <c r="AZ1" s="74"/>
      <c r="BA1" s="74"/>
      <c r="BB1" s="74"/>
      <c r="BC1" s="78" t="s">
        <v>797</v>
      </c>
    </row>
    <row r="2" spans="1:58" ht="16.5" customHeight="1" thickTop="1" x14ac:dyDescent="0.25">
      <c r="A2" s="74"/>
      <c r="B2" s="75"/>
      <c r="C2" s="76"/>
      <c r="D2" s="77"/>
      <c r="E2" s="77"/>
      <c r="F2" s="80"/>
      <c r="G2" s="77"/>
      <c r="H2" s="77"/>
      <c r="I2" s="77"/>
      <c r="J2" s="74"/>
      <c r="K2" s="74"/>
      <c r="L2" s="74"/>
      <c r="M2" s="81"/>
      <c r="N2" s="82"/>
      <c r="O2" s="82"/>
      <c r="P2" s="82"/>
      <c r="Q2" s="82"/>
      <c r="R2" s="82"/>
      <c r="S2" s="864" t="s">
        <v>8782</v>
      </c>
      <c r="T2" s="865"/>
      <c r="U2" s="865"/>
      <c r="V2" s="866"/>
      <c r="W2" s="866"/>
      <c r="X2" s="866"/>
      <c r="Y2" s="866"/>
      <c r="Z2" s="867"/>
      <c r="AA2" s="74"/>
      <c r="AB2" s="77"/>
      <c r="AC2" s="83"/>
      <c r="AD2" s="77"/>
      <c r="AE2" s="84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4"/>
      <c r="AW2" s="74"/>
      <c r="AX2" s="74"/>
      <c r="AY2" s="74"/>
      <c r="AZ2" s="74"/>
      <c r="BA2" s="74"/>
      <c r="BB2" s="74"/>
      <c r="BC2" s="78" t="s">
        <v>7833</v>
      </c>
    </row>
    <row r="3" spans="1:58" ht="16.5" customHeight="1" thickBot="1" x14ac:dyDescent="0.3">
      <c r="A3" s="74"/>
      <c r="B3" s="75"/>
      <c r="C3" s="76"/>
      <c r="D3" s="77"/>
      <c r="E3" s="77"/>
      <c r="F3" s="80"/>
      <c r="G3" s="77"/>
      <c r="H3" s="77"/>
      <c r="I3" s="77"/>
      <c r="J3" s="74"/>
      <c r="K3" s="74"/>
      <c r="L3" s="74"/>
      <c r="M3" s="81"/>
      <c r="N3" s="82"/>
      <c r="O3" s="82"/>
      <c r="P3" s="82"/>
      <c r="Q3" s="82"/>
      <c r="R3" s="82"/>
      <c r="S3" s="868" t="s">
        <v>8783</v>
      </c>
      <c r="T3" s="869"/>
      <c r="U3" s="869"/>
      <c r="V3" s="870"/>
      <c r="W3" s="870"/>
      <c r="X3" s="870"/>
      <c r="Y3" s="870"/>
      <c r="Z3" s="871"/>
      <c r="AA3" s="74"/>
      <c r="AB3" s="77"/>
      <c r="AC3" s="75"/>
      <c r="AD3" s="77"/>
      <c r="AE3" s="84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4"/>
      <c r="AW3" s="74"/>
      <c r="AX3" s="74"/>
      <c r="AY3" s="74"/>
      <c r="AZ3" s="74"/>
      <c r="BA3" s="74"/>
      <c r="BB3" s="74"/>
    </row>
    <row r="4" spans="1:58" ht="16.5" customHeight="1" thickTop="1" x14ac:dyDescent="0.25">
      <c r="A4" s="74"/>
      <c r="B4" s="75"/>
      <c r="C4" s="76"/>
      <c r="D4" s="77"/>
      <c r="E4" s="77"/>
      <c r="F4" s="80"/>
      <c r="G4" s="77"/>
      <c r="H4" s="77"/>
      <c r="I4" s="77"/>
      <c r="J4" s="74"/>
      <c r="K4" s="74"/>
      <c r="L4" s="74"/>
      <c r="M4" s="81"/>
      <c r="N4" s="82"/>
      <c r="O4" s="82"/>
      <c r="P4" s="82"/>
      <c r="Q4" s="82"/>
      <c r="R4" s="82"/>
      <c r="S4" s="85"/>
      <c r="T4" s="85"/>
      <c r="U4" s="85"/>
      <c r="V4" s="86"/>
      <c r="W4" s="86"/>
      <c r="X4" s="86"/>
      <c r="Y4" s="86"/>
      <c r="Z4" s="86"/>
      <c r="AA4" s="74"/>
      <c r="AB4" s="77"/>
      <c r="AC4" s="75"/>
      <c r="AD4" s="77"/>
      <c r="AE4" s="84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4"/>
      <c r="AW4" s="74"/>
      <c r="AX4" s="74"/>
      <c r="AY4" s="74"/>
      <c r="AZ4" s="74"/>
      <c r="BA4" s="74"/>
      <c r="BB4" s="74"/>
    </row>
    <row r="5" spans="1:58" ht="16.5" customHeight="1" x14ac:dyDescent="0.25">
      <c r="A5" s="74"/>
      <c r="B5" s="75"/>
      <c r="C5" s="76"/>
      <c r="D5" s="77"/>
      <c r="E5" s="77"/>
      <c r="F5" s="80"/>
      <c r="G5" s="77"/>
      <c r="H5" s="77"/>
      <c r="I5" s="77"/>
      <c r="J5" s="74"/>
      <c r="K5" s="74"/>
      <c r="L5" s="74"/>
      <c r="M5" s="81"/>
      <c r="N5" s="82"/>
      <c r="O5" s="82"/>
      <c r="P5" s="82"/>
      <c r="Q5" s="82"/>
      <c r="R5" s="82"/>
      <c r="S5" s="85"/>
      <c r="T5" s="85"/>
      <c r="U5" s="85"/>
      <c r="V5" s="86"/>
      <c r="W5" s="86"/>
      <c r="X5" s="86"/>
      <c r="Y5" s="86"/>
      <c r="Z5" s="86"/>
      <c r="AA5" s="74"/>
      <c r="AB5" s="77"/>
      <c r="AC5" s="75"/>
      <c r="AD5" s="77"/>
      <c r="AE5" s="84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4"/>
      <c r="AW5" s="74"/>
      <c r="AX5" s="74"/>
      <c r="AY5" s="74"/>
      <c r="AZ5" s="74"/>
      <c r="BA5" s="74"/>
      <c r="BB5" s="74"/>
      <c r="BD5" s="79" t="s">
        <v>10055</v>
      </c>
      <c r="BE5" s="79" t="s">
        <v>10330</v>
      </c>
      <c r="BF5" s="79" t="s">
        <v>10073</v>
      </c>
    </row>
    <row r="6" spans="1:58" ht="16.5" customHeight="1" x14ac:dyDescent="0.25">
      <c r="A6" s="74"/>
      <c r="B6" s="75"/>
      <c r="C6" s="76"/>
      <c r="D6" s="77"/>
      <c r="E6" s="77"/>
      <c r="F6" s="80"/>
      <c r="G6" s="77"/>
      <c r="H6" s="77"/>
      <c r="I6" s="77"/>
      <c r="J6" s="74"/>
      <c r="K6" s="74"/>
      <c r="L6" s="74"/>
      <c r="M6" s="75"/>
      <c r="N6" s="77"/>
      <c r="O6" s="77"/>
      <c r="P6" s="77"/>
      <c r="Q6" s="77"/>
      <c r="R6" s="77"/>
      <c r="S6" s="87"/>
      <c r="T6" s="87"/>
      <c r="U6" s="87"/>
      <c r="V6" s="77"/>
      <c r="W6" s="77"/>
      <c r="X6" s="77"/>
      <c r="Y6" s="77"/>
      <c r="Z6" s="77"/>
      <c r="AA6" s="88"/>
      <c r="AB6" s="77"/>
      <c r="AC6" s="75"/>
      <c r="AD6" s="77"/>
      <c r="AE6" s="84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4"/>
      <c r="AW6" s="74"/>
      <c r="AX6" s="74"/>
      <c r="AY6" s="74"/>
      <c r="AZ6" s="74"/>
      <c r="BA6" s="74"/>
      <c r="BB6" s="74"/>
      <c r="BD6" s="79" t="s">
        <v>10067</v>
      </c>
      <c r="BE6" s="79" t="s">
        <v>10331</v>
      </c>
      <c r="BF6" s="79" t="s">
        <v>10079</v>
      </c>
    </row>
    <row r="7" spans="1:58" ht="16.5" customHeight="1" thickBot="1" x14ac:dyDescent="0.3">
      <c r="A7" s="74"/>
      <c r="B7" s="75"/>
      <c r="C7" s="872" t="s">
        <v>8784</v>
      </c>
      <c r="D7" s="872"/>
      <c r="E7" s="872"/>
      <c r="F7" s="872"/>
      <c r="G7" s="872"/>
      <c r="H7" s="872"/>
      <c r="I7" s="872"/>
      <c r="J7" s="872"/>
      <c r="K7" s="872"/>
      <c r="L7" s="872"/>
      <c r="M7" s="872"/>
      <c r="N7" s="872"/>
      <c r="O7" s="872"/>
      <c r="P7" s="872"/>
      <c r="Q7" s="872"/>
      <c r="R7" s="872"/>
      <c r="S7" s="872"/>
      <c r="T7" s="872"/>
      <c r="U7" s="872"/>
      <c r="V7" s="872"/>
      <c r="W7" s="872"/>
      <c r="X7" s="872"/>
      <c r="Y7" s="872"/>
      <c r="Z7" s="872"/>
      <c r="AA7" s="88"/>
      <c r="AB7" s="77"/>
      <c r="AC7" s="75"/>
      <c r="AD7" s="77"/>
      <c r="AE7" s="84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4"/>
      <c r="AW7" s="74"/>
      <c r="AX7" s="74"/>
      <c r="AY7" s="74"/>
      <c r="AZ7" s="74"/>
      <c r="BA7" s="74"/>
      <c r="BB7" s="74"/>
      <c r="BD7" s="79" t="s">
        <v>10062</v>
      </c>
      <c r="BE7" s="79" t="s">
        <v>10332</v>
      </c>
      <c r="BF7" s="79" t="s">
        <v>10080</v>
      </c>
    </row>
    <row r="8" spans="1:58" ht="16.5" customHeight="1" thickTop="1" thickBot="1" x14ac:dyDescent="0.35">
      <c r="A8" s="74"/>
      <c r="B8" s="77"/>
      <c r="C8" s="873" t="s">
        <v>8785</v>
      </c>
      <c r="D8" s="873"/>
      <c r="E8" s="873"/>
      <c r="F8" s="873"/>
      <c r="G8" s="873"/>
      <c r="H8" s="873"/>
      <c r="I8" s="873"/>
      <c r="J8" s="873"/>
      <c r="K8" s="873"/>
      <c r="L8" s="873"/>
      <c r="M8" s="873"/>
      <c r="N8" s="873"/>
      <c r="O8" s="873"/>
      <c r="P8" s="873"/>
      <c r="Q8" s="873"/>
      <c r="R8" s="873"/>
      <c r="S8" s="873"/>
      <c r="T8" s="873"/>
      <c r="U8" s="873"/>
      <c r="V8" s="873"/>
      <c r="W8" s="873"/>
      <c r="X8" s="873"/>
      <c r="Y8" s="873"/>
      <c r="Z8" s="873"/>
      <c r="AA8" s="74"/>
      <c r="AB8" s="77"/>
      <c r="AC8" s="877" t="s">
        <v>10093</v>
      </c>
      <c r="AD8" s="878"/>
      <c r="AE8" s="878"/>
      <c r="AF8" s="878"/>
      <c r="AG8" s="878"/>
      <c r="AH8" s="878"/>
      <c r="AI8" s="878"/>
      <c r="AJ8" s="878"/>
      <c r="AK8" s="878"/>
      <c r="AL8" s="878"/>
      <c r="AM8" s="878"/>
      <c r="AN8" s="879"/>
      <c r="AO8" s="879"/>
      <c r="AP8" s="879"/>
      <c r="AQ8" s="879"/>
      <c r="AR8" s="878"/>
      <c r="AS8" s="878"/>
      <c r="AT8" s="878"/>
      <c r="AU8" s="878"/>
      <c r="AV8" s="878"/>
      <c r="AW8" s="858">
        <f>B20</f>
        <v>0</v>
      </c>
      <c r="AX8" s="858"/>
      <c r="AY8" s="188"/>
      <c r="AZ8" s="188"/>
      <c r="BA8" s="189"/>
      <c r="BB8" s="74"/>
      <c r="BD8" s="79" t="s">
        <v>10059</v>
      </c>
      <c r="BF8" s="79" t="s">
        <v>10081</v>
      </c>
    </row>
    <row r="9" spans="1:58" ht="16.5" customHeight="1" thickTop="1" thickBot="1" x14ac:dyDescent="0.3">
      <c r="A9" s="74"/>
      <c r="B9" s="77"/>
      <c r="C9" s="76"/>
      <c r="D9" s="77"/>
      <c r="E9" s="77"/>
      <c r="F9" s="77"/>
      <c r="G9" s="77"/>
      <c r="H9" s="77"/>
      <c r="I9" s="77"/>
      <c r="J9" s="74"/>
      <c r="K9" s="74"/>
      <c r="L9" s="74"/>
      <c r="M9" s="81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74"/>
      <c r="AB9" s="77"/>
      <c r="AC9" s="897" t="s">
        <v>7806</v>
      </c>
      <c r="AD9" s="803"/>
      <c r="AE9" s="803" t="s">
        <v>7806</v>
      </c>
      <c r="AF9" s="803"/>
      <c r="AG9" s="803" t="s">
        <v>7806</v>
      </c>
      <c r="AH9" s="803"/>
      <c r="AI9" s="678" t="s">
        <v>7808</v>
      </c>
      <c r="AJ9" s="679"/>
      <c r="AK9" s="679"/>
      <c r="AL9" s="679"/>
      <c r="AM9" s="680"/>
      <c r="AN9" s="888" t="s">
        <v>10070</v>
      </c>
      <c r="AO9" s="889"/>
      <c r="AP9" s="889"/>
      <c r="AQ9" s="889"/>
      <c r="AR9" s="890"/>
      <c r="AS9" s="894" t="s">
        <v>10075</v>
      </c>
      <c r="AT9" s="894"/>
      <c r="AU9" s="894"/>
      <c r="AV9" s="888" t="s">
        <v>10072</v>
      </c>
      <c r="AW9" s="889"/>
      <c r="AX9" s="890"/>
      <c r="AY9" s="678" t="s">
        <v>10074</v>
      </c>
      <c r="AZ9" s="679"/>
      <c r="BA9" s="788"/>
      <c r="BB9" s="74"/>
      <c r="BD9" s="79" t="s">
        <v>10060</v>
      </c>
    </row>
    <row r="10" spans="1:58" ht="16.5" customHeight="1" thickTop="1" thickBot="1" x14ac:dyDescent="0.25">
      <c r="A10" s="74"/>
      <c r="B10" s="689" t="s">
        <v>8787</v>
      </c>
      <c r="C10" s="690"/>
      <c r="D10" s="690"/>
      <c r="E10" s="690"/>
      <c r="F10" s="690"/>
      <c r="G10" s="690"/>
      <c r="H10" s="690"/>
      <c r="I10" s="690"/>
      <c r="J10" s="690"/>
      <c r="K10" s="690"/>
      <c r="L10" s="690"/>
      <c r="M10" s="690"/>
      <c r="N10" s="690"/>
      <c r="O10" s="690"/>
      <c r="P10" s="690"/>
      <c r="Q10" s="690"/>
      <c r="R10" s="690"/>
      <c r="S10" s="690"/>
      <c r="T10" s="690"/>
      <c r="U10" s="690"/>
      <c r="V10" s="690"/>
      <c r="W10" s="690"/>
      <c r="X10" s="690"/>
      <c r="Y10" s="690"/>
      <c r="Z10" s="691"/>
      <c r="AA10" s="77"/>
      <c r="AB10" s="77"/>
      <c r="AC10" s="898"/>
      <c r="AD10" s="804"/>
      <c r="AE10" s="804"/>
      <c r="AF10" s="804"/>
      <c r="AG10" s="804"/>
      <c r="AH10" s="804"/>
      <c r="AI10" s="681"/>
      <c r="AJ10" s="682"/>
      <c r="AK10" s="682"/>
      <c r="AL10" s="682"/>
      <c r="AM10" s="683"/>
      <c r="AN10" s="891"/>
      <c r="AO10" s="892"/>
      <c r="AP10" s="892"/>
      <c r="AQ10" s="892"/>
      <c r="AR10" s="893"/>
      <c r="AS10" s="894"/>
      <c r="AT10" s="894"/>
      <c r="AU10" s="894"/>
      <c r="AV10" s="891"/>
      <c r="AW10" s="892"/>
      <c r="AX10" s="893"/>
      <c r="AY10" s="681"/>
      <c r="AZ10" s="682"/>
      <c r="BA10" s="861"/>
      <c r="BB10" s="74"/>
      <c r="BD10" s="79" t="s">
        <v>10064</v>
      </c>
      <c r="BE10" s="79" t="s">
        <v>10334</v>
      </c>
      <c r="BF10" s="79" t="s">
        <v>7833</v>
      </c>
    </row>
    <row r="11" spans="1:58" ht="16.5" customHeight="1" thickTop="1" x14ac:dyDescent="0.2">
      <c r="A11" s="74"/>
      <c r="B11" s="874" t="s">
        <v>8788</v>
      </c>
      <c r="C11" s="875"/>
      <c r="D11" s="875"/>
      <c r="E11" s="875"/>
      <c r="F11" s="875"/>
      <c r="G11" s="875"/>
      <c r="H11" s="875"/>
      <c r="I11" s="875"/>
      <c r="J11" s="875"/>
      <c r="K11" s="875" t="s">
        <v>8789</v>
      </c>
      <c r="L11" s="875"/>
      <c r="M11" s="875"/>
      <c r="N11" s="875"/>
      <c r="O11" s="875"/>
      <c r="P11" s="875"/>
      <c r="Q11" s="875"/>
      <c r="R11" s="875"/>
      <c r="S11" s="875"/>
      <c r="T11" s="875"/>
      <c r="U11" s="875"/>
      <c r="V11" s="875"/>
      <c r="W11" s="875"/>
      <c r="X11" s="875"/>
      <c r="Y11" s="875"/>
      <c r="Z11" s="876"/>
      <c r="AA11" s="77"/>
      <c r="AB11" s="77"/>
      <c r="AC11" s="896"/>
      <c r="AD11" s="863"/>
      <c r="AE11" s="863"/>
      <c r="AF11" s="863"/>
      <c r="AG11" s="863"/>
      <c r="AH11" s="863"/>
      <c r="AI11" s="752" t="str">
        <f>IF(AC11&lt;&gt;0,IFERROR(VLOOKUP(AC11,'Acuario (Arribado - mortalidad)'!$C$14:$E$90,3,FALSE),""),"")</f>
        <v/>
      </c>
      <c r="AJ11" s="753"/>
      <c r="AK11" s="753"/>
      <c r="AL11" s="753"/>
      <c r="AM11" s="754"/>
      <c r="AN11" s="666"/>
      <c r="AO11" s="667"/>
      <c r="AP11" s="667"/>
      <c r="AQ11" s="667"/>
      <c r="AR11" s="668"/>
      <c r="AS11" s="895"/>
      <c r="AT11" s="895"/>
      <c r="AU11" s="895"/>
      <c r="AV11" s="666"/>
      <c r="AW11" s="667"/>
      <c r="AX11" s="668"/>
      <c r="AY11" s="666"/>
      <c r="AZ11" s="667"/>
      <c r="BA11" s="862"/>
      <c r="BB11" s="74"/>
      <c r="BD11" s="79" t="s">
        <v>10098</v>
      </c>
      <c r="BE11" s="79" t="s">
        <v>10066</v>
      </c>
      <c r="BF11" s="79" t="s">
        <v>10129</v>
      </c>
    </row>
    <row r="12" spans="1:58" ht="16.5" customHeight="1" x14ac:dyDescent="0.2">
      <c r="A12" s="74"/>
      <c r="B12" s="880">
        <f>'ORDEN DE CUARENTENA'!Q7</f>
        <v>0</v>
      </c>
      <c r="C12" s="881"/>
      <c r="D12" s="881"/>
      <c r="E12" s="881"/>
      <c r="F12" s="881"/>
      <c r="G12" s="881"/>
      <c r="H12" s="881"/>
      <c r="I12" s="881"/>
      <c r="J12" s="881"/>
      <c r="K12" s="882">
        <f>'ORDEN DE CUARENTENA'!H7</f>
        <v>0</v>
      </c>
      <c r="L12" s="883"/>
      <c r="M12" s="883"/>
      <c r="N12" s="883"/>
      <c r="O12" s="883"/>
      <c r="P12" s="883"/>
      <c r="Q12" s="883"/>
      <c r="R12" s="883"/>
      <c r="S12" s="883"/>
      <c r="T12" s="883"/>
      <c r="U12" s="883"/>
      <c r="V12" s="883"/>
      <c r="W12" s="883"/>
      <c r="X12" s="883"/>
      <c r="Y12" s="883"/>
      <c r="Z12" s="884"/>
      <c r="AA12" s="77"/>
      <c r="AB12" s="77"/>
      <c r="AC12" s="835"/>
      <c r="AD12" s="751"/>
      <c r="AE12" s="751"/>
      <c r="AF12" s="751"/>
      <c r="AG12" s="751"/>
      <c r="AH12" s="751"/>
      <c r="AI12" s="752" t="str">
        <f>IF(AC12&lt;&gt;0,IFERROR(VLOOKUP(AC12,'Acuario (Arribado - mortalidad)'!$C$14:$E$90,3,FALSE),""),"")</f>
        <v/>
      </c>
      <c r="AJ12" s="753"/>
      <c r="AK12" s="753"/>
      <c r="AL12" s="753"/>
      <c r="AM12" s="754"/>
      <c r="AN12" s="670"/>
      <c r="AO12" s="670"/>
      <c r="AP12" s="670"/>
      <c r="AQ12" s="670"/>
      <c r="AR12" s="670"/>
      <c r="AS12" s="750"/>
      <c r="AT12" s="750"/>
      <c r="AU12" s="750"/>
      <c r="AV12" s="670"/>
      <c r="AW12" s="670"/>
      <c r="AX12" s="670"/>
      <c r="AY12" s="670"/>
      <c r="AZ12" s="670"/>
      <c r="BA12" s="671"/>
      <c r="BB12" s="74"/>
      <c r="BD12" s="79" t="s">
        <v>10054</v>
      </c>
      <c r="BE12" s="79" t="s">
        <v>10335</v>
      </c>
      <c r="BF12" s="79" t="s">
        <v>10130</v>
      </c>
    </row>
    <row r="13" spans="1:58" ht="16.5" customHeight="1" x14ac:dyDescent="0.2">
      <c r="A13" s="74"/>
      <c r="B13" s="880"/>
      <c r="C13" s="881"/>
      <c r="D13" s="881"/>
      <c r="E13" s="881"/>
      <c r="F13" s="881"/>
      <c r="G13" s="881"/>
      <c r="H13" s="881"/>
      <c r="I13" s="881"/>
      <c r="J13" s="881"/>
      <c r="K13" s="885"/>
      <c r="L13" s="886"/>
      <c r="M13" s="886"/>
      <c r="N13" s="886"/>
      <c r="O13" s="886"/>
      <c r="P13" s="886"/>
      <c r="Q13" s="886"/>
      <c r="R13" s="886"/>
      <c r="S13" s="886"/>
      <c r="T13" s="886"/>
      <c r="U13" s="886"/>
      <c r="V13" s="886"/>
      <c r="W13" s="886"/>
      <c r="X13" s="886"/>
      <c r="Y13" s="886"/>
      <c r="Z13" s="887"/>
      <c r="AA13" s="77"/>
      <c r="AB13" s="77"/>
      <c r="AC13" s="835"/>
      <c r="AD13" s="751"/>
      <c r="AE13" s="751"/>
      <c r="AF13" s="751"/>
      <c r="AG13" s="751"/>
      <c r="AH13" s="751"/>
      <c r="AI13" s="752" t="str">
        <f>IF(AC13&lt;&gt;0,IFERROR(VLOOKUP(AC13,'Acuario (Arribado - mortalidad)'!$C$14:$E$90,3,FALSE),""),"")</f>
        <v/>
      </c>
      <c r="AJ13" s="753"/>
      <c r="AK13" s="753"/>
      <c r="AL13" s="753"/>
      <c r="AM13" s="754"/>
      <c r="AN13" s="670"/>
      <c r="AO13" s="670"/>
      <c r="AP13" s="670"/>
      <c r="AQ13" s="670"/>
      <c r="AR13" s="670"/>
      <c r="AS13" s="750"/>
      <c r="AT13" s="750"/>
      <c r="AU13" s="750"/>
      <c r="AV13" s="670"/>
      <c r="AW13" s="670"/>
      <c r="AX13" s="670"/>
      <c r="AY13" s="670"/>
      <c r="AZ13" s="670"/>
      <c r="BA13" s="671"/>
      <c r="BB13" s="74"/>
      <c r="BD13" s="79" t="s">
        <v>10061</v>
      </c>
      <c r="BE13" s="79" t="s">
        <v>10336</v>
      </c>
      <c r="BF13" s="79" t="s">
        <v>10131</v>
      </c>
    </row>
    <row r="14" spans="1:58" ht="16.5" customHeight="1" x14ac:dyDescent="0.2">
      <c r="A14" s="74"/>
      <c r="B14" s="847" t="s">
        <v>8790</v>
      </c>
      <c r="C14" s="848"/>
      <c r="D14" s="848"/>
      <c r="E14" s="848"/>
      <c r="F14" s="849"/>
      <c r="G14" s="853" t="s">
        <v>9</v>
      </c>
      <c r="H14" s="848"/>
      <c r="I14" s="848"/>
      <c r="J14" s="848"/>
      <c r="K14" s="848"/>
      <c r="L14" s="848"/>
      <c r="M14" s="848"/>
      <c r="N14" s="848"/>
      <c r="O14" s="848"/>
      <c r="P14" s="848"/>
      <c r="Q14" s="848"/>
      <c r="R14" s="848"/>
      <c r="S14" s="848"/>
      <c r="T14" s="849"/>
      <c r="U14" s="836" t="s">
        <v>10213</v>
      </c>
      <c r="V14" s="837"/>
      <c r="W14" s="837"/>
      <c r="X14" s="837"/>
      <c r="Y14" s="837"/>
      <c r="Z14" s="838"/>
      <c r="AA14" s="77"/>
      <c r="AB14" s="77"/>
      <c r="AC14" s="835"/>
      <c r="AD14" s="751"/>
      <c r="AE14" s="751"/>
      <c r="AF14" s="751"/>
      <c r="AG14" s="751"/>
      <c r="AH14" s="751"/>
      <c r="AI14" s="752" t="str">
        <f>IF(AC14&lt;&gt;0,IFERROR(VLOOKUP(AC14,'Acuario (Arribado - mortalidad)'!$C$14:$E$90,3,FALSE),""),"")</f>
        <v/>
      </c>
      <c r="AJ14" s="753"/>
      <c r="AK14" s="753"/>
      <c r="AL14" s="753"/>
      <c r="AM14" s="754"/>
      <c r="AN14" s="670"/>
      <c r="AO14" s="670"/>
      <c r="AP14" s="670"/>
      <c r="AQ14" s="670"/>
      <c r="AR14" s="670"/>
      <c r="AS14" s="750"/>
      <c r="AT14" s="750"/>
      <c r="AU14" s="750"/>
      <c r="AV14" s="670"/>
      <c r="AW14" s="670"/>
      <c r="AX14" s="670"/>
      <c r="AY14" s="670"/>
      <c r="AZ14" s="670"/>
      <c r="BA14" s="671"/>
      <c r="BB14" s="74"/>
      <c r="BD14" s="79" t="s">
        <v>10057</v>
      </c>
      <c r="BE14" s="79" t="s">
        <v>10337</v>
      </c>
    </row>
    <row r="15" spans="1:58" ht="16.5" customHeight="1" x14ac:dyDescent="0.2">
      <c r="A15" s="74"/>
      <c r="B15" s="850">
        <f>'ORDEN DE CUARENTENA'!S8</f>
        <v>0</v>
      </c>
      <c r="C15" s="851"/>
      <c r="D15" s="851"/>
      <c r="E15" s="851"/>
      <c r="F15" s="852"/>
      <c r="G15" s="854">
        <f>'ORDEN DE CUARENTENA'!F8</f>
        <v>0</v>
      </c>
      <c r="H15" s="855"/>
      <c r="I15" s="855"/>
      <c r="J15" s="855"/>
      <c r="K15" s="855"/>
      <c r="L15" s="855"/>
      <c r="M15" s="855"/>
      <c r="N15" s="855"/>
      <c r="O15" s="855"/>
      <c r="P15" s="855"/>
      <c r="Q15" s="855"/>
      <c r="R15" s="855"/>
      <c r="S15" s="855"/>
      <c r="T15" s="856"/>
      <c r="U15" s="839"/>
      <c r="V15" s="840"/>
      <c r="W15" s="840"/>
      <c r="X15" s="840"/>
      <c r="Y15" s="840"/>
      <c r="Z15" s="841"/>
      <c r="AA15" s="77"/>
      <c r="AB15" s="77"/>
      <c r="AC15" s="835"/>
      <c r="AD15" s="751"/>
      <c r="AE15" s="751"/>
      <c r="AF15" s="751"/>
      <c r="AG15" s="751"/>
      <c r="AH15" s="751"/>
      <c r="AI15" s="752" t="str">
        <f>IF(AC15&lt;&gt;0,IFERROR(VLOOKUP(AC15,'Acuario (Arribado - mortalidad)'!$C$14:$E$90,3,FALSE),""),"")</f>
        <v/>
      </c>
      <c r="AJ15" s="753"/>
      <c r="AK15" s="753"/>
      <c r="AL15" s="753"/>
      <c r="AM15" s="754"/>
      <c r="AN15" s="670"/>
      <c r="AO15" s="670"/>
      <c r="AP15" s="670"/>
      <c r="AQ15" s="670"/>
      <c r="AR15" s="670"/>
      <c r="AS15" s="750"/>
      <c r="AT15" s="750"/>
      <c r="AU15" s="750"/>
      <c r="AV15" s="670"/>
      <c r="AW15" s="670"/>
      <c r="AX15" s="670"/>
      <c r="AY15" s="670"/>
      <c r="AZ15" s="670"/>
      <c r="BA15" s="671"/>
      <c r="BB15" s="74"/>
      <c r="BD15" s="79" t="s">
        <v>10058</v>
      </c>
      <c r="BE15" s="79" t="s">
        <v>10338</v>
      </c>
    </row>
    <row r="16" spans="1:58" ht="16.5" customHeight="1" thickBot="1" x14ac:dyDescent="0.25">
      <c r="A16" s="74"/>
      <c r="B16" s="842" t="s">
        <v>8791</v>
      </c>
      <c r="C16" s="837"/>
      <c r="D16" s="837"/>
      <c r="E16" s="837"/>
      <c r="F16" s="837"/>
      <c r="G16" s="837"/>
      <c r="H16" s="837"/>
      <c r="I16" s="837"/>
      <c r="J16" s="843"/>
      <c r="K16" s="811"/>
      <c r="L16" s="812"/>
      <c r="M16" s="812"/>
      <c r="N16" s="812"/>
      <c r="O16" s="812"/>
      <c r="P16" s="812"/>
      <c r="Q16" s="812"/>
      <c r="R16" s="812"/>
      <c r="S16" s="812"/>
      <c r="T16" s="813"/>
      <c r="U16" s="796" t="s">
        <v>10211</v>
      </c>
      <c r="V16" s="822"/>
      <c r="W16" s="822"/>
      <c r="X16" s="823"/>
      <c r="Y16" s="796">
        <f>BD49</f>
        <v>0</v>
      </c>
      <c r="Z16" s="797"/>
      <c r="AA16" s="74"/>
      <c r="AB16" s="77"/>
      <c r="AC16" s="903"/>
      <c r="AD16" s="904"/>
      <c r="AE16" s="904"/>
      <c r="AF16" s="904"/>
      <c r="AG16" s="904"/>
      <c r="AH16" s="904"/>
      <c r="AI16" s="752" t="str">
        <f>IF(AC16&lt;&gt;0,IFERROR(VLOOKUP(AC16,'Acuario (Arribado - mortalidad)'!$C$14:$E$90,3,FALSE),""),"")</f>
        <v/>
      </c>
      <c r="AJ16" s="753"/>
      <c r="AK16" s="753"/>
      <c r="AL16" s="753"/>
      <c r="AM16" s="754"/>
      <c r="AN16" s="672"/>
      <c r="AO16" s="672"/>
      <c r="AP16" s="672"/>
      <c r="AQ16" s="672"/>
      <c r="AR16" s="672"/>
      <c r="AS16" s="860"/>
      <c r="AT16" s="860"/>
      <c r="AU16" s="860"/>
      <c r="AV16" s="672"/>
      <c r="AW16" s="672"/>
      <c r="AX16" s="672"/>
      <c r="AY16" s="672"/>
      <c r="AZ16" s="672"/>
      <c r="BA16" s="673"/>
      <c r="BB16" s="74"/>
      <c r="BD16" s="79" t="s">
        <v>10071</v>
      </c>
      <c r="BE16" s="79" t="s">
        <v>10339</v>
      </c>
    </row>
    <row r="17" spans="1:64" ht="14.25" customHeight="1" thickTop="1" thickBot="1" x14ac:dyDescent="0.25">
      <c r="A17" s="89"/>
      <c r="B17" s="844"/>
      <c r="C17" s="845"/>
      <c r="D17" s="845"/>
      <c r="E17" s="845"/>
      <c r="F17" s="845"/>
      <c r="G17" s="845"/>
      <c r="H17" s="845"/>
      <c r="I17" s="845"/>
      <c r="J17" s="846"/>
      <c r="K17" s="814"/>
      <c r="L17" s="815"/>
      <c r="M17" s="815"/>
      <c r="N17" s="815"/>
      <c r="O17" s="815"/>
      <c r="P17" s="815"/>
      <c r="Q17" s="815"/>
      <c r="R17" s="815"/>
      <c r="S17" s="815"/>
      <c r="T17" s="816"/>
      <c r="U17" s="824" t="s">
        <v>10208</v>
      </c>
      <c r="V17" s="825"/>
      <c r="W17" s="825"/>
      <c r="X17" s="826"/>
      <c r="Y17" s="798" t="str">
        <f>BF49</f>
        <v>0</v>
      </c>
      <c r="Z17" s="799"/>
      <c r="AA17" s="74"/>
      <c r="AB17" s="77"/>
      <c r="AC17" s="857" t="s">
        <v>10327</v>
      </c>
      <c r="AD17" s="858"/>
      <c r="AE17" s="858"/>
      <c r="AF17" s="858"/>
      <c r="AG17" s="858"/>
      <c r="AH17" s="858"/>
      <c r="AI17" s="858"/>
      <c r="AJ17" s="858"/>
      <c r="AK17" s="858"/>
      <c r="AL17" s="858"/>
      <c r="AM17" s="858"/>
      <c r="AN17" s="858"/>
      <c r="AO17" s="858"/>
      <c r="AP17" s="858"/>
      <c r="AQ17" s="858"/>
      <c r="AR17" s="858"/>
      <c r="AS17" s="858"/>
      <c r="AT17" s="858"/>
      <c r="AU17" s="858"/>
      <c r="AV17" s="858"/>
      <c r="AW17" s="858"/>
      <c r="AX17" s="858"/>
      <c r="AY17" s="858"/>
      <c r="AZ17" s="858"/>
      <c r="BA17" s="859"/>
      <c r="BB17" s="74"/>
      <c r="BD17" s="79" t="s">
        <v>10056</v>
      </c>
      <c r="BE17" s="79" t="s">
        <v>10340</v>
      </c>
      <c r="BF17" s="79" t="s">
        <v>10076</v>
      </c>
    </row>
    <row r="18" spans="1:64" ht="14.25" customHeight="1" thickTop="1" thickBot="1" x14ac:dyDescent="0.25">
      <c r="A18" s="89"/>
      <c r="B18" s="857" t="s">
        <v>8792</v>
      </c>
      <c r="C18" s="858"/>
      <c r="D18" s="858"/>
      <c r="E18" s="858"/>
      <c r="F18" s="858"/>
      <c r="G18" s="858"/>
      <c r="H18" s="858"/>
      <c r="I18" s="858"/>
      <c r="J18" s="858"/>
      <c r="K18" s="858"/>
      <c r="L18" s="858"/>
      <c r="M18" s="858"/>
      <c r="N18" s="858"/>
      <c r="O18" s="858"/>
      <c r="P18" s="857" t="s">
        <v>8793</v>
      </c>
      <c r="Q18" s="858"/>
      <c r="R18" s="858"/>
      <c r="S18" s="858"/>
      <c r="T18" s="858"/>
      <c r="U18" s="858"/>
      <c r="V18" s="858"/>
      <c r="W18" s="858"/>
      <c r="X18" s="858"/>
      <c r="Y18" s="858"/>
      <c r="Z18" s="859"/>
      <c r="AA18" s="74"/>
      <c r="AB18" s="77"/>
      <c r="AC18" s="897" t="s">
        <v>8786</v>
      </c>
      <c r="AD18" s="803"/>
      <c r="AE18" s="888" t="s">
        <v>10092</v>
      </c>
      <c r="AF18" s="889"/>
      <c r="AG18" s="889"/>
      <c r="AH18" s="678" t="s">
        <v>7808</v>
      </c>
      <c r="AI18" s="679"/>
      <c r="AJ18" s="679"/>
      <c r="AK18" s="679"/>
      <c r="AL18" s="680"/>
      <c r="AM18" s="803" t="s">
        <v>10328</v>
      </c>
      <c r="AN18" s="803"/>
      <c r="AO18" s="803" t="s">
        <v>10329</v>
      </c>
      <c r="AP18" s="803"/>
      <c r="AQ18" s="803"/>
      <c r="AR18" s="805" t="s">
        <v>10333</v>
      </c>
      <c r="AS18" s="806"/>
      <c r="AT18" s="806"/>
      <c r="AU18" s="806"/>
      <c r="AV18" s="806"/>
      <c r="AW18" s="806"/>
      <c r="AX18" s="806"/>
      <c r="AY18" s="806"/>
      <c r="AZ18" s="806"/>
      <c r="BA18" s="807"/>
      <c r="BB18" s="74"/>
      <c r="BD18" s="79" t="s">
        <v>10066</v>
      </c>
      <c r="BE18" s="79" t="s">
        <v>10341</v>
      </c>
      <c r="BF18" s="79" t="s">
        <v>10077</v>
      </c>
    </row>
    <row r="19" spans="1:64" ht="13.5" customHeight="1" thickTop="1" x14ac:dyDescent="0.2">
      <c r="A19" s="89"/>
      <c r="B19" s="905" t="s">
        <v>8786</v>
      </c>
      <c r="C19" s="906"/>
      <c r="D19" s="899" t="s">
        <v>8794</v>
      </c>
      <c r="E19" s="899"/>
      <c r="F19" s="899"/>
      <c r="G19" s="906" t="s">
        <v>11</v>
      </c>
      <c r="H19" s="906"/>
      <c r="I19" s="906"/>
      <c r="J19" s="906"/>
      <c r="K19" s="906"/>
      <c r="L19" s="906"/>
      <c r="M19" s="906"/>
      <c r="N19" s="906" t="s">
        <v>8795</v>
      </c>
      <c r="O19" s="907"/>
      <c r="P19" s="908" t="s">
        <v>8796</v>
      </c>
      <c r="Q19" s="899"/>
      <c r="R19" s="899"/>
      <c r="S19" s="909" t="s">
        <v>8797</v>
      </c>
      <c r="T19" s="909"/>
      <c r="U19" s="899" t="s">
        <v>8798</v>
      </c>
      <c r="V19" s="899"/>
      <c r="W19" s="899" t="s">
        <v>8799</v>
      </c>
      <c r="X19" s="899"/>
      <c r="Y19" s="899" t="s">
        <v>10118</v>
      </c>
      <c r="Z19" s="900"/>
      <c r="AA19" s="74"/>
      <c r="AB19" s="77"/>
      <c r="AC19" s="898"/>
      <c r="AD19" s="804"/>
      <c r="AE19" s="891"/>
      <c r="AF19" s="892"/>
      <c r="AG19" s="892"/>
      <c r="AH19" s="681"/>
      <c r="AI19" s="682"/>
      <c r="AJ19" s="682"/>
      <c r="AK19" s="682"/>
      <c r="AL19" s="683"/>
      <c r="AM19" s="804"/>
      <c r="AN19" s="804"/>
      <c r="AO19" s="804"/>
      <c r="AP19" s="804"/>
      <c r="AQ19" s="804"/>
      <c r="AR19" s="808"/>
      <c r="AS19" s="809"/>
      <c r="AT19" s="809"/>
      <c r="AU19" s="809"/>
      <c r="AV19" s="809"/>
      <c r="AW19" s="809"/>
      <c r="AX19" s="809"/>
      <c r="AY19" s="809"/>
      <c r="AZ19" s="809"/>
      <c r="BA19" s="810"/>
      <c r="BB19" s="74"/>
      <c r="BD19" s="79" t="s">
        <v>10065</v>
      </c>
      <c r="BE19" s="79" t="s">
        <v>10342</v>
      </c>
      <c r="BF19" s="79" t="s">
        <v>10078</v>
      </c>
    </row>
    <row r="20" spans="1:64" ht="12.75" x14ac:dyDescent="0.2">
      <c r="A20" s="89"/>
      <c r="B20" s="910">
        <f>'ORDEN DE CUARENTENA'!AE3</f>
        <v>0</v>
      </c>
      <c r="C20" s="911"/>
      <c r="D20" s="912">
        <f>'ORDEN DE CUARENTENA'!I6</f>
        <v>0</v>
      </c>
      <c r="E20" s="912"/>
      <c r="F20" s="912"/>
      <c r="G20" s="827">
        <f>'ORDEN DE CUARENTENA'!H9</f>
        <v>0</v>
      </c>
      <c r="H20" s="828"/>
      <c r="I20" s="828"/>
      <c r="J20" s="828"/>
      <c r="K20" s="828"/>
      <c r="L20" s="828"/>
      <c r="M20" s="829"/>
      <c r="N20" s="830">
        <f>'ORDEN DE CUARENTENA'!Q9</f>
        <v>0</v>
      </c>
      <c r="O20" s="831"/>
      <c r="P20" s="832" t="str">
        <f>IF(ISBLANK('ORDEN DE CUARENTENA'!I6),"",D20+14)</f>
        <v/>
      </c>
      <c r="Q20" s="833"/>
      <c r="R20" s="834"/>
      <c r="S20" s="913" t="str">
        <f>IF(ISBLANK('ORDEN DE CUARENTENA'!I6),"",V3-D20+1)</f>
        <v/>
      </c>
      <c r="T20" s="913"/>
      <c r="U20" s="669"/>
      <c r="V20" s="669"/>
      <c r="W20" s="669"/>
      <c r="X20" s="669"/>
      <c r="Y20" s="901" t="str">
        <f>'Resumen de cuarentena'!I11</f>
        <v/>
      </c>
      <c r="Z20" s="902"/>
      <c r="AA20" s="74"/>
      <c r="AB20" s="77"/>
      <c r="AC20" s="664"/>
      <c r="AD20" s="665"/>
      <c r="AE20" s="914"/>
      <c r="AF20" s="915"/>
      <c r="AG20" s="915"/>
      <c r="AH20" s="666"/>
      <c r="AI20" s="667"/>
      <c r="AJ20" s="667"/>
      <c r="AK20" s="667"/>
      <c r="AL20" s="668"/>
      <c r="AM20" s="669"/>
      <c r="AN20" s="669"/>
      <c r="AO20" s="669"/>
      <c r="AP20" s="669"/>
      <c r="AQ20" s="669"/>
      <c r="AR20" s="669"/>
      <c r="AS20" s="669"/>
      <c r="AT20" s="669"/>
      <c r="AU20" s="669"/>
      <c r="AV20" s="669"/>
      <c r="AW20" s="669"/>
      <c r="AX20" s="669"/>
      <c r="AY20" s="669"/>
      <c r="AZ20" s="669"/>
      <c r="BA20" s="755"/>
      <c r="BB20" s="74"/>
      <c r="BD20" s="79" t="s">
        <v>10068</v>
      </c>
      <c r="BE20" s="79" t="s">
        <v>10343</v>
      </c>
      <c r="BF20" s="79" t="s">
        <v>7834</v>
      </c>
    </row>
    <row r="21" spans="1:64" ht="12.75" x14ac:dyDescent="0.2">
      <c r="A21" s="89"/>
      <c r="B21" s="917"/>
      <c r="C21" s="795"/>
      <c r="D21" s="794"/>
      <c r="E21" s="794"/>
      <c r="F21" s="794"/>
      <c r="G21" s="795"/>
      <c r="H21" s="795"/>
      <c r="I21" s="795"/>
      <c r="J21" s="795"/>
      <c r="K21" s="795"/>
      <c r="L21" s="795"/>
      <c r="M21" s="795"/>
      <c r="N21" s="795"/>
      <c r="O21" s="916"/>
      <c r="P21" s="832" t="str">
        <f>IF(ISBLANK(D21),"",D21+14)</f>
        <v/>
      </c>
      <c r="Q21" s="833"/>
      <c r="R21" s="834"/>
      <c r="S21" s="913" t="str">
        <f>IF(ISBLANK(D21),"",V3-D21+1)</f>
        <v/>
      </c>
      <c r="T21" s="913"/>
      <c r="U21" s="695"/>
      <c r="V21" s="695"/>
      <c r="W21" s="695"/>
      <c r="X21" s="695"/>
      <c r="Y21" s="696"/>
      <c r="Z21" s="697"/>
      <c r="AA21" s="74"/>
      <c r="AB21" s="77"/>
      <c r="AC21" s="659"/>
      <c r="AD21" s="660"/>
      <c r="AE21" s="674"/>
      <c r="AF21" s="675"/>
      <c r="AG21" s="675"/>
      <c r="AH21" s="661"/>
      <c r="AI21" s="662"/>
      <c r="AJ21" s="662"/>
      <c r="AK21" s="662"/>
      <c r="AL21" s="663"/>
      <c r="AM21" s="670"/>
      <c r="AN21" s="670"/>
      <c r="AO21" s="670"/>
      <c r="AP21" s="670"/>
      <c r="AQ21" s="670"/>
      <c r="AR21" s="670"/>
      <c r="AS21" s="670"/>
      <c r="AT21" s="670"/>
      <c r="AU21" s="670"/>
      <c r="AV21" s="670"/>
      <c r="AW21" s="670"/>
      <c r="AX21" s="670"/>
      <c r="AY21" s="670"/>
      <c r="AZ21" s="670"/>
      <c r="BA21" s="671"/>
      <c r="BB21" s="74"/>
      <c r="BD21" s="79" t="s">
        <v>10063</v>
      </c>
      <c r="BE21" s="79" t="s">
        <v>10344</v>
      </c>
    </row>
    <row r="22" spans="1:64" ht="12.75" x14ac:dyDescent="0.2">
      <c r="A22" s="89"/>
      <c r="B22" s="917"/>
      <c r="C22" s="795"/>
      <c r="D22" s="794"/>
      <c r="E22" s="794"/>
      <c r="F22" s="794"/>
      <c r="G22" s="795"/>
      <c r="H22" s="795"/>
      <c r="I22" s="795"/>
      <c r="J22" s="795"/>
      <c r="K22" s="795"/>
      <c r="L22" s="795"/>
      <c r="M22" s="795"/>
      <c r="N22" s="795"/>
      <c r="O22" s="916"/>
      <c r="P22" s="832" t="str">
        <f>IF(ISBLANK(D22),"",D22+14)</f>
        <v/>
      </c>
      <c r="Q22" s="833"/>
      <c r="R22" s="834"/>
      <c r="S22" s="913" t="str">
        <f>IF(ISBLANK(D22),"",V3-D22+1)</f>
        <v/>
      </c>
      <c r="T22" s="913"/>
      <c r="U22" s="695"/>
      <c r="V22" s="695"/>
      <c r="W22" s="695"/>
      <c r="X22" s="695"/>
      <c r="Y22" s="696"/>
      <c r="Z22" s="697"/>
      <c r="AA22" s="74"/>
      <c r="AB22" s="77"/>
      <c r="AC22" s="659"/>
      <c r="AD22" s="660"/>
      <c r="AE22" s="674"/>
      <c r="AF22" s="675"/>
      <c r="AG22" s="675"/>
      <c r="AH22" s="661"/>
      <c r="AI22" s="662"/>
      <c r="AJ22" s="662"/>
      <c r="AK22" s="662"/>
      <c r="AL22" s="663"/>
      <c r="AM22" s="670"/>
      <c r="AN22" s="670"/>
      <c r="AO22" s="670"/>
      <c r="AP22" s="670"/>
      <c r="AQ22" s="670"/>
      <c r="AR22" s="670"/>
      <c r="AS22" s="670"/>
      <c r="AT22" s="670"/>
      <c r="AU22" s="670"/>
      <c r="AV22" s="670"/>
      <c r="AW22" s="670"/>
      <c r="AX22" s="670"/>
      <c r="AY22" s="670"/>
      <c r="AZ22" s="670"/>
      <c r="BA22" s="671"/>
      <c r="BB22" s="74"/>
      <c r="BD22" s="79" t="s">
        <v>10069</v>
      </c>
      <c r="BE22" s="79" t="s">
        <v>10347</v>
      </c>
    </row>
    <row r="23" spans="1:64" ht="12.75" customHeight="1" thickBot="1" x14ac:dyDescent="0.25">
      <c r="A23" s="89"/>
      <c r="B23" s="800"/>
      <c r="C23" s="801"/>
      <c r="D23" s="802"/>
      <c r="E23" s="802"/>
      <c r="F23" s="802"/>
      <c r="G23" s="801"/>
      <c r="H23" s="801"/>
      <c r="I23" s="801"/>
      <c r="J23" s="801"/>
      <c r="K23" s="801"/>
      <c r="L23" s="801"/>
      <c r="M23" s="801"/>
      <c r="N23" s="801"/>
      <c r="O23" s="817"/>
      <c r="P23" s="818" t="str">
        <f>IF(ISBLANK(D23),"",D23+14)</f>
        <v/>
      </c>
      <c r="Q23" s="819"/>
      <c r="R23" s="820"/>
      <c r="S23" s="821" t="str">
        <f>IF(ISBLANK(D23),"",V3-D23+1)</f>
        <v/>
      </c>
      <c r="T23" s="821"/>
      <c r="U23" s="692"/>
      <c r="V23" s="692"/>
      <c r="W23" s="692"/>
      <c r="X23" s="692"/>
      <c r="Y23" s="693"/>
      <c r="Z23" s="694"/>
      <c r="AA23" s="74"/>
      <c r="AB23" s="77"/>
      <c r="AC23" s="710"/>
      <c r="AD23" s="711"/>
      <c r="AE23" s="676"/>
      <c r="AF23" s="677"/>
      <c r="AG23" s="677"/>
      <c r="AH23" s="712"/>
      <c r="AI23" s="713"/>
      <c r="AJ23" s="713"/>
      <c r="AK23" s="713"/>
      <c r="AL23" s="714"/>
      <c r="AM23" s="672"/>
      <c r="AN23" s="672"/>
      <c r="AO23" s="672"/>
      <c r="AP23" s="672"/>
      <c r="AQ23" s="672"/>
      <c r="AR23" s="672"/>
      <c r="AS23" s="672"/>
      <c r="AT23" s="672"/>
      <c r="AU23" s="672"/>
      <c r="AV23" s="672"/>
      <c r="AW23" s="672"/>
      <c r="AX23" s="672"/>
      <c r="AY23" s="672"/>
      <c r="AZ23" s="672"/>
      <c r="BA23" s="673"/>
      <c r="BB23" s="74"/>
      <c r="BD23" s="79" t="s">
        <v>8889</v>
      </c>
      <c r="BE23" s="79" t="s">
        <v>10348</v>
      </c>
    </row>
    <row r="24" spans="1:64" ht="17.25" thickTop="1" thickBot="1" x14ac:dyDescent="0.3">
      <c r="A24" s="458" t="str">
        <f>'ORDEN DE CUARENTENA'!A24:A30</f>
        <v>diciembre 2024</v>
      </c>
      <c r="B24" s="77"/>
      <c r="C24" s="76"/>
      <c r="D24" s="77"/>
      <c r="E24" s="77"/>
      <c r="F24" s="77"/>
      <c r="G24" s="77"/>
      <c r="H24" s="77"/>
      <c r="I24" s="77"/>
      <c r="J24" s="74"/>
      <c r="K24" s="74"/>
      <c r="L24" s="74"/>
      <c r="M24" s="81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74"/>
      <c r="AB24" s="77"/>
      <c r="AC24" s="739" t="s">
        <v>8800</v>
      </c>
      <c r="AD24" s="740"/>
      <c r="AE24" s="741"/>
      <c r="AF24" s="741"/>
      <c r="AG24" s="741"/>
      <c r="AH24" s="741"/>
      <c r="AI24" s="741"/>
      <c r="AJ24" s="741"/>
      <c r="AK24" s="741"/>
      <c r="AL24" s="741"/>
      <c r="AM24" s="741"/>
      <c r="AN24" s="741"/>
      <c r="AO24" s="741"/>
      <c r="AP24" s="741"/>
      <c r="AQ24" s="741"/>
      <c r="AR24" s="741"/>
      <c r="AS24" s="741"/>
      <c r="AT24" s="741"/>
      <c r="AU24" s="741"/>
      <c r="AV24" s="741"/>
      <c r="AW24" s="741"/>
      <c r="AX24" s="741"/>
      <c r="AY24" s="741"/>
      <c r="AZ24" s="741"/>
      <c r="BA24" s="742"/>
      <c r="BB24" s="74"/>
      <c r="BD24" s="79" t="s">
        <v>9044</v>
      </c>
    </row>
    <row r="25" spans="1:64" ht="14.25" thickTop="1" thickBot="1" x14ac:dyDescent="0.25">
      <c r="A25" s="458"/>
      <c r="B25" s="689" t="s">
        <v>8802</v>
      </c>
      <c r="C25" s="690"/>
      <c r="D25" s="690"/>
      <c r="E25" s="690"/>
      <c r="F25" s="690"/>
      <c r="G25" s="690"/>
      <c r="H25" s="690"/>
      <c r="I25" s="690"/>
      <c r="J25" s="690"/>
      <c r="K25" s="690"/>
      <c r="L25" s="690"/>
      <c r="M25" s="690"/>
      <c r="N25" s="690"/>
      <c r="O25" s="690"/>
      <c r="P25" s="690"/>
      <c r="Q25" s="690"/>
      <c r="R25" s="690"/>
      <c r="S25" s="690"/>
      <c r="T25" s="690"/>
      <c r="U25" s="690"/>
      <c r="V25" s="690"/>
      <c r="W25" s="690"/>
      <c r="X25" s="690"/>
      <c r="Y25" s="690"/>
      <c r="Z25" s="691"/>
      <c r="AA25" s="74"/>
      <c r="AB25" s="77"/>
      <c r="AC25" s="722"/>
      <c r="AD25" s="723"/>
      <c r="AE25" s="726"/>
      <c r="AF25" s="726"/>
      <c r="AG25" s="726"/>
      <c r="AH25" s="726"/>
      <c r="AI25" s="726"/>
      <c r="AJ25" s="726"/>
      <c r="AK25" s="726"/>
      <c r="AL25" s="726"/>
      <c r="AM25" s="726"/>
      <c r="AN25" s="726"/>
      <c r="AO25" s="726"/>
      <c r="AP25" s="726"/>
      <c r="AQ25" s="726"/>
      <c r="AR25" s="726"/>
      <c r="AS25" s="726"/>
      <c r="AT25" s="726"/>
      <c r="AU25" s="726"/>
      <c r="AV25" s="726"/>
      <c r="AW25" s="726"/>
      <c r="AX25" s="726"/>
      <c r="AY25" s="726"/>
      <c r="AZ25" s="726"/>
      <c r="BA25" s="727"/>
      <c r="BB25" s="74"/>
      <c r="BH25" s="206" t="s">
        <v>10083</v>
      </c>
      <c r="BI25" s="206" t="s">
        <v>10084</v>
      </c>
      <c r="BJ25" s="206" t="s">
        <v>10085</v>
      </c>
      <c r="BK25" s="206" t="s">
        <v>10086</v>
      </c>
      <c r="BL25" s="206" t="s">
        <v>10087</v>
      </c>
    </row>
    <row r="26" spans="1:64" thickTop="1" thickBot="1" x14ac:dyDescent="0.25">
      <c r="A26" s="458"/>
      <c r="B26" s="704" t="s">
        <v>8804</v>
      </c>
      <c r="C26" s="705"/>
      <c r="D26" s="705"/>
      <c r="E26" s="705"/>
      <c r="F26" s="705"/>
      <c r="G26" s="705"/>
      <c r="H26" s="705"/>
      <c r="I26" s="705"/>
      <c r="J26" s="705"/>
      <c r="K26" s="705"/>
      <c r="L26" s="705"/>
      <c r="M26" s="705"/>
      <c r="N26" s="705"/>
      <c r="O26" s="705"/>
      <c r="P26" s="705"/>
      <c r="Q26" s="705"/>
      <c r="R26" s="705"/>
      <c r="S26" s="705"/>
      <c r="T26" s="705"/>
      <c r="U26" s="706"/>
      <c r="V26" s="90" t="s">
        <v>797</v>
      </c>
      <c r="W26" s="90" t="s">
        <v>7833</v>
      </c>
      <c r="X26" s="90" t="s">
        <v>7834</v>
      </c>
      <c r="Y26" s="707" t="s">
        <v>8805</v>
      </c>
      <c r="Z26" s="708"/>
      <c r="AA26" s="74"/>
      <c r="AB26" s="77"/>
      <c r="AC26" s="75"/>
      <c r="AD26" s="77"/>
      <c r="AE26" s="77"/>
      <c r="AF26" s="77"/>
      <c r="AG26" s="77"/>
      <c r="AH26" s="77"/>
      <c r="AI26" s="77"/>
      <c r="AJ26" s="77"/>
      <c r="AK26" s="77"/>
      <c r="AL26" s="187"/>
      <c r="AM26" s="187"/>
      <c r="AN26" s="77"/>
      <c r="AO26" s="77"/>
      <c r="AP26" s="77"/>
      <c r="AQ26" s="77"/>
      <c r="AR26" s="77"/>
      <c r="AS26" s="77"/>
      <c r="AT26" s="77"/>
      <c r="AU26" s="77"/>
      <c r="AV26" s="74"/>
      <c r="AW26" s="74"/>
      <c r="AX26" s="74"/>
      <c r="AY26" s="74"/>
      <c r="AZ26" s="74"/>
      <c r="BA26" s="74"/>
      <c r="BB26" s="74"/>
      <c r="BD26" s="268" t="s">
        <v>10209</v>
      </c>
      <c r="BE26" s="268" t="s">
        <v>10210</v>
      </c>
      <c r="BF26" s="268" t="s">
        <v>10206</v>
      </c>
      <c r="BH26" s="206">
        <f t="shared" ref="BH26:BH31" si="0">AC11</f>
        <v>0</v>
      </c>
      <c r="BI26" s="206">
        <f t="shared" ref="BI26:BI31" si="1">AN11</f>
        <v>0</v>
      </c>
      <c r="BJ26" s="206">
        <f t="shared" ref="BJ26:BJ31" si="2">AS11</f>
        <v>0</v>
      </c>
      <c r="BK26" s="206">
        <f t="shared" ref="BK26:BK31" si="3">AV11</f>
        <v>0</v>
      </c>
      <c r="BL26" s="206">
        <f t="shared" ref="BL26:BL31" si="4">AY11</f>
        <v>0</v>
      </c>
    </row>
    <row r="27" spans="1:64" ht="14.25" thickTop="1" thickBot="1" x14ac:dyDescent="0.25">
      <c r="A27" s="458"/>
      <c r="B27" s="684" t="s">
        <v>10320</v>
      </c>
      <c r="C27" s="685"/>
      <c r="D27" s="685"/>
      <c r="E27" s="685"/>
      <c r="F27" s="685"/>
      <c r="G27" s="685"/>
      <c r="H27" s="685"/>
      <c r="I27" s="685"/>
      <c r="J27" s="685"/>
      <c r="K27" s="685"/>
      <c r="L27" s="685"/>
      <c r="M27" s="685"/>
      <c r="N27" s="685"/>
      <c r="O27" s="685"/>
      <c r="P27" s="685"/>
      <c r="Q27" s="685"/>
      <c r="R27" s="685"/>
      <c r="S27" s="685"/>
      <c r="T27" s="685"/>
      <c r="U27" s="686"/>
      <c r="V27" s="324"/>
      <c r="W27" s="324"/>
      <c r="X27" s="324"/>
      <c r="Y27" s="687" t="s">
        <v>8816</v>
      </c>
      <c r="Z27" s="688"/>
      <c r="AA27" s="74"/>
      <c r="AB27" s="77"/>
      <c r="AC27" s="689" t="s">
        <v>8801</v>
      </c>
      <c r="AD27" s="690"/>
      <c r="AE27" s="690"/>
      <c r="AF27" s="690"/>
      <c r="AG27" s="690"/>
      <c r="AH27" s="690"/>
      <c r="AI27" s="690"/>
      <c r="AJ27" s="690"/>
      <c r="AK27" s="690"/>
      <c r="AL27" s="690"/>
      <c r="AM27" s="690"/>
      <c r="AN27" s="690"/>
      <c r="AO27" s="690"/>
      <c r="AP27" s="690"/>
      <c r="AQ27" s="690"/>
      <c r="AR27" s="690"/>
      <c r="AS27" s="690"/>
      <c r="AT27" s="690"/>
      <c r="AU27" s="690"/>
      <c r="AV27" s="690"/>
      <c r="AW27" s="690"/>
      <c r="AX27" s="690"/>
      <c r="AY27" s="690"/>
      <c r="AZ27" s="690"/>
      <c r="BA27" s="691"/>
      <c r="BB27" s="74"/>
      <c r="BD27" s="268">
        <f>IF(ISTEXT(W27),BE27,0)</f>
        <v>0</v>
      </c>
      <c r="BE27" s="268">
        <f>IF(Y27="ALTA",3,IF(Y27="MEDIA",2,IF(Y27="BAJA",1,0)))</f>
        <v>3</v>
      </c>
      <c r="BF27" s="268" t="str">
        <f>IF(ISTEXT(V27),1,IF(BD27&gt;0,0,"X"))</f>
        <v>X</v>
      </c>
      <c r="BH27" s="206">
        <f t="shared" si="0"/>
        <v>0</v>
      </c>
      <c r="BI27" s="206">
        <f t="shared" si="1"/>
        <v>0</v>
      </c>
      <c r="BJ27" s="206">
        <f t="shared" si="2"/>
        <v>0</v>
      </c>
      <c r="BK27" s="206">
        <f t="shared" si="3"/>
        <v>0</v>
      </c>
      <c r="BL27" s="206">
        <f t="shared" si="4"/>
        <v>0</v>
      </c>
    </row>
    <row r="28" spans="1:64" ht="13.5" thickTop="1" x14ac:dyDescent="0.2">
      <c r="A28" s="458"/>
      <c r="B28" s="684" t="s">
        <v>10321</v>
      </c>
      <c r="C28" s="685"/>
      <c r="D28" s="685"/>
      <c r="E28" s="685"/>
      <c r="F28" s="685"/>
      <c r="G28" s="685"/>
      <c r="H28" s="685"/>
      <c r="I28" s="685"/>
      <c r="J28" s="685"/>
      <c r="K28" s="685"/>
      <c r="L28" s="685"/>
      <c r="M28" s="685"/>
      <c r="N28" s="685"/>
      <c r="O28" s="685"/>
      <c r="P28" s="685"/>
      <c r="Q28" s="685"/>
      <c r="R28" s="685"/>
      <c r="S28" s="685"/>
      <c r="T28" s="685"/>
      <c r="U28" s="686"/>
      <c r="V28" s="324"/>
      <c r="W28" s="324"/>
      <c r="X28" s="324"/>
      <c r="Y28" s="687" t="s">
        <v>8816</v>
      </c>
      <c r="Z28" s="688"/>
      <c r="AA28" s="74"/>
      <c r="AB28" s="77"/>
      <c r="AC28" s="698" t="s">
        <v>8803</v>
      </c>
      <c r="AD28" s="699"/>
      <c r="AE28" s="699"/>
      <c r="AF28" s="699"/>
      <c r="AG28" s="699"/>
      <c r="AH28" s="699"/>
      <c r="AI28" s="699"/>
      <c r="AJ28" s="699"/>
      <c r="AK28" s="699"/>
      <c r="AL28" s="699"/>
      <c r="AM28" s="699"/>
      <c r="AN28" s="699"/>
      <c r="AO28" s="699"/>
      <c r="AP28" s="699"/>
      <c r="AQ28" s="699"/>
      <c r="AR28" s="699"/>
      <c r="AS28" s="699"/>
      <c r="AT28" s="702" t="s">
        <v>8786</v>
      </c>
      <c r="AU28" s="702"/>
      <c r="AV28" s="702" t="s">
        <v>8786</v>
      </c>
      <c r="AW28" s="702"/>
      <c r="AX28" s="702" t="s">
        <v>8786</v>
      </c>
      <c r="AY28" s="702"/>
      <c r="AZ28" s="702" t="s">
        <v>8786</v>
      </c>
      <c r="BA28" s="703"/>
      <c r="BB28" s="74"/>
      <c r="BD28" s="268">
        <f t="shared" ref="BD28:BD31" si="5">IF(ISTEXT(W28),BE28,0)</f>
        <v>0</v>
      </c>
      <c r="BE28" s="268">
        <f t="shared" ref="BE28:BE31" si="6">IF(Y28="ALTA",3,IF(Y28="MEDIA",2,IF(Y28="BAJA",1,0)))</f>
        <v>3</v>
      </c>
      <c r="BF28" s="268" t="str">
        <f t="shared" ref="BF28:BF31" si="7">IF(ISTEXT(V28),1,IF(BD28&gt;0,0,"X"))</f>
        <v>X</v>
      </c>
      <c r="BH28" s="206">
        <f t="shared" si="0"/>
        <v>0</v>
      </c>
      <c r="BI28" s="206">
        <f t="shared" si="1"/>
        <v>0</v>
      </c>
      <c r="BJ28" s="206">
        <f t="shared" si="2"/>
        <v>0</v>
      </c>
      <c r="BK28" s="206">
        <f t="shared" si="3"/>
        <v>0</v>
      </c>
      <c r="BL28" s="206">
        <f t="shared" si="4"/>
        <v>0</v>
      </c>
    </row>
    <row r="29" spans="1:64" ht="13.5" thickBot="1" x14ac:dyDescent="0.25">
      <c r="A29" s="458"/>
      <c r="B29" s="684" t="s">
        <v>10204</v>
      </c>
      <c r="C29" s="685"/>
      <c r="D29" s="685"/>
      <c r="E29" s="685"/>
      <c r="F29" s="685"/>
      <c r="G29" s="685"/>
      <c r="H29" s="685"/>
      <c r="I29" s="685"/>
      <c r="J29" s="685"/>
      <c r="K29" s="685"/>
      <c r="L29" s="685"/>
      <c r="M29" s="685"/>
      <c r="N29" s="685"/>
      <c r="O29" s="685"/>
      <c r="P29" s="685"/>
      <c r="Q29" s="685"/>
      <c r="R29" s="685"/>
      <c r="S29" s="685"/>
      <c r="T29" s="685"/>
      <c r="U29" s="686"/>
      <c r="V29" s="324"/>
      <c r="W29" s="324"/>
      <c r="X29" s="324"/>
      <c r="Y29" s="687" t="s">
        <v>8816</v>
      </c>
      <c r="Z29" s="688"/>
      <c r="AA29" s="74"/>
      <c r="AB29" s="77"/>
      <c r="AC29" s="700"/>
      <c r="AD29" s="701"/>
      <c r="AE29" s="701"/>
      <c r="AF29" s="701"/>
      <c r="AG29" s="701"/>
      <c r="AH29" s="701"/>
      <c r="AI29" s="701"/>
      <c r="AJ29" s="701"/>
      <c r="AK29" s="701"/>
      <c r="AL29" s="701"/>
      <c r="AM29" s="701"/>
      <c r="AN29" s="701"/>
      <c r="AO29" s="701"/>
      <c r="AP29" s="701"/>
      <c r="AQ29" s="701"/>
      <c r="AR29" s="701"/>
      <c r="AS29" s="701"/>
      <c r="AT29" s="709">
        <f>B20</f>
        <v>0</v>
      </c>
      <c r="AU29" s="709"/>
      <c r="AV29" s="709">
        <f>B21</f>
        <v>0</v>
      </c>
      <c r="AW29" s="709"/>
      <c r="AX29" s="709">
        <f>B22</f>
        <v>0</v>
      </c>
      <c r="AY29" s="709"/>
      <c r="AZ29" s="709">
        <f>B23</f>
        <v>0</v>
      </c>
      <c r="BA29" s="709"/>
      <c r="BB29" s="74"/>
      <c r="BD29" s="268">
        <f t="shared" si="5"/>
        <v>0</v>
      </c>
      <c r="BE29" s="268">
        <f t="shared" si="6"/>
        <v>3</v>
      </c>
      <c r="BF29" s="268" t="str">
        <f t="shared" si="7"/>
        <v>X</v>
      </c>
      <c r="BH29" s="206">
        <f t="shared" si="0"/>
        <v>0</v>
      </c>
      <c r="BI29" s="206">
        <f t="shared" si="1"/>
        <v>0</v>
      </c>
      <c r="BJ29" s="206">
        <f t="shared" si="2"/>
        <v>0</v>
      </c>
      <c r="BK29" s="206">
        <f t="shared" si="3"/>
        <v>0</v>
      </c>
      <c r="BL29" s="206">
        <f t="shared" si="4"/>
        <v>0</v>
      </c>
    </row>
    <row r="30" spans="1:64" ht="13.5" thickTop="1" x14ac:dyDescent="0.2">
      <c r="A30" s="458"/>
      <c r="B30" s="684" t="s">
        <v>10117</v>
      </c>
      <c r="C30" s="685"/>
      <c r="D30" s="685"/>
      <c r="E30" s="685"/>
      <c r="F30" s="685"/>
      <c r="G30" s="685"/>
      <c r="H30" s="685"/>
      <c r="I30" s="685"/>
      <c r="J30" s="685"/>
      <c r="K30" s="685"/>
      <c r="L30" s="685"/>
      <c r="M30" s="685"/>
      <c r="N30" s="685"/>
      <c r="O30" s="685"/>
      <c r="P30" s="685"/>
      <c r="Q30" s="685"/>
      <c r="R30" s="685"/>
      <c r="S30" s="685"/>
      <c r="T30" s="685"/>
      <c r="U30" s="686"/>
      <c r="V30" s="324"/>
      <c r="W30" s="324"/>
      <c r="X30" s="324"/>
      <c r="Y30" s="718" t="s">
        <v>8810</v>
      </c>
      <c r="Z30" s="719"/>
      <c r="AA30" s="74"/>
      <c r="AB30" s="77"/>
      <c r="AC30" s="743" t="s">
        <v>8806</v>
      </c>
      <c r="AD30" s="744"/>
      <c r="AE30" s="744"/>
      <c r="AF30" s="744"/>
      <c r="AG30" s="744"/>
      <c r="AH30" s="744"/>
      <c r="AI30" s="744"/>
      <c r="AJ30" s="744"/>
      <c r="AK30" s="744"/>
      <c r="AL30" s="744"/>
      <c r="AM30" s="744"/>
      <c r="AN30" s="744"/>
      <c r="AO30" s="744"/>
      <c r="AP30" s="744"/>
      <c r="AQ30" s="744"/>
      <c r="AR30" s="744"/>
      <c r="AS30" s="745"/>
      <c r="AT30" s="791"/>
      <c r="AU30" s="791"/>
      <c r="AV30" s="792"/>
      <c r="AW30" s="792"/>
      <c r="AX30" s="792"/>
      <c r="AY30" s="792"/>
      <c r="AZ30" s="792"/>
      <c r="BA30" s="793"/>
      <c r="BB30" s="74"/>
      <c r="BD30" s="268">
        <f t="shared" si="5"/>
        <v>0</v>
      </c>
      <c r="BE30" s="268">
        <f t="shared" si="6"/>
        <v>2</v>
      </c>
      <c r="BF30" s="268" t="str">
        <f t="shared" si="7"/>
        <v>X</v>
      </c>
      <c r="BH30" s="206">
        <f t="shared" si="0"/>
        <v>0</v>
      </c>
      <c r="BI30" s="206">
        <f t="shared" si="1"/>
        <v>0</v>
      </c>
      <c r="BJ30" s="206">
        <f t="shared" si="2"/>
        <v>0</v>
      </c>
      <c r="BK30" s="206">
        <f t="shared" si="3"/>
        <v>0</v>
      </c>
      <c r="BL30" s="206">
        <f t="shared" si="4"/>
        <v>0</v>
      </c>
    </row>
    <row r="31" spans="1:64" ht="12.75" x14ac:dyDescent="0.2">
      <c r="A31" s="89"/>
      <c r="B31" s="684" t="s">
        <v>10205</v>
      </c>
      <c r="C31" s="685"/>
      <c r="D31" s="685"/>
      <c r="E31" s="685"/>
      <c r="F31" s="685"/>
      <c r="G31" s="685"/>
      <c r="H31" s="685"/>
      <c r="I31" s="685"/>
      <c r="J31" s="685"/>
      <c r="K31" s="685"/>
      <c r="L31" s="685"/>
      <c r="M31" s="685"/>
      <c r="N31" s="685"/>
      <c r="O31" s="685"/>
      <c r="P31" s="685"/>
      <c r="Q31" s="685"/>
      <c r="R31" s="685"/>
      <c r="S31" s="685"/>
      <c r="T31" s="685"/>
      <c r="U31" s="686"/>
      <c r="V31" s="324"/>
      <c r="W31" s="324"/>
      <c r="X31" s="324"/>
      <c r="Y31" s="718" t="s">
        <v>10156</v>
      </c>
      <c r="Z31" s="719"/>
      <c r="AA31" s="74"/>
      <c r="AB31" s="77"/>
      <c r="AC31" s="736" t="s">
        <v>8807</v>
      </c>
      <c r="AD31" s="737"/>
      <c r="AE31" s="737"/>
      <c r="AF31" s="737"/>
      <c r="AG31" s="737"/>
      <c r="AH31" s="737"/>
      <c r="AI31" s="737"/>
      <c r="AJ31" s="737"/>
      <c r="AK31" s="737"/>
      <c r="AL31" s="737"/>
      <c r="AM31" s="737"/>
      <c r="AN31" s="737"/>
      <c r="AO31" s="737"/>
      <c r="AP31" s="737"/>
      <c r="AQ31" s="737"/>
      <c r="AR31" s="737"/>
      <c r="AS31" s="738"/>
      <c r="AT31" s="728"/>
      <c r="AU31" s="728"/>
      <c r="AV31" s="729"/>
      <c r="AW31" s="729"/>
      <c r="AX31" s="729"/>
      <c r="AY31" s="729"/>
      <c r="AZ31" s="729"/>
      <c r="BA31" s="735"/>
      <c r="BB31" s="74"/>
      <c r="BD31" s="268">
        <f t="shared" si="5"/>
        <v>0</v>
      </c>
      <c r="BE31" s="268">
        <f t="shared" si="6"/>
        <v>1</v>
      </c>
      <c r="BF31" s="268" t="str">
        <f t="shared" si="7"/>
        <v>X</v>
      </c>
      <c r="BH31" s="206">
        <f t="shared" si="0"/>
        <v>0</v>
      </c>
      <c r="BI31" s="206">
        <f t="shared" si="1"/>
        <v>0</v>
      </c>
      <c r="BJ31" s="206">
        <f t="shared" si="2"/>
        <v>0</v>
      </c>
      <c r="BK31" s="206">
        <f t="shared" si="3"/>
        <v>0</v>
      </c>
      <c r="BL31" s="206">
        <f t="shared" si="4"/>
        <v>0</v>
      </c>
    </row>
    <row r="32" spans="1:64" ht="12" x14ac:dyDescent="0.2">
      <c r="A32" s="89"/>
      <c r="B32" s="720" t="s">
        <v>8800</v>
      </c>
      <c r="C32" s="721"/>
      <c r="D32" s="746"/>
      <c r="E32" s="746"/>
      <c r="F32" s="746"/>
      <c r="G32" s="746"/>
      <c r="H32" s="746"/>
      <c r="I32" s="746"/>
      <c r="J32" s="746"/>
      <c r="K32" s="746"/>
      <c r="L32" s="746"/>
      <c r="M32" s="746"/>
      <c r="N32" s="746"/>
      <c r="O32" s="746"/>
      <c r="P32" s="746"/>
      <c r="Q32" s="746"/>
      <c r="R32" s="746"/>
      <c r="S32" s="746"/>
      <c r="T32" s="746"/>
      <c r="U32" s="747"/>
      <c r="V32" s="756" t="s">
        <v>10207</v>
      </c>
      <c r="W32" s="756"/>
      <c r="X32" s="756"/>
      <c r="Y32" s="756">
        <f>BD32</f>
        <v>0</v>
      </c>
      <c r="Z32" s="757"/>
      <c r="AA32" s="74"/>
      <c r="AB32" s="77"/>
      <c r="AC32" s="736" t="s">
        <v>8808</v>
      </c>
      <c r="AD32" s="737"/>
      <c r="AE32" s="737"/>
      <c r="AF32" s="737"/>
      <c r="AG32" s="737"/>
      <c r="AH32" s="737"/>
      <c r="AI32" s="737"/>
      <c r="AJ32" s="737"/>
      <c r="AK32" s="737"/>
      <c r="AL32" s="737"/>
      <c r="AM32" s="737"/>
      <c r="AN32" s="737"/>
      <c r="AO32" s="737"/>
      <c r="AP32" s="737"/>
      <c r="AQ32" s="737"/>
      <c r="AR32" s="737"/>
      <c r="AS32" s="738"/>
      <c r="AT32" s="728"/>
      <c r="AU32" s="728"/>
      <c r="AV32" s="729"/>
      <c r="AW32" s="729"/>
      <c r="AX32" s="729"/>
      <c r="AY32" s="729"/>
      <c r="AZ32" s="729"/>
      <c r="BA32" s="735"/>
      <c r="BB32" s="74"/>
      <c r="BD32" s="269">
        <f>SUM(BD27:BD31)</f>
        <v>0</v>
      </c>
      <c r="BE32" s="269"/>
      <c r="BF32" s="269" t="str">
        <f>IFERROR(AVERAGE(BF27:BF31),"0")</f>
        <v>0</v>
      </c>
      <c r="BH32" s="206">
        <f t="shared" ref="BH32:BH37" si="8">AE11</f>
        <v>0</v>
      </c>
      <c r="BI32" s="206">
        <f t="shared" ref="BI32:BI37" si="9">AN11</f>
        <v>0</v>
      </c>
      <c r="BJ32" s="206">
        <f t="shared" ref="BJ32:BJ37" si="10">AS11</f>
        <v>0</v>
      </c>
      <c r="BK32" s="206">
        <f t="shared" ref="BK32:BK37" si="11">AV11</f>
        <v>0</v>
      </c>
      <c r="BL32" s="206">
        <f t="shared" ref="BL32:BL37" si="12">AY11</f>
        <v>0</v>
      </c>
    </row>
    <row r="33" spans="1:64" s="92" customFormat="1" ht="12" x14ac:dyDescent="0.2">
      <c r="A33" s="89"/>
      <c r="B33" s="789"/>
      <c r="C33" s="790"/>
      <c r="D33" s="748"/>
      <c r="E33" s="748"/>
      <c r="F33" s="748"/>
      <c r="G33" s="748"/>
      <c r="H33" s="748"/>
      <c r="I33" s="748"/>
      <c r="J33" s="748"/>
      <c r="K33" s="748"/>
      <c r="L33" s="748"/>
      <c r="M33" s="748"/>
      <c r="N33" s="748"/>
      <c r="O33" s="748"/>
      <c r="P33" s="748"/>
      <c r="Q33" s="748"/>
      <c r="R33" s="748"/>
      <c r="S33" s="748"/>
      <c r="T33" s="748"/>
      <c r="U33" s="749"/>
      <c r="V33" s="756" t="s">
        <v>10208</v>
      </c>
      <c r="W33" s="756"/>
      <c r="X33" s="756"/>
      <c r="Y33" s="758" t="str">
        <f>BF32</f>
        <v>0</v>
      </c>
      <c r="Z33" s="759"/>
      <c r="AA33" s="74"/>
      <c r="AB33" s="77"/>
      <c r="AC33" s="736" t="s">
        <v>8809</v>
      </c>
      <c r="AD33" s="737"/>
      <c r="AE33" s="737"/>
      <c r="AF33" s="737"/>
      <c r="AG33" s="737"/>
      <c r="AH33" s="737"/>
      <c r="AI33" s="737"/>
      <c r="AJ33" s="737"/>
      <c r="AK33" s="737"/>
      <c r="AL33" s="737"/>
      <c r="AM33" s="737"/>
      <c r="AN33" s="737"/>
      <c r="AO33" s="737"/>
      <c r="AP33" s="737"/>
      <c r="AQ33" s="737"/>
      <c r="AR33" s="737"/>
      <c r="AS33" s="738"/>
      <c r="AT33" s="728"/>
      <c r="AU33" s="728"/>
      <c r="AV33" s="729"/>
      <c r="AW33" s="729"/>
      <c r="AX33" s="729"/>
      <c r="AY33" s="729"/>
      <c r="AZ33" s="729"/>
      <c r="BA33" s="735"/>
      <c r="BB33" s="91"/>
      <c r="BD33" s="270"/>
      <c r="BE33" s="270"/>
      <c r="BF33" s="270"/>
      <c r="BH33" s="206">
        <f t="shared" si="8"/>
        <v>0</v>
      </c>
      <c r="BI33" s="206">
        <f t="shared" si="9"/>
        <v>0</v>
      </c>
      <c r="BJ33" s="206">
        <f t="shared" si="10"/>
        <v>0</v>
      </c>
      <c r="BK33" s="206">
        <f t="shared" si="11"/>
        <v>0</v>
      </c>
      <c r="BL33" s="206">
        <f t="shared" si="12"/>
        <v>0</v>
      </c>
    </row>
    <row r="34" spans="1:64" ht="15" x14ac:dyDescent="0.2">
      <c r="A34" s="89"/>
      <c r="B34" s="730" t="s">
        <v>8814</v>
      </c>
      <c r="C34" s="731"/>
      <c r="D34" s="731"/>
      <c r="E34" s="731"/>
      <c r="F34" s="731"/>
      <c r="G34" s="731"/>
      <c r="H34" s="731"/>
      <c r="I34" s="731"/>
      <c r="J34" s="731"/>
      <c r="K34" s="731"/>
      <c r="L34" s="731"/>
      <c r="M34" s="731"/>
      <c r="N34" s="731"/>
      <c r="O34" s="731"/>
      <c r="P34" s="731"/>
      <c r="Q34" s="731"/>
      <c r="R34" s="731"/>
      <c r="S34" s="731"/>
      <c r="T34" s="731"/>
      <c r="U34" s="732"/>
      <c r="V34" s="93" t="s">
        <v>797</v>
      </c>
      <c r="W34" s="93" t="s">
        <v>7833</v>
      </c>
      <c r="X34" s="93" t="s">
        <v>7834</v>
      </c>
      <c r="Y34" s="733" t="s">
        <v>8805</v>
      </c>
      <c r="Z34" s="734"/>
      <c r="AA34" s="74"/>
      <c r="AB34" s="77"/>
      <c r="AC34" s="736" t="s">
        <v>8811</v>
      </c>
      <c r="AD34" s="737"/>
      <c r="AE34" s="737"/>
      <c r="AF34" s="737"/>
      <c r="AG34" s="737"/>
      <c r="AH34" s="737"/>
      <c r="AI34" s="737"/>
      <c r="AJ34" s="737"/>
      <c r="AK34" s="737"/>
      <c r="AL34" s="737"/>
      <c r="AM34" s="737"/>
      <c r="AN34" s="737"/>
      <c r="AO34" s="737"/>
      <c r="AP34" s="737"/>
      <c r="AQ34" s="737"/>
      <c r="AR34" s="737"/>
      <c r="AS34" s="738"/>
      <c r="AT34" s="728"/>
      <c r="AU34" s="728"/>
      <c r="AV34" s="729"/>
      <c r="AW34" s="729"/>
      <c r="AX34" s="729"/>
      <c r="AY34" s="729"/>
      <c r="AZ34" s="729"/>
      <c r="BA34" s="735"/>
      <c r="BB34" s="74"/>
      <c r="BD34" s="268" t="s">
        <v>10209</v>
      </c>
      <c r="BE34" s="268" t="s">
        <v>10210</v>
      </c>
      <c r="BF34" s="268" t="s">
        <v>10206</v>
      </c>
      <c r="BH34" s="206">
        <f t="shared" si="8"/>
        <v>0</v>
      </c>
      <c r="BI34" s="206">
        <f t="shared" si="9"/>
        <v>0</v>
      </c>
      <c r="BJ34" s="206">
        <f t="shared" si="10"/>
        <v>0</v>
      </c>
      <c r="BK34" s="206">
        <f t="shared" si="11"/>
        <v>0</v>
      </c>
      <c r="BL34" s="206">
        <f t="shared" si="12"/>
        <v>0</v>
      </c>
    </row>
    <row r="35" spans="1:64" ht="15" x14ac:dyDescent="0.2">
      <c r="A35" s="74"/>
      <c r="B35" s="715" t="s">
        <v>8815</v>
      </c>
      <c r="C35" s="716"/>
      <c r="D35" s="716"/>
      <c r="E35" s="716"/>
      <c r="F35" s="716"/>
      <c r="G35" s="716"/>
      <c r="H35" s="716"/>
      <c r="I35" s="716"/>
      <c r="J35" s="716"/>
      <c r="K35" s="716"/>
      <c r="L35" s="716"/>
      <c r="M35" s="716"/>
      <c r="N35" s="716"/>
      <c r="O35" s="716"/>
      <c r="P35" s="716"/>
      <c r="Q35" s="716"/>
      <c r="R35" s="716"/>
      <c r="S35" s="716"/>
      <c r="T35" s="716"/>
      <c r="U35" s="717"/>
      <c r="V35" s="324"/>
      <c r="W35" s="324"/>
      <c r="X35" s="324"/>
      <c r="Y35" s="718" t="s">
        <v>8816</v>
      </c>
      <c r="Z35" s="719"/>
      <c r="AA35" s="74"/>
      <c r="AB35" s="77"/>
      <c r="AC35" s="760" t="s">
        <v>8812</v>
      </c>
      <c r="AD35" s="761"/>
      <c r="AE35" s="761"/>
      <c r="AF35" s="761"/>
      <c r="AG35" s="761"/>
      <c r="AH35" s="761"/>
      <c r="AI35" s="761"/>
      <c r="AJ35" s="761"/>
      <c r="AK35" s="761"/>
      <c r="AL35" s="761"/>
      <c r="AM35" s="761"/>
      <c r="AN35" s="761"/>
      <c r="AO35" s="761"/>
      <c r="AP35" s="761"/>
      <c r="AQ35" s="761"/>
      <c r="AR35" s="761"/>
      <c r="AS35" s="762"/>
      <c r="AT35" s="728"/>
      <c r="AU35" s="728"/>
      <c r="AV35" s="729"/>
      <c r="AW35" s="729"/>
      <c r="AX35" s="729"/>
      <c r="AY35" s="729"/>
      <c r="AZ35" s="729"/>
      <c r="BA35" s="735"/>
      <c r="BB35" s="74"/>
      <c r="BD35" s="266">
        <f t="shared" ref="BD35:BD45" si="13">IF(ISTEXT(W35),BE35,0)</f>
        <v>0</v>
      </c>
      <c r="BE35" s="266">
        <f t="shared" ref="BE35:BE45" si="14">IF(Y35="ALTA",3,IF(Y35="MEDIA",2,IF(Y35="BAJA",1,0)))</f>
        <v>3</v>
      </c>
      <c r="BF35" s="266" t="str">
        <f t="shared" ref="BF35:BF45" si="15">IF(ISTEXT(V35),1,IF(BD35&gt;0,0,"X"))</f>
        <v>X</v>
      </c>
      <c r="BH35" s="206">
        <f t="shared" si="8"/>
        <v>0</v>
      </c>
      <c r="BI35" s="206">
        <f t="shared" si="9"/>
        <v>0</v>
      </c>
      <c r="BJ35" s="206">
        <f t="shared" si="10"/>
        <v>0</v>
      </c>
      <c r="BK35" s="206">
        <f t="shared" si="11"/>
        <v>0</v>
      </c>
      <c r="BL35" s="206">
        <f t="shared" si="12"/>
        <v>0</v>
      </c>
    </row>
    <row r="36" spans="1:64" ht="15" x14ac:dyDescent="0.2">
      <c r="A36" s="91"/>
      <c r="B36" s="715" t="s">
        <v>8817</v>
      </c>
      <c r="C36" s="716"/>
      <c r="D36" s="716"/>
      <c r="E36" s="716"/>
      <c r="F36" s="716"/>
      <c r="G36" s="716"/>
      <c r="H36" s="716"/>
      <c r="I36" s="716"/>
      <c r="J36" s="716"/>
      <c r="K36" s="716"/>
      <c r="L36" s="716"/>
      <c r="M36" s="716"/>
      <c r="N36" s="716"/>
      <c r="O36" s="716"/>
      <c r="P36" s="716"/>
      <c r="Q36" s="716"/>
      <c r="R36" s="716"/>
      <c r="S36" s="716"/>
      <c r="T36" s="716"/>
      <c r="U36" s="717"/>
      <c r="V36" s="324"/>
      <c r="W36" s="324"/>
      <c r="X36" s="324"/>
      <c r="Y36" s="718" t="s">
        <v>8810</v>
      </c>
      <c r="Z36" s="719"/>
      <c r="AA36" s="74"/>
      <c r="AB36" s="77"/>
      <c r="AC36" s="760" t="s">
        <v>8813</v>
      </c>
      <c r="AD36" s="761"/>
      <c r="AE36" s="761"/>
      <c r="AF36" s="761"/>
      <c r="AG36" s="761"/>
      <c r="AH36" s="761"/>
      <c r="AI36" s="761"/>
      <c r="AJ36" s="761"/>
      <c r="AK36" s="761"/>
      <c r="AL36" s="761"/>
      <c r="AM36" s="761"/>
      <c r="AN36" s="761"/>
      <c r="AO36" s="761"/>
      <c r="AP36" s="761"/>
      <c r="AQ36" s="761"/>
      <c r="AR36" s="761"/>
      <c r="AS36" s="762"/>
      <c r="AT36" s="728"/>
      <c r="AU36" s="728"/>
      <c r="AV36" s="729"/>
      <c r="AW36" s="729"/>
      <c r="AX36" s="729"/>
      <c r="AY36" s="729"/>
      <c r="AZ36" s="729"/>
      <c r="BA36" s="735"/>
      <c r="BB36" s="74"/>
      <c r="BD36" s="266">
        <f t="shared" si="13"/>
        <v>0</v>
      </c>
      <c r="BE36" s="266">
        <f t="shared" si="14"/>
        <v>2</v>
      </c>
      <c r="BF36" s="266" t="str">
        <f t="shared" si="15"/>
        <v>X</v>
      </c>
      <c r="BH36" s="206">
        <f t="shared" si="8"/>
        <v>0</v>
      </c>
      <c r="BI36" s="206">
        <f t="shared" si="9"/>
        <v>0</v>
      </c>
      <c r="BJ36" s="206">
        <f t="shared" si="10"/>
        <v>0</v>
      </c>
      <c r="BK36" s="206">
        <f t="shared" si="11"/>
        <v>0</v>
      </c>
      <c r="BL36" s="206">
        <f t="shared" si="12"/>
        <v>0</v>
      </c>
    </row>
    <row r="37" spans="1:64" ht="15" x14ac:dyDescent="0.2">
      <c r="A37" s="74"/>
      <c r="B37" s="715" t="s">
        <v>8819</v>
      </c>
      <c r="C37" s="716"/>
      <c r="D37" s="716"/>
      <c r="E37" s="716"/>
      <c r="F37" s="716"/>
      <c r="G37" s="716"/>
      <c r="H37" s="716"/>
      <c r="I37" s="716"/>
      <c r="J37" s="716"/>
      <c r="K37" s="716"/>
      <c r="L37" s="716"/>
      <c r="M37" s="716"/>
      <c r="N37" s="716"/>
      <c r="O37" s="716"/>
      <c r="P37" s="716"/>
      <c r="Q37" s="716"/>
      <c r="R37" s="716"/>
      <c r="S37" s="716"/>
      <c r="T37" s="716"/>
      <c r="U37" s="717"/>
      <c r="V37" s="324"/>
      <c r="W37" s="324"/>
      <c r="X37" s="324"/>
      <c r="Y37" s="718" t="s">
        <v>8816</v>
      </c>
      <c r="Z37" s="719"/>
      <c r="AA37" s="91"/>
      <c r="AB37" s="77"/>
      <c r="AC37" s="760" t="s">
        <v>10350</v>
      </c>
      <c r="AD37" s="761"/>
      <c r="AE37" s="761"/>
      <c r="AF37" s="761"/>
      <c r="AG37" s="761"/>
      <c r="AH37" s="761"/>
      <c r="AI37" s="761"/>
      <c r="AJ37" s="761"/>
      <c r="AK37" s="761"/>
      <c r="AL37" s="761"/>
      <c r="AM37" s="761"/>
      <c r="AN37" s="761"/>
      <c r="AO37" s="761"/>
      <c r="AP37" s="761"/>
      <c r="AQ37" s="761"/>
      <c r="AR37" s="761"/>
      <c r="AS37" s="762"/>
      <c r="AT37" s="728"/>
      <c r="AU37" s="728"/>
      <c r="AV37" s="729"/>
      <c r="AW37" s="729"/>
      <c r="AX37" s="729"/>
      <c r="AY37" s="729"/>
      <c r="AZ37" s="729"/>
      <c r="BA37" s="735"/>
      <c r="BB37" s="74"/>
      <c r="BD37" s="266">
        <f>IF(ISTEXT(W37),BE37,0)</f>
        <v>0</v>
      </c>
      <c r="BE37" s="266">
        <f>IF(Y37="ALTA",3,IF(Y37="MEDIA",2,IF(Y37="BAJA",1,0)))</f>
        <v>3</v>
      </c>
      <c r="BF37" s="266" t="str">
        <f>IF(ISTEXT(V37),1,IF(BD37&gt;0,0,"X"))</f>
        <v>X</v>
      </c>
      <c r="BH37" s="206">
        <f t="shared" si="8"/>
        <v>0</v>
      </c>
      <c r="BI37" s="206">
        <f t="shared" si="9"/>
        <v>0</v>
      </c>
      <c r="BJ37" s="206">
        <f t="shared" si="10"/>
        <v>0</v>
      </c>
      <c r="BK37" s="206">
        <f t="shared" si="11"/>
        <v>0</v>
      </c>
      <c r="BL37" s="206">
        <f t="shared" si="12"/>
        <v>0</v>
      </c>
    </row>
    <row r="38" spans="1:64" ht="15" customHeight="1" x14ac:dyDescent="0.2">
      <c r="A38" s="74"/>
      <c r="B38" s="715" t="s">
        <v>10119</v>
      </c>
      <c r="C38" s="716"/>
      <c r="D38" s="716"/>
      <c r="E38" s="716"/>
      <c r="F38" s="716"/>
      <c r="G38" s="716"/>
      <c r="H38" s="716"/>
      <c r="I38" s="716"/>
      <c r="J38" s="716"/>
      <c r="K38" s="716"/>
      <c r="L38" s="716"/>
      <c r="M38" s="716"/>
      <c r="N38" s="716"/>
      <c r="O38" s="716"/>
      <c r="P38" s="716"/>
      <c r="Q38" s="716"/>
      <c r="R38" s="716"/>
      <c r="S38" s="716"/>
      <c r="T38" s="716"/>
      <c r="U38" s="717"/>
      <c r="V38" s="324"/>
      <c r="W38" s="324"/>
      <c r="X38" s="324"/>
      <c r="Y38" s="718" t="s">
        <v>8810</v>
      </c>
      <c r="Z38" s="719"/>
      <c r="AA38" s="74"/>
      <c r="AB38" s="77"/>
      <c r="AC38" s="720" t="s">
        <v>8800</v>
      </c>
      <c r="AD38" s="721"/>
      <c r="AE38" s="724"/>
      <c r="AF38" s="724"/>
      <c r="AG38" s="724"/>
      <c r="AH38" s="724"/>
      <c r="AI38" s="724"/>
      <c r="AJ38" s="724"/>
      <c r="AK38" s="724"/>
      <c r="AL38" s="724"/>
      <c r="AM38" s="724"/>
      <c r="AN38" s="724"/>
      <c r="AO38" s="724"/>
      <c r="AP38" s="724"/>
      <c r="AQ38" s="724"/>
      <c r="AR38" s="724"/>
      <c r="AS38" s="724"/>
      <c r="AT38" s="724"/>
      <c r="AU38" s="724"/>
      <c r="AV38" s="724"/>
      <c r="AW38" s="724"/>
      <c r="AX38" s="724"/>
      <c r="AY38" s="724"/>
      <c r="AZ38" s="724"/>
      <c r="BA38" s="725"/>
      <c r="BB38" s="74"/>
      <c r="BD38" s="266">
        <f>IF(ISTEXT(W38),BE38,0)</f>
        <v>0</v>
      </c>
      <c r="BE38" s="266">
        <f>IF(Y38="ALTA",3,IF(Y38="MEDIA",2,IF(Y38="BAJA",1,0)))</f>
        <v>2</v>
      </c>
      <c r="BF38" s="266" t="str">
        <f>IF(ISTEXT(V38),1,IF(BD38&gt;0,0,"X"))</f>
        <v>X</v>
      </c>
      <c r="BH38" s="206">
        <f t="shared" ref="BH38:BH43" si="16">AG11</f>
        <v>0</v>
      </c>
      <c r="BI38" s="206">
        <f t="shared" ref="BI38:BI43" si="17">AN11</f>
        <v>0</v>
      </c>
      <c r="BJ38" s="206">
        <f t="shared" ref="BJ38:BJ43" si="18">AS11</f>
        <v>0</v>
      </c>
      <c r="BK38" s="206">
        <f t="shared" ref="BK38:BK43" si="19">AV11</f>
        <v>0</v>
      </c>
      <c r="BL38" s="206">
        <f t="shared" ref="BL38:BL43" si="20">AY11</f>
        <v>0</v>
      </c>
    </row>
    <row r="39" spans="1:64" ht="15.75" thickBot="1" x14ac:dyDescent="0.25">
      <c r="A39" s="74"/>
      <c r="B39" s="715" t="s">
        <v>10082</v>
      </c>
      <c r="C39" s="716"/>
      <c r="D39" s="716"/>
      <c r="E39" s="716"/>
      <c r="F39" s="716"/>
      <c r="G39" s="716"/>
      <c r="H39" s="716"/>
      <c r="I39" s="716"/>
      <c r="J39" s="716"/>
      <c r="K39" s="716"/>
      <c r="L39" s="716"/>
      <c r="M39" s="716"/>
      <c r="N39" s="716"/>
      <c r="O39" s="716"/>
      <c r="P39" s="716"/>
      <c r="Q39" s="716"/>
      <c r="R39" s="716"/>
      <c r="S39" s="716"/>
      <c r="T39" s="716"/>
      <c r="U39" s="717"/>
      <c r="V39" s="324"/>
      <c r="W39" s="324"/>
      <c r="X39" s="324"/>
      <c r="Y39" s="718" t="s">
        <v>8816</v>
      </c>
      <c r="Z39" s="719"/>
      <c r="AA39" s="74"/>
      <c r="AB39" s="77"/>
      <c r="AC39" s="722"/>
      <c r="AD39" s="723"/>
      <c r="AE39" s="726"/>
      <c r="AF39" s="726"/>
      <c r="AG39" s="726"/>
      <c r="AH39" s="726"/>
      <c r="AI39" s="726"/>
      <c r="AJ39" s="726"/>
      <c r="AK39" s="726"/>
      <c r="AL39" s="726"/>
      <c r="AM39" s="726"/>
      <c r="AN39" s="726"/>
      <c r="AO39" s="726"/>
      <c r="AP39" s="726"/>
      <c r="AQ39" s="726"/>
      <c r="AR39" s="726"/>
      <c r="AS39" s="726"/>
      <c r="AT39" s="726"/>
      <c r="AU39" s="726"/>
      <c r="AV39" s="726"/>
      <c r="AW39" s="726"/>
      <c r="AX39" s="726"/>
      <c r="AY39" s="726"/>
      <c r="AZ39" s="726"/>
      <c r="BA39" s="727"/>
      <c r="BB39" s="74"/>
      <c r="BD39" s="266">
        <f t="shared" si="13"/>
        <v>0</v>
      </c>
      <c r="BE39" s="266">
        <f t="shared" si="14"/>
        <v>3</v>
      </c>
      <c r="BF39" s="266" t="str">
        <f t="shared" si="15"/>
        <v>X</v>
      </c>
      <c r="BH39" s="206">
        <f t="shared" si="16"/>
        <v>0</v>
      </c>
      <c r="BI39" s="206">
        <f t="shared" si="17"/>
        <v>0</v>
      </c>
      <c r="BJ39" s="206">
        <f t="shared" si="18"/>
        <v>0</v>
      </c>
      <c r="BK39" s="206">
        <f t="shared" si="19"/>
        <v>0</v>
      </c>
      <c r="BL39" s="206">
        <f t="shared" si="20"/>
        <v>0</v>
      </c>
    </row>
    <row r="40" spans="1:64" ht="15.75" thickTop="1" x14ac:dyDescent="0.2">
      <c r="A40" s="89"/>
      <c r="B40" s="715" t="s">
        <v>10222</v>
      </c>
      <c r="C40" s="716"/>
      <c r="D40" s="716"/>
      <c r="E40" s="716"/>
      <c r="F40" s="716"/>
      <c r="G40" s="716"/>
      <c r="H40" s="716"/>
      <c r="I40" s="716"/>
      <c r="J40" s="716"/>
      <c r="K40" s="716"/>
      <c r="L40" s="716"/>
      <c r="M40" s="716"/>
      <c r="N40" s="716"/>
      <c r="O40" s="716"/>
      <c r="P40" s="716"/>
      <c r="Q40" s="716"/>
      <c r="R40" s="716"/>
      <c r="S40" s="716"/>
      <c r="T40" s="716"/>
      <c r="U40" s="717"/>
      <c r="V40" s="324"/>
      <c r="W40" s="324"/>
      <c r="X40" s="324"/>
      <c r="Y40" s="718" t="s">
        <v>8810</v>
      </c>
      <c r="Z40" s="719"/>
      <c r="AA40" s="74"/>
      <c r="AB40" s="77"/>
      <c r="AC40" s="787" t="s">
        <v>8818</v>
      </c>
      <c r="AD40" s="679"/>
      <c r="AE40" s="679"/>
      <c r="AF40" s="679"/>
      <c r="AG40" s="679"/>
      <c r="AH40" s="679"/>
      <c r="AI40" s="679"/>
      <c r="AJ40" s="679"/>
      <c r="AK40" s="679"/>
      <c r="AL40" s="679"/>
      <c r="AM40" s="679"/>
      <c r="AN40" s="679"/>
      <c r="AO40" s="679"/>
      <c r="AP40" s="679"/>
      <c r="AQ40" s="679"/>
      <c r="AR40" s="679"/>
      <c r="AS40" s="679"/>
      <c r="AT40" s="679"/>
      <c r="AU40" s="679"/>
      <c r="AV40" s="679"/>
      <c r="AW40" s="679"/>
      <c r="AX40" s="679"/>
      <c r="AY40" s="679"/>
      <c r="AZ40" s="679"/>
      <c r="BA40" s="788"/>
      <c r="BB40" s="74"/>
      <c r="BD40" s="266">
        <f t="shared" si="13"/>
        <v>0</v>
      </c>
      <c r="BE40" s="266">
        <f t="shared" si="14"/>
        <v>2</v>
      </c>
      <c r="BF40" s="266" t="str">
        <f t="shared" si="15"/>
        <v>X</v>
      </c>
      <c r="BH40" s="206">
        <f t="shared" si="16"/>
        <v>0</v>
      </c>
      <c r="BI40" s="206">
        <f t="shared" si="17"/>
        <v>0</v>
      </c>
      <c r="BJ40" s="206">
        <f t="shared" si="18"/>
        <v>0</v>
      </c>
      <c r="BK40" s="206">
        <f t="shared" si="19"/>
        <v>0</v>
      </c>
      <c r="BL40" s="206">
        <f t="shared" si="20"/>
        <v>0</v>
      </c>
    </row>
    <row r="41" spans="1:64" ht="15" x14ac:dyDescent="0.2">
      <c r="A41" s="89"/>
      <c r="B41" s="778" t="s">
        <v>10326</v>
      </c>
      <c r="C41" s="779"/>
      <c r="D41" s="779"/>
      <c r="E41" s="779"/>
      <c r="F41" s="779"/>
      <c r="G41" s="779"/>
      <c r="H41" s="779"/>
      <c r="I41" s="779"/>
      <c r="J41" s="779"/>
      <c r="K41" s="779"/>
      <c r="L41" s="779"/>
      <c r="M41" s="779"/>
      <c r="N41" s="779"/>
      <c r="O41" s="779"/>
      <c r="P41" s="779"/>
      <c r="Q41" s="779"/>
      <c r="R41" s="779"/>
      <c r="S41" s="779"/>
      <c r="T41" s="779"/>
      <c r="U41" s="780"/>
      <c r="V41" s="324"/>
      <c r="W41" s="324"/>
      <c r="X41" s="324"/>
      <c r="Y41" s="718" t="s">
        <v>8810</v>
      </c>
      <c r="Z41" s="719"/>
      <c r="AA41" s="74"/>
      <c r="AB41" s="77"/>
      <c r="AC41" s="781"/>
      <c r="AD41" s="782"/>
      <c r="AE41" s="782"/>
      <c r="AF41" s="782"/>
      <c r="AG41" s="782"/>
      <c r="AH41" s="782"/>
      <c r="AI41" s="782"/>
      <c r="AJ41" s="782"/>
      <c r="AK41" s="782"/>
      <c r="AL41" s="782"/>
      <c r="AM41" s="782"/>
      <c r="AN41" s="782"/>
      <c r="AO41" s="782"/>
      <c r="AP41" s="782"/>
      <c r="AQ41" s="782"/>
      <c r="AR41" s="782"/>
      <c r="AS41" s="782"/>
      <c r="AT41" s="782"/>
      <c r="AU41" s="782"/>
      <c r="AV41" s="782"/>
      <c r="AW41" s="782"/>
      <c r="AX41" s="782"/>
      <c r="AY41" s="782"/>
      <c r="AZ41" s="782"/>
      <c r="BA41" s="783"/>
      <c r="BB41" s="74"/>
      <c r="BD41" s="266">
        <f t="shared" si="13"/>
        <v>0</v>
      </c>
      <c r="BE41" s="266">
        <f t="shared" si="14"/>
        <v>2</v>
      </c>
      <c r="BF41" s="266" t="str">
        <f t="shared" si="15"/>
        <v>X</v>
      </c>
      <c r="BH41" s="206">
        <f t="shared" si="16"/>
        <v>0</v>
      </c>
      <c r="BI41" s="206">
        <f t="shared" si="17"/>
        <v>0</v>
      </c>
      <c r="BJ41" s="206">
        <f t="shared" si="18"/>
        <v>0</v>
      </c>
      <c r="BK41" s="206">
        <f t="shared" si="19"/>
        <v>0</v>
      </c>
      <c r="BL41" s="206">
        <f t="shared" si="20"/>
        <v>0</v>
      </c>
    </row>
    <row r="42" spans="1:64" ht="15" customHeight="1" x14ac:dyDescent="0.2">
      <c r="A42" s="89"/>
      <c r="B42" s="775" t="s">
        <v>10095</v>
      </c>
      <c r="C42" s="776"/>
      <c r="D42" s="776"/>
      <c r="E42" s="776"/>
      <c r="F42" s="776"/>
      <c r="G42" s="776"/>
      <c r="H42" s="776"/>
      <c r="I42" s="776"/>
      <c r="J42" s="776"/>
      <c r="K42" s="776"/>
      <c r="L42" s="776"/>
      <c r="M42" s="776"/>
      <c r="N42" s="776"/>
      <c r="O42" s="776"/>
      <c r="P42" s="776"/>
      <c r="Q42" s="776"/>
      <c r="R42" s="776"/>
      <c r="S42" s="776"/>
      <c r="T42" s="776"/>
      <c r="U42" s="777"/>
      <c r="V42" s="324"/>
      <c r="W42" s="324"/>
      <c r="X42" s="324"/>
      <c r="Y42" s="718" t="s">
        <v>8810</v>
      </c>
      <c r="Z42" s="719"/>
      <c r="AA42" s="74"/>
      <c r="AB42" s="77"/>
      <c r="AC42" s="781"/>
      <c r="AD42" s="782"/>
      <c r="AE42" s="782"/>
      <c r="AF42" s="782"/>
      <c r="AG42" s="782"/>
      <c r="AH42" s="782"/>
      <c r="AI42" s="782"/>
      <c r="AJ42" s="782"/>
      <c r="AK42" s="782"/>
      <c r="AL42" s="782"/>
      <c r="AM42" s="782"/>
      <c r="AN42" s="782"/>
      <c r="AO42" s="782"/>
      <c r="AP42" s="782"/>
      <c r="AQ42" s="782"/>
      <c r="AR42" s="782"/>
      <c r="AS42" s="782"/>
      <c r="AT42" s="782"/>
      <c r="AU42" s="782"/>
      <c r="AV42" s="782"/>
      <c r="AW42" s="782"/>
      <c r="AX42" s="782"/>
      <c r="AY42" s="782"/>
      <c r="AZ42" s="782"/>
      <c r="BA42" s="783"/>
      <c r="BB42" s="74"/>
      <c r="BD42" s="266">
        <f t="shared" si="13"/>
        <v>0</v>
      </c>
      <c r="BE42" s="266">
        <f t="shared" si="14"/>
        <v>2</v>
      </c>
      <c r="BF42" s="266" t="str">
        <f t="shared" si="15"/>
        <v>X</v>
      </c>
      <c r="BH42" s="206">
        <f t="shared" si="16"/>
        <v>0</v>
      </c>
      <c r="BI42" s="206">
        <f t="shared" si="17"/>
        <v>0</v>
      </c>
      <c r="BJ42" s="206">
        <f t="shared" si="18"/>
        <v>0</v>
      </c>
      <c r="BK42" s="206">
        <f t="shared" si="19"/>
        <v>0</v>
      </c>
      <c r="BL42" s="206">
        <f t="shared" si="20"/>
        <v>0</v>
      </c>
    </row>
    <row r="43" spans="1:64" ht="15" x14ac:dyDescent="0.2">
      <c r="A43" s="89"/>
      <c r="B43" s="715" t="s">
        <v>8820</v>
      </c>
      <c r="C43" s="716"/>
      <c r="D43" s="716"/>
      <c r="E43" s="716"/>
      <c r="F43" s="716"/>
      <c r="G43" s="716"/>
      <c r="H43" s="716"/>
      <c r="I43" s="716"/>
      <c r="J43" s="716"/>
      <c r="K43" s="716"/>
      <c r="L43" s="716"/>
      <c r="M43" s="716"/>
      <c r="N43" s="716"/>
      <c r="O43" s="716"/>
      <c r="P43" s="716"/>
      <c r="Q43" s="716"/>
      <c r="R43" s="716"/>
      <c r="S43" s="716"/>
      <c r="T43" s="716"/>
      <c r="U43" s="717"/>
      <c r="V43" s="324"/>
      <c r="W43" s="324"/>
      <c r="X43" s="324"/>
      <c r="Y43" s="718" t="s">
        <v>8816</v>
      </c>
      <c r="Z43" s="719"/>
      <c r="AA43" s="74"/>
      <c r="AB43" s="77"/>
      <c r="AC43" s="781"/>
      <c r="AD43" s="782"/>
      <c r="AE43" s="782"/>
      <c r="AF43" s="782"/>
      <c r="AG43" s="782"/>
      <c r="AH43" s="782"/>
      <c r="AI43" s="782"/>
      <c r="AJ43" s="782"/>
      <c r="AK43" s="782"/>
      <c r="AL43" s="782"/>
      <c r="AM43" s="782"/>
      <c r="AN43" s="782"/>
      <c r="AO43" s="782"/>
      <c r="AP43" s="782"/>
      <c r="AQ43" s="782"/>
      <c r="AR43" s="782"/>
      <c r="AS43" s="782"/>
      <c r="AT43" s="782"/>
      <c r="AU43" s="782"/>
      <c r="AV43" s="782"/>
      <c r="AW43" s="782"/>
      <c r="AX43" s="782"/>
      <c r="AY43" s="782"/>
      <c r="AZ43" s="782"/>
      <c r="BA43" s="783"/>
      <c r="BB43" s="74"/>
      <c r="BD43" s="266">
        <f t="shared" si="13"/>
        <v>0</v>
      </c>
      <c r="BE43" s="266">
        <f t="shared" si="14"/>
        <v>3</v>
      </c>
      <c r="BF43" s="266" t="str">
        <f t="shared" si="15"/>
        <v>X</v>
      </c>
      <c r="BH43" s="206">
        <f t="shared" si="16"/>
        <v>0</v>
      </c>
      <c r="BI43" s="206">
        <f t="shared" si="17"/>
        <v>0</v>
      </c>
      <c r="BJ43" s="206">
        <f t="shared" si="18"/>
        <v>0</v>
      </c>
      <c r="BK43" s="206">
        <f t="shared" si="19"/>
        <v>0</v>
      </c>
      <c r="BL43" s="206">
        <f t="shared" si="20"/>
        <v>0</v>
      </c>
    </row>
    <row r="44" spans="1:64" ht="15" x14ac:dyDescent="0.2">
      <c r="A44" s="89"/>
      <c r="B44" s="715" t="s">
        <v>10223</v>
      </c>
      <c r="C44" s="716"/>
      <c r="D44" s="716"/>
      <c r="E44" s="716"/>
      <c r="F44" s="716"/>
      <c r="G44" s="716"/>
      <c r="H44" s="716"/>
      <c r="I44" s="716"/>
      <c r="J44" s="716"/>
      <c r="K44" s="716"/>
      <c r="L44" s="716"/>
      <c r="M44" s="716"/>
      <c r="N44" s="716"/>
      <c r="O44" s="716"/>
      <c r="P44" s="716"/>
      <c r="Q44" s="716"/>
      <c r="R44" s="716"/>
      <c r="S44" s="716"/>
      <c r="T44" s="716"/>
      <c r="U44" s="717"/>
      <c r="V44" s="324"/>
      <c r="W44" s="324"/>
      <c r="X44" s="324"/>
      <c r="Y44" s="718" t="s">
        <v>8810</v>
      </c>
      <c r="Z44" s="719"/>
      <c r="AA44" s="74"/>
      <c r="AB44" s="77"/>
      <c r="AC44" s="781"/>
      <c r="AD44" s="782"/>
      <c r="AE44" s="782"/>
      <c r="AF44" s="782"/>
      <c r="AG44" s="782"/>
      <c r="AH44" s="782"/>
      <c r="AI44" s="782"/>
      <c r="AJ44" s="782"/>
      <c r="AK44" s="782"/>
      <c r="AL44" s="782"/>
      <c r="AM44" s="782"/>
      <c r="AN44" s="782"/>
      <c r="AO44" s="782"/>
      <c r="AP44" s="782"/>
      <c r="AQ44" s="782"/>
      <c r="AR44" s="782"/>
      <c r="AS44" s="782"/>
      <c r="AT44" s="782"/>
      <c r="AU44" s="782"/>
      <c r="AV44" s="782"/>
      <c r="AW44" s="782"/>
      <c r="AX44" s="782"/>
      <c r="AY44" s="782"/>
      <c r="AZ44" s="782"/>
      <c r="BA44" s="783"/>
      <c r="BB44" s="74"/>
      <c r="BD44" s="266">
        <f t="shared" si="13"/>
        <v>0</v>
      </c>
      <c r="BE44" s="266">
        <f t="shared" si="14"/>
        <v>2</v>
      </c>
      <c r="BF44" s="266" t="str">
        <f t="shared" si="15"/>
        <v>X</v>
      </c>
    </row>
    <row r="45" spans="1:64" ht="15" x14ac:dyDescent="0.2">
      <c r="A45" s="89"/>
      <c r="B45" s="715" t="s">
        <v>8821</v>
      </c>
      <c r="C45" s="716"/>
      <c r="D45" s="716"/>
      <c r="E45" s="716"/>
      <c r="F45" s="716"/>
      <c r="G45" s="716"/>
      <c r="H45" s="716"/>
      <c r="I45" s="716"/>
      <c r="J45" s="716"/>
      <c r="K45" s="716"/>
      <c r="L45" s="716"/>
      <c r="M45" s="716"/>
      <c r="N45" s="716"/>
      <c r="O45" s="716"/>
      <c r="P45" s="716"/>
      <c r="Q45" s="716"/>
      <c r="R45" s="716"/>
      <c r="S45" s="716"/>
      <c r="T45" s="716"/>
      <c r="U45" s="717"/>
      <c r="V45" s="324"/>
      <c r="W45" s="324"/>
      <c r="X45" s="324"/>
      <c r="Y45" s="718" t="s">
        <v>8816</v>
      </c>
      <c r="Z45" s="719"/>
      <c r="AA45" s="74"/>
      <c r="AB45" s="77"/>
      <c r="AC45" s="781"/>
      <c r="AD45" s="782"/>
      <c r="AE45" s="782"/>
      <c r="AF45" s="782"/>
      <c r="AG45" s="782"/>
      <c r="AH45" s="782"/>
      <c r="AI45" s="782"/>
      <c r="AJ45" s="782"/>
      <c r="AK45" s="782"/>
      <c r="AL45" s="782"/>
      <c r="AM45" s="782"/>
      <c r="AN45" s="782"/>
      <c r="AO45" s="782"/>
      <c r="AP45" s="782"/>
      <c r="AQ45" s="782"/>
      <c r="AR45" s="782"/>
      <c r="AS45" s="782"/>
      <c r="AT45" s="782"/>
      <c r="AU45" s="782"/>
      <c r="AV45" s="782"/>
      <c r="AW45" s="782"/>
      <c r="AX45" s="782"/>
      <c r="AY45" s="782"/>
      <c r="AZ45" s="782"/>
      <c r="BA45" s="783"/>
      <c r="BB45" s="74"/>
      <c r="BD45" s="266">
        <f t="shared" si="13"/>
        <v>0</v>
      </c>
      <c r="BE45" s="266">
        <f t="shared" si="14"/>
        <v>3</v>
      </c>
      <c r="BF45" s="266" t="str">
        <f t="shared" si="15"/>
        <v>X</v>
      </c>
      <c r="BH45" s="92"/>
      <c r="BI45" s="92"/>
      <c r="BJ45" s="92"/>
      <c r="BK45" s="92"/>
      <c r="BL45" s="92"/>
    </row>
    <row r="46" spans="1:64" ht="15" customHeight="1" x14ac:dyDescent="0.2">
      <c r="A46" s="89"/>
      <c r="B46" s="720" t="s">
        <v>8800</v>
      </c>
      <c r="C46" s="721"/>
      <c r="D46" s="746"/>
      <c r="E46" s="746"/>
      <c r="F46" s="746"/>
      <c r="G46" s="746"/>
      <c r="H46" s="746"/>
      <c r="I46" s="746"/>
      <c r="J46" s="746"/>
      <c r="K46" s="746"/>
      <c r="L46" s="746"/>
      <c r="M46" s="746"/>
      <c r="N46" s="746"/>
      <c r="O46" s="746"/>
      <c r="P46" s="746"/>
      <c r="Q46" s="746"/>
      <c r="R46" s="746"/>
      <c r="S46" s="746"/>
      <c r="T46" s="746"/>
      <c r="U46" s="747"/>
      <c r="V46" s="756" t="s">
        <v>10207</v>
      </c>
      <c r="W46" s="756"/>
      <c r="X46" s="756"/>
      <c r="Y46" s="756">
        <f>BD46</f>
        <v>0</v>
      </c>
      <c r="Z46" s="757"/>
      <c r="AA46" s="74"/>
      <c r="AB46" s="77"/>
      <c r="AC46" s="781"/>
      <c r="AD46" s="782"/>
      <c r="AE46" s="782"/>
      <c r="AF46" s="782"/>
      <c r="AG46" s="782"/>
      <c r="AH46" s="782"/>
      <c r="AI46" s="782"/>
      <c r="AJ46" s="782"/>
      <c r="AK46" s="782"/>
      <c r="AL46" s="782"/>
      <c r="AM46" s="782"/>
      <c r="AN46" s="782"/>
      <c r="AO46" s="782"/>
      <c r="AP46" s="782"/>
      <c r="AQ46" s="782"/>
      <c r="AR46" s="782"/>
      <c r="AS46" s="782"/>
      <c r="AT46" s="782"/>
      <c r="AU46" s="782"/>
      <c r="AV46" s="782"/>
      <c r="AW46" s="782"/>
      <c r="AX46" s="782"/>
      <c r="AY46" s="782"/>
      <c r="AZ46" s="782"/>
      <c r="BA46" s="783"/>
      <c r="BB46" s="74"/>
      <c r="BD46" s="267">
        <f>SUM(BD35:BD45)</f>
        <v>0</v>
      </c>
      <c r="BE46" s="267"/>
      <c r="BF46" s="267" t="str">
        <f>IFERROR(AVERAGE(BF35:BF45),"0")</f>
        <v>0</v>
      </c>
    </row>
    <row r="47" spans="1:64" ht="15" customHeight="1" thickBot="1" x14ac:dyDescent="0.25">
      <c r="A47" s="89"/>
      <c r="B47" s="789"/>
      <c r="C47" s="790"/>
      <c r="D47" s="748"/>
      <c r="E47" s="748"/>
      <c r="F47" s="748"/>
      <c r="G47" s="748"/>
      <c r="H47" s="748"/>
      <c r="I47" s="748"/>
      <c r="J47" s="748"/>
      <c r="K47" s="748"/>
      <c r="L47" s="748"/>
      <c r="M47" s="748"/>
      <c r="N47" s="748"/>
      <c r="O47" s="748"/>
      <c r="P47" s="748"/>
      <c r="Q47" s="748"/>
      <c r="R47" s="748"/>
      <c r="S47" s="748"/>
      <c r="T47" s="748"/>
      <c r="U47" s="749"/>
      <c r="V47" s="756" t="s">
        <v>10208</v>
      </c>
      <c r="W47" s="756"/>
      <c r="X47" s="756"/>
      <c r="Y47" s="758" t="str">
        <f>BF46</f>
        <v>0</v>
      </c>
      <c r="Z47" s="759"/>
      <c r="AA47" s="74"/>
      <c r="AB47" s="77"/>
      <c r="AC47" s="784"/>
      <c r="AD47" s="785"/>
      <c r="AE47" s="785"/>
      <c r="AF47" s="785"/>
      <c r="AG47" s="785"/>
      <c r="AH47" s="785"/>
      <c r="AI47" s="785"/>
      <c r="AJ47" s="785"/>
      <c r="AK47" s="785"/>
      <c r="AL47" s="785"/>
      <c r="AM47" s="785"/>
      <c r="AN47" s="785"/>
      <c r="AO47" s="785"/>
      <c r="AP47" s="785"/>
      <c r="AQ47" s="785"/>
      <c r="AR47" s="785"/>
      <c r="AS47" s="785"/>
      <c r="AT47" s="785"/>
      <c r="AU47" s="785"/>
      <c r="AV47" s="785"/>
      <c r="AW47" s="785"/>
      <c r="AX47" s="785"/>
      <c r="AY47" s="785"/>
      <c r="AZ47" s="785"/>
      <c r="BA47" s="786"/>
      <c r="BB47" s="74"/>
    </row>
    <row r="48" spans="1:64" ht="15.75" thickTop="1" x14ac:dyDescent="0.2">
      <c r="A48" s="89"/>
      <c r="B48" s="730" t="s">
        <v>8822</v>
      </c>
      <c r="C48" s="731"/>
      <c r="D48" s="731"/>
      <c r="E48" s="731"/>
      <c r="F48" s="731"/>
      <c r="G48" s="731"/>
      <c r="H48" s="731"/>
      <c r="I48" s="731"/>
      <c r="J48" s="731"/>
      <c r="K48" s="731"/>
      <c r="L48" s="731"/>
      <c r="M48" s="731"/>
      <c r="N48" s="731"/>
      <c r="O48" s="731"/>
      <c r="P48" s="731"/>
      <c r="Q48" s="731"/>
      <c r="R48" s="731"/>
      <c r="S48" s="774" t="s">
        <v>8823</v>
      </c>
      <c r="T48" s="732"/>
      <c r="U48" s="93">
        <f>B20</f>
        <v>0</v>
      </c>
      <c r="V48" s="93">
        <f>B21</f>
        <v>0</v>
      </c>
      <c r="W48" s="93">
        <f>B22</f>
        <v>0</v>
      </c>
      <c r="X48" s="93">
        <f>B23</f>
        <v>0</v>
      </c>
      <c r="Y48" s="768"/>
      <c r="Z48" s="769"/>
      <c r="AA48" s="74"/>
      <c r="AB48" s="77"/>
      <c r="AC48" s="207"/>
      <c r="AD48" s="207"/>
      <c r="AE48" s="207"/>
      <c r="AF48" s="207"/>
      <c r="AG48" s="207"/>
      <c r="AH48" s="207"/>
      <c r="AI48" s="207"/>
      <c r="AJ48" s="207"/>
      <c r="AK48" s="207"/>
      <c r="AL48" s="207"/>
      <c r="AM48" s="207"/>
      <c r="AN48" s="207"/>
      <c r="AO48" s="207"/>
      <c r="AP48" s="207"/>
      <c r="AQ48" s="207"/>
      <c r="AR48" s="207"/>
      <c r="AS48" s="207"/>
      <c r="AT48" s="207"/>
      <c r="AU48" s="207"/>
      <c r="AV48" s="207"/>
      <c r="AW48" s="207"/>
      <c r="AX48" s="207"/>
      <c r="AY48" s="207"/>
      <c r="AZ48" s="207"/>
      <c r="BA48" s="207"/>
      <c r="BB48" s="74"/>
      <c r="BD48" s="268" t="s">
        <v>10212</v>
      </c>
      <c r="BE48" s="268" t="s">
        <v>10210</v>
      </c>
      <c r="BF48" s="268" t="s">
        <v>10206</v>
      </c>
    </row>
    <row r="49" spans="1:58" ht="15" x14ac:dyDescent="0.2">
      <c r="A49" s="89"/>
      <c r="B49" s="715" t="s">
        <v>8824</v>
      </c>
      <c r="C49" s="716"/>
      <c r="D49" s="716"/>
      <c r="E49" s="716"/>
      <c r="F49" s="716"/>
      <c r="G49" s="716"/>
      <c r="H49" s="716"/>
      <c r="I49" s="716"/>
      <c r="J49" s="716"/>
      <c r="K49" s="716"/>
      <c r="L49" s="716"/>
      <c r="M49" s="716"/>
      <c r="N49" s="716"/>
      <c r="O49" s="716"/>
      <c r="P49" s="716"/>
      <c r="Q49" s="716"/>
      <c r="R49" s="716"/>
      <c r="S49" s="716"/>
      <c r="T49" s="716"/>
      <c r="U49" s="325"/>
      <c r="V49" s="325"/>
      <c r="W49" s="325"/>
      <c r="X49" s="325"/>
      <c r="Y49" s="770"/>
      <c r="Z49" s="771"/>
      <c r="AA49" s="74"/>
      <c r="AB49" s="7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74"/>
      <c r="BD49" s="266">
        <f>BD32+BD46</f>
        <v>0</v>
      </c>
      <c r="BE49" s="266"/>
      <c r="BF49" s="267" t="str">
        <f>IFERROR(AVERAGE(BF27:BF31,BF35:BF45),"0")</f>
        <v>0</v>
      </c>
    </row>
    <row r="50" spans="1:58" ht="15" x14ac:dyDescent="0.2">
      <c r="A50" s="89"/>
      <c r="B50" s="715" t="s">
        <v>8825</v>
      </c>
      <c r="C50" s="716"/>
      <c r="D50" s="716"/>
      <c r="E50" s="716"/>
      <c r="F50" s="716"/>
      <c r="G50" s="716"/>
      <c r="H50" s="716"/>
      <c r="I50" s="716"/>
      <c r="J50" s="716"/>
      <c r="K50" s="716"/>
      <c r="L50" s="716"/>
      <c r="M50" s="716"/>
      <c r="N50" s="716"/>
      <c r="O50" s="716"/>
      <c r="P50" s="716"/>
      <c r="Q50" s="716"/>
      <c r="R50" s="716"/>
      <c r="S50" s="716"/>
      <c r="T50" s="716"/>
      <c r="U50" s="325"/>
      <c r="V50" s="325"/>
      <c r="W50" s="325"/>
      <c r="X50" s="325"/>
      <c r="Y50" s="770"/>
      <c r="Z50" s="771"/>
      <c r="AA50" s="74"/>
      <c r="AB50" s="77"/>
      <c r="AC50" s="75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4"/>
    </row>
    <row r="51" spans="1:58" ht="15" x14ac:dyDescent="0.2">
      <c r="A51" s="74"/>
      <c r="B51" s="715" t="s">
        <v>8826</v>
      </c>
      <c r="C51" s="716"/>
      <c r="D51" s="716"/>
      <c r="E51" s="716"/>
      <c r="F51" s="716"/>
      <c r="G51" s="716"/>
      <c r="H51" s="716"/>
      <c r="I51" s="716"/>
      <c r="J51" s="716"/>
      <c r="K51" s="716"/>
      <c r="L51" s="716"/>
      <c r="M51" s="716"/>
      <c r="N51" s="716"/>
      <c r="O51" s="716"/>
      <c r="P51" s="716"/>
      <c r="Q51" s="716"/>
      <c r="R51" s="716"/>
      <c r="S51" s="716"/>
      <c r="T51" s="716"/>
      <c r="U51" s="325"/>
      <c r="V51" s="325"/>
      <c r="W51" s="325"/>
      <c r="X51" s="325"/>
      <c r="Y51" s="770"/>
      <c r="Z51" s="771"/>
      <c r="AA51" s="74"/>
      <c r="AB51" s="77"/>
      <c r="AC51" s="75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4"/>
      <c r="AW51" s="74"/>
      <c r="AX51" s="74"/>
      <c r="AY51" s="74"/>
      <c r="AZ51" s="74"/>
      <c r="BA51" s="74"/>
      <c r="BB51" s="74"/>
    </row>
    <row r="52" spans="1:58" ht="15" x14ac:dyDescent="0.2">
      <c r="A52" s="94"/>
      <c r="B52" s="715" t="s">
        <v>8827</v>
      </c>
      <c r="C52" s="716"/>
      <c r="D52" s="716"/>
      <c r="E52" s="716"/>
      <c r="F52" s="716"/>
      <c r="G52" s="716"/>
      <c r="H52" s="716"/>
      <c r="I52" s="716"/>
      <c r="J52" s="716"/>
      <c r="K52" s="716"/>
      <c r="L52" s="716"/>
      <c r="M52" s="716"/>
      <c r="N52" s="716"/>
      <c r="O52" s="716"/>
      <c r="P52" s="716"/>
      <c r="Q52" s="716"/>
      <c r="R52" s="716"/>
      <c r="S52" s="716"/>
      <c r="T52" s="716"/>
      <c r="U52" s="325"/>
      <c r="V52" s="325"/>
      <c r="W52" s="325"/>
      <c r="X52" s="325"/>
      <c r="Y52" s="772"/>
      <c r="Z52" s="773"/>
      <c r="AA52" s="74"/>
      <c r="AB52" s="77"/>
      <c r="AC52" s="75"/>
      <c r="AD52" s="77"/>
      <c r="AE52" s="77"/>
      <c r="AF52" s="77"/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4"/>
      <c r="AW52" s="74"/>
      <c r="AX52" s="74"/>
      <c r="AY52" s="74"/>
      <c r="AZ52" s="74"/>
      <c r="BA52" s="74"/>
      <c r="BB52" s="74"/>
    </row>
    <row r="53" spans="1:58" ht="12" x14ac:dyDescent="0.2">
      <c r="A53" s="74"/>
      <c r="B53" s="720" t="s">
        <v>8800</v>
      </c>
      <c r="C53" s="721"/>
      <c r="D53" s="764"/>
      <c r="E53" s="764"/>
      <c r="F53" s="764"/>
      <c r="G53" s="764"/>
      <c r="H53" s="764"/>
      <c r="I53" s="764"/>
      <c r="J53" s="764"/>
      <c r="K53" s="764"/>
      <c r="L53" s="764"/>
      <c r="M53" s="764"/>
      <c r="N53" s="764"/>
      <c r="O53" s="764"/>
      <c r="P53" s="764"/>
      <c r="Q53" s="764"/>
      <c r="R53" s="764"/>
      <c r="S53" s="764"/>
      <c r="T53" s="764"/>
      <c r="U53" s="764"/>
      <c r="V53" s="764"/>
      <c r="W53" s="764"/>
      <c r="X53" s="764"/>
      <c r="Y53" s="764"/>
      <c r="Z53" s="765"/>
      <c r="AA53" s="74"/>
      <c r="AB53" s="77"/>
      <c r="AC53" s="75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4"/>
      <c r="AW53" s="74"/>
      <c r="AX53" s="74"/>
      <c r="AY53" s="74"/>
      <c r="AZ53" s="74"/>
      <c r="BA53" s="74"/>
      <c r="BB53" s="74"/>
    </row>
    <row r="54" spans="1:58" ht="12.75" thickBot="1" x14ac:dyDescent="0.25">
      <c r="A54" s="74"/>
      <c r="B54" s="722"/>
      <c r="C54" s="723"/>
      <c r="D54" s="766"/>
      <c r="E54" s="766"/>
      <c r="F54" s="766"/>
      <c r="G54" s="766"/>
      <c r="H54" s="766"/>
      <c r="I54" s="766"/>
      <c r="J54" s="766"/>
      <c r="K54" s="766"/>
      <c r="L54" s="766"/>
      <c r="M54" s="766"/>
      <c r="N54" s="766"/>
      <c r="O54" s="766"/>
      <c r="P54" s="766"/>
      <c r="Q54" s="766"/>
      <c r="R54" s="766"/>
      <c r="S54" s="766"/>
      <c r="T54" s="766"/>
      <c r="U54" s="766"/>
      <c r="V54" s="766"/>
      <c r="W54" s="766"/>
      <c r="X54" s="766"/>
      <c r="Y54" s="766"/>
      <c r="Z54" s="767"/>
      <c r="AA54" s="74"/>
      <c r="AB54" s="77"/>
      <c r="AC54" s="75"/>
      <c r="AD54" s="763" t="s">
        <v>8828</v>
      </c>
      <c r="AE54" s="763"/>
      <c r="AF54" s="763"/>
      <c r="AG54" s="763"/>
      <c r="AH54" s="763"/>
      <c r="AI54" s="763"/>
      <c r="AJ54" s="763"/>
      <c r="AK54" s="763"/>
      <c r="AL54" s="763"/>
      <c r="AM54" s="763"/>
      <c r="AN54" s="77"/>
      <c r="AO54" s="77"/>
      <c r="AP54" s="77"/>
      <c r="AQ54" s="763" t="s">
        <v>8829</v>
      </c>
      <c r="AR54" s="763"/>
      <c r="AS54" s="763"/>
      <c r="AT54" s="763"/>
      <c r="AU54" s="763"/>
      <c r="AV54" s="763"/>
      <c r="AW54" s="763"/>
      <c r="AX54" s="763"/>
      <c r="AY54" s="763"/>
      <c r="AZ54" s="763"/>
      <c r="BA54" s="763"/>
      <c r="BB54" s="74"/>
    </row>
    <row r="55" spans="1:58" ht="12.75" thickTop="1" x14ac:dyDescent="0.2">
      <c r="A55" s="74"/>
      <c r="B55" s="95"/>
      <c r="C55" s="95"/>
      <c r="D55" s="95"/>
      <c r="E55" s="95"/>
      <c r="F55" s="95"/>
      <c r="G55" s="95"/>
      <c r="H55" s="95"/>
      <c r="I55" s="95"/>
      <c r="J55" s="74"/>
      <c r="K55" s="74"/>
      <c r="L55" s="74"/>
      <c r="M55" s="96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77"/>
      <c r="AA55" s="74"/>
      <c r="AB55" s="77"/>
      <c r="AC55" s="75"/>
      <c r="AD55" s="74"/>
      <c r="AE55" s="74"/>
      <c r="AF55" s="74"/>
      <c r="AG55" s="74"/>
      <c r="AH55" s="74"/>
      <c r="AI55" s="74"/>
      <c r="AJ55" s="74"/>
      <c r="AK55" s="74"/>
      <c r="AL55" s="74"/>
      <c r="AM55" s="74"/>
      <c r="AN55" s="74"/>
      <c r="AO55" s="74"/>
      <c r="AP55" s="74"/>
      <c r="AQ55" s="74"/>
      <c r="AR55" s="74"/>
      <c r="AS55" s="74"/>
      <c r="AT55" s="74"/>
      <c r="AU55" s="74"/>
      <c r="AV55" s="74"/>
      <c r="AW55" s="74"/>
      <c r="AX55" s="74"/>
      <c r="AY55" s="74"/>
      <c r="AZ55" s="74"/>
      <c r="BA55" s="74"/>
      <c r="BB55" s="74"/>
    </row>
    <row r="56" spans="1:58" ht="12" x14ac:dyDescent="0.2">
      <c r="A56" s="74"/>
      <c r="B56" s="75"/>
      <c r="C56" s="76"/>
      <c r="D56" s="98"/>
      <c r="E56" s="75"/>
      <c r="F56" s="77"/>
      <c r="G56" s="77"/>
      <c r="H56" s="77"/>
      <c r="I56" s="77"/>
      <c r="J56" s="74"/>
      <c r="K56" s="74"/>
      <c r="L56" s="74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4"/>
      <c r="AB56" s="77"/>
      <c r="AC56" s="75"/>
      <c r="AD56" s="77"/>
      <c r="AE56" s="77"/>
      <c r="AF56" s="77"/>
      <c r="AG56" s="77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4"/>
      <c r="AW56" s="74"/>
      <c r="AX56" s="74"/>
      <c r="AY56" s="74"/>
      <c r="AZ56" s="74"/>
      <c r="BA56" s="74"/>
      <c r="BB56" s="74"/>
    </row>
    <row r="57" spans="1:58" ht="12" x14ac:dyDescent="0.2">
      <c r="B57" s="75"/>
      <c r="C57" s="76"/>
      <c r="D57" s="98"/>
      <c r="E57" s="75"/>
      <c r="F57" s="77"/>
      <c r="G57" s="77"/>
      <c r="H57" s="77"/>
      <c r="I57" s="77"/>
      <c r="M57" s="99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  <c r="Y57" s="100"/>
      <c r="Z57" s="77"/>
    </row>
    <row r="58" spans="1:58" ht="12" x14ac:dyDescent="0.2">
      <c r="B58" s="75"/>
      <c r="C58" s="76"/>
      <c r="D58" s="98"/>
      <c r="E58" s="75"/>
      <c r="F58" s="77"/>
      <c r="G58" s="77"/>
      <c r="H58" s="77"/>
      <c r="I58" s="77"/>
      <c r="M58" s="100"/>
      <c r="N58" s="100"/>
      <c r="O58" s="100"/>
      <c r="P58" s="100"/>
      <c r="Q58" s="100"/>
      <c r="R58" s="100"/>
      <c r="S58" s="100"/>
      <c r="T58" s="100"/>
      <c r="U58" s="100"/>
      <c r="V58" s="100"/>
      <c r="W58" s="100"/>
      <c r="X58" s="100"/>
      <c r="Y58" s="100"/>
      <c r="Z58" s="77"/>
    </row>
    <row r="59" spans="1:58" ht="12" x14ac:dyDescent="0.2">
      <c r="B59" s="75"/>
      <c r="C59" s="101"/>
      <c r="D59" s="102"/>
      <c r="E59" s="102"/>
      <c r="F59" s="102"/>
      <c r="G59" s="77"/>
      <c r="H59" s="77"/>
      <c r="I59" s="77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  <c r="Y59" s="100"/>
      <c r="Z59" s="100"/>
      <c r="AC59" s="79"/>
    </row>
    <row r="60" spans="1:58" ht="12" x14ac:dyDescent="0.2">
      <c r="M60" s="100"/>
      <c r="N60" s="100"/>
      <c r="O60" s="100"/>
      <c r="P60" s="100"/>
      <c r="Q60" s="100"/>
      <c r="R60" s="100"/>
      <c r="S60" s="100"/>
      <c r="T60" s="100"/>
      <c r="U60" s="100"/>
      <c r="V60" s="100"/>
      <c r="W60" s="100"/>
      <c r="X60" s="100"/>
      <c r="Y60" s="100"/>
      <c r="Z60" s="100"/>
      <c r="AC60" s="79"/>
    </row>
    <row r="61" spans="1:58" ht="12" x14ac:dyDescent="0.2">
      <c r="B61" s="99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  <c r="Y61" s="100"/>
      <c r="Z61" s="100"/>
      <c r="AC61" s="79"/>
    </row>
    <row r="62" spans="1:58" ht="12" x14ac:dyDescent="0.2">
      <c r="B62" s="99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100"/>
      <c r="Y62" s="100"/>
      <c r="Z62" s="100"/>
    </row>
    <row r="63" spans="1:58" ht="12" x14ac:dyDescent="0.2">
      <c r="B63" s="99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0"/>
      <c r="Y63" s="100"/>
      <c r="Z63" s="100"/>
    </row>
    <row r="64" spans="1:58" ht="12" x14ac:dyDescent="0.2"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0"/>
      <c r="Y64" s="100"/>
      <c r="Z64" s="100"/>
    </row>
    <row r="65" spans="13:26" ht="12" x14ac:dyDescent="0.2">
      <c r="M65" s="100"/>
      <c r="N65" s="100"/>
      <c r="O65" s="100"/>
      <c r="P65" s="100"/>
      <c r="Q65" s="100"/>
      <c r="R65" s="100"/>
      <c r="S65" s="100"/>
      <c r="T65" s="100"/>
      <c r="U65" s="100"/>
      <c r="V65" s="100"/>
      <c r="W65" s="100"/>
      <c r="X65" s="100"/>
      <c r="Y65" s="100"/>
      <c r="Z65" s="100"/>
    </row>
    <row r="66" spans="13:26" ht="12" x14ac:dyDescent="0.2"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  <c r="Y66" s="100"/>
      <c r="Z66" s="100"/>
    </row>
    <row r="67" spans="13:26" ht="12" x14ac:dyDescent="0.2"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Z67" s="100"/>
    </row>
    <row r="68" spans="13:26" ht="12" x14ac:dyDescent="0.2">
      <c r="M68" s="100"/>
      <c r="N68" s="100"/>
      <c r="O68" s="100"/>
      <c r="P68" s="100"/>
      <c r="Q68" s="100"/>
      <c r="R68" s="100"/>
      <c r="S68" s="100"/>
      <c r="T68" s="100"/>
      <c r="U68" s="100"/>
      <c r="V68" s="100"/>
      <c r="W68" s="100"/>
      <c r="X68" s="100"/>
      <c r="Y68" s="100"/>
      <c r="Z68" s="100"/>
    </row>
    <row r="69" spans="13:26" ht="12" x14ac:dyDescent="0.2"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  <c r="Y69" s="100"/>
      <c r="Z69" s="100"/>
    </row>
    <row r="70" spans="13:26" ht="12" x14ac:dyDescent="0.2">
      <c r="M70" s="100"/>
      <c r="N70" s="100"/>
      <c r="O70" s="100"/>
      <c r="P70" s="100"/>
      <c r="Q70" s="100"/>
      <c r="R70" s="100"/>
      <c r="S70" s="100"/>
      <c r="T70" s="100"/>
      <c r="U70" s="100"/>
      <c r="V70" s="100"/>
      <c r="W70" s="100"/>
      <c r="X70" s="100"/>
      <c r="Y70" s="100"/>
      <c r="Z70" s="100"/>
    </row>
    <row r="71" spans="13:26" ht="12" x14ac:dyDescent="0.2">
      <c r="M71" s="100"/>
      <c r="N71" s="100"/>
      <c r="O71" s="100"/>
      <c r="P71" s="100"/>
      <c r="Q71" s="100"/>
      <c r="R71" s="100"/>
      <c r="S71" s="100"/>
      <c r="T71" s="100"/>
      <c r="U71" s="100"/>
      <c r="V71" s="100"/>
      <c r="W71" s="100"/>
      <c r="X71" s="100"/>
      <c r="Y71" s="100"/>
      <c r="Z71" s="100"/>
    </row>
    <row r="72" spans="13:26" ht="12" x14ac:dyDescent="0.2">
      <c r="M72" s="100"/>
      <c r="N72" s="100"/>
      <c r="O72" s="100"/>
      <c r="P72" s="100"/>
      <c r="Q72" s="100"/>
      <c r="R72" s="100"/>
      <c r="S72" s="100"/>
      <c r="T72" s="100"/>
      <c r="U72" s="100"/>
      <c r="V72" s="100"/>
      <c r="W72" s="100"/>
      <c r="X72" s="100"/>
      <c r="Y72" s="100"/>
      <c r="Z72" s="100"/>
    </row>
    <row r="73" spans="13:26" ht="12" x14ac:dyDescent="0.2">
      <c r="M73" s="100"/>
      <c r="N73" s="100"/>
      <c r="O73" s="100"/>
      <c r="P73" s="100"/>
      <c r="Q73" s="100"/>
      <c r="R73" s="100"/>
      <c r="S73" s="100"/>
      <c r="T73" s="100"/>
      <c r="U73" s="100"/>
      <c r="V73" s="100"/>
      <c r="W73" s="100"/>
      <c r="X73" s="100"/>
      <c r="Y73" s="100"/>
      <c r="Z73" s="100"/>
    </row>
    <row r="74" spans="13:26" ht="12" x14ac:dyDescent="0.2"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  <c r="Y74" s="100"/>
      <c r="Z74" s="100"/>
    </row>
    <row r="75" spans="13:26" ht="12" x14ac:dyDescent="0.2"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  <c r="Y75" s="100"/>
      <c r="Z75" s="100"/>
    </row>
    <row r="76" spans="13:26" ht="12" x14ac:dyDescent="0.2"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  <c r="Y76" s="100"/>
      <c r="Z76" s="100"/>
    </row>
    <row r="77" spans="13:26" ht="12" x14ac:dyDescent="0.2"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</row>
    <row r="78" spans="13:26" ht="12" x14ac:dyDescent="0.2"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</row>
    <row r="79" spans="13:26" ht="12" x14ac:dyDescent="0.2"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</row>
    <row r="80" spans="13:26" ht="12" x14ac:dyDescent="0.2"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</row>
    <row r="81" spans="13:26" ht="12" x14ac:dyDescent="0.2">
      <c r="M81" s="100"/>
      <c r="N81" s="100"/>
      <c r="O81" s="100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</row>
    <row r="82" spans="13:26" ht="12" x14ac:dyDescent="0.2"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</row>
    <row r="83" spans="13:26" ht="12" x14ac:dyDescent="0.2"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  <c r="Y83" s="100"/>
      <c r="Z83" s="100"/>
    </row>
    <row r="84" spans="13:26" ht="12" x14ac:dyDescent="0.2"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  <c r="Y84" s="100"/>
      <c r="Z84" s="100"/>
    </row>
    <row r="85" spans="13:26" ht="12" x14ac:dyDescent="0.2"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0"/>
      <c r="Z85" s="100"/>
    </row>
    <row r="86" spans="13:26" ht="12" x14ac:dyDescent="0.2"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  <c r="Y86" s="100"/>
      <c r="Z86" s="100"/>
    </row>
    <row r="87" spans="13:26" ht="12" x14ac:dyDescent="0.2"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  <c r="Y87" s="100"/>
      <c r="Z87" s="100"/>
    </row>
    <row r="88" spans="13:26" ht="12" x14ac:dyDescent="0.2"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  <c r="Y88" s="100"/>
      <c r="Z88" s="100"/>
    </row>
    <row r="89" spans="13:26" ht="12" x14ac:dyDescent="0.2"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  <c r="Y89" s="100"/>
      <c r="Z89" s="100"/>
    </row>
    <row r="90" spans="13:26" ht="12" x14ac:dyDescent="0.2"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</row>
    <row r="91" spans="13:26" ht="12" x14ac:dyDescent="0.2"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</row>
    <row r="92" spans="13:26" ht="12" x14ac:dyDescent="0.2"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</row>
    <row r="93" spans="13:26" ht="12" x14ac:dyDescent="0.2"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</row>
    <row r="94" spans="13:26" ht="12" x14ac:dyDescent="0.2"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</row>
    <row r="95" spans="13:26" ht="12" x14ac:dyDescent="0.2"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</row>
    <row r="96" spans="13:26" ht="12" x14ac:dyDescent="0.2"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</row>
    <row r="97" spans="13:26" ht="12" x14ac:dyDescent="0.2"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  <c r="Y97" s="100"/>
      <c r="Z97" s="100"/>
    </row>
    <row r="98" spans="13:26" ht="12" x14ac:dyDescent="0.2"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</row>
    <row r="99" spans="13:26" ht="12" x14ac:dyDescent="0.2"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  <c r="Y99" s="100"/>
      <c r="Z99" s="100"/>
    </row>
    <row r="100" spans="13:26" ht="12" x14ac:dyDescent="0.2"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</row>
    <row r="101" spans="13:26" ht="12" x14ac:dyDescent="0.2"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  <c r="Y101" s="100"/>
      <c r="Z101" s="100"/>
    </row>
    <row r="102" spans="13:26" ht="12" x14ac:dyDescent="0.2"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</row>
    <row r="103" spans="13:26" ht="12" x14ac:dyDescent="0.2"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  <c r="Z103" s="100"/>
    </row>
    <row r="104" spans="13:26" ht="12" x14ac:dyDescent="0.2"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</row>
    <row r="105" spans="13:26" ht="12" x14ac:dyDescent="0.2"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</row>
    <row r="106" spans="13:26" ht="12" x14ac:dyDescent="0.2"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</row>
    <row r="107" spans="13:26" ht="12" x14ac:dyDescent="0.2"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</row>
    <row r="108" spans="13:26" ht="12" x14ac:dyDescent="0.2"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</row>
    <row r="109" spans="13:26" ht="12" x14ac:dyDescent="0.2"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00"/>
    </row>
    <row r="110" spans="13:26" ht="12" x14ac:dyDescent="0.2"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</row>
    <row r="111" spans="13:26" ht="12" x14ac:dyDescent="0.2"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100"/>
    </row>
    <row r="112" spans="13:26" ht="12" x14ac:dyDescent="0.2">
      <c r="M112" s="99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</row>
    <row r="113" spans="13:26" ht="12" x14ac:dyDescent="0.2">
      <c r="M113" s="99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  <c r="Z113" s="100"/>
    </row>
    <row r="114" spans="13:26" ht="12" x14ac:dyDescent="0.2">
      <c r="M114" s="99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</row>
    <row r="115" spans="13:26" ht="12" x14ac:dyDescent="0.2">
      <c r="M115" s="99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  <c r="Z115" s="100"/>
    </row>
    <row r="116" spans="13:26" ht="12" x14ac:dyDescent="0.2">
      <c r="M116" s="99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</row>
    <row r="117" spans="13:26" ht="12" x14ac:dyDescent="0.2">
      <c r="M117" s="99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</row>
    <row r="118" spans="13:26" ht="12" x14ac:dyDescent="0.2">
      <c r="M118" s="99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</row>
    <row r="119" spans="13:26" ht="12" x14ac:dyDescent="0.2">
      <c r="M119" s="99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</row>
    <row r="120" spans="13:26" ht="12" x14ac:dyDescent="0.2">
      <c r="M120" s="99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</row>
    <row r="121" spans="13:26" ht="12" x14ac:dyDescent="0.2">
      <c r="M121" s="99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</row>
    <row r="122" spans="13:26" ht="12" x14ac:dyDescent="0.2">
      <c r="M122" s="99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</row>
    <row r="123" spans="13:26" ht="12" x14ac:dyDescent="0.2">
      <c r="M123" s="99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</row>
    <row r="124" spans="13:26" ht="12" x14ac:dyDescent="0.2">
      <c r="M124" s="99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00"/>
    </row>
    <row r="125" spans="13:26" ht="12" x14ac:dyDescent="0.2">
      <c r="M125" s="99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</row>
    <row r="126" spans="13:26" ht="12" x14ac:dyDescent="0.2">
      <c r="M126" s="99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</row>
    <row r="127" spans="13:26" ht="12" x14ac:dyDescent="0.2">
      <c r="M127" s="99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</row>
    <row r="128" spans="13:26" ht="12" x14ac:dyDescent="0.2">
      <c r="M128" s="99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</row>
    <row r="129" spans="13:26" ht="12" x14ac:dyDescent="0.2">
      <c r="M129" s="99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</row>
    <row r="130" spans="13:26" ht="12" x14ac:dyDescent="0.2">
      <c r="M130" s="99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</row>
    <row r="131" spans="13:26" ht="12" x14ac:dyDescent="0.2">
      <c r="M131" s="99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</row>
    <row r="132" spans="13:26" ht="12" x14ac:dyDescent="0.2">
      <c r="M132" s="99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</row>
    <row r="133" spans="13:26" ht="15.75" x14ac:dyDescent="0.25">
      <c r="Z133" s="100"/>
    </row>
    <row r="134" spans="13:26" ht="15.75" x14ac:dyDescent="0.25">
      <c r="Z134" s="100"/>
    </row>
    <row r="135" spans="13:26" ht="15.75" x14ac:dyDescent="0.25">
      <c r="Z135" s="100"/>
    </row>
    <row r="136" spans="13:26" ht="15.75" x14ac:dyDescent="0.25">
      <c r="Z136" s="100"/>
    </row>
    <row r="137" spans="13:26" ht="15.75" x14ac:dyDescent="0.25">
      <c r="Z137" s="100"/>
    </row>
    <row r="138" spans="13:26" ht="15.75" x14ac:dyDescent="0.25"/>
    <row r="139" spans="13:26" ht="15.75" x14ac:dyDescent="0.25"/>
    <row r="140" spans="13:26" ht="15.75" x14ac:dyDescent="0.25"/>
    <row r="141" spans="13:26" ht="15.75" x14ac:dyDescent="0.25"/>
    <row r="142" spans="13:26" ht="15.75" x14ac:dyDescent="0.25"/>
    <row r="143" spans="13:26" ht="15.75" x14ac:dyDescent="0.25"/>
    <row r="144" spans="13:26" ht="15.75" x14ac:dyDescent="0.25"/>
    <row r="145" ht="15.75" x14ac:dyDescent="0.25"/>
    <row r="146" ht="15.75" x14ac:dyDescent="0.25"/>
    <row r="147" ht="15.75" x14ac:dyDescent="0.25"/>
    <row r="148" ht="15.75" x14ac:dyDescent="0.25"/>
    <row r="149" ht="15.75" x14ac:dyDescent="0.25"/>
    <row r="150" ht="15.75" x14ac:dyDescent="0.25"/>
    <row r="151" ht="15.75" x14ac:dyDescent="0.25"/>
    <row r="152" ht="15.75" x14ac:dyDescent="0.25"/>
    <row r="153" ht="15.75" x14ac:dyDescent="0.25"/>
    <row r="154" ht="15.75" x14ac:dyDescent="0.25"/>
    <row r="155" ht="15.75" x14ac:dyDescent="0.25"/>
    <row r="156" ht="15.75" x14ac:dyDescent="0.25"/>
    <row r="157" ht="15.75" x14ac:dyDescent="0.25"/>
    <row r="158" ht="15.75" x14ac:dyDescent="0.25"/>
    <row r="159" ht="15.75" x14ac:dyDescent="0.25"/>
    <row r="160" ht="15.75" x14ac:dyDescent="0.25"/>
    <row r="161" ht="15.75" x14ac:dyDescent="0.25"/>
    <row r="162" ht="15.75" x14ac:dyDescent="0.25"/>
    <row r="163" ht="15.75" x14ac:dyDescent="0.25"/>
    <row r="164" ht="15.75" x14ac:dyDescent="0.25"/>
    <row r="165" ht="15.75" x14ac:dyDescent="0.25"/>
    <row r="166" ht="15.75" x14ac:dyDescent="0.25"/>
    <row r="167" ht="15.75" x14ac:dyDescent="0.25"/>
    <row r="168" ht="15.75" x14ac:dyDescent="0.25"/>
    <row r="169" ht="15.75" x14ac:dyDescent="0.25"/>
    <row r="170" ht="15.75" x14ac:dyDescent="0.25"/>
    <row r="171" ht="15.75" x14ac:dyDescent="0.25"/>
    <row r="172" ht="15.75" x14ac:dyDescent="0.25"/>
    <row r="173" ht="15.75" x14ac:dyDescent="0.25"/>
    <row r="174" ht="15.75" x14ac:dyDescent="0.25"/>
    <row r="175" ht="15.75" x14ac:dyDescent="0.25"/>
    <row r="176" ht="15.75" x14ac:dyDescent="0.25"/>
    <row r="177" ht="15.75" x14ac:dyDescent="0.25"/>
    <row r="178" ht="15.75" x14ac:dyDescent="0.25"/>
    <row r="179" ht="15.75" x14ac:dyDescent="0.25"/>
    <row r="180" ht="15.75" x14ac:dyDescent="0.25"/>
    <row r="181" ht="15.75" x14ac:dyDescent="0.25"/>
    <row r="182" ht="15.75" x14ac:dyDescent="0.25"/>
    <row r="183" ht="15.75" x14ac:dyDescent="0.25"/>
    <row r="184" ht="15.75" x14ac:dyDescent="0.25"/>
    <row r="185" ht="15.75" x14ac:dyDescent="0.25"/>
    <row r="186" ht="15.75" x14ac:dyDescent="0.25"/>
    <row r="187" ht="15.75" x14ac:dyDescent="0.25"/>
    <row r="188" ht="15.75" x14ac:dyDescent="0.25"/>
    <row r="189" ht="15.75" x14ac:dyDescent="0.25"/>
    <row r="190" ht="15.75" x14ac:dyDescent="0.25"/>
    <row r="191" ht="15.75" x14ac:dyDescent="0.25"/>
    <row r="192" ht="15.75" x14ac:dyDescent="0.25"/>
    <row r="193" ht="15.75" x14ac:dyDescent="0.25"/>
    <row r="194" ht="15.75" x14ac:dyDescent="0.25"/>
    <row r="195" ht="15.75" x14ac:dyDescent="0.25"/>
    <row r="196" ht="15.75" x14ac:dyDescent="0.25"/>
    <row r="197" ht="15.75" x14ac:dyDescent="0.25"/>
    <row r="198" ht="15.75" x14ac:dyDescent="0.25"/>
    <row r="199" ht="15.75" x14ac:dyDescent="0.25"/>
    <row r="200" ht="15.75" x14ac:dyDescent="0.25"/>
    <row r="201" ht="15.75" x14ac:dyDescent="0.25"/>
    <row r="202" ht="15.75" x14ac:dyDescent="0.25"/>
    <row r="203" ht="15.75" x14ac:dyDescent="0.25"/>
    <row r="204" ht="15.75" x14ac:dyDescent="0.25"/>
    <row r="205" ht="15.75" x14ac:dyDescent="0.25"/>
    <row r="206" ht="15.75" x14ac:dyDescent="0.25"/>
    <row r="207" ht="15.75" x14ac:dyDescent="0.25"/>
    <row r="208" ht="15.75" x14ac:dyDescent="0.25"/>
    <row r="209" spans="13:23" ht="15.75" x14ac:dyDescent="0.25"/>
    <row r="210" spans="13:23" ht="15.75" x14ac:dyDescent="0.25"/>
    <row r="211" spans="13:23" ht="15.75" x14ac:dyDescent="0.25"/>
    <row r="212" spans="13:23" ht="15.75" x14ac:dyDescent="0.25"/>
    <row r="213" spans="13:23" ht="15.75" x14ac:dyDescent="0.25"/>
    <row r="214" spans="13:23" ht="15.75" x14ac:dyDescent="0.25"/>
    <row r="215" spans="13:23" ht="15.75" x14ac:dyDescent="0.25"/>
    <row r="216" spans="13:23" ht="15.75" x14ac:dyDescent="0.25"/>
    <row r="217" spans="13:23" ht="15.75" x14ac:dyDescent="0.25"/>
    <row r="218" spans="13:23" ht="15.75" x14ac:dyDescent="0.25"/>
    <row r="219" spans="13:23" ht="15.75" x14ac:dyDescent="0.25"/>
    <row r="220" spans="13:23" ht="15.75" x14ac:dyDescent="0.25"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</row>
    <row r="221" spans="13:23" ht="15.75" x14ac:dyDescent="0.25"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</row>
    <row r="222" spans="13:23" ht="15.75" x14ac:dyDescent="0.25"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</row>
    <row r="223" spans="13:23" ht="15.75" x14ac:dyDescent="0.25"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</row>
    <row r="224" spans="13:23" ht="15.75" x14ac:dyDescent="0.25"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</row>
    <row r="225" spans="13:23" ht="15.75" x14ac:dyDescent="0.25"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</row>
    <row r="226" spans="13:23" ht="15.75" x14ac:dyDescent="0.25">
      <c r="M226" s="106"/>
      <c r="N226" s="106"/>
      <c r="O226" s="106"/>
      <c r="P226" s="106"/>
      <c r="Q226" s="107"/>
      <c r="R226" s="107"/>
      <c r="S226" s="107"/>
      <c r="T226" s="107"/>
      <c r="U226" s="106"/>
      <c r="V226" s="106"/>
      <c r="W226" s="106"/>
    </row>
    <row r="227" spans="13:23" ht="15.75" x14ac:dyDescent="0.25"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</row>
    <row r="228" spans="13:23" ht="15.75" x14ac:dyDescent="0.25"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</row>
    <row r="229" spans="13:23" ht="15.75" x14ac:dyDescent="0.25"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</row>
    <row r="230" spans="13:23" ht="15.75" x14ac:dyDescent="0.25"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</row>
    <row r="231" spans="13:23" ht="15.75" x14ac:dyDescent="0.25"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</row>
    <row r="232" spans="13:23" ht="15.75" x14ac:dyDescent="0.25"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</row>
    <row r="233" spans="13:23" ht="15.75" x14ac:dyDescent="0.25"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</row>
    <row r="234" spans="13:23" ht="15.75" x14ac:dyDescent="0.25"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</row>
    <row r="235" spans="13:23" ht="15.75" x14ac:dyDescent="0.25"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</row>
    <row r="236" spans="13:23" ht="15.75" x14ac:dyDescent="0.25"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</row>
    <row r="237" spans="13:23" ht="15.75" x14ac:dyDescent="0.25"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</row>
    <row r="238" spans="13:23" ht="15.75" x14ac:dyDescent="0.25"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</row>
    <row r="239" spans="13:23" ht="15.75" x14ac:dyDescent="0.25"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</row>
    <row r="240" spans="13:23" ht="15.75" x14ac:dyDescent="0.25"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</row>
    <row r="241" spans="13:23" ht="15.75" x14ac:dyDescent="0.25"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</row>
    <row r="242" spans="13:23" ht="15.75" x14ac:dyDescent="0.25"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</row>
    <row r="243" spans="13:23" ht="15.75" x14ac:dyDescent="0.25"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</row>
    <row r="244" spans="13:23" ht="15.75" x14ac:dyDescent="0.25"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</row>
    <row r="245" spans="13:23" ht="15.75" x14ac:dyDescent="0.25"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</row>
    <row r="246" spans="13:23" ht="15.75" x14ac:dyDescent="0.25"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</row>
    <row r="247" spans="13:23" ht="15.75" x14ac:dyDescent="0.25"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</row>
    <row r="248" spans="13:23" ht="15.75" x14ac:dyDescent="0.25"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</row>
    <row r="249" spans="13:23" ht="15.75" x14ac:dyDescent="0.25"/>
    <row r="250" spans="13:23" ht="15.75" x14ac:dyDescent="0.25"/>
    <row r="251" spans="13:23" ht="15.75" x14ac:dyDescent="0.25"/>
    <row r="252" spans="13:23" ht="15.75" x14ac:dyDescent="0.25"/>
    <row r="253" spans="13:23" ht="15.75" x14ac:dyDescent="0.25"/>
    <row r="254" spans="13:23" ht="15.75" x14ac:dyDescent="0.25"/>
    <row r="255" spans="13:23" ht="15.75" x14ac:dyDescent="0.25"/>
    <row r="256" spans="13:23" ht="15.75" x14ac:dyDescent="0.25"/>
    <row r="257" spans="17:20" ht="15.75" x14ac:dyDescent="0.25"/>
    <row r="258" spans="17:20" ht="15.75" x14ac:dyDescent="0.25"/>
    <row r="259" spans="17:20" ht="15.75" x14ac:dyDescent="0.25"/>
    <row r="260" spans="17:20" ht="15.75" x14ac:dyDescent="0.25"/>
    <row r="261" spans="17:20" ht="15.75" x14ac:dyDescent="0.25"/>
    <row r="262" spans="17:20" ht="15.75" x14ac:dyDescent="0.25"/>
    <row r="263" spans="17:20" ht="15.75" x14ac:dyDescent="0.25"/>
    <row r="264" spans="17:20" ht="15.75" x14ac:dyDescent="0.25"/>
    <row r="265" spans="17:20" ht="15.75" x14ac:dyDescent="0.25"/>
    <row r="266" spans="17:20" ht="15.75" x14ac:dyDescent="0.25">
      <c r="Q266" s="107"/>
      <c r="R266" s="107"/>
      <c r="S266" s="107"/>
      <c r="T266" s="107"/>
    </row>
    <row r="267" spans="17:20" ht="15.75" x14ac:dyDescent="0.25"/>
    <row r="268" spans="17:20" ht="15.75" x14ac:dyDescent="0.25"/>
    <row r="269" spans="17:20" ht="15.75" x14ac:dyDescent="0.25"/>
    <row r="270" spans="17:20" ht="15.75" x14ac:dyDescent="0.25"/>
    <row r="271" spans="17:20" ht="15.75" x14ac:dyDescent="0.25"/>
    <row r="272" spans="17:20" ht="15.75" x14ac:dyDescent="0.25"/>
    <row r="273" ht="15.75" x14ac:dyDescent="0.25"/>
    <row r="274" ht="15.75" x14ac:dyDescent="0.25"/>
    <row r="275" ht="15.75" x14ac:dyDescent="0.25"/>
    <row r="276" ht="15.75" x14ac:dyDescent="0.25"/>
    <row r="277" ht="15.75" x14ac:dyDescent="0.25"/>
    <row r="278" ht="15.75" x14ac:dyDescent="0.25"/>
    <row r="279" ht="15.75" x14ac:dyDescent="0.25"/>
    <row r="280" ht="15.75" x14ac:dyDescent="0.25"/>
    <row r="281" ht="15.75" x14ac:dyDescent="0.25"/>
    <row r="282" ht="15.75" x14ac:dyDescent="0.25"/>
    <row r="283" ht="15.75" x14ac:dyDescent="0.25"/>
    <row r="284" ht="15.75" x14ac:dyDescent="0.25"/>
    <row r="285" ht="15.75" x14ac:dyDescent="0.25"/>
    <row r="286" ht="15.75" x14ac:dyDescent="0.25"/>
    <row r="287" ht="15.75" x14ac:dyDescent="0.25"/>
    <row r="288" ht="15.75" x14ac:dyDescent="0.25"/>
    <row r="289" ht="15.75" x14ac:dyDescent="0.25"/>
    <row r="290" ht="15.75" x14ac:dyDescent="0.25"/>
    <row r="291" ht="15.75" x14ac:dyDescent="0.25"/>
    <row r="292" ht="15.75" x14ac:dyDescent="0.25"/>
    <row r="293" ht="15.75" x14ac:dyDescent="0.25"/>
    <row r="294" ht="15.75" x14ac:dyDescent="0.25"/>
    <row r="295" ht="15.75" x14ac:dyDescent="0.25"/>
    <row r="296" ht="15.75" x14ac:dyDescent="0.25"/>
    <row r="297" ht="15.75" x14ac:dyDescent="0.25"/>
    <row r="298" ht="15.75" x14ac:dyDescent="0.25"/>
    <row r="299" ht="15.75" x14ac:dyDescent="0.25"/>
    <row r="300" ht="15.75" x14ac:dyDescent="0.25"/>
    <row r="301" ht="15.75" x14ac:dyDescent="0.25"/>
    <row r="302" ht="15.75" x14ac:dyDescent="0.25"/>
    <row r="303" ht="15.75" x14ac:dyDescent="0.25"/>
    <row r="304" ht="15.75" x14ac:dyDescent="0.25"/>
    <row r="305" ht="15.75" x14ac:dyDescent="0.25"/>
    <row r="306" ht="15.75" x14ac:dyDescent="0.25"/>
    <row r="307" ht="15.75" x14ac:dyDescent="0.25"/>
    <row r="308" ht="15.75" x14ac:dyDescent="0.25"/>
    <row r="309" ht="15.75" x14ac:dyDescent="0.25"/>
    <row r="310" ht="15.75" x14ac:dyDescent="0.25"/>
    <row r="311" ht="15.75" x14ac:dyDescent="0.25"/>
    <row r="312" ht="15.75" x14ac:dyDescent="0.25"/>
    <row r="313" ht="15.75" x14ac:dyDescent="0.25"/>
    <row r="314" ht="15.75" x14ac:dyDescent="0.25"/>
    <row r="315" ht="15.75" x14ac:dyDescent="0.25"/>
    <row r="316" ht="15.75" x14ac:dyDescent="0.25"/>
    <row r="317" ht="15.75" x14ac:dyDescent="0.25"/>
    <row r="318" ht="15.75" x14ac:dyDescent="0.25"/>
    <row r="319" ht="15.75" x14ac:dyDescent="0.25"/>
    <row r="320" ht="15.75" x14ac:dyDescent="0.25"/>
    <row r="321" ht="15.75" x14ac:dyDescent="0.25"/>
    <row r="322" ht="15.75" x14ac:dyDescent="0.25"/>
    <row r="323" ht="15.75" x14ac:dyDescent="0.25"/>
    <row r="324" ht="15.75" x14ac:dyDescent="0.25"/>
    <row r="325" ht="15.75" x14ac:dyDescent="0.25"/>
    <row r="326" ht="15.75" x14ac:dyDescent="0.25"/>
    <row r="327" ht="15.75" x14ac:dyDescent="0.25"/>
    <row r="328" ht="15.75" x14ac:dyDescent="0.25"/>
    <row r="329" ht="15.75" x14ac:dyDescent="0.25"/>
    <row r="330" ht="15.75" x14ac:dyDescent="0.25"/>
    <row r="331" ht="15.75" x14ac:dyDescent="0.25"/>
    <row r="332" ht="15.75" x14ac:dyDescent="0.25"/>
    <row r="333" ht="15.75" x14ac:dyDescent="0.25"/>
    <row r="334" ht="15.75" x14ac:dyDescent="0.25"/>
    <row r="335" ht="15.75" x14ac:dyDescent="0.25"/>
    <row r="336" ht="15.75" x14ac:dyDescent="0.25"/>
    <row r="337" ht="15.75" x14ac:dyDescent="0.25"/>
    <row r="338" ht="15.75" x14ac:dyDescent="0.25"/>
    <row r="339" ht="15.75" x14ac:dyDescent="0.25"/>
    <row r="340" ht="15.75" x14ac:dyDescent="0.25"/>
    <row r="341" ht="15.75" x14ac:dyDescent="0.25"/>
    <row r="342" ht="15.75" x14ac:dyDescent="0.25"/>
    <row r="343" ht="15.75" x14ac:dyDescent="0.25"/>
    <row r="344" ht="15.75" x14ac:dyDescent="0.25"/>
    <row r="345" ht="15.75" x14ac:dyDescent="0.25"/>
    <row r="346" ht="15.75" x14ac:dyDescent="0.25"/>
    <row r="347" ht="15.75" x14ac:dyDescent="0.25"/>
    <row r="348" ht="15.75" x14ac:dyDescent="0.25"/>
    <row r="349" ht="15.75" x14ac:dyDescent="0.25"/>
    <row r="350" ht="15.75" x14ac:dyDescent="0.25"/>
    <row r="351" ht="15.75" x14ac:dyDescent="0.25"/>
    <row r="352" ht="15.75" x14ac:dyDescent="0.25"/>
    <row r="353" ht="15.75" x14ac:dyDescent="0.25"/>
    <row r="354" ht="15.75" x14ac:dyDescent="0.25"/>
    <row r="355" ht="15.75" x14ac:dyDescent="0.25"/>
    <row r="356" ht="15.75" x14ac:dyDescent="0.25"/>
    <row r="357" ht="15.75" x14ac:dyDescent="0.25"/>
    <row r="358" ht="15.75" x14ac:dyDescent="0.25"/>
    <row r="359" ht="15.75" x14ac:dyDescent="0.25"/>
    <row r="360" ht="15.75" x14ac:dyDescent="0.25"/>
    <row r="361" ht="15.75" x14ac:dyDescent="0.25"/>
    <row r="362" ht="15.75" x14ac:dyDescent="0.25"/>
    <row r="363" ht="15.75" x14ac:dyDescent="0.25"/>
    <row r="364" ht="15.75" x14ac:dyDescent="0.25"/>
    <row r="365" ht="15.75" x14ac:dyDescent="0.25"/>
    <row r="366" ht="15.75" x14ac:dyDescent="0.25"/>
    <row r="367" ht="15.75" x14ac:dyDescent="0.25"/>
    <row r="368" ht="15.75" x14ac:dyDescent="0.25"/>
    <row r="369" ht="15.75" x14ac:dyDescent="0.25"/>
    <row r="370" ht="15.75" x14ac:dyDescent="0.25"/>
    <row r="371" ht="15.75" x14ac:dyDescent="0.25"/>
    <row r="372" ht="15.75" x14ac:dyDescent="0.25"/>
    <row r="373" ht="15.75" x14ac:dyDescent="0.25"/>
    <row r="374" ht="15.75" x14ac:dyDescent="0.25"/>
    <row r="375" ht="15.75" x14ac:dyDescent="0.25"/>
    <row r="376" ht="15.75" x14ac:dyDescent="0.25"/>
    <row r="377" ht="15.75" x14ac:dyDescent="0.25"/>
    <row r="378" ht="15.75" x14ac:dyDescent="0.25"/>
    <row r="379" ht="15.75" x14ac:dyDescent="0.25"/>
    <row r="380" ht="15.75" x14ac:dyDescent="0.25"/>
    <row r="381" ht="15.75" x14ac:dyDescent="0.25"/>
    <row r="382" ht="15.75" x14ac:dyDescent="0.25"/>
    <row r="383" ht="15.75" x14ac:dyDescent="0.25"/>
    <row r="384" ht="15.75" x14ac:dyDescent="0.25"/>
    <row r="385" ht="15.75" x14ac:dyDescent="0.25"/>
    <row r="386" ht="15.75" x14ac:dyDescent="0.25"/>
    <row r="387" ht="15.75" x14ac:dyDescent="0.25"/>
    <row r="388" ht="15.75" x14ac:dyDescent="0.25"/>
    <row r="389" ht="15.75" x14ac:dyDescent="0.25"/>
    <row r="390" ht="15.75" x14ac:dyDescent="0.25"/>
    <row r="391" ht="15.75" x14ac:dyDescent="0.25"/>
    <row r="392" ht="15.75" x14ac:dyDescent="0.25"/>
    <row r="393" ht="15.75" x14ac:dyDescent="0.25"/>
    <row r="394" ht="15.75" x14ac:dyDescent="0.25"/>
    <row r="395" ht="15.75" x14ac:dyDescent="0.25"/>
    <row r="396" ht="15.75" x14ac:dyDescent="0.25"/>
    <row r="397" ht="15.75" x14ac:dyDescent="0.25"/>
    <row r="398" ht="15.75" x14ac:dyDescent="0.25"/>
    <row r="399" ht="15.75" x14ac:dyDescent="0.25"/>
    <row r="400" ht="15.75" x14ac:dyDescent="0.25"/>
    <row r="401" ht="15.75" x14ac:dyDescent="0.25"/>
    <row r="402" ht="15.75" x14ac:dyDescent="0.25"/>
    <row r="403" ht="15.75" x14ac:dyDescent="0.25"/>
    <row r="404" ht="15.75" x14ac:dyDescent="0.25"/>
    <row r="405" ht="15.75" x14ac:dyDescent="0.25"/>
    <row r="406" ht="15.75" x14ac:dyDescent="0.25"/>
    <row r="407" ht="15.75" x14ac:dyDescent="0.25"/>
    <row r="408" ht="15.75" x14ac:dyDescent="0.25"/>
    <row r="409" ht="15.75" x14ac:dyDescent="0.25"/>
    <row r="410" ht="15.75" x14ac:dyDescent="0.25"/>
    <row r="411" ht="15.75" x14ac:dyDescent="0.25"/>
    <row r="412" ht="15.75" x14ac:dyDescent="0.25"/>
    <row r="413" ht="15.75" x14ac:dyDescent="0.25"/>
    <row r="414" ht="15.75" x14ac:dyDescent="0.25"/>
    <row r="415" ht="15.75" x14ac:dyDescent="0.25"/>
    <row r="416" ht="15.75" x14ac:dyDescent="0.25"/>
    <row r="417" ht="15.75" x14ac:dyDescent="0.25"/>
    <row r="418" ht="15.75" x14ac:dyDescent="0.25"/>
    <row r="419" ht="15.75" x14ac:dyDescent="0.25"/>
    <row r="420" ht="15.75" x14ac:dyDescent="0.25"/>
    <row r="421" ht="15.75" x14ac:dyDescent="0.25"/>
    <row r="422" ht="15.75" x14ac:dyDescent="0.25"/>
    <row r="423" ht="15.75" x14ac:dyDescent="0.25"/>
    <row r="424" ht="15.75" x14ac:dyDescent="0.25"/>
    <row r="425" ht="15.75" x14ac:dyDescent="0.25"/>
    <row r="426" ht="15.75" x14ac:dyDescent="0.25"/>
    <row r="427" ht="15.75" x14ac:dyDescent="0.25"/>
    <row r="428" ht="15.75" x14ac:dyDescent="0.25"/>
    <row r="429" ht="15.75" x14ac:dyDescent="0.25"/>
    <row r="430" ht="15.75" x14ac:dyDescent="0.25"/>
    <row r="431" ht="15.75" x14ac:dyDescent="0.25"/>
    <row r="432" ht="15.75" x14ac:dyDescent="0.25"/>
    <row r="433" ht="15.75" x14ac:dyDescent="0.25"/>
    <row r="434" ht="15.75" x14ac:dyDescent="0.25"/>
    <row r="435" ht="15.75" x14ac:dyDescent="0.25"/>
    <row r="436" ht="15.75" x14ac:dyDescent="0.25"/>
    <row r="437" ht="15.75" x14ac:dyDescent="0.25"/>
    <row r="438" ht="15.75" x14ac:dyDescent="0.25"/>
    <row r="439" ht="15.75" x14ac:dyDescent="0.25"/>
    <row r="440" ht="15.75" x14ac:dyDescent="0.25"/>
    <row r="441" ht="15.75" x14ac:dyDescent="0.25"/>
    <row r="442" ht="15.75" x14ac:dyDescent="0.25"/>
    <row r="443" ht="15.75" x14ac:dyDescent="0.25"/>
    <row r="444" ht="15.75" x14ac:dyDescent="0.25"/>
    <row r="445" ht="15.75" x14ac:dyDescent="0.25"/>
    <row r="446" ht="15.75" x14ac:dyDescent="0.25"/>
    <row r="447" ht="15.75" x14ac:dyDescent="0.25"/>
    <row r="448" ht="15.75" x14ac:dyDescent="0.25"/>
    <row r="449" ht="15.75" x14ac:dyDescent="0.25"/>
    <row r="450" ht="15.75" x14ac:dyDescent="0.25"/>
    <row r="451" ht="15.75" x14ac:dyDescent="0.25"/>
    <row r="452" ht="15.75" x14ac:dyDescent="0.25"/>
    <row r="453" ht="15.75" x14ac:dyDescent="0.25"/>
    <row r="454" ht="15.75" x14ac:dyDescent="0.25"/>
    <row r="455" ht="15.75" x14ac:dyDescent="0.25"/>
    <row r="456" ht="15.75" x14ac:dyDescent="0.25"/>
    <row r="457" ht="15.75" x14ac:dyDescent="0.25"/>
    <row r="458" ht="15.75" x14ac:dyDescent="0.25"/>
    <row r="459" ht="15.75" x14ac:dyDescent="0.25"/>
    <row r="460" ht="15.75" x14ac:dyDescent="0.25"/>
    <row r="461" ht="15.75" x14ac:dyDescent="0.25"/>
    <row r="462" ht="15.75" x14ac:dyDescent="0.25"/>
    <row r="463" ht="15.75" x14ac:dyDescent="0.25"/>
    <row r="464" ht="15.75" x14ac:dyDescent="0.25"/>
    <row r="465" ht="15.75" x14ac:dyDescent="0.25"/>
    <row r="466" ht="15.75" x14ac:dyDescent="0.25"/>
    <row r="467" ht="15.75" x14ac:dyDescent="0.25"/>
    <row r="468" ht="15.75" x14ac:dyDescent="0.25"/>
    <row r="469" ht="15.75" x14ac:dyDescent="0.25"/>
    <row r="470" ht="15.75" x14ac:dyDescent="0.25"/>
    <row r="471" ht="15.75" x14ac:dyDescent="0.25"/>
    <row r="472" ht="15.75" x14ac:dyDescent="0.25"/>
    <row r="473" ht="15.75" x14ac:dyDescent="0.25"/>
    <row r="474" ht="15.75" x14ac:dyDescent="0.25"/>
    <row r="475" ht="15.75" x14ac:dyDescent="0.25"/>
    <row r="476" ht="15.75" x14ac:dyDescent="0.25"/>
    <row r="477" ht="15.75" x14ac:dyDescent="0.25"/>
    <row r="478" ht="15.75" x14ac:dyDescent="0.25"/>
    <row r="479" ht="15.75" x14ac:dyDescent="0.25"/>
    <row r="480" ht="15.75" x14ac:dyDescent="0.25"/>
    <row r="481" ht="15.75" x14ac:dyDescent="0.25"/>
    <row r="482" ht="15.75" x14ac:dyDescent="0.25"/>
    <row r="483" ht="15.75" x14ac:dyDescent="0.25"/>
    <row r="484" ht="15.75" x14ac:dyDescent="0.25"/>
    <row r="485" ht="15.75" x14ac:dyDescent="0.25"/>
    <row r="486" ht="15.75" x14ac:dyDescent="0.25"/>
    <row r="487" ht="15.75" x14ac:dyDescent="0.25"/>
    <row r="488" ht="15.75" x14ac:dyDescent="0.25"/>
    <row r="489" ht="15.75" x14ac:dyDescent="0.25"/>
    <row r="490" ht="15.75" x14ac:dyDescent="0.25"/>
    <row r="491" ht="15.75" x14ac:dyDescent="0.25"/>
    <row r="492" ht="15.75" x14ac:dyDescent="0.25"/>
    <row r="493" ht="15.75" x14ac:dyDescent="0.25"/>
    <row r="494" ht="15.75" x14ac:dyDescent="0.25"/>
    <row r="495" ht="15.75" x14ac:dyDescent="0.25"/>
    <row r="496" ht="15.75" x14ac:dyDescent="0.25"/>
    <row r="497" ht="15.75" x14ac:dyDescent="0.25"/>
    <row r="498" ht="15.75" x14ac:dyDescent="0.25"/>
    <row r="499" ht="15.75" x14ac:dyDescent="0.25"/>
    <row r="500" ht="15.75" x14ac:dyDescent="0.25"/>
    <row r="501" ht="15.75" x14ac:dyDescent="0.25"/>
    <row r="502" ht="15.75" x14ac:dyDescent="0.25"/>
    <row r="503" ht="15.75" x14ac:dyDescent="0.25"/>
    <row r="504" ht="15.75" x14ac:dyDescent="0.25"/>
    <row r="505" ht="15.75" x14ac:dyDescent="0.25"/>
    <row r="506" ht="15.75" x14ac:dyDescent="0.25"/>
    <row r="507" ht="15.75" x14ac:dyDescent="0.25"/>
    <row r="508" ht="15.75" x14ac:dyDescent="0.25"/>
    <row r="509" ht="15.75" x14ac:dyDescent="0.25"/>
    <row r="510" ht="15.75" x14ac:dyDescent="0.25"/>
    <row r="511" ht="15.75" x14ac:dyDescent="0.25"/>
    <row r="512" ht="15.75" x14ac:dyDescent="0.25"/>
    <row r="513" ht="15.75" x14ac:dyDescent="0.25"/>
    <row r="514" ht="15.75" x14ac:dyDescent="0.25"/>
    <row r="515" ht="15.75" x14ac:dyDescent="0.25"/>
    <row r="516" ht="15.75" x14ac:dyDescent="0.25"/>
    <row r="517" ht="15.75" x14ac:dyDescent="0.25"/>
    <row r="518" ht="15.75" x14ac:dyDescent="0.25"/>
    <row r="519" ht="15.75" x14ac:dyDescent="0.25"/>
    <row r="520" ht="15.75" x14ac:dyDescent="0.25"/>
    <row r="521" ht="15.75" x14ac:dyDescent="0.25"/>
    <row r="522" ht="15.75" x14ac:dyDescent="0.25"/>
    <row r="523" ht="15.75" x14ac:dyDescent="0.25"/>
    <row r="524" ht="15.75" x14ac:dyDescent="0.25"/>
    <row r="525" ht="15.75" x14ac:dyDescent="0.25"/>
    <row r="526" ht="15.75" x14ac:dyDescent="0.25"/>
    <row r="527" ht="15.75" x14ac:dyDescent="0.25"/>
    <row r="528" ht="15.75" x14ac:dyDescent="0.25"/>
    <row r="529" ht="15.75" x14ac:dyDescent="0.25"/>
    <row r="530" ht="15.75" x14ac:dyDescent="0.25"/>
    <row r="531" ht="15.75" x14ac:dyDescent="0.25"/>
    <row r="532" ht="15.75" x14ac:dyDescent="0.25"/>
    <row r="533" ht="15.75" x14ac:dyDescent="0.25"/>
    <row r="534" ht="15.75" x14ac:dyDescent="0.25"/>
    <row r="535" ht="15.75" x14ac:dyDescent="0.25"/>
    <row r="536" ht="15.75" x14ac:dyDescent="0.25"/>
    <row r="537" ht="15.75" x14ac:dyDescent="0.25"/>
    <row r="538" ht="15.75" x14ac:dyDescent="0.25"/>
    <row r="539" ht="15.75" x14ac:dyDescent="0.25"/>
    <row r="540" ht="15.75" x14ac:dyDescent="0.25"/>
    <row r="541" ht="15.75" x14ac:dyDescent="0.25"/>
    <row r="542" ht="15.75" x14ac:dyDescent="0.25"/>
    <row r="543" ht="15.75" x14ac:dyDescent="0.25"/>
    <row r="544" ht="15.75" x14ac:dyDescent="0.25"/>
    <row r="545" ht="15.75" x14ac:dyDescent="0.25"/>
    <row r="546" ht="15.75" x14ac:dyDescent="0.25"/>
    <row r="547" ht="15.75" x14ac:dyDescent="0.25"/>
    <row r="548" ht="15.75" x14ac:dyDescent="0.25"/>
    <row r="549" ht="15.75" x14ac:dyDescent="0.25"/>
    <row r="550" ht="15.75" x14ac:dyDescent="0.25"/>
    <row r="551" ht="15.75" x14ac:dyDescent="0.25"/>
    <row r="552" ht="15.75" x14ac:dyDescent="0.25"/>
    <row r="553" ht="15.75" x14ac:dyDescent="0.25"/>
    <row r="554" ht="15.75" x14ac:dyDescent="0.25"/>
    <row r="555" ht="15.75" x14ac:dyDescent="0.25"/>
    <row r="556" ht="15.75" x14ac:dyDescent="0.25"/>
    <row r="557" ht="15.75" x14ac:dyDescent="0.25"/>
    <row r="558" ht="15.75" x14ac:dyDescent="0.25"/>
    <row r="559" ht="15.75" x14ac:dyDescent="0.25"/>
    <row r="560" ht="15.75" x14ac:dyDescent="0.25"/>
    <row r="561" ht="15.75" x14ac:dyDescent="0.25"/>
    <row r="562" ht="15.75" x14ac:dyDescent="0.25"/>
    <row r="563" ht="15.75" x14ac:dyDescent="0.25"/>
    <row r="564" ht="15.75" x14ac:dyDescent="0.25"/>
    <row r="565" ht="15.75" x14ac:dyDescent="0.25"/>
    <row r="566" ht="15.75" x14ac:dyDescent="0.25"/>
    <row r="567" ht="15.75" x14ac:dyDescent="0.25"/>
    <row r="568" ht="15.75" x14ac:dyDescent="0.25"/>
    <row r="569" ht="15.75" x14ac:dyDescent="0.25"/>
    <row r="570" ht="15.75" x14ac:dyDescent="0.25"/>
    <row r="571" ht="15.75" x14ac:dyDescent="0.25"/>
    <row r="572" ht="15.75" x14ac:dyDescent="0.25"/>
    <row r="573" ht="15.75" x14ac:dyDescent="0.25"/>
    <row r="574" ht="15.75" x14ac:dyDescent="0.25"/>
    <row r="575" ht="15.75" x14ac:dyDescent="0.25"/>
    <row r="576" ht="15.75" x14ac:dyDescent="0.25"/>
    <row r="577" ht="15.75" x14ac:dyDescent="0.25"/>
    <row r="578" ht="15.75" x14ac:dyDescent="0.25"/>
    <row r="579" ht="15.75" x14ac:dyDescent="0.25"/>
    <row r="580" ht="15.75" x14ac:dyDescent="0.25"/>
    <row r="581" ht="15.75" x14ac:dyDescent="0.25"/>
    <row r="582" ht="15.75" x14ac:dyDescent="0.25"/>
    <row r="583" ht="15.75" x14ac:dyDescent="0.25"/>
    <row r="584" ht="15.75" x14ac:dyDescent="0.25"/>
    <row r="585" ht="15.75" x14ac:dyDescent="0.25"/>
    <row r="586" ht="15.75" x14ac:dyDescent="0.25"/>
    <row r="587" ht="15.75" x14ac:dyDescent="0.25"/>
    <row r="588" ht="15.75" x14ac:dyDescent="0.25"/>
    <row r="589" ht="15.75" x14ac:dyDescent="0.25"/>
    <row r="590" ht="15.75" x14ac:dyDescent="0.25"/>
    <row r="591" ht="15.75" x14ac:dyDescent="0.25"/>
    <row r="592" ht="15.75" x14ac:dyDescent="0.25"/>
    <row r="593" ht="15.75" x14ac:dyDescent="0.25"/>
    <row r="594" ht="15.75" x14ac:dyDescent="0.25"/>
    <row r="595" ht="15.75" x14ac:dyDescent="0.25"/>
    <row r="596" ht="15.75" x14ac:dyDescent="0.25"/>
    <row r="597" ht="15.75" x14ac:dyDescent="0.25"/>
    <row r="598" ht="15.75" x14ac:dyDescent="0.25"/>
    <row r="599" ht="15.75" x14ac:dyDescent="0.25"/>
    <row r="600" ht="15.75" x14ac:dyDescent="0.25"/>
    <row r="601" ht="15.75" x14ac:dyDescent="0.25"/>
    <row r="602" ht="15.75" x14ac:dyDescent="0.25"/>
    <row r="603" ht="15.75" x14ac:dyDescent="0.25"/>
    <row r="604" ht="15.75" x14ac:dyDescent="0.25"/>
    <row r="605" ht="15.75" x14ac:dyDescent="0.25"/>
    <row r="606" ht="15.75" x14ac:dyDescent="0.25"/>
    <row r="607" ht="15.75" x14ac:dyDescent="0.25"/>
    <row r="608" ht="15.75" x14ac:dyDescent="0.25"/>
    <row r="609" ht="15.75" x14ac:dyDescent="0.25"/>
    <row r="610" ht="15.75" x14ac:dyDescent="0.25"/>
    <row r="611" ht="15.75" x14ac:dyDescent="0.25"/>
    <row r="612" ht="15.75" x14ac:dyDescent="0.25"/>
    <row r="613" ht="15.75" x14ac:dyDescent="0.25"/>
    <row r="614" ht="15.75" x14ac:dyDescent="0.25"/>
    <row r="615" ht="15.75" x14ac:dyDescent="0.25"/>
    <row r="616" ht="15.75" x14ac:dyDescent="0.25"/>
    <row r="617" ht="15.75" x14ac:dyDescent="0.25"/>
    <row r="618" ht="15.75" x14ac:dyDescent="0.25"/>
    <row r="619" ht="15.75" x14ac:dyDescent="0.25"/>
    <row r="620" ht="15.75" x14ac:dyDescent="0.25"/>
    <row r="621" ht="15.75" x14ac:dyDescent="0.25"/>
    <row r="622" ht="15.75" x14ac:dyDescent="0.25"/>
    <row r="623" ht="15.75" x14ac:dyDescent="0.25"/>
    <row r="624" ht="15.75" x14ac:dyDescent="0.25"/>
    <row r="625" ht="15.75" x14ac:dyDescent="0.25"/>
    <row r="626" ht="15.75" x14ac:dyDescent="0.25"/>
    <row r="627" ht="15.75" x14ac:dyDescent="0.25"/>
    <row r="628" ht="15.75" x14ac:dyDescent="0.25"/>
    <row r="629" ht="15.75" x14ac:dyDescent="0.25"/>
    <row r="630" ht="15.75" x14ac:dyDescent="0.25"/>
    <row r="631" ht="15.75" x14ac:dyDescent="0.25"/>
    <row r="632" ht="15.75" x14ac:dyDescent="0.25"/>
    <row r="633" ht="15.75" x14ac:dyDescent="0.25"/>
    <row r="634" ht="15.75" x14ac:dyDescent="0.25"/>
    <row r="635" ht="15.75" x14ac:dyDescent="0.25"/>
    <row r="636" ht="15.75" x14ac:dyDescent="0.25"/>
    <row r="637" ht="15.75" x14ac:dyDescent="0.25"/>
    <row r="638" ht="15.75" x14ac:dyDescent="0.25"/>
    <row r="639" ht="15.75" x14ac:dyDescent="0.25"/>
    <row r="640" ht="15.75" x14ac:dyDescent="0.25"/>
    <row r="641" ht="15.75" x14ac:dyDescent="0.25"/>
    <row r="642" ht="15.75" x14ac:dyDescent="0.25"/>
    <row r="643" ht="15.75" x14ac:dyDescent="0.25"/>
    <row r="644" ht="15.75" x14ac:dyDescent="0.25"/>
    <row r="645" ht="15.75" x14ac:dyDescent="0.25"/>
    <row r="646" ht="15.75" x14ac:dyDescent="0.25"/>
    <row r="647" ht="15.75" x14ac:dyDescent="0.25"/>
    <row r="648" ht="15.75" x14ac:dyDescent="0.25"/>
    <row r="649" ht="15.75" x14ac:dyDescent="0.25"/>
    <row r="650" ht="15.75" x14ac:dyDescent="0.25"/>
    <row r="651" ht="15.75" x14ac:dyDescent="0.25"/>
    <row r="652" ht="15.75" x14ac:dyDescent="0.25"/>
    <row r="653" ht="15.75" x14ac:dyDescent="0.25"/>
    <row r="654" ht="15.75" x14ac:dyDescent="0.25"/>
    <row r="655" ht="15.75" x14ac:dyDescent="0.25"/>
    <row r="656" ht="15.75" x14ac:dyDescent="0.25"/>
    <row r="657" ht="15.75" x14ac:dyDescent="0.25"/>
    <row r="658" ht="15.75" x14ac:dyDescent="0.25"/>
    <row r="659" ht="15.75" x14ac:dyDescent="0.25"/>
    <row r="660" ht="15.75" x14ac:dyDescent="0.25"/>
    <row r="661" ht="15.75" x14ac:dyDescent="0.25"/>
    <row r="662" ht="15.75" x14ac:dyDescent="0.25"/>
    <row r="663" ht="15.75" x14ac:dyDescent="0.25"/>
    <row r="664" ht="15.75" x14ac:dyDescent="0.25"/>
    <row r="665" ht="15.75" x14ac:dyDescent="0.25"/>
    <row r="666" ht="15.75" x14ac:dyDescent="0.25"/>
    <row r="667" ht="15.75" x14ac:dyDescent="0.25"/>
    <row r="668" ht="15.75" x14ac:dyDescent="0.25"/>
    <row r="669" ht="15.75" x14ac:dyDescent="0.25"/>
    <row r="670" ht="15.75" x14ac:dyDescent="0.25"/>
    <row r="671" ht="15.75" x14ac:dyDescent="0.25"/>
    <row r="672" ht="15.75" x14ac:dyDescent="0.25"/>
    <row r="673" ht="15.75" x14ac:dyDescent="0.25"/>
    <row r="674" ht="15.75" x14ac:dyDescent="0.25"/>
    <row r="675" ht="15.75" x14ac:dyDescent="0.25"/>
    <row r="676" ht="15.75" x14ac:dyDescent="0.25"/>
    <row r="677" ht="15.75" x14ac:dyDescent="0.25"/>
    <row r="678" ht="15.75" x14ac:dyDescent="0.25"/>
    <row r="679" ht="15.75" x14ac:dyDescent="0.25"/>
    <row r="680" ht="15.75" x14ac:dyDescent="0.25"/>
    <row r="681" ht="15.75" x14ac:dyDescent="0.25"/>
    <row r="682" ht="15.75" x14ac:dyDescent="0.25"/>
    <row r="683" ht="15.75" x14ac:dyDescent="0.25"/>
    <row r="684" ht="15.75" x14ac:dyDescent="0.25"/>
    <row r="685" ht="15.75" x14ac:dyDescent="0.25"/>
    <row r="686" ht="15.75" x14ac:dyDescent="0.25"/>
    <row r="687" ht="15.75" x14ac:dyDescent="0.25"/>
    <row r="688" ht="15.75" x14ac:dyDescent="0.25"/>
    <row r="689" ht="15.75" x14ac:dyDescent="0.25"/>
    <row r="690" ht="15.75" x14ac:dyDescent="0.25"/>
    <row r="691" ht="15.75" x14ac:dyDescent="0.25"/>
    <row r="692" ht="15.75" x14ac:dyDescent="0.25"/>
    <row r="693" ht="15.75" x14ac:dyDescent="0.25"/>
    <row r="694" ht="15.75" x14ac:dyDescent="0.25"/>
    <row r="695" ht="15.75" x14ac:dyDescent="0.25"/>
    <row r="696" ht="15.75" x14ac:dyDescent="0.25"/>
    <row r="697" ht="15.75" x14ac:dyDescent="0.25"/>
    <row r="698" ht="15.75" x14ac:dyDescent="0.25"/>
    <row r="699" ht="15.75" x14ac:dyDescent="0.25"/>
    <row r="700" ht="15.75" x14ac:dyDescent="0.25"/>
    <row r="701" ht="15.75" x14ac:dyDescent="0.25"/>
    <row r="702" ht="15.75" x14ac:dyDescent="0.25"/>
    <row r="703" ht="15.75" x14ac:dyDescent="0.25"/>
    <row r="704" ht="15.75" x14ac:dyDescent="0.25"/>
    <row r="705" ht="15.75" x14ac:dyDescent="0.25"/>
    <row r="706" ht="15.75" x14ac:dyDescent="0.25"/>
    <row r="707" ht="15.75" x14ac:dyDescent="0.25"/>
    <row r="708" ht="15.75" x14ac:dyDescent="0.25"/>
    <row r="709" ht="15.75" x14ac:dyDescent="0.25"/>
    <row r="710" ht="15.75" x14ac:dyDescent="0.25"/>
    <row r="711" ht="15.75" x14ac:dyDescent="0.25"/>
    <row r="712" ht="15.75" x14ac:dyDescent="0.25"/>
    <row r="713" ht="15.75" x14ac:dyDescent="0.25"/>
    <row r="714" ht="15.75" x14ac:dyDescent="0.25"/>
    <row r="715" ht="15.75" x14ac:dyDescent="0.25"/>
    <row r="716" ht="15.75" x14ac:dyDescent="0.25"/>
    <row r="717" ht="15.75" x14ac:dyDescent="0.25"/>
    <row r="718" ht="15.75" x14ac:dyDescent="0.25"/>
    <row r="719" ht="15.75" x14ac:dyDescent="0.25"/>
    <row r="720" ht="15.75" x14ac:dyDescent="0.25"/>
    <row r="721" ht="15.75" x14ac:dyDescent="0.25"/>
    <row r="722" ht="15.75" x14ac:dyDescent="0.25"/>
    <row r="723" ht="15.75" x14ac:dyDescent="0.25"/>
    <row r="724" ht="15.75" x14ac:dyDescent="0.25"/>
    <row r="725" ht="15.75" x14ac:dyDescent="0.25"/>
    <row r="726" ht="15.75" x14ac:dyDescent="0.25"/>
    <row r="727" ht="15.75" x14ac:dyDescent="0.25"/>
    <row r="728" ht="15.75" x14ac:dyDescent="0.25"/>
    <row r="729" ht="15.75" x14ac:dyDescent="0.25"/>
    <row r="730" ht="15.75" x14ac:dyDescent="0.25"/>
    <row r="731" ht="15.75" x14ac:dyDescent="0.25"/>
    <row r="732" ht="15.75" x14ac:dyDescent="0.25"/>
    <row r="733" ht="15.75" x14ac:dyDescent="0.25"/>
    <row r="734" ht="15.75" x14ac:dyDescent="0.25"/>
    <row r="735" ht="15.75" x14ac:dyDescent="0.25"/>
    <row r="736" ht="15.75" x14ac:dyDescent="0.25"/>
    <row r="737" ht="15.75" x14ac:dyDescent="0.25"/>
    <row r="738" ht="15.75" x14ac:dyDescent="0.25"/>
    <row r="739" ht="15.75" x14ac:dyDescent="0.25"/>
    <row r="740" ht="15.75" x14ac:dyDescent="0.25"/>
    <row r="741" ht="15.75" x14ac:dyDescent="0.25"/>
    <row r="742" ht="15.75" x14ac:dyDescent="0.25"/>
    <row r="743" ht="15.75" x14ac:dyDescent="0.25"/>
    <row r="744" ht="15.75" x14ac:dyDescent="0.25"/>
    <row r="745" ht="15.75" x14ac:dyDescent="0.25"/>
    <row r="746" ht="15.75" x14ac:dyDescent="0.25"/>
    <row r="747" ht="15.75" x14ac:dyDescent="0.25"/>
    <row r="748" ht="15.75" x14ac:dyDescent="0.25"/>
    <row r="749" ht="15.75" x14ac:dyDescent="0.25"/>
    <row r="750" ht="15.75" x14ac:dyDescent="0.25"/>
    <row r="751" ht="15.75" x14ac:dyDescent="0.25"/>
    <row r="752" ht="15.75" x14ac:dyDescent="0.25"/>
    <row r="753" ht="15.75" x14ac:dyDescent="0.25"/>
    <row r="754" ht="15.75" x14ac:dyDescent="0.25"/>
    <row r="755" ht="15.75" x14ac:dyDescent="0.25"/>
    <row r="756" ht="15.75" x14ac:dyDescent="0.25"/>
    <row r="757" ht="15.75" x14ac:dyDescent="0.25"/>
    <row r="758" ht="15.75" x14ac:dyDescent="0.25"/>
    <row r="759" ht="15.75" x14ac:dyDescent="0.25"/>
    <row r="760" ht="15.75" x14ac:dyDescent="0.25"/>
    <row r="761" ht="15.75" x14ac:dyDescent="0.25"/>
    <row r="762" ht="15.75" x14ac:dyDescent="0.25"/>
    <row r="763" ht="15.75" x14ac:dyDescent="0.25"/>
    <row r="764" ht="15.75" x14ac:dyDescent="0.25"/>
    <row r="765" ht="15.75" x14ac:dyDescent="0.25"/>
    <row r="766" ht="15.75" x14ac:dyDescent="0.25"/>
    <row r="767" ht="15.75" x14ac:dyDescent="0.25"/>
    <row r="768" ht="15.75" x14ac:dyDescent="0.25"/>
    <row r="769" ht="15.75" x14ac:dyDescent="0.25"/>
    <row r="770" ht="15.75" x14ac:dyDescent="0.25"/>
    <row r="771" ht="15.75" x14ac:dyDescent="0.25"/>
    <row r="772" ht="15.75" x14ac:dyDescent="0.25"/>
    <row r="773" ht="15.75" x14ac:dyDescent="0.25"/>
    <row r="774" ht="15.75" x14ac:dyDescent="0.25"/>
    <row r="775" ht="15.75" x14ac:dyDescent="0.25"/>
    <row r="776" ht="15.75" x14ac:dyDescent="0.25"/>
    <row r="777" ht="15.75" x14ac:dyDescent="0.25"/>
    <row r="778" ht="15.75" x14ac:dyDescent="0.25"/>
    <row r="779" ht="15.75" x14ac:dyDescent="0.25"/>
    <row r="780" ht="15.75" x14ac:dyDescent="0.25"/>
    <row r="781" ht="15.75" x14ac:dyDescent="0.25"/>
    <row r="782" ht="15.75" x14ac:dyDescent="0.25"/>
    <row r="783" ht="15.75" x14ac:dyDescent="0.25"/>
    <row r="784" ht="15.75" x14ac:dyDescent="0.25"/>
    <row r="785" ht="15.75" x14ac:dyDescent="0.25"/>
    <row r="786" ht="15.75" x14ac:dyDescent="0.25"/>
    <row r="787" ht="15.75" x14ac:dyDescent="0.25"/>
    <row r="788" ht="15.75" x14ac:dyDescent="0.25"/>
    <row r="789" ht="15.75" x14ac:dyDescent="0.25"/>
    <row r="790" ht="15.75" x14ac:dyDescent="0.25"/>
    <row r="791" ht="15.75" x14ac:dyDescent="0.25"/>
    <row r="792" ht="15.75" x14ac:dyDescent="0.25"/>
    <row r="793" ht="15.75" x14ac:dyDescent="0.25"/>
    <row r="794" ht="15.75" x14ac:dyDescent="0.25"/>
    <row r="795" ht="15.75" x14ac:dyDescent="0.25"/>
    <row r="796" ht="15.75" x14ac:dyDescent="0.25"/>
    <row r="797" ht="15.75" x14ac:dyDescent="0.25"/>
    <row r="798" ht="15.75" x14ac:dyDescent="0.25"/>
    <row r="799" ht="15.75" x14ac:dyDescent="0.25"/>
    <row r="800" ht="15.75" x14ac:dyDescent="0.25"/>
    <row r="801" ht="15.75" x14ac:dyDescent="0.25"/>
    <row r="802" ht="15.75" x14ac:dyDescent="0.25"/>
    <row r="803" ht="15.75" x14ac:dyDescent="0.25"/>
    <row r="804" ht="15.75" x14ac:dyDescent="0.25"/>
    <row r="805" ht="15.75" x14ac:dyDescent="0.25"/>
    <row r="806" ht="15.75" x14ac:dyDescent="0.25"/>
    <row r="807" ht="15.75" x14ac:dyDescent="0.25"/>
    <row r="808" ht="15.75" x14ac:dyDescent="0.25"/>
    <row r="809" ht="15.75" x14ac:dyDescent="0.25"/>
    <row r="810" ht="15.75" x14ac:dyDescent="0.25"/>
    <row r="811" ht="15.75" x14ac:dyDescent="0.25"/>
    <row r="812" ht="15.75" x14ac:dyDescent="0.25"/>
    <row r="813" ht="15.75" x14ac:dyDescent="0.25"/>
    <row r="814" ht="15.75" x14ac:dyDescent="0.25"/>
    <row r="815" ht="15.75" x14ac:dyDescent="0.25"/>
    <row r="816" ht="15.75" x14ac:dyDescent="0.25"/>
    <row r="817" ht="15.75" x14ac:dyDescent="0.25"/>
    <row r="818" ht="15.75" x14ac:dyDescent="0.25"/>
    <row r="819" ht="15.75" x14ac:dyDescent="0.25"/>
    <row r="820" ht="15.75" x14ac:dyDescent="0.25"/>
    <row r="821" ht="15.75" x14ac:dyDescent="0.25"/>
    <row r="822" ht="15.75" x14ac:dyDescent="0.25"/>
    <row r="823" ht="15.75" x14ac:dyDescent="0.25"/>
    <row r="824" ht="15.75" x14ac:dyDescent="0.25"/>
    <row r="825" ht="15.75" x14ac:dyDescent="0.25"/>
    <row r="826" ht="15.75" x14ac:dyDescent="0.25"/>
    <row r="827" ht="15.75" x14ac:dyDescent="0.25"/>
    <row r="828" ht="15.75" x14ac:dyDescent="0.25"/>
    <row r="829" ht="15.75" x14ac:dyDescent="0.25"/>
    <row r="830" ht="15.75" x14ac:dyDescent="0.25"/>
    <row r="831" ht="15.75" x14ac:dyDescent="0.25"/>
    <row r="832" ht="15.75" x14ac:dyDescent="0.25"/>
    <row r="833" ht="15.75" x14ac:dyDescent="0.25"/>
    <row r="834" ht="15.75" x14ac:dyDescent="0.25"/>
    <row r="835" ht="15.75" x14ac:dyDescent="0.25"/>
    <row r="836" ht="15.75" x14ac:dyDescent="0.25"/>
    <row r="837" ht="15.75" x14ac:dyDescent="0.25"/>
    <row r="838" ht="15.75" x14ac:dyDescent="0.25"/>
    <row r="839" ht="15.75" x14ac:dyDescent="0.25"/>
    <row r="840" ht="15.75" x14ac:dyDescent="0.25"/>
    <row r="841" ht="15.75" x14ac:dyDescent="0.25"/>
    <row r="842" ht="15.75" x14ac:dyDescent="0.25"/>
    <row r="843" ht="15.75" x14ac:dyDescent="0.25"/>
    <row r="844" ht="15.75" x14ac:dyDescent="0.25"/>
    <row r="845" ht="15.75" x14ac:dyDescent="0.25"/>
    <row r="846" ht="15.75" x14ac:dyDescent="0.25"/>
    <row r="847" ht="15.75" x14ac:dyDescent="0.25"/>
    <row r="848" ht="15.75" x14ac:dyDescent="0.25"/>
    <row r="849" ht="15.75" x14ac:dyDescent="0.25"/>
    <row r="850" ht="15.75" x14ac:dyDescent="0.25"/>
    <row r="851" ht="15.75" x14ac:dyDescent="0.25"/>
    <row r="852" ht="15.75" x14ac:dyDescent="0.25"/>
    <row r="853" ht="15.75" x14ac:dyDescent="0.25"/>
    <row r="854" ht="15.75" x14ac:dyDescent="0.25"/>
    <row r="855" ht="15.75" x14ac:dyDescent="0.25"/>
    <row r="856" ht="15.75" x14ac:dyDescent="0.25"/>
    <row r="857" ht="15.75" x14ac:dyDescent="0.25"/>
    <row r="858" ht="15.75" x14ac:dyDescent="0.25"/>
    <row r="859" ht="15.75" x14ac:dyDescent="0.25"/>
    <row r="860" ht="15.75" x14ac:dyDescent="0.25"/>
    <row r="861" ht="15.75" x14ac:dyDescent="0.25"/>
    <row r="862" ht="15.75" x14ac:dyDescent="0.25"/>
    <row r="863" ht="15.75" x14ac:dyDescent="0.25"/>
    <row r="864" ht="15.75" x14ac:dyDescent="0.25"/>
    <row r="865" ht="15.75" x14ac:dyDescent="0.25"/>
    <row r="866" ht="15.75" x14ac:dyDescent="0.25"/>
    <row r="867" ht="15.75" x14ac:dyDescent="0.25"/>
    <row r="868" ht="15.75" x14ac:dyDescent="0.25"/>
    <row r="869" ht="15.75" x14ac:dyDescent="0.25"/>
    <row r="870" ht="15.75" x14ac:dyDescent="0.25"/>
    <row r="871" ht="15.75" x14ac:dyDescent="0.25"/>
    <row r="872" ht="15.75" x14ac:dyDescent="0.25"/>
    <row r="873" ht="15.75" x14ac:dyDescent="0.25"/>
    <row r="874" ht="15.75" x14ac:dyDescent="0.25"/>
    <row r="875" ht="15.75" x14ac:dyDescent="0.25"/>
    <row r="876" ht="15.75" x14ac:dyDescent="0.25"/>
    <row r="877" ht="15.75" x14ac:dyDescent="0.25"/>
    <row r="878" ht="15.75" x14ac:dyDescent="0.25"/>
    <row r="879" ht="15.75" x14ac:dyDescent="0.25"/>
    <row r="880" ht="15.75" x14ac:dyDescent="0.25"/>
    <row r="881" ht="15.75" x14ac:dyDescent="0.25"/>
    <row r="882" ht="15.75" x14ac:dyDescent="0.25"/>
    <row r="883" ht="15.75" x14ac:dyDescent="0.25"/>
    <row r="884" ht="15.75" x14ac:dyDescent="0.25"/>
    <row r="885" ht="15.75" x14ac:dyDescent="0.25"/>
    <row r="886" ht="15.75" x14ac:dyDescent="0.25"/>
    <row r="887" ht="15.75" x14ac:dyDescent="0.25"/>
    <row r="888" ht="15.75" x14ac:dyDescent="0.25"/>
    <row r="889" ht="15.75" x14ac:dyDescent="0.25"/>
    <row r="890" ht="15.75" x14ac:dyDescent="0.25"/>
    <row r="891" ht="15.75" x14ac:dyDescent="0.25"/>
    <row r="892" ht="15.75" x14ac:dyDescent="0.25"/>
    <row r="893" ht="15.75" x14ac:dyDescent="0.25"/>
    <row r="894" ht="15.75" x14ac:dyDescent="0.25"/>
    <row r="895" ht="15.75" x14ac:dyDescent="0.25"/>
    <row r="896" ht="15.75" x14ac:dyDescent="0.25"/>
    <row r="897" ht="15.75" x14ac:dyDescent="0.25"/>
    <row r="898" ht="15.75" x14ac:dyDescent="0.25"/>
    <row r="899" ht="15.75" x14ac:dyDescent="0.25"/>
    <row r="900" ht="15.75" x14ac:dyDescent="0.25"/>
    <row r="901" ht="15.75" x14ac:dyDescent="0.25"/>
    <row r="902" ht="15.75" x14ac:dyDescent="0.25"/>
    <row r="903" ht="15.75" x14ac:dyDescent="0.25"/>
    <row r="904" ht="15.75" x14ac:dyDescent="0.25"/>
    <row r="905" ht="15.75" x14ac:dyDescent="0.25"/>
    <row r="906" ht="15.75" x14ac:dyDescent="0.25"/>
    <row r="907" ht="15.75" x14ac:dyDescent="0.25"/>
    <row r="908" ht="15.75" x14ac:dyDescent="0.25"/>
    <row r="909" ht="15.75" x14ac:dyDescent="0.25"/>
    <row r="910" ht="15.75" x14ac:dyDescent="0.25"/>
    <row r="911" ht="15.75" x14ac:dyDescent="0.25"/>
    <row r="912" ht="15.75" x14ac:dyDescent="0.25"/>
    <row r="913" ht="15.75" x14ac:dyDescent="0.25"/>
    <row r="914" ht="15.75" x14ac:dyDescent="0.25"/>
    <row r="915" ht="15.75" x14ac:dyDescent="0.25"/>
    <row r="916" ht="15.75" x14ac:dyDescent="0.25"/>
    <row r="917" ht="15.75" x14ac:dyDescent="0.25"/>
    <row r="918" ht="15.75" x14ac:dyDescent="0.25"/>
    <row r="919" ht="15.75" x14ac:dyDescent="0.25"/>
    <row r="920" ht="15.75" x14ac:dyDescent="0.25"/>
    <row r="921" ht="15.75" x14ac:dyDescent="0.25"/>
    <row r="922" ht="15.75" x14ac:dyDescent="0.25"/>
    <row r="923" ht="15.75" x14ac:dyDescent="0.25"/>
    <row r="924" ht="15.75" x14ac:dyDescent="0.25"/>
    <row r="925" ht="15.75" x14ac:dyDescent="0.25"/>
    <row r="926" ht="15.75" x14ac:dyDescent="0.25"/>
    <row r="927" ht="15.75" x14ac:dyDescent="0.25"/>
    <row r="928" ht="15.75" x14ac:dyDescent="0.25"/>
    <row r="929" ht="15.75" x14ac:dyDescent="0.25"/>
    <row r="930" ht="15.75" x14ac:dyDescent="0.25"/>
    <row r="931" ht="15.75" x14ac:dyDescent="0.25"/>
    <row r="932" ht="15.75" x14ac:dyDescent="0.25"/>
    <row r="933" ht="15.75" x14ac:dyDescent="0.25"/>
    <row r="934" ht="15.75" x14ac:dyDescent="0.25"/>
    <row r="935" ht="15.75" x14ac:dyDescent="0.25"/>
    <row r="936" ht="15.75" x14ac:dyDescent="0.25"/>
    <row r="937" ht="15.75" x14ac:dyDescent="0.25"/>
    <row r="938" ht="15.75" x14ac:dyDescent="0.25"/>
    <row r="939" ht="15.75" x14ac:dyDescent="0.25"/>
    <row r="940" ht="15.75" x14ac:dyDescent="0.25"/>
    <row r="941" ht="15.75" x14ac:dyDescent="0.25"/>
    <row r="942" ht="15.75" x14ac:dyDescent="0.25"/>
    <row r="943" ht="15.75" x14ac:dyDescent="0.25"/>
    <row r="944" ht="15.75" x14ac:dyDescent="0.25"/>
    <row r="945" ht="15.75" x14ac:dyDescent="0.25"/>
    <row r="946" ht="15.75" x14ac:dyDescent="0.25"/>
    <row r="947" ht="15.75" x14ac:dyDescent="0.25"/>
    <row r="948" ht="15.75" x14ac:dyDescent="0.25"/>
    <row r="949" ht="15.75" x14ac:dyDescent="0.25"/>
    <row r="950" ht="15.75" x14ac:dyDescent="0.25"/>
    <row r="951" ht="15.75" x14ac:dyDescent="0.25"/>
    <row r="952" ht="15.75" x14ac:dyDescent="0.25"/>
    <row r="953" ht="15.75" x14ac:dyDescent="0.25"/>
    <row r="954" ht="15.75" x14ac:dyDescent="0.25"/>
    <row r="955" ht="15.75" x14ac:dyDescent="0.25"/>
    <row r="956" ht="15.75" x14ac:dyDescent="0.25"/>
    <row r="957" ht="15.75" x14ac:dyDescent="0.25"/>
    <row r="958" ht="15.75" x14ac:dyDescent="0.25"/>
    <row r="959" ht="15.75" x14ac:dyDescent="0.25"/>
    <row r="960" ht="15.75" x14ac:dyDescent="0.25"/>
    <row r="961" ht="15.75" x14ac:dyDescent="0.25"/>
    <row r="962" ht="15.75" x14ac:dyDescent="0.25"/>
    <row r="963" ht="15.75" x14ac:dyDescent="0.25"/>
    <row r="964" ht="15.75" x14ac:dyDescent="0.25"/>
    <row r="965" ht="15.75" x14ac:dyDescent="0.25"/>
    <row r="966" ht="15.75" x14ac:dyDescent="0.25"/>
    <row r="967" ht="15.75" x14ac:dyDescent="0.25"/>
    <row r="968" ht="15.75" x14ac:dyDescent="0.25"/>
    <row r="969" ht="15.75" x14ac:dyDescent="0.25"/>
    <row r="970" ht="15.75" x14ac:dyDescent="0.25"/>
    <row r="971" ht="15.75" x14ac:dyDescent="0.25"/>
    <row r="972" ht="15.75" x14ac:dyDescent="0.25"/>
    <row r="973" ht="15.75" x14ac:dyDescent="0.25"/>
    <row r="974" ht="15.75" x14ac:dyDescent="0.25"/>
    <row r="975" ht="15.75" x14ac:dyDescent="0.25"/>
    <row r="976" ht="15.75" x14ac:dyDescent="0.25"/>
    <row r="977" ht="15.75" x14ac:dyDescent="0.25"/>
    <row r="978" ht="15.75" x14ac:dyDescent="0.25"/>
    <row r="979" ht="15.75" x14ac:dyDescent="0.25"/>
    <row r="980" ht="15.75" x14ac:dyDescent="0.25"/>
    <row r="981" ht="15.75" x14ac:dyDescent="0.25"/>
    <row r="982" ht="15.75" x14ac:dyDescent="0.25"/>
    <row r="983" ht="15.75" x14ac:dyDescent="0.25"/>
    <row r="984" ht="15.75" x14ac:dyDescent="0.25"/>
    <row r="985" ht="15.75" x14ac:dyDescent="0.25"/>
    <row r="986" ht="15.75" x14ac:dyDescent="0.25"/>
    <row r="987" ht="15.75" x14ac:dyDescent="0.25"/>
    <row r="988" ht="15.75" x14ac:dyDescent="0.25"/>
    <row r="989" ht="15.75" x14ac:dyDescent="0.25"/>
    <row r="990" ht="15.75" x14ac:dyDescent="0.25"/>
    <row r="991" ht="15.75" x14ac:dyDescent="0.25"/>
    <row r="992" ht="15.75" x14ac:dyDescent="0.25"/>
    <row r="993" ht="15.75" x14ac:dyDescent="0.25"/>
    <row r="994" ht="15.75" x14ac:dyDescent="0.25"/>
    <row r="995" ht="15.75" x14ac:dyDescent="0.25"/>
    <row r="996" ht="15.75" x14ac:dyDescent="0.25"/>
    <row r="997" ht="15.75" x14ac:dyDescent="0.25"/>
    <row r="998" ht="15.75" x14ac:dyDescent="0.25"/>
    <row r="999" ht="15.75" x14ac:dyDescent="0.25"/>
    <row r="1000" ht="15.75" x14ac:dyDescent="0.25"/>
    <row r="1001" ht="15.75" x14ac:dyDescent="0.25"/>
    <row r="1002" ht="15.75" x14ac:dyDescent="0.25"/>
    <row r="1003" ht="15.75" x14ac:dyDescent="0.25"/>
    <row r="1004" ht="15.75" x14ac:dyDescent="0.25"/>
    <row r="1005" ht="15.75" x14ac:dyDescent="0.25"/>
    <row r="1006" ht="15.75" x14ac:dyDescent="0.25"/>
    <row r="1007" ht="15.75" x14ac:dyDescent="0.25"/>
    <row r="1008" ht="15.75" x14ac:dyDescent="0.25"/>
    <row r="1009" ht="15.75" x14ac:dyDescent="0.25"/>
    <row r="1010" ht="15.75" x14ac:dyDescent="0.25"/>
    <row r="1011" ht="15.75" x14ac:dyDescent="0.25"/>
    <row r="1012" ht="15.75" x14ac:dyDescent="0.25"/>
    <row r="1013" ht="15.75" x14ac:dyDescent="0.25"/>
    <row r="1014" ht="15.75" x14ac:dyDescent="0.25"/>
    <row r="1015" ht="15.75" x14ac:dyDescent="0.25"/>
    <row r="1016" ht="15.75" x14ac:dyDescent="0.25"/>
    <row r="1017" ht="15.75" x14ac:dyDescent="0.25"/>
    <row r="1018" ht="15.75" x14ac:dyDescent="0.25"/>
    <row r="1019" ht="15.75" x14ac:dyDescent="0.25"/>
    <row r="1020" ht="15.75" x14ac:dyDescent="0.25"/>
    <row r="1021" ht="15.75" x14ac:dyDescent="0.25"/>
    <row r="1022" ht="15.75" x14ac:dyDescent="0.25"/>
    <row r="1023" ht="15.75" x14ac:dyDescent="0.25"/>
    <row r="1024" ht="15.75" x14ac:dyDescent="0.25"/>
    <row r="1025" ht="15.75" x14ac:dyDescent="0.25"/>
    <row r="1026" ht="15.75" x14ac:dyDescent="0.25"/>
    <row r="1027" ht="15.75" x14ac:dyDescent="0.25"/>
    <row r="1028" ht="15.75" x14ac:dyDescent="0.25"/>
    <row r="1029" ht="15.75" x14ac:dyDescent="0.25"/>
    <row r="1030" ht="15.75" x14ac:dyDescent="0.25"/>
    <row r="1031" ht="15.75" x14ac:dyDescent="0.25"/>
    <row r="1032" ht="15.75" x14ac:dyDescent="0.25"/>
    <row r="1033" ht="15.75" x14ac:dyDescent="0.25"/>
    <row r="1034" ht="15.75" x14ac:dyDescent="0.25"/>
    <row r="1035" ht="15.75" x14ac:dyDescent="0.25"/>
    <row r="1036" ht="15.75" x14ac:dyDescent="0.25"/>
    <row r="1037" ht="15.75" x14ac:dyDescent="0.25"/>
    <row r="1038" ht="15.75" x14ac:dyDescent="0.25"/>
    <row r="1039" ht="15.75" x14ac:dyDescent="0.25"/>
    <row r="1040" ht="15.75" x14ac:dyDescent="0.25"/>
    <row r="1041" ht="15.75" x14ac:dyDescent="0.25"/>
    <row r="1042" ht="15.75" x14ac:dyDescent="0.25"/>
    <row r="1043" ht="15.75" x14ac:dyDescent="0.25"/>
    <row r="1044" ht="15.75" x14ac:dyDescent="0.25"/>
    <row r="1045" ht="15.75" x14ac:dyDescent="0.25"/>
    <row r="1046" ht="15.75" x14ac:dyDescent="0.25"/>
    <row r="1047" ht="15.75" x14ac:dyDescent="0.25"/>
    <row r="1048" ht="15.75" x14ac:dyDescent="0.25"/>
    <row r="1049" ht="15.75" x14ac:dyDescent="0.25"/>
    <row r="1050" ht="15.75" x14ac:dyDescent="0.25"/>
    <row r="1051" ht="15.75" x14ac:dyDescent="0.25"/>
    <row r="1052" ht="15.75" x14ac:dyDescent="0.25"/>
    <row r="1053" ht="15.75" x14ac:dyDescent="0.25"/>
    <row r="1054" ht="15.75" x14ac:dyDescent="0.25"/>
    <row r="1055" ht="15.75" x14ac:dyDescent="0.25"/>
    <row r="1056" ht="15.75" x14ac:dyDescent="0.25"/>
    <row r="1057" ht="15.75" x14ac:dyDescent="0.25"/>
    <row r="1058" ht="15.75" x14ac:dyDescent="0.25"/>
    <row r="1059" ht="15.75" x14ac:dyDescent="0.25"/>
    <row r="1060" ht="15.75" x14ac:dyDescent="0.25"/>
    <row r="1061" ht="15.75" x14ac:dyDescent="0.25"/>
    <row r="1062" ht="15.75" x14ac:dyDescent="0.25"/>
    <row r="1063" ht="15.75" x14ac:dyDescent="0.25"/>
    <row r="1064" ht="15.75" x14ac:dyDescent="0.25"/>
    <row r="1065" ht="15.75" x14ac:dyDescent="0.25"/>
    <row r="1066" ht="15.75" x14ac:dyDescent="0.25"/>
    <row r="1067" ht="15.75" x14ac:dyDescent="0.25"/>
    <row r="1068" ht="15.75" x14ac:dyDescent="0.25"/>
    <row r="1069" ht="15.75" x14ac:dyDescent="0.25"/>
    <row r="1070" ht="15.75" x14ac:dyDescent="0.25"/>
    <row r="1071" ht="15.75" x14ac:dyDescent="0.25"/>
    <row r="1072" ht="15.75" x14ac:dyDescent="0.25"/>
    <row r="1073" ht="15.75" x14ac:dyDescent="0.25"/>
    <row r="1074" ht="15.75" x14ac:dyDescent="0.25"/>
    <row r="1075" ht="15.75" x14ac:dyDescent="0.25"/>
    <row r="1076" ht="15.75" x14ac:dyDescent="0.25"/>
    <row r="1077" ht="15.75" x14ac:dyDescent="0.25"/>
    <row r="1078" ht="15.75" x14ac:dyDescent="0.25"/>
    <row r="1079" ht="15.75" x14ac:dyDescent="0.25"/>
    <row r="1080" ht="15.75" x14ac:dyDescent="0.25"/>
    <row r="1081" ht="15.75" x14ac:dyDescent="0.25"/>
    <row r="1082" ht="15.75" x14ac:dyDescent="0.25"/>
    <row r="1083" ht="15.75" x14ac:dyDescent="0.25"/>
    <row r="1084" ht="15.75" x14ac:dyDescent="0.25"/>
    <row r="1085" ht="15.75" x14ac:dyDescent="0.25"/>
    <row r="1086" ht="15.75" x14ac:dyDescent="0.25"/>
    <row r="1087" ht="15.75" x14ac:dyDescent="0.25"/>
    <row r="1088" ht="15.75" x14ac:dyDescent="0.25"/>
    <row r="1089" ht="15.75" x14ac:dyDescent="0.25"/>
    <row r="1090" ht="15.75" x14ac:dyDescent="0.25"/>
    <row r="1091" ht="15.75" x14ac:dyDescent="0.25"/>
    <row r="1092" ht="15.75" x14ac:dyDescent="0.25"/>
    <row r="1093" ht="15.75" x14ac:dyDescent="0.25"/>
    <row r="1094" ht="15.75" x14ac:dyDescent="0.25"/>
    <row r="1095" ht="15.75" x14ac:dyDescent="0.25"/>
    <row r="1096" ht="15.75" x14ac:dyDescent="0.25"/>
    <row r="1097" ht="15.75" x14ac:dyDescent="0.25"/>
    <row r="1098" ht="15.75" x14ac:dyDescent="0.25"/>
    <row r="1099" ht="15.75" x14ac:dyDescent="0.25"/>
    <row r="1100" ht="15.75" x14ac:dyDescent="0.25"/>
    <row r="1101" ht="15.75" x14ac:dyDescent="0.25"/>
    <row r="1102" ht="15.75" x14ac:dyDescent="0.25"/>
    <row r="1103" ht="15.75" x14ac:dyDescent="0.25"/>
    <row r="1104" ht="15.75" x14ac:dyDescent="0.25"/>
    <row r="1105" ht="15.75" x14ac:dyDescent="0.25"/>
    <row r="1106" ht="15.75" x14ac:dyDescent="0.25"/>
    <row r="1107" ht="15.75" x14ac:dyDescent="0.25"/>
    <row r="1108" ht="15.75" x14ac:dyDescent="0.25"/>
    <row r="1109" ht="15.75" x14ac:dyDescent="0.25"/>
    <row r="1110" ht="15.75" x14ac:dyDescent="0.25"/>
    <row r="1111" ht="15.75" x14ac:dyDescent="0.25"/>
    <row r="1112" ht="15.75" x14ac:dyDescent="0.25"/>
    <row r="1113" ht="15.75" x14ac:dyDescent="0.25"/>
    <row r="1114" ht="15.75" x14ac:dyDescent="0.25"/>
    <row r="1115" ht="15.75" x14ac:dyDescent="0.25"/>
    <row r="1116" ht="15.75" x14ac:dyDescent="0.25"/>
    <row r="1117" ht="15.75" x14ac:dyDescent="0.25"/>
    <row r="1118" ht="15.75" x14ac:dyDescent="0.25"/>
    <row r="1119" ht="15.75" x14ac:dyDescent="0.25"/>
    <row r="1120" ht="15.75" x14ac:dyDescent="0.25"/>
    <row r="1121" ht="15.75" x14ac:dyDescent="0.25"/>
    <row r="1122" ht="15.75" x14ac:dyDescent="0.25"/>
    <row r="1123" ht="15.75" x14ac:dyDescent="0.25"/>
    <row r="1124" ht="15.75" x14ac:dyDescent="0.25"/>
    <row r="1125" ht="15.75" x14ac:dyDescent="0.25"/>
    <row r="1126" ht="15.75" x14ac:dyDescent="0.25"/>
    <row r="1127" ht="15.75" x14ac:dyDescent="0.25"/>
    <row r="1128" ht="15.75" x14ac:dyDescent="0.25"/>
    <row r="1129" ht="15.75" x14ac:dyDescent="0.25"/>
    <row r="1130" ht="15.75" x14ac:dyDescent="0.25"/>
    <row r="1131" ht="15.75" x14ac:dyDescent="0.25"/>
    <row r="1132" ht="15.75" x14ac:dyDescent="0.25"/>
    <row r="1133" ht="15.75" x14ac:dyDescent="0.25"/>
    <row r="1134" ht="15.75" x14ac:dyDescent="0.25"/>
    <row r="1135" ht="15.75" x14ac:dyDescent="0.25"/>
    <row r="1136" ht="15.75" x14ac:dyDescent="0.25"/>
    <row r="1137" ht="15.75" x14ac:dyDescent="0.25"/>
    <row r="1138" ht="15.75" x14ac:dyDescent="0.25"/>
    <row r="1139" ht="15.75" x14ac:dyDescent="0.25"/>
    <row r="1140" ht="15.75" x14ac:dyDescent="0.25"/>
    <row r="1141" ht="15.75" x14ac:dyDescent="0.25"/>
    <row r="1142" ht="15.75" x14ac:dyDescent="0.25"/>
    <row r="1143" ht="15.75" x14ac:dyDescent="0.25"/>
    <row r="1144" ht="15.75" x14ac:dyDescent="0.25"/>
    <row r="1145" ht="15.75" x14ac:dyDescent="0.25"/>
    <row r="1146" ht="15.75" x14ac:dyDescent="0.25"/>
    <row r="1147" ht="15.75" x14ac:dyDescent="0.25"/>
    <row r="1148" ht="15.75" x14ac:dyDescent="0.25"/>
    <row r="1149" ht="15.75" x14ac:dyDescent="0.25"/>
    <row r="1150" ht="15.75" x14ac:dyDescent="0.25"/>
    <row r="1151" ht="15.75" x14ac:dyDescent="0.25"/>
    <row r="1152" ht="15.75" x14ac:dyDescent="0.25"/>
    <row r="1153" ht="15.75" x14ac:dyDescent="0.25"/>
    <row r="1154" ht="15.75" x14ac:dyDescent="0.25"/>
    <row r="1155" ht="15.75" x14ac:dyDescent="0.25"/>
    <row r="1156" ht="15.75" x14ac:dyDescent="0.25"/>
    <row r="1157" ht="15.75" x14ac:dyDescent="0.25"/>
    <row r="1158" ht="15.75" x14ac:dyDescent="0.25"/>
    <row r="1159" ht="15.75" x14ac:dyDescent="0.25"/>
    <row r="1160" ht="15.75" x14ac:dyDescent="0.25"/>
    <row r="1161" ht="15.75" x14ac:dyDescent="0.25"/>
    <row r="1162" ht="15.75" x14ac:dyDescent="0.25"/>
    <row r="1163" ht="15.75" x14ac:dyDescent="0.25"/>
    <row r="1164" ht="15.75" x14ac:dyDescent="0.25"/>
    <row r="1165" ht="15.75" x14ac:dyDescent="0.25"/>
    <row r="1166" ht="15.75" x14ac:dyDescent="0.25"/>
    <row r="1167" ht="15.75" x14ac:dyDescent="0.25"/>
    <row r="1168" ht="15.75" x14ac:dyDescent="0.25"/>
    <row r="1169" ht="15.75" x14ac:dyDescent="0.25"/>
    <row r="1170" ht="15.75" x14ac:dyDescent="0.25"/>
    <row r="1171" ht="15.75" x14ac:dyDescent="0.25"/>
    <row r="1172" ht="15.75" x14ac:dyDescent="0.25"/>
    <row r="1173" ht="15.75" x14ac:dyDescent="0.25"/>
    <row r="1174" ht="15.75" x14ac:dyDescent="0.25"/>
    <row r="1175" ht="15.75" x14ac:dyDescent="0.25"/>
    <row r="1176" ht="15.75" x14ac:dyDescent="0.25"/>
    <row r="1177" ht="15.75" x14ac:dyDescent="0.25"/>
    <row r="1178" ht="15.75" x14ac:dyDescent="0.25"/>
    <row r="1179" ht="15.75" x14ac:dyDescent="0.25"/>
    <row r="1180" ht="15.75" x14ac:dyDescent="0.25"/>
    <row r="1181" ht="15.75" x14ac:dyDescent="0.25"/>
    <row r="1182" ht="15.75" x14ac:dyDescent="0.25"/>
    <row r="1183" ht="15.75" x14ac:dyDescent="0.25"/>
    <row r="1184" ht="15.75" x14ac:dyDescent="0.25"/>
    <row r="1185" ht="15.75" x14ac:dyDescent="0.25"/>
    <row r="1186" ht="15.75" x14ac:dyDescent="0.25"/>
    <row r="1187" ht="15.75" x14ac:dyDescent="0.25"/>
    <row r="1188" ht="15.75" x14ac:dyDescent="0.25"/>
    <row r="1189" ht="15.75" x14ac:dyDescent="0.25"/>
    <row r="1190" ht="15.75" x14ac:dyDescent="0.25"/>
    <row r="1191" ht="15.75" x14ac:dyDescent="0.25"/>
    <row r="1192" ht="15.75" x14ac:dyDescent="0.25"/>
    <row r="1193" ht="15.75" x14ac:dyDescent="0.25"/>
    <row r="1194" ht="15.75" x14ac:dyDescent="0.25"/>
    <row r="1195" ht="15.75" x14ac:dyDescent="0.25"/>
    <row r="1196" ht="15.75" x14ac:dyDescent="0.25"/>
    <row r="1197" ht="15.75" x14ac:dyDescent="0.25"/>
    <row r="1198" ht="15.75" x14ac:dyDescent="0.25"/>
    <row r="1199" ht="15.75" x14ac:dyDescent="0.25"/>
    <row r="1200" ht="15.75" x14ac:dyDescent="0.25"/>
    <row r="1201" ht="15.75" x14ac:dyDescent="0.25"/>
    <row r="1202" ht="15.75" x14ac:dyDescent="0.25"/>
    <row r="1203" ht="15.75" x14ac:dyDescent="0.25"/>
    <row r="1204" ht="15.75" x14ac:dyDescent="0.25"/>
    <row r="1205" ht="15.75" x14ac:dyDescent="0.25"/>
    <row r="1206" ht="15.75" x14ac:dyDescent="0.25"/>
    <row r="1207" ht="15.75" x14ac:dyDescent="0.25"/>
    <row r="1208" ht="15.75" x14ac:dyDescent="0.25"/>
    <row r="1209" ht="15.75" x14ac:dyDescent="0.25"/>
    <row r="1210" ht="15.75" x14ac:dyDescent="0.25"/>
    <row r="1211" ht="15.75" x14ac:dyDescent="0.25"/>
    <row r="1212" ht="15.75" x14ac:dyDescent="0.25"/>
    <row r="1213" ht="15.75" x14ac:dyDescent="0.25"/>
    <row r="1214" ht="15.75" x14ac:dyDescent="0.25"/>
    <row r="1215" ht="15.75" x14ac:dyDescent="0.25"/>
    <row r="1216" ht="15.75" x14ac:dyDescent="0.25"/>
    <row r="1217" ht="15.75" x14ac:dyDescent="0.25"/>
    <row r="1218" ht="15.75" x14ac:dyDescent="0.25"/>
    <row r="1219" ht="15.75" x14ac:dyDescent="0.25"/>
    <row r="1220" ht="15.75" x14ac:dyDescent="0.25"/>
    <row r="1221" ht="15.75" x14ac:dyDescent="0.25"/>
    <row r="1222" ht="15.75" x14ac:dyDescent="0.25"/>
    <row r="1223" ht="15.75" x14ac:dyDescent="0.25"/>
    <row r="1224" ht="15.75" x14ac:dyDescent="0.25"/>
    <row r="1225" ht="15.75" x14ac:dyDescent="0.25"/>
    <row r="1226" ht="15.75" x14ac:dyDescent="0.25"/>
    <row r="1227" ht="15.75" x14ac:dyDescent="0.25"/>
    <row r="1228" ht="15.75" x14ac:dyDescent="0.25"/>
    <row r="1229" ht="15.75" x14ac:dyDescent="0.25"/>
    <row r="1230" ht="15.75" x14ac:dyDescent="0.25"/>
    <row r="1231" ht="15.75" x14ac:dyDescent="0.25"/>
    <row r="1232" ht="15.75" x14ac:dyDescent="0.25"/>
    <row r="1233" ht="15.75" x14ac:dyDescent="0.25"/>
    <row r="1234" ht="15.75" x14ac:dyDescent="0.25"/>
    <row r="1235" ht="15.75" x14ac:dyDescent="0.25"/>
    <row r="1236" ht="15.75" x14ac:dyDescent="0.25"/>
    <row r="1237" ht="15.75" x14ac:dyDescent="0.25"/>
    <row r="1238" ht="15.75" x14ac:dyDescent="0.25"/>
    <row r="1239" ht="15.75" x14ac:dyDescent="0.25"/>
    <row r="1240" ht="15.75" x14ac:dyDescent="0.25"/>
    <row r="1241" ht="15.75" x14ac:dyDescent="0.25"/>
    <row r="1242" ht="15.75" x14ac:dyDescent="0.25"/>
    <row r="1243" ht="15.75" x14ac:dyDescent="0.25"/>
    <row r="1244" ht="15.75" x14ac:dyDescent="0.25"/>
    <row r="1245" ht="15.75" x14ac:dyDescent="0.25"/>
    <row r="1246" ht="15.75" x14ac:dyDescent="0.25"/>
    <row r="1247" ht="15.75" x14ac:dyDescent="0.25"/>
    <row r="1248" ht="15.75" x14ac:dyDescent="0.25"/>
    <row r="1249" ht="15.75" x14ac:dyDescent="0.25"/>
    <row r="1250" ht="15.75" x14ac:dyDescent="0.25"/>
    <row r="1251" ht="15.75" x14ac:dyDescent="0.25"/>
    <row r="1252" ht="15.75" x14ac:dyDescent="0.25"/>
    <row r="1253" ht="15.75" x14ac:dyDescent="0.25"/>
    <row r="1254" ht="15.75" x14ac:dyDescent="0.25"/>
    <row r="1255" ht="15.75" x14ac:dyDescent="0.25"/>
    <row r="1256" ht="15.75" x14ac:dyDescent="0.25"/>
    <row r="1257" ht="15.75" x14ac:dyDescent="0.25"/>
    <row r="1258" ht="15.75" x14ac:dyDescent="0.25"/>
    <row r="1259" ht="15.75" x14ac:dyDescent="0.25"/>
    <row r="1260" ht="15.75" x14ac:dyDescent="0.25"/>
    <row r="1261" ht="15.75" x14ac:dyDescent="0.25"/>
    <row r="1262" ht="15.75" x14ac:dyDescent="0.25"/>
    <row r="1263" ht="15.75" x14ac:dyDescent="0.25"/>
    <row r="1264" ht="15.75" x14ac:dyDescent="0.25"/>
    <row r="1265" ht="15.75" x14ac:dyDescent="0.25"/>
    <row r="1266" ht="15.75" x14ac:dyDescent="0.25"/>
    <row r="1267" ht="15.75" x14ac:dyDescent="0.25"/>
    <row r="1268" ht="15.75" x14ac:dyDescent="0.25"/>
    <row r="1269" ht="15.75" x14ac:dyDescent="0.25"/>
    <row r="1270" ht="15.75" x14ac:dyDescent="0.25"/>
    <row r="1271" ht="15.75" x14ac:dyDescent="0.25"/>
    <row r="1272" ht="15.75" x14ac:dyDescent="0.25"/>
    <row r="1273" ht="15.75" x14ac:dyDescent="0.25"/>
    <row r="1274" ht="15.75" x14ac:dyDescent="0.25"/>
    <row r="1275" ht="15.75" x14ac:dyDescent="0.25"/>
    <row r="1276" ht="15.75" x14ac:dyDescent="0.25"/>
    <row r="1277" ht="15.75" x14ac:dyDescent="0.25"/>
    <row r="1278" ht="15.75" x14ac:dyDescent="0.25"/>
    <row r="1279" ht="15.75" x14ac:dyDescent="0.25"/>
    <row r="1280" ht="15.75" x14ac:dyDescent="0.25"/>
    <row r="1281" ht="15.75" x14ac:dyDescent="0.25"/>
    <row r="1282" ht="15.75" x14ac:dyDescent="0.25"/>
    <row r="1283" ht="15.75" x14ac:dyDescent="0.25"/>
    <row r="1284" ht="15.75" x14ac:dyDescent="0.25"/>
    <row r="1285" ht="15.75" x14ac:dyDescent="0.25"/>
    <row r="1286" ht="15.75" x14ac:dyDescent="0.25"/>
    <row r="1287" ht="15.75" x14ac:dyDescent="0.25"/>
    <row r="1288" ht="15.75" x14ac:dyDescent="0.25"/>
    <row r="1289" ht="15.75" x14ac:dyDescent="0.25"/>
    <row r="1290" ht="15.75" x14ac:dyDescent="0.25"/>
    <row r="1291" ht="15.75" x14ac:dyDescent="0.25"/>
    <row r="1292" ht="15.75" x14ac:dyDescent="0.25"/>
    <row r="1293" ht="15.75" x14ac:dyDescent="0.25"/>
    <row r="1294" ht="15.75" x14ac:dyDescent="0.25"/>
    <row r="1295" ht="15.75" x14ac:dyDescent="0.25"/>
    <row r="1296" ht="15.75" x14ac:dyDescent="0.25"/>
    <row r="1297" ht="15.75" x14ac:dyDescent="0.25"/>
    <row r="1298" ht="15.75" x14ac:dyDescent="0.25"/>
    <row r="1299" ht="15.75" x14ac:dyDescent="0.25"/>
    <row r="1300" ht="15.75" x14ac:dyDescent="0.25"/>
    <row r="1301" ht="15.75" x14ac:dyDescent="0.25"/>
    <row r="1302" ht="15.75" x14ac:dyDescent="0.25"/>
    <row r="1303" ht="15.75" x14ac:dyDescent="0.25"/>
    <row r="1304" ht="15.75" x14ac:dyDescent="0.25"/>
    <row r="1305" ht="15.75" x14ac:dyDescent="0.25"/>
    <row r="1306" ht="15.75" x14ac:dyDescent="0.25"/>
    <row r="1307" ht="15.75" x14ac:dyDescent="0.25"/>
    <row r="1308" ht="15.75" x14ac:dyDescent="0.25"/>
    <row r="1309" ht="15.75" x14ac:dyDescent="0.25"/>
    <row r="1310" ht="15.75" x14ac:dyDescent="0.25"/>
    <row r="1311" ht="15.75" x14ac:dyDescent="0.25"/>
    <row r="1312" ht="15.75" x14ac:dyDescent="0.25"/>
    <row r="1313" ht="15.75" x14ac:dyDescent="0.25"/>
    <row r="1314" ht="15.75" x14ac:dyDescent="0.25"/>
    <row r="1315" ht="15.75" x14ac:dyDescent="0.25"/>
    <row r="1316" ht="15.75" x14ac:dyDescent="0.25"/>
    <row r="1317" ht="15.75" x14ac:dyDescent="0.25"/>
    <row r="1318" ht="15.75" x14ac:dyDescent="0.25"/>
    <row r="1319" ht="15.75" x14ac:dyDescent="0.25"/>
    <row r="1320" ht="15.75" x14ac:dyDescent="0.25"/>
    <row r="1321" ht="15.75" x14ac:dyDescent="0.25"/>
    <row r="1322" ht="15.75" x14ac:dyDescent="0.25"/>
    <row r="1323" ht="15.75" x14ac:dyDescent="0.25"/>
    <row r="1324" ht="15.75" x14ac:dyDescent="0.25"/>
    <row r="1325" ht="15.75" x14ac:dyDescent="0.25"/>
    <row r="1326" ht="15.75" x14ac:dyDescent="0.25"/>
    <row r="1327" ht="15.75" x14ac:dyDescent="0.25"/>
    <row r="1328" ht="15.75" x14ac:dyDescent="0.25"/>
    <row r="1329" ht="15.75" x14ac:dyDescent="0.25"/>
    <row r="1330" ht="15.75" x14ac:dyDescent="0.25"/>
    <row r="1331" ht="15.75" x14ac:dyDescent="0.25"/>
    <row r="1332" ht="15.75" x14ac:dyDescent="0.25"/>
    <row r="1333" ht="15.75" x14ac:dyDescent="0.25"/>
    <row r="1334" ht="15.75" x14ac:dyDescent="0.25"/>
    <row r="1335" ht="15.75" x14ac:dyDescent="0.25"/>
    <row r="1336" ht="15.75" x14ac:dyDescent="0.25"/>
    <row r="1337" ht="15.75" x14ac:dyDescent="0.25"/>
    <row r="1338" ht="15.75" x14ac:dyDescent="0.25"/>
    <row r="1339" ht="15.75" x14ac:dyDescent="0.25"/>
    <row r="1340" ht="15.75" x14ac:dyDescent="0.25"/>
    <row r="1341" ht="15.75" x14ac:dyDescent="0.25"/>
    <row r="1342" ht="15.75" x14ac:dyDescent="0.25"/>
    <row r="1343" ht="15.75" x14ac:dyDescent="0.25"/>
    <row r="1344" ht="15.75" x14ac:dyDescent="0.25"/>
    <row r="1345" ht="15.75" x14ac:dyDescent="0.25"/>
    <row r="1346" ht="15.75" x14ac:dyDescent="0.25"/>
    <row r="1347" ht="15.75" x14ac:dyDescent="0.25"/>
    <row r="1348" ht="15.75" x14ac:dyDescent="0.25"/>
    <row r="1349" ht="15.75" x14ac:dyDescent="0.25"/>
    <row r="1350" ht="15.75" x14ac:dyDescent="0.25"/>
    <row r="1351" ht="15.75" x14ac:dyDescent="0.25"/>
    <row r="1352" ht="15.75" x14ac:dyDescent="0.25"/>
    <row r="1353" ht="15.75" x14ac:dyDescent="0.25"/>
    <row r="1354" ht="15.75" x14ac:dyDescent="0.25"/>
    <row r="1355" ht="15.75" x14ac:dyDescent="0.25"/>
    <row r="1356" ht="15.75" x14ac:dyDescent="0.25"/>
    <row r="1357" ht="15.75" x14ac:dyDescent="0.25"/>
    <row r="1358" ht="15.75" x14ac:dyDescent="0.25"/>
    <row r="1359" ht="15.75" x14ac:dyDescent="0.25"/>
    <row r="1360" ht="15.75" x14ac:dyDescent="0.25"/>
    <row r="1361" ht="15.75" x14ac:dyDescent="0.25"/>
    <row r="1362" ht="15.75" x14ac:dyDescent="0.25"/>
    <row r="1363" ht="15.75" x14ac:dyDescent="0.25"/>
    <row r="1364" ht="15.75" x14ac:dyDescent="0.25"/>
    <row r="1365" ht="15.75" x14ac:dyDescent="0.25"/>
    <row r="1366" ht="15.75" x14ac:dyDescent="0.25"/>
    <row r="1367" ht="15.75" x14ac:dyDescent="0.25"/>
    <row r="1368" ht="15.75" x14ac:dyDescent="0.25"/>
    <row r="1369" ht="15.75" x14ac:dyDescent="0.25"/>
    <row r="1370" ht="15.75" x14ac:dyDescent="0.25"/>
    <row r="1371" ht="15.75" x14ac:dyDescent="0.25"/>
    <row r="1372" ht="15.75" x14ac:dyDescent="0.25"/>
    <row r="1373" ht="15.75" x14ac:dyDescent="0.25"/>
    <row r="1374" ht="15.75" x14ac:dyDescent="0.25"/>
    <row r="1375" ht="15.75" x14ac:dyDescent="0.25"/>
    <row r="1376" ht="15.75" x14ac:dyDescent="0.25"/>
    <row r="1377" ht="15.75" x14ac:dyDescent="0.25"/>
    <row r="1378" ht="15.75" x14ac:dyDescent="0.25"/>
    <row r="1379" ht="15.75" x14ac:dyDescent="0.25"/>
    <row r="1380" ht="15.75" x14ac:dyDescent="0.25"/>
    <row r="1381" ht="15.75" x14ac:dyDescent="0.25"/>
    <row r="1382" ht="15.75" x14ac:dyDescent="0.25"/>
    <row r="1383" ht="15.75" x14ac:dyDescent="0.25"/>
    <row r="1384" ht="15.75" x14ac:dyDescent="0.25"/>
    <row r="1385" ht="15.75" x14ac:dyDescent="0.25"/>
    <row r="1386" ht="15.75" x14ac:dyDescent="0.25"/>
    <row r="1387" ht="15.75" x14ac:dyDescent="0.25"/>
    <row r="1388" ht="15.75" x14ac:dyDescent="0.25"/>
    <row r="1389" ht="15.75" x14ac:dyDescent="0.25"/>
    <row r="1390" ht="15.75" x14ac:dyDescent="0.25"/>
    <row r="1391" ht="15.75" x14ac:dyDescent="0.25"/>
    <row r="1392" ht="15.75" x14ac:dyDescent="0.25"/>
    <row r="1393" ht="15.75" x14ac:dyDescent="0.25"/>
    <row r="1394" ht="15.75" x14ac:dyDescent="0.25"/>
    <row r="1395" ht="15.75" x14ac:dyDescent="0.25"/>
    <row r="1396" ht="15.75" x14ac:dyDescent="0.25"/>
    <row r="1397" ht="15.75" x14ac:dyDescent="0.25"/>
    <row r="1398" ht="15.75" x14ac:dyDescent="0.25"/>
    <row r="1399" ht="15.75" x14ac:dyDescent="0.25"/>
    <row r="1400" ht="15.75" x14ac:dyDescent="0.25"/>
    <row r="1401" ht="15.75" x14ac:dyDescent="0.25"/>
    <row r="1402" ht="15.75" x14ac:dyDescent="0.25"/>
    <row r="1403" ht="15.75" x14ac:dyDescent="0.25"/>
    <row r="1404" ht="15.75" x14ac:dyDescent="0.25"/>
    <row r="1405" ht="15.75" x14ac:dyDescent="0.25"/>
    <row r="1406" ht="15.75" x14ac:dyDescent="0.25"/>
    <row r="1407" ht="15.75" x14ac:dyDescent="0.25"/>
    <row r="1408" ht="15.75" x14ac:dyDescent="0.25"/>
    <row r="1409" ht="15.75" x14ac:dyDescent="0.25"/>
    <row r="1410" ht="15.75" x14ac:dyDescent="0.25"/>
    <row r="1411" ht="15.75" x14ac:dyDescent="0.25"/>
    <row r="1412" ht="15.75" x14ac:dyDescent="0.25"/>
    <row r="1413" ht="15.75" x14ac:dyDescent="0.25"/>
    <row r="1414" ht="15.75" x14ac:dyDescent="0.25"/>
    <row r="1415" ht="15.75" x14ac:dyDescent="0.25"/>
    <row r="1416" ht="15.75" x14ac:dyDescent="0.25"/>
    <row r="1417" ht="15.75" x14ac:dyDescent="0.25"/>
    <row r="1418" ht="15.75" x14ac:dyDescent="0.25"/>
    <row r="1419" ht="15.75" x14ac:dyDescent="0.25"/>
    <row r="1420" ht="15.75" x14ac:dyDescent="0.25"/>
    <row r="1421" ht="15.75" x14ac:dyDescent="0.25"/>
    <row r="1422" ht="15.75" x14ac:dyDescent="0.25"/>
    <row r="1423" ht="15.75" x14ac:dyDescent="0.25"/>
    <row r="1424" ht="15.75" x14ac:dyDescent="0.25"/>
    <row r="1425" ht="15.75" x14ac:dyDescent="0.25"/>
    <row r="1426" ht="15.75" x14ac:dyDescent="0.25"/>
    <row r="1427" ht="15.75" x14ac:dyDescent="0.25"/>
    <row r="1428" ht="15.75" x14ac:dyDescent="0.25"/>
    <row r="1429" ht="15.75" x14ac:dyDescent="0.25"/>
    <row r="1430" ht="15.75" x14ac:dyDescent="0.25"/>
    <row r="1431" ht="15.75" x14ac:dyDescent="0.25"/>
    <row r="1432" ht="15.75" x14ac:dyDescent="0.25"/>
    <row r="1433" ht="15.75" x14ac:dyDescent="0.25"/>
    <row r="1434" ht="15.75" x14ac:dyDescent="0.25"/>
    <row r="1435" ht="15.75" x14ac:dyDescent="0.25"/>
    <row r="1436" ht="15.75" x14ac:dyDescent="0.25"/>
    <row r="1437" ht="15.75" x14ac:dyDescent="0.25"/>
    <row r="1438" ht="15.75" x14ac:dyDescent="0.25"/>
    <row r="1439" ht="15.75" x14ac:dyDescent="0.25"/>
    <row r="1440" ht="15.75" x14ac:dyDescent="0.25"/>
    <row r="1441" ht="15.75" x14ac:dyDescent="0.25"/>
    <row r="1442" ht="15.75" x14ac:dyDescent="0.25"/>
    <row r="1443" ht="15.75" x14ac:dyDescent="0.25"/>
    <row r="1444" ht="15.75" x14ac:dyDescent="0.25"/>
    <row r="1445" ht="15.75" x14ac:dyDescent="0.25"/>
    <row r="1446" ht="15.75" x14ac:dyDescent="0.25"/>
    <row r="1447" ht="15.75" x14ac:dyDescent="0.25"/>
    <row r="1448" ht="15.75" x14ac:dyDescent="0.25"/>
    <row r="1449" ht="15.75" x14ac:dyDescent="0.25"/>
    <row r="1450" ht="15.75" x14ac:dyDescent="0.25"/>
    <row r="1451" ht="15.75" x14ac:dyDescent="0.25"/>
    <row r="1452" ht="15.75" x14ac:dyDescent="0.25"/>
    <row r="1453" ht="15.75" x14ac:dyDescent="0.25"/>
    <row r="1454" ht="15.75" x14ac:dyDescent="0.25"/>
    <row r="1455" ht="15.75" x14ac:dyDescent="0.25"/>
    <row r="1456" ht="15.75" x14ac:dyDescent="0.25"/>
    <row r="1457" ht="15.75" x14ac:dyDescent="0.25"/>
    <row r="1458" ht="15.75" x14ac:dyDescent="0.25"/>
    <row r="1459" ht="15.75" x14ac:dyDescent="0.25"/>
    <row r="1460" ht="15.75" x14ac:dyDescent="0.25"/>
    <row r="1461" ht="15.75" x14ac:dyDescent="0.25"/>
    <row r="1462" ht="15.75" x14ac:dyDescent="0.25"/>
    <row r="1463" ht="15.75" x14ac:dyDescent="0.25"/>
    <row r="1464" ht="15.75" x14ac:dyDescent="0.25"/>
    <row r="1465" ht="15.75" x14ac:dyDescent="0.25"/>
    <row r="1466" ht="15.75" x14ac:dyDescent="0.25"/>
    <row r="1467" ht="15.75" x14ac:dyDescent="0.25"/>
    <row r="1468" ht="15.75" x14ac:dyDescent="0.25"/>
    <row r="1469" ht="15.75" x14ac:dyDescent="0.25"/>
    <row r="1470" ht="15.75" x14ac:dyDescent="0.25"/>
    <row r="1471" ht="15.75" x14ac:dyDescent="0.25"/>
    <row r="1472" ht="15.75" x14ac:dyDescent="0.25"/>
    <row r="1473" ht="15.75" x14ac:dyDescent="0.25"/>
    <row r="1474" ht="15.75" x14ac:dyDescent="0.25"/>
    <row r="1475" ht="15.75" x14ac:dyDescent="0.25"/>
    <row r="1476" ht="15.75" x14ac:dyDescent="0.25"/>
    <row r="1477" ht="15.75" x14ac:dyDescent="0.25"/>
    <row r="1478" ht="15.75" x14ac:dyDescent="0.25"/>
    <row r="1479" ht="15.75" x14ac:dyDescent="0.25"/>
    <row r="1480" ht="15.75" x14ac:dyDescent="0.25"/>
    <row r="1481" ht="15.75" x14ac:dyDescent="0.25"/>
    <row r="1482" ht="15.75" x14ac:dyDescent="0.25"/>
    <row r="1483" ht="15.75" x14ac:dyDescent="0.25"/>
    <row r="1484" ht="15.75" x14ac:dyDescent="0.25"/>
    <row r="1485" ht="15.75" x14ac:dyDescent="0.25"/>
    <row r="1486" ht="15.75" x14ac:dyDescent="0.25"/>
    <row r="1487" ht="15.75" x14ac:dyDescent="0.25"/>
    <row r="1488" ht="15.75" x14ac:dyDescent="0.25"/>
    <row r="1489" ht="15.75" x14ac:dyDescent="0.25"/>
    <row r="1490" ht="15.75" x14ac:dyDescent="0.25"/>
    <row r="1491" ht="15.75" x14ac:dyDescent="0.25"/>
    <row r="1492" ht="15.75" x14ac:dyDescent="0.25"/>
    <row r="1493" ht="15.75" x14ac:dyDescent="0.25"/>
    <row r="1494" ht="15.75" x14ac:dyDescent="0.25"/>
    <row r="1495" ht="15.75" x14ac:dyDescent="0.25"/>
    <row r="1496" ht="15.75" x14ac:dyDescent="0.25"/>
    <row r="1497" ht="15.75" x14ac:dyDescent="0.25"/>
    <row r="1498" ht="15.75" x14ac:dyDescent="0.25"/>
    <row r="1499" ht="15.75" x14ac:dyDescent="0.25"/>
    <row r="1500" ht="15.75" x14ac:dyDescent="0.25"/>
    <row r="1501" ht="15.75" x14ac:dyDescent="0.25"/>
    <row r="1502" ht="15.75" x14ac:dyDescent="0.25"/>
    <row r="1503" ht="15.75" x14ac:dyDescent="0.25"/>
    <row r="1504" ht="15.75" x14ac:dyDescent="0.25"/>
    <row r="1505" ht="15.75" x14ac:dyDescent="0.25"/>
    <row r="1506" ht="15.75" x14ac:dyDescent="0.25"/>
    <row r="1507" ht="15.75" x14ac:dyDescent="0.25"/>
    <row r="1508" ht="15.75" x14ac:dyDescent="0.25"/>
    <row r="1509" ht="15.75" x14ac:dyDescent="0.25"/>
    <row r="1510" ht="15.75" x14ac:dyDescent="0.25"/>
    <row r="1511" ht="15.75" x14ac:dyDescent="0.25"/>
    <row r="1512" ht="15.75" x14ac:dyDescent="0.25"/>
    <row r="1513" ht="15.75" x14ac:dyDescent="0.25"/>
    <row r="1514" ht="15.75" x14ac:dyDescent="0.25"/>
    <row r="1515" ht="15.75" x14ac:dyDescent="0.25"/>
    <row r="1516" ht="15.75" x14ac:dyDescent="0.25"/>
    <row r="1517" ht="15.75" x14ac:dyDescent="0.25"/>
    <row r="1518" ht="15.75" x14ac:dyDescent="0.25"/>
    <row r="1519" ht="15.75" x14ac:dyDescent="0.25"/>
    <row r="1520" ht="15.75" x14ac:dyDescent="0.25"/>
    <row r="1521" ht="15.75" x14ac:dyDescent="0.25"/>
    <row r="1522" ht="15.75" x14ac:dyDescent="0.25"/>
    <row r="1523" ht="15.75" x14ac:dyDescent="0.25"/>
    <row r="1524" ht="15.75" x14ac:dyDescent="0.25"/>
    <row r="1525" ht="15.75" x14ac:dyDescent="0.25"/>
    <row r="1526" ht="15.75" x14ac:dyDescent="0.25"/>
    <row r="1527" ht="15.75" x14ac:dyDescent="0.25"/>
    <row r="1528" ht="15.75" x14ac:dyDescent="0.25"/>
    <row r="1529" ht="15.75" x14ac:dyDescent="0.25"/>
    <row r="1530" ht="15.75" x14ac:dyDescent="0.25"/>
    <row r="1531" ht="15.75" x14ac:dyDescent="0.25"/>
    <row r="1532" ht="15.75" x14ac:dyDescent="0.25"/>
    <row r="1533" ht="15.75" x14ac:dyDescent="0.25"/>
    <row r="1534" ht="15.75" x14ac:dyDescent="0.25"/>
    <row r="1535" ht="15.75" x14ac:dyDescent="0.25"/>
    <row r="1536" ht="15.75" x14ac:dyDescent="0.25"/>
    <row r="1537" ht="15.75" x14ac:dyDescent="0.25"/>
    <row r="1538" ht="15.75" x14ac:dyDescent="0.25"/>
    <row r="1539" ht="15.75" x14ac:dyDescent="0.25"/>
    <row r="1540" ht="15.75" x14ac:dyDescent="0.25"/>
    <row r="1541" ht="15.75" x14ac:dyDescent="0.25"/>
    <row r="1542" ht="15.75" x14ac:dyDescent="0.25"/>
    <row r="1543" ht="15.75" x14ac:dyDescent="0.25"/>
    <row r="1544" ht="15.75" x14ac:dyDescent="0.25"/>
    <row r="1545" ht="15.75" x14ac:dyDescent="0.25"/>
    <row r="1546" ht="15.75" x14ac:dyDescent="0.25"/>
    <row r="1547" ht="15.75" x14ac:dyDescent="0.25"/>
    <row r="1548" ht="15.75" x14ac:dyDescent="0.25"/>
    <row r="1549" ht="15.75" x14ac:dyDescent="0.25"/>
    <row r="1550" ht="15.75" x14ac:dyDescent="0.25"/>
    <row r="1551" ht="15.75" x14ac:dyDescent="0.25"/>
    <row r="1552" ht="15.75" x14ac:dyDescent="0.25"/>
    <row r="1553" ht="15.75" x14ac:dyDescent="0.25"/>
    <row r="1554" ht="15.75" x14ac:dyDescent="0.25"/>
    <row r="1555" ht="15.75" x14ac:dyDescent="0.25"/>
  </sheetData>
  <sheetProtection algorithmName="SHA-512" hashValue="FgYHNBsn7j2UAS61NKwntSg57SNyNgDZHuPmW4fwDx0yGcw/jrwBfp6mO4CTgeUK2pzI1hcdwugrvOZu7B3RIg==" saltValue="PpTUiybLmSRNlJ0bJqJMgg==" spinCount="100000" sheet="1" objects="1" scenarios="1"/>
  <mergeCells count="279">
    <mergeCell ref="S22:T22"/>
    <mergeCell ref="N21:O21"/>
    <mergeCell ref="P21:R21"/>
    <mergeCell ref="S21:T21"/>
    <mergeCell ref="B21:C21"/>
    <mergeCell ref="U21:V21"/>
    <mergeCell ref="W21:X21"/>
    <mergeCell ref="B22:C22"/>
    <mergeCell ref="D22:F22"/>
    <mergeCell ref="G22:M22"/>
    <mergeCell ref="N22:O22"/>
    <mergeCell ref="P22:R22"/>
    <mergeCell ref="B20:C20"/>
    <mergeCell ref="D20:F20"/>
    <mergeCell ref="AE16:AF16"/>
    <mergeCell ref="AG16:AH16"/>
    <mergeCell ref="S20:T20"/>
    <mergeCell ref="U20:V20"/>
    <mergeCell ref="W20:X20"/>
    <mergeCell ref="U19:V19"/>
    <mergeCell ref="W19:X19"/>
    <mergeCell ref="AE18:AG19"/>
    <mergeCell ref="AE20:AG20"/>
    <mergeCell ref="B18:O18"/>
    <mergeCell ref="P18:Z18"/>
    <mergeCell ref="AI16:AM16"/>
    <mergeCell ref="AC18:AD19"/>
    <mergeCell ref="B19:C19"/>
    <mergeCell ref="D19:F19"/>
    <mergeCell ref="G19:M19"/>
    <mergeCell ref="N19:O19"/>
    <mergeCell ref="P19:R19"/>
    <mergeCell ref="S19:T19"/>
    <mergeCell ref="AC8:AV8"/>
    <mergeCell ref="AW8:AX8"/>
    <mergeCell ref="AI9:AM10"/>
    <mergeCell ref="AI11:AM11"/>
    <mergeCell ref="B12:J13"/>
    <mergeCell ref="K12:Z13"/>
    <mergeCell ref="AC12:AD12"/>
    <mergeCell ref="AC13:AD13"/>
    <mergeCell ref="AN12:AR12"/>
    <mergeCell ref="AN9:AR10"/>
    <mergeCell ref="AN11:AR11"/>
    <mergeCell ref="AV9:AX10"/>
    <mergeCell ref="AV11:AX11"/>
    <mergeCell ref="AS9:AU10"/>
    <mergeCell ref="AS11:AU11"/>
    <mergeCell ref="AC11:AD11"/>
    <mergeCell ref="AC9:AD10"/>
    <mergeCell ref="AE9:AF10"/>
    <mergeCell ref="AE11:AF11"/>
    <mergeCell ref="AG9:AH10"/>
    <mergeCell ref="S2:U2"/>
    <mergeCell ref="V2:Z2"/>
    <mergeCell ref="S3:U3"/>
    <mergeCell ref="V3:Z3"/>
    <mergeCell ref="C7:Z7"/>
    <mergeCell ref="C8:Z8"/>
    <mergeCell ref="B10:Z10"/>
    <mergeCell ref="B11:J11"/>
    <mergeCell ref="K11:Z11"/>
    <mergeCell ref="AY12:BA12"/>
    <mergeCell ref="AE13:AF13"/>
    <mergeCell ref="AG13:AH13"/>
    <mergeCell ref="AI13:AM13"/>
    <mergeCell ref="AN13:AR13"/>
    <mergeCell ref="AS13:AU13"/>
    <mergeCell ref="AY9:BA10"/>
    <mergeCell ref="AY11:BA11"/>
    <mergeCell ref="AS12:AU12"/>
    <mergeCell ref="AV12:AX12"/>
    <mergeCell ref="AV13:AX13"/>
    <mergeCell ref="AY13:BA13"/>
    <mergeCell ref="AG11:AH11"/>
    <mergeCell ref="AE12:AF12"/>
    <mergeCell ref="AG12:AH12"/>
    <mergeCell ref="AI12:AM12"/>
    <mergeCell ref="AC15:AD15"/>
    <mergeCell ref="AC14:AD14"/>
    <mergeCell ref="U14:Z15"/>
    <mergeCell ref="B16:J17"/>
    <mergeCell ref="AE14:AF14"/>
    <mergeCell ref="AG14:AH14"/>
    <mergeCell ref="AI14:AM14"/>
    <mergeCell ref="AN14:AR14"/>
    <mergeCell ref="B14:F14"/>
    <mergeCell ref="B15:F15"/>
    <mergeCell ref="G14:T14"/>
    <mergeCell ref="G15:T15"/>
    <mergeCell ref="AC17:BA17"/>
    <mergeCell ref="AV16:AX16"/>
    <mergeCell ref="AY16:BA16"/>
    <mergeCell ref="AS16:AU16"/>
    <mergeCell ref="AC16:AD16"/>
    <mergeCell ref="Y16:Z16"/>
    <mergeCell ref="Y17:Z17"/>
    <mergeCell ref="AV29:AW29"/>
    <mergeCell ref="AX29:AY29"/>
    <mergeCell ref="AZ29:BA29"/>
    <mergeCell ref="B23:C23"/>
    <mergeCell ref="D23:F23"/>
    <mergeCell ref="AM18:AN19"/>
    <mergeCell ref="AO18:AQ19"/>
    <mergeCell ref="AR18:BA19"/>
    <mergeCell ref="K16:T17"/>
    <mergeCell ref="G23:M23"/>
    <mergeCell ref="N23:O23"/>
    <mergeCell ref="P23:R23"/>
    <mergeCell ref="S23:T23"/>
    <mergeCell ref="U23:V23"/>
    <mergeCell ref="U16:X16"/>
    <mergeCell ref="U17:X17"/>
    <mergeCell ref="G20:M20"/>
    <mergeCell ref="N20:O20"/>
    <mergeCell ref="P20:R20"/>
    <mergeCell ref="AN16:AR16"/>
    <mergeCell ref="Y19:Z19"/>
    <mergeCell ref="Y20:Z20"/>
    <mergeCell ref="Y31:Z31"/>
    <mergeCell ref="B32:C33"/>
    <mergeCell ref="V33:X33"/>
    <mergeCell ref="Y33:Z33"/>
    <mergeCell ref="AC33:AS33"/>
    <mergeCell ref="AT33:AU33"/>
    <mergeCell ref="AV33:AW33"/>
    <mergeCell ref="AX33:AY33"/>
    <mergeCell ref="AZ33:BA33"/>
    <mergeCell ref="B42:U42"/>
    <mergeCell ref="Y42:Z42"/>
    <mergeCell ref="B43:U43"/>
    <mergeCell ref="Y43:Z43"/>
    <mergeCell ref="B44:U44"/>
    <mergeCell ref="Y44:Z44"/>
    <mergeCell ref="B45:U45"/>
    <mergeCell ref="AC35:AS35"/>
    <mergeCell ref="B38:U38"/>
    <mergeCell ref="AC36:AS36"/>
    <mergeCell ref="B40:U40"/>
    <mergeCell ref="Y40:Z40"/>
    <mergeCell ref="B41:U41"/>
    <mergeCell ref="Y36:Z36"/>
    <mergeCell ref="AC41:BA47"/>
    <mergeCell ref="AC40:BA40"/>
    <mergeCell ref="B37:U37"/>
    <mergeCell ref="Y37:Z37"/>
    <mergeCell ref="Y41:Z41"/>
    <mergeCell ref="Y45:Z45"/>
    <mergeCell ref="B46:C47"/>
    <mergeCell ref="B36:U36"/>
    <mergeCell ref="AV36:AW36"/>
    <mergeCell ref="AD54:AM54"/>
    <mergeCell ref="AQ54:BA54"/>
    <mergeCell ref="B50:T50"/>
    <mergeCell ref="B51:T51"/>
    <mergeCell ref="B52:T52"/>
    <mergeCell ref="B49:T49"/>
    <mergeCell ref="B53:C54"/>
    <mergeCell ref="D53:Z54"/>
    <mergeCell ref="Y48:Z52"/>
    <mergeCell ref="B48:R48"/>
    <mergeCell ref="S48:T48"/>
    <mergeCell ref="V47:X47"/>
    <mergeCell ref="Y46:Z46"/>
    <mergeCell ref="Y47:Z47"/>
    <mergeCell ref="AC37:AS37"/>
    <mergeCell ref="AT37:AU37"/>
    <mergeCell ref="AV37:AW37"/>
    <mergeCell ref="AX37:AY37"/>
    <mergeCell ref="AZ37:BA37"/>
    <mergeCell ref="Y38:Z38"/>
    <mergeCell ref="V46:X46"/>
    <mergeCell ref="D46:U47"/>
    <mergeCell ref="AS14:AU14"/>
    <mergeCell ref="AV14:AX14"/>
    <mergeCell ref="AY14:BA14"/>
    <mergeCell ref="AE15:AF15"/>
    <mergeCell ref="AG15:AH15"/>
    <mergeCell ref="AI15:AM15"/>
    <mergeCell ref="AN15:AR15"/>
    <mergeCell ref="AS15:AU15"/>
    <mergeCell ref="AV15:AX15"/>
    <mergeCell ref="AY15:BA15"/>
    <mergeCell ref="AC32:AS32"/>
    <mergeCell ref="AT32:AU32"/>
    <mergeCell ref="AV32:AW32"/>
    <mergeCell ref="AZ36:BA36"/>
    <mergeCell ref="AR20:AV20"/>
    <mergeCell ref="AW20:BA20"/>
    <mergeCell ref="AR21:AV21"/>
    <mergeCell ref="AW21:BA21"/>
    <mergeCell ref="AR22:AV22"/>
    <mergeCell ref="AZ34:BA34"/>
    <mergeCell ref="AT35:AU35"/>
    <mergeCell ref="AV35:AW35"/>
    <mergeCell ref="AX36:AY36"/>
    <mergeCell ref="AC31:AS31"/>
    <mergeCell ref="AT31:AU31"/>
    <mergeCell ref="AV31:AW31"/>
    <mergeCell ref="AX31:AY31"/>
    <mergeCell ref="AC24:AD25"/>
    <mergeCell ref="AE24:BA25"/>
    <mergeCell ref="AX32:AY32"/>
    <mergeCell ref="AC30:AS30"/>
    <mergeCell ref="D32:U33"/>
    <mergeCell ref="AT30:AU30"/>
    <mergeCell ref="AV30:AW30"/>
    <mergeCell ref="AX30:AY30"/>
    <mergeCell ref="AZ30:BA30"/>
    <mergeCell ref="AZ31:BA31"/>
    <mergeCell ref="AZ32:BA32"/>
    <mergeCell ref="B28:U28"/>
    <mergeCell ref="Y28:Z28"/>
    <mergeCell ref="B29:U29"/>
    <mergeCell ref="Y29:Z29"/>
    <mergeCell ref="B30:U30"/>
    <mergeCell ref="Y30:Z30"/>
    <mergeCell ref="V32:X32"/>
    <mergeCell ref="Y32:Z32"/>
    <mergeCell ref="B31:U31"/>
    <mergeCell ref="B39:U39"/>
    <mergeCell ref="Y39:Z39"/>
    <mergeCell ref="AC38:AD39"/>
    <mergeCell ref="AE38:BA39"/>
    <mergeCell ref="B35:U35"/>
    <mergeCell ref="Y35:Z35"/>
    <mergeCell ref="AT34:AU34"/>
    <mergeCell ref="AV34:AW34"/>
    <mergeCell ref="AX34:AY34"/>
    <mergeCell ref="B34:U34"/>
    <mergeCell ref="Y34:Z34"/>
    <mergeCell ref="AX35:AY35"/>
    <mergeCell ref="AZ35:BA35"/>
    <mergeCell ref="AT36:AU36"/>
    <mergeCell ref="AC34:AS34"/>
    <mergeCell ref="A24:A30"/>
    <mergeCell ref="AH18:AL19"/>
    <mergeCell ref="B27:U27"/>
    <mergeCell ref="Y27:Z27"/>
    <mergeCell ref="B25:Z25"/>
    <mergeCell ref="W23:X23"/>
    <mergeCell ref="Y23:Z23"/>
    <mergeCell ref="AC27:BA27"/>
    <mergeCell ref="U22:V22"/>
    <mergeCell ref="W22:X22"/>
    <mergeCell ref="Y22:Z22"/>
    <mergeCell ref="AC28:AS29"/>
    <mergeCell ref="AT28:AU28"/>
    <mergeCell ref="AV28:AW28"/>
    <mergeCell ref="AX28:AY28"/>
    <mergeCell ref="AZ28:BA28"/>
    <mergeCell ref="B26:U26"/>
    <mergeCell ref="Y26:Z26"/>
    <mergeCell ref="AT29:AU29"/>
    <mergeCell ref="AC23:AD23"/>
    <mergeCell ref="AH23:AL23"/>
    <mergeCell ref="Y21:Z21"/>
    <mergeCell ref="D21:F21"/>
    <mergeCell ref="G21:M21"/>
    <mergeCell ref="AW22:BA22"/>
    <mergeCell ref="AR23:AV23"/>
    <mergeCell ref="AW23:BA23"/>
    <mergeCell ref="AM22:AN22"/>
    <mergeCell ref="AO22:AQ22"/>
    <mergeCell ref="AM23:AN23"/>
    <mergeCell ref="AO23:AQ23"/>
    <mergeCell ref="AE21:AG21"/>
    <mergeCell ref="AE22:AG22"/>
    <mergeCell ref="AE23:AG23"/>
    <mergeCell ref="AC21:AD21"/>
    <mergeCell ref="AH21:AL21"/>
    <mergeCell ref="AC22:AD22"/>
    <mergeCell ref="AH22:AL22"/>
    <mergeCell ref="AC20:AD20"/>
    <mergeCell ref="AH20:AL20"/>
    <mergeCell ref="AO20:AQ20"/>
    <mergeCell ref="AM20:AN20"/>
    <mergeCell ref="AM21:AN21"/>
    <mergeCell ref="AO21:AQ21"/>
  </mergeCells>
  <conditionalFormatting sqref="B20:R20">
    <cfRule type="cellIs" dxfId="6" priority="7" stopIfTrue="1" operator="equal">
      <formula>0</formula>
    </cfRule>
  </conditionalFormatting>
  <conditionalFormatting sqref="B12:Z13 B15 G15 Y20:Z20">
    <cfRule type="cellIs" dxfId="5" priority="8" stopIfTrue="1" operator="equal">
      <formula>0</formula>
    </cfRule>
  </conditionalFormatting>
  <conditionalFormatting sqref="P20:R20">
    <cfRule type="cellIs" dxfId="4" priority="6" stopIfTrue="1" operator="equal">
      <formula>0</formula>
    </cfRule>
  </conditionalFormatting>
  <conditionalFormatting sqref="P21:R23">
    <cfRule type="cellIs" dxfId="3" priority="5" operator="equal">
      <formula>0</formula>
    </cfRule>
  </conditionalFormatting>
  <conditionalFormatting sqref="V48:X48">
    <cfRule type="cellIs" dxfId="2" priority="4" operator="equal">
      <formula>0</formula>
    </cfRule>
  </conditionalFormatting>
  <conditionalFormatting sqref="AC20:AD23">
    <cfRule type="cellIs" dxfId="1" priority="1" operator="equal">
      <formula>0</formula>
    </cfRule>
  </conditionalFormatting>
  <conditionalFormatting sqref="AT29:BA29">
    <cfRule type="cellIs" dxfId="0" priority="3" operator="equal">
      <formula>0</formula>
    </cfRule>
  </conditionalFormatting>
  <dataValidations count="11">
    <dataValidation type="list" allowBlank="1" showInputMessage="1" showErrorMessage="1" sqref="U49:X52" xr:uid="{00000000-0002-0000-0900-000000000000}">
      <formula1>$BC$1:$BC$2</formula1>
    </dataValidation>
    <dataValidation type="list" allowBlank="1" showInputMessage="1" showErrorMessage="1" sqref="AV11:AX16" xr:uid="{00000000-0002-0000-0900-000002000000}">
      <formula1>$BF$5:$BF$8</formula1>
    </dataValidation>
    <dataValidation type="list" allowBlank="1" showInputMessage="1" showErrorMessage="1" sqref="AY12:BA16" xr:uid="{00000000-0002-0000-0900-000003000000}">
      <formula1>$BF$10:$BF$13</formula1>
    </dataValidation>
    <dataValidation errorStyle="information" allowBlank="1" showInputMessage="1" showErrorMessage="1" sqref="AI11:AM16" xr:uid="{00000000-0002-0000-0900-000005000000}"/>
    <dataValidation type="list" allowBlank="1" showInputMessage="1" showErrorMessage="1" sqref="AS11:AU16" xr:uid="{00000000-0002-0000-0900-000006000000}">
      <formula1>$BF$17:$BF$20</formula1>
    </dataValidation>
    <dataValidation type="list" showInputMessage="1" sqref="AY11:BA11" xr:uid="{00000000-0002-0000-0900-000007000000}">
      <formula1>$BF$9:$BF$13</formula1>
    </dataValidation>
    <dataValidation allowBlank="1" sqref="AC50:AC65536" xr:uid="{00000000-0002-0000-0900-000001000000}"/>
    <dataValidation errorStyle="warning" showInputMessage="1" showErrorMessage="1" sqref="AM20:AM23" xr:uid="{84EB765C-B228-4032-AD00-D0A5F1FD543B}"/>
    <dataValidation type="list" errorStyle="warning" showInputMessage="1" sqref="AO20:AQ23" xr:uid="{FFB19BA8-38BE-4D59-B79C-D487A69E9A2F}">
      <formula1>$BE$4:$BE$7</formula1>
    </dataValidation>
    <dataValidation type="list" errorStyle="warning" showInputMessage="1" sqref="AN11:AR16" xr:uid="{00000000-0002-0000-0900-000008000000}">
      <formula1>$BD$4:$BD$24</formula1>
    </dataValidation>
    <dataValidation type="list" allowBlank="1" showInputMessage="1" sqref="AR20:BA23" xr:uid="{C40C5972-7724-41F7-9559-7CB3C65C5C1F}">
      <formula1>$BE$9:$BE$23</formula1>
    </dataValidation>
  </dataValidations>
  <pageMargins left="0.70866141732283472" right="0.70866141732283472" top="0.74803149606299213" bottom="0.74803149606299213" header="0.31496062992125984" footer="0.31496062992125984"/>
  <pageSetup scale="84" orientation="portrait" r:id="rId1"/>
  <colBreaks count="1" manualBreakCount="1">
    <brk id="27" max="1048575" man="1"/>
  </colBreaks>
  <ignoredErrors>
    <ignoredError sqref="Y32:Z33 Y46:Z47 Y16:Y17 AJ11:AM11" unlockedFormula="1"/>
  </ignoredErrors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BF1000"/>
  <sheetViews>
    <sheetView view="pageBreakPreview" zoomScaleNormal="100" zoomScaleSheetLayoutView="100" workbookViewId="0">
      <selection activeCell="B1" sqref="B1"/>
    </sheetView>
  </sheetViews>
  <sheetFormatPr baseColWidth="10" defaultColWidth="12.5703125" defaultRowHeight="15" customHeight="1" x14ac:dyDescent="0.25"/>
  <cols>
    <col min="1" max="1" width="2.140625" customWidth="1"/>
    <col min="2" max="2" width="20" customWidth="1"/>
    <col min="3" max="3" width="9.28515625" customWidth="1"/>
    <col min="4" max="4" width="7.85546875" customWidth="1"/>
    <col min="5" max="7" width="7.28515625" customWidth="1"/>
    <col min="8" max="8" width="25.7109375" customWidth="1"/>
    <col min="9" max="9" width="37.140625" customWidth="1"/>
    <col min="10" max="10" width="11.42578125" customWidth="1"/>
    <col min="11" max="11" width="26.85546875" customWidth="1"/>
    <col min="12" max="12" width="11.42578125" customWidth="1"/>
    <col min="13" max="13" width="33" customWidth="1"/>
    <col min="14" max="14" width="27.140625" customWidth="1"/>
    <col min="15" max="15" width="11" customWidth="1"/>
    <col min="16" max="17" width="7" customWidth="1"/>
    <col min="18" max="19" width="11" customWidth="1"/>
    <col min="20" max="20" width="13" customWidth="1"/>
    <col min="21" max="27" width="5.7109375" customWidth="1"/>
    <col min="28" max="28" width="6.140625" customWidth="1"/>
    <col min="29" max="46" width="5.7109375" customWidth="1"/>
    <col min="47" max="47" width="10.140625" customWidth="1"/>
    <col min="48" max="48" width="7.42578125" customWidth="1"/>
    <col min="49" max="49" width="8.140625" customWidth="1"/>
    <col min="50" max="50" width="22.7109375" customWidth="1"/>
    <col min="51" max="51" width="40.85546875" customWidth="1"/>
    <col min="52" max="52" width="8.140625" customWidth="1"/>
    <col min="53" max="53" width="14.28515625" customWidth="1"/>
    <col min="54" max="54" width="23.140625" customWidth="1"/>
    <col min="55" max="57" width="18.5703125" customWidth="1"/>
    <col min="58" max="58" width="24.28515625" customWidth="1"/>
  </cols>
  <sheetData>
    <row r="1" spans="2:58" ht="12.75" customHeight="1" x14ac:dyDescent="0.25">
      <c r="C1" s="108"/>
      <c r="D1" s="108"/>
      <c r="E1" s="108"/>
      <c r="F1" s="108"/>
      <c r="G1" s="108"/>
      <c r="H1" s="921" t="s">
        <v>8839</v>
      </c>
      <c r="I1" s="922"/>
      <c r="J1" s="922"/>
      <c r="K1" s="922"/>
      <c r="L1" s="922"/>
      <c r="M1" s="922"/>
      <c r="N1" s="922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</row>
    <row r="2" spans="2:58" ht="12.75" customHeight="1" x14ac:dyDescent="0.25">
      <c r="C2" s="108"/>
      <c r="D2" s="108"/>
      <c r="E2" s="108"/>
      <c r="F2" s="108"/>
      <c r="G2" s="108"/>
      <c r="H2" s="922"/>
      <c r="I2" s="922"/>
      <c r="J2" s="922"/>
      <c r="K2" s="922"/>
      <c r="L2" s="922"/>
      <c r="M2" s="922"/>
      <c r="N2" s="922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  <c r="AU2" s="108"/>
      <c r="AV2" s="108"/>
      <c r="AW2" s="108"/>
      <c r="AX2" s="108"/>
      <c r="AY2" s="108"/>
      <c r="AZ2" s="108"/>
      <c r="BA2" s="108"/>
      <c r="BB2" s="108"/>
    </row>
    <row r="3" spans="2:58" ht="12.75" customHeight="1" x14ac:dyDescent="0.25"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928" t="s">
        <v>8840</v>
      </c>
      <c r="Q3" s="928"/>
      <c r="R3" s="928"/>
      <c r="S3" s="928"/>
      <c r="T3" s="928"/>
      <c r="U3" s="926" t="s">
        <v>8841</v>
      </c>
      <c r="V3" s="926"/>
      <c r="W3" s="926"/>
      <c r="X3" s="926"/>
      <c r="Y3" s="926"/>
      <c r="Z3" s="926"/>
      <c r="AA3" s="926"/>
      <c r="AB3" s="927"/>
      <c r="AC3" s="272" t="s">
        <v>8814</v>
      </c>
      <c r="AD3" s="265"/>
      <c r="AE3" s="265"/>
      <c r="AF3" s="265"/>
      <c r="AG3" s="265"/>
      <c r="AH3" s="265"/>
      <c r="AI3" s="265"/>
      <c r="AJ3" s="265"/>
      <c r="AK3" s="265"/>
      <c r="AL3" s="265"/>
      <c r="AM3" s="265"/>
      <c r="AN3" s="273"/>
      <c r="AO3" s="265"/>
      <c r="AP3" s="265"/>
      <c r="AQ3" s="923" t="s">
        <v>8842</v>
      </c>
      <c r="AR3" s="924"/>
      <c r="AS3" s="924"/>
      <c r="AT3" s="924"/>
      <c r="AU3" s="925"/>
      <c r="AV3" s="923" t="s">
        <v>8886</v>
      </c>
      <c r="AW3" s="924"/>
      <c r="AX3" s="925"/>
      <c r="AY3" s="919" t="s">
        <v>8885</v>
      </c>
      <c r="AZ3" s="918" t="s">
        <v>10327</v>
      </c>
      <c r="BA3" s="918"/>
      <c r="BB3" s="918"/>
      <c r="BC3" s="918"/>
      <c r="BD3" s="918"/>
      <c r="BE3" s="918"/>
      <c r="BF3" s="918"/>
    </row>
    <row r="4" spans="2:58" ht="12.75" customHeight="1" x14ac:dyDescent="0.25">
      <c r="B4" s="345" t="s">
        <v>10306</v>
      </c>
      <c r="C4" s="346" t="s">
        <v>8843</v>
      </c>
      <c r="D4" s="356" t="s">
        <v>10322</v>
      </c>
      <c r="E4" s="326" t="s">
        <v>10298</v>
      </c>
      <c r="F4" s="326" t="s">
        <v>10299</v>
      </c>
      <c r="G4" s="326" t="s">
        <v>10300</v>
      </c>
      <c r="H4" s="109" t="s">
        <v>8844</v>
      </c>
      <c r="I4" s="109" t="s">
        <v>8845</v>
      </c>
      <c r="J4" s="109" t="s">
        <v>8846</v>
      </c>
      <c r="K4" s="109" t="s">
        <v>8847</v>
      </c>
      <c r="L4" s="109" t="s">
        <v>8795</v>
      </c>
      <c r="M4" s="109" t="s">
        <v>8848</v>
      </c>
      <c r="N4" s="109" t="s">
        <v>8782</v>
      </c>
      <c r="O4" s="109" t="s">
        <v>8849</v>
      </c>
      <c r="P4" s="109" t="s">
        <v>10214</v>
      </c>
      <c r="Q4" s="109" t="s">
        <v>10215</v>
      </c>
      <c r="R4" s="110" t="s">
        <v>8797</v>
      </c>
      <c r="S4" s="110" t="s">
        <v>8798</v>
      </c>
      <c r="T4" s="110" t="s">
        <v>8850</v>
      </c>
      <c r="U4" s="109">
        <v>1</v>
      </c>
      <c r="V4" s="109">
        <v>2</v>
      </c>
      <c r="W4" s="109">
        <v>3</v>
      </c>
      <c r="X4" s="109">
        <v>4</v>
      </c>
      <c r="Y4" s="109">
        <v>5</v>
      </c>
      <c r="Z4" s="109" t="s">
        <v>8851</v>
      </c>
      <c r="AA4" s="109" t="s">
        <v>10214</v>
      </c>
      <c r="AB4" s="109" t="s">
        <v>10215</v>
      </c>
      <c r="AC4" s="109">
        <v>1</v>
      </c>
      <c r="AD4" s="109">
        <v>2</v>
      </c>
      <c r="AE4" s="109">
        <v>3</v>
      </c>
      <c r="AF4" s="109">
        <v>4</v>
      </c>
      <c r="AG4" s="109">
        <v>5</v>
      </c>
      <c r="AH4" s="109">
        <v>6</v>
      </c>
      <c r="AI4" s="109">
        <v>7</v>
      </c>
      <c r="AJ4" s="109">
        <v>8</v>
      </c>
      <c r="AK4" s="109">
        <v>9</v>
      </c>
      <c r="AL4" s="109">
        <v>10</v>
      </c>
      <c r="AM4" s="109">
        <v>11</v>
      </c>
      <c r="AN4" s="204" t="s">
        <v>8851</v>
      </c>
      <c r="AO4" s="109" t="s">
        <v>10214</v>
      </c>
      <c r="AP4" s="109" t="s">
        <v>10215</v>
      </c>
      <c r="AQ4" s="109">
        <v>1</v>
      </c>
      <c r="AR4" s="109">
        <v>2</v>
      </c>
      <c r="AS4" s="109">
        <v>3</v>
      </c>
      <c r="AT4" s="109">
        <v>4</v>
      </c>
      <c r="AU4" s="208" t="s">
        <v>8851</v>
      </c>
      <c r="AV4" s="111" t="s">
        <v>8843</v>
      </c>
      <c r="AW4" s="112" t="s">
        <v>8852</v>
      </c>
      <c r="AX4" s="109" t="s">
        <v>8853</v>
      </c>
      <c r="AY4" s="920"/>
      <c r="AZ4" s="213" t="s">
        <v>8843</v>
      </c>
      <c r="BA4" s="213" t="s">
        <v>10092</v>
      </c>
      <c r="BB4" s="213" t="s">
        <v>7808</v>
      </c>
      <c r="BC4" s="215" t="s">
        <v>10328</v>
      </c>
      <c r="BD4" s="215" t="s">
        <v>10329</v>
      </c>
      <c r="BE4" s="215" t="s">
        <v>10345</v>
      </c>
      <c r="BF4" s="216" t="s">
        <v>10346</v>
      </c>
    </row>
    <row r="5" spans="2:58" ht="12.75" customHeight="1" x14ac:dyDescent="0.25">
      <c r="B5" s="18" t="str">
        <f>'ORDEN DE CUARENTENA'!$A$24</f>
        <v>diciembre 2024</v>
      </c>
      <c r="C5" s="347">
        <f>'IMP-PT2'!B20</f>
        <v>0</v>
      </c>
      <c r="D5" s="347" t="str">
        <f>TEXT('IMP-PT2'!D20,"yyyy")</f>
        <v>1900</v>
      </c>
      <c r="E5" s="113" t="str">
        <f>TEXT(O5,"dd")</f>
        <v>00</v>
      </c>
      <c r="F5" s="113" t="str">
        <f>TEXT(O5,"mm")</f>
        <v>01</v>
      </c>
      <c r="G5" s="113" t="str">
        <f>TEXT(O5,"yyyy")</f>
        <v>1900</v>
      </c>
      <c r="H5" s="113">
        <f>'IMP-PT2'!K12</f>
        <v>0</v>
      </c>
      <c r="I5" s="118">
        <f>'IMP-PT2'!G15</f>
        <v>0</v>
      </c>
      <c r="J5" s="114">
        <f>'IMP-PT2'!B15</f>
        <v>0</v>
      </c>
      <c r="K5" s="113">
        <f>'IMP-PT2'!G20</f>
        <v>0</v>
      </c>
      <c r="L5" s="113">
        <f>'IMP-PT2'!N20</f>
        <v>0</v>
      </c>
      <c r="M5" s="113">
        <f>'IMP-PT2'!K16</f>
        <v>0</v>
      </c>
      <c r="N5" s="115">
        <f>'IMP-PT2'!V2</f>
        <v>0</v>
      </c>
      <c r="O5" s="116">
        <f>'IMP-PT2'!V3</f>
        <v>0</v>
      </c>
      <c r="P5" s="113">
        <f>'IMP-PT2'!Y16</f>
        <v>0</v>
      </c>
      <c r="Q5" s="275" t="str">
        <f>'IMP-PT2'!Y17</f>
        <v>0</v>
      </c>
      <c r="R5" s="114" t="str">
        <f>'IMP-PT2'!S20</f>
        <v/>
      </c>
      <c r="S5" s="113">
        <f>'IMP-PT2'!U20</f>
        <v>0</v>
      </c>
      <c r="T5" s="117" t="str">
        <f>'IMP-PT2'!Y20</f>
        <v/>
      </c>
      <c r="U5" s="18" t="str">
        <f>IF(ISTEXT('IMP-PT2'!V27), "SI", IF(ISTEXT('IMP-PT2'!W27), "NO", IF(ISTEXT('IMP-PT2'!X27), "N/A", "")))</f>
        <v/>
      </c>
      <c r="V5" s="18" t="str">
        <f>IF(ISTEXT('IMP-PT2'!V28), "SI", IF(ISTEXT('IMP-PT2'!W28), "NO", IF(ISTEXT('IMP-PT2'!X28), "N/A", "")))</f>
        <v/>
      </c>
      <c r="W5" s="18" t="str">
        <f>IF(ISTEXT('IMP-PT2'!V29), "SI", IF(ISTEXT('IMP-PT2'!W29), "NO", IF(ISTEXT('IMP-PT2'!X29), "N/A", "")))</f>
        <v/>
      </c>
      <c r="X5" s="18" t="str">
        <f>IF(ISTEXT('IMP-PT2'!V30), "SI", IF(ISTEXT('IMP-PT2'!W30), "NO", IF(ISTEXT('IMP-PT2'!X30), "N/A", "")))</f>
        <v/>
      </c>
      <c r="Y5" s="18" t="str">
        <f>IF(ISTEXT('IMP-PT2'!V31), "SI", IF(ISTEXT('IMP-PT2'!W31), "NO", IF(ISTEXT('IMP-PT2'!X31), "N/A", "")))</f>
        <v/>
      </c>
      <c r="Z5" s="113">
        <f>'IMP-PT2'!D32</f>
        <v>0</v>
      </c>
      <c r="AA5" s="113">
        <f>'IMP-PT2'!Y32</f>
        <v>0</v>
      </c>
      <c r="AB5" s="274" t="str">
        <f>'IMP-PT2'!Y33</f>
        <v>0</v>
      </c>
      <c r="AC5" s="18" t="str">
        <f>IF(ISTEXT('IMP-PT2'!V35), "SI", IF(ISTEXT('IMP-PT2'!W35), "NO", IF(ISTEXT('IMP-PT2'!X35), "N/A", "")))</f>
        <v/>
      </c>
      <c r="AD5" s="18" t="str">
        <f>IF(ISTEXT('IMP-PT2'!V36), "SI", IF(ISTEXT('IMP-PT2'!W36), "NO", IF(ISTEXT('IMP-PT2'!X36), "N/A", "")))</f>
        <v/>
      </c>
      <c r="AE5" s="18" t="str">
        <f>IF(ISTEXT('IMP-PT2'!V37), "SI", IF(ISTEXT('IMP-PT2'!W37), "NO", IF(ISTEXT('IMP-PT2'!X37), "N/A", "")))</f>
        <v/>
      </c>
      <c r="AF5" s="18" t="str">
        <f>IF(ISTEXT('IMP-PT2'!V38), "SI", IF(ISTEXT('IMP-PT2'!W38), "NO", IF(ISTEXT('IMP-PT2'!X38), "N/A", "")))</f>
        <v/>
      </c>
      <c r="AG5" s="18" t="str">
        <f>IF(ISTEXT('IMP-PT2'!V39), "SI", IF(ISTEXT('IMP-PT2'!W39), "NO", IF(ISTEXT('IMP-PT2'!X39), "N/A", "")))</f>
        <v/>
      </c>
      <c r="AH5" s="18" t="str">
        <f>IF(ISTEXT('IMP-PT2'!V40), "SI", IF(ISTEXT('IMP-PT2'!W40), "NO", IF(ISTEXT('IMP-PT2'!X40), "N/A", "")))</f>
        <v/>
      </c>
      <c r="AI5" s="18" t="str">
        <f>IF(ISTEXT('IMP-PT2'!V41), "SI", IF(ISTEXT('IMP-PT2'!W41), "NO", IF(ISTEXT('IMP-PT2'!X41), "N/A", "")))</f>
        <v/>
      </c>
      <c r="AJ5" s="18" t="str">
        <f>IF(ISTEXT('IMP-PT2'!V42), "SI", IF(ISTEXT('IMP-PT2'!W42), "NO", IF(ISTEXT('IMP-PT2'!X42), "N/A", "")))</f>
        <v/>
      </c>
      <c r="AK5" s="18" t="str">
        <f>IF(ISTEXT('IMP-PT2'!V43), "SI", IF(ISTEXT('IMP-PT2'!W43), "NO", IF(ISTEXT('IMP-PT2'!X43), "N/A", "")))</f>
        <v/>
      </c>
      <c r="AL5" s="18" t="str">
        <f>IF(ISTEXT('IMP-PT2'!V44), "SI", IF(ISTEXT('IMP-PT2'!W44), "NO", IF(ISTEXT('IMP-PT2'!X44), "N/A", "")))</f>
        <v/>
      </c>
      <c r="AM5" s="18" t="str">
        <f>IF(ISTEXT('IMP-PT2'!V45), "SI", IF(ISTEXT('IMP-PT2'!W45), "NO", IF(ISTEXT('IMP-PT2'!X45), "N/A", "")))</f>
        <v/>
      </c>
      <c r="AN5" s="210">
        <f>'IMP-PT2'!D46</f>
        <v>0</v>
      </c>
      <c r="AO5" s="113">
        <f>'IMP-PT2'!Y46</f>
        <v>0</v>
      </c>
      <c r="AP5" s="274" t="str">
        <f>'IMP-PT2'!Y47</f>
        <v>0</v>
      </c>
      <c r="AQ5" s="211">
        <f>'IMP-PT2'!U49</f>
        <v>0</v>
      </c>
      <c r="AR5" s="211">
        <f>'IMP-PT2'!U50</f>
        <v>0</v>
      </c>
      <c r="AS5" s="211">
        <f>'IMP-PT2'!U51</f>
        <v>0</v>
      </c>
      <c r="AT5" s="211">
        <f>'IMP-PT2'!U52</f>
        <v>0</v>
      </c>
      <c r="AU5" s="209">
        <f>'IMP-PT2'!AE24</f>
        <v>0</v>
      </c>
      <c r="AV5" s="18">
        <f>'IMP-PT2'!AT29</f>
        <v>0</v>
      </c>
      <c r="AW5" s="18" t="str">
        <f>IF(ISTEXT('IMP-PT2'!AT30),"1",IF(ISTEXT('IMP-PT2'!AT31),"2",IF(ISTEXT('IMP-PT2'!AT32),"3",IF(ISTEXT('IMP-PT2'!AT33),"4",IF(ISTEXT('IMP-PT2'!AT34),"5",IF(ISTEXT('IMP-PT2'!AT35),"6",IF(ISTEXT('IMP-PT2'!AT36),"7",IF(ISTEXT('IMP-PT2'!AT37),"8",""))))))))</f>
        <v/>
      </c>
      <c r="AX5" s="18">
        <f>'IMP-PT2'!AE38</f>
        <v>0</v>
      </c>
      <c r="AY5" s="210">
        <f>'IMP-PT2'!AC41</f>
        <v>0</v>
      </c>
      <c r="AZ5" s="210">
        <f>'IMP-PT2'!AC20</f>
        <v>0</v>
      </c>
      <c r="BA5" s="212">
        <f>'IMP-PT2'!AE20</f>
        <v>0</v>
      </c>
      <c r="BB5" s="212">
        <f>'IMP-PT2'!AH20</f>
        <v>0</v>
      </c>
      <c r="BC5" s="214">
        <f>'IMP-PT2'!AM20</f>
        <v>0</v>
      </c>
      <c r="BD5" s="214">
        <f>'IMP-PT2'!AO20</f>
        <v>0</v>
      </c>
      <c r="BE5" s="214">
        <f>'IMP-PT2'!AR20</f>
        <v>0</v>
      </c>
      <c r="BF5" s="18">
        <f>'IMP-PT2'!AW20</f>
        <v>0</v>
      </c>
    </row>
    <row r="6" spans="2:58" ht="12.75" customHeight="1" x14ac:dyDescent="0.25">
      <c r="B6" s="18" t="str">
        <f>'ORDEN DE CUARENTENA'!$A$24</f>
        <v>diciembre 2024</v>
      </c>
      <c r="C6" s="347">
        <f>'IMP-PT2'!B21</f>
        <v>0</v>
      </c>
      <c r="D6" s="347" t="str">
        <f>TEXT('IMP-PT2'!D21,"yyyy")</f>
        <v>1900</v>
      </c>
      <c r="E6" s="113" t="str">
        <f t="shared" ref="E6:E8" si="0">TEXT(O6,"dd")</f>
        <v>00</v>
      </c>
      <c r="F6" s="113" t="str">
        <f t="shared" ref="F6:F8" si="1">TEXT(O6,"mm")</f>
        <v>01</v>
      </c>
      <c r="G6" s="113" t="str">
        <f t="shared" ref="G6:G8" si="2">TEXT(O6,"yyyy")</f>
        <v>1900</v>
      </c>
      <c r="H6" s="113">
        <f>'IMP-PT2'!K12</f>
        <v>0</v>
      </c>
      <c r="I6" s="118">
        <f>'IMP-PT2'!G15</f>
        <v>0</v>
      </c>
      <c r="J6" s="114">
        <f>'IMP-PT2'!B15</f>
        <v>0</v>
      </c>
      <c r="K6" s="113">
        <f>'IMP-PT2'!G20</f>
        <v>0</v>
      </c>
      <c r="L6" s="113">
        <f>'IMP-PT2'!N21</f>
        <v>0</v>
      </c>
      <c r="M6" s="113">
        <f>'IMP-PT2'!K16</f>
        <v>0</v>
      </c>
      <c r="N6" s="115">
        <f>'IMP-PT2'!V2</f>
        <v>0</v>
      </c>
      <c r="O6" s="116">
        <f>'IMP-PT2'!V3</f>
        <v>0</v>
      </c>
      <c r="P6" s="113"/>
      <c r="Q6" s="113"/>
      <c r="R6" s="114" t="str">
        <f>'IMP-PT2'!S21</f>
        <v/>
      </c>
      <c r="S6" s="113">
        <f>'IMP-PT2'!U21</f>
        <v>0</v>
      </c>
      <c r="T6" s="117">
        <f>'IMP-PT2'!Y21</f>
        <v>0</v>
      </c>
      <c r="U6" s="18"/>
      <c r="V6" s="18"/>
      <c r="W6" s="18"/>
      <c r="X6" s="18"/>
      <c r="Y6" s="18"/>
      <c r="Z6" s="113"/>
      <c r="AA6" s="113"/>
      <c r="AB6" s="271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210"/>
      <c r="AO6" s="113"/>
      <c r="AP6" s="271"/>
      <c r="AQ6" s="211">
        <f>'IMP-PT2'!V49</f>
        <v>0</v>
      </c>
      <c r="AR6" s="211">
        <f>'IMP-PT2'!V50</f>
        <v>0</v>
      </c>
      <c r="AS6" s="211">
        <f>'IMP-PT2'!V51</f>
        <v>0</v>
      </c>
      <c r="AT6" s="211">
        <f>'IMP-PT2'!V52</f>
        <v>0</v>
      </c>
      <c r="AU6" s="209"/>
      <c r="AV6" s="18">
        <f>'IMP-PT2'!AV29</f>
        <v>0</v>
      </c>
      <c r="AW6" s="17" t="str">
        <f>IF(ISTEXT('IMP-PT2'!AV30),"1",IF(ISTEXT('IMP-PT2'!AV31),"2",IF(ISTEXT('IMP-PT2'!AV32),"3",IF(ISTEXT('IMP-PT2'!AV33),"4",IF(ISTEXT('IMP-PT2'!AV34),"5",IF(ISTEXT('IMP-PT2'!AV35),"6",IF(ISTEXT('IMP-PT2'!AV36),"7",IF(ISTEXT('IMP-PT2'!AV37),"8",""))))))))</f>
        <v/>
      </c>
      <c r="AX6" s="18"/>
      <c r="AY6" s="210"/>
      <c r="AZ6" s="210">
        <f>'IMP-PT2'!AC21</f>
        <v>0</v>
      </c>
      <c r="BA6" s="212">
        <f>'IMP-PT2'!AE21</f>
        <v>0</v>
      </c>
      <c r="BB6" s="212">
        <f>'IMP-PT2'!AH21</f>
        <v>0</v>
      </c>
      <c r="BC6" s="214">
        <f>'IMP-PT2'!AM21</f>
        <v>0</v>
      </c>
      <c r="BD6" s="214">
        <f>'IMP-PT2'!AO21</f>
        <v>0</v>
      </c>
      <c r="BE6" s="214">
        <f>'IMP-PT2'!AR21</f>
        <v>0</v>
      </c>
      <c r="BF6" s="18">
        <f>'IMP-PT2'!AW21</f>
        <v>0</v>
      </c>
    </row>
    <row r="7" spans="2:58" ht="12.75" customHeight="1" x14ac:dyDescent="0.25">
      <c r="B7" s="18" t="str">
        <f>'ORDEN DE CUARENTENA'!$A$24</f>
        <v>diciembre 2024</v>
      </c>
      <c r="C7" s="347">
        <f>'IMP-PT2'!B22</f>
        <v>0</v>
      </c>
      <c r="D7" s="347" t="str">
        <f>TEXT('IMP-PT2'!D22,"yyyy")</f>
        <v>1900</v>
      </c>
      <c r="E7" s="113" t="str">
        <f t="shared" si="0"/>
        <v>00</v>
      </c>
      <c r="F7" s="113" t="str">
        <f t="shared" si="1"/>
        <v>01</v>
      </c>
      <c r="G7" s="113" t="str">
        <f t="shared" si="2"/>
        <v>1900</v>
      </c>
      <c r="H7" s="113">
        <f>'IMP-PT2'!K12</f>
        <v>0</v>
      </c>
      <c r="I7" s="118">
        <f>'IMP-PT2'!G15</f>
        <v>0</v>
      </c>
      <c r="J7" s="114">
        <f>'IMP-PT2'!B15</f>
        <v>0</v>
      </c>
      <c r="K7" s="113">
        <f>'IMP-PT2'!G20</f>
        <v>0</v>
      </c>
      <c r="L7" s="113">
        <f>'IMP-PT2'!N22</f>
        <v>0</v>
      </c>
      <c r="M7" s="113">
        <f>'IMP-PT2'!K16</f>
        <v>0</v>
      </c>
      <c r="N7" s="115">
        <f>'IMP-PT2'!V2</f>
        <v>0</v>
      </c>
      <c r="O7" s="116">
        <f>'IMP-PT2'!V3</f>
        <v>0</v>
      </c>
      <c r="P7" s="113"/>
      <c r="Q7" s="113"/>
      <c r="R7" s="114" t="str">
        <f>'IMP-PT2'!S22</f>
        <v/>
      </c>
      <c r="S7" s="113">
        <f>'IMP-PT2'!U22</f>
        <v>0</v>
      </c>
      <c r="T7" s="117">
        <f>'IMP-PT2'!Y22</f>
        <v>0</v>
      </c>
      <c r="U7" s="18"/>
      <c r="V7" s="18"/>
      <c r="W7" s="18"/>
      <c r="X7" s="18"/>
      <c r="Y7" s="18"/>
      <c r="Z7" s="113"/>
      <c r="AA7" s="113"/>
      <c r="AB7" s="271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210"/>
      <c r="AO7" s="113"/>
      <c r="AP7" s="271"/>
      <c r="AQ7" s="211">
        <f>'IMP-PT2'!W49</f>
        <v>0</v>
      </c>
      <c r="AR7" s="211">
        <f>'IMP-PT2'!W50</f>
        <v>0</v>
      </c>
      <c r="AS7" s="211">
        <f>'IMP-PT2'!W51</f>
        <v>0</v>
      </c>
      <c r="AT7" s="211">
        <f>'IMP-PT2'!W52</f>
        <v>0</v>
      </c>
      <c r="AU7" s="209"/>
      <c r="AV7" s="18">
        <f>'IMP-PT2'!AX29</f>
        <v>0</v>
      </c>
      <c r="AW7" s="18" t="str">
        <f>IF(ISTEXT('IMP-PT2'!AX30),"1",IF(ISTEXT('IMP-PT2'!AX31),"2",IF(ISTEXT('IMP-PT2'!AX32),"3",IF(ISTEXT('IMP-PT2'!AX33),"4",IF(ISTEXT('IMP-PT2'!AX34),"5",IF(ISTEXT('IMP-PT2'!AX35),"6",IF(ISTEXT('IMP-PT2'!AX36),"7",IF(ISTEXT('IMP-PT2'!AX37),"8",""))))))))</f>
        <v/>
      </c>
      <c r="AX7" s="18"/>
      <c r="AY7" s="210"/>
      <c r="AZ7" s="210">
        <f>'IMP-PT2'!AC22</f>
        <v>0</v>
      </c>
      <c r="BA7" s="212">
        <f>'IMP-PT2'!AE22</f>
        <v>0</v>
      </c>
      <c r="BB7" s="212">
        <f>'IMP-PT2'!AH22</f>
        <v>0</v>
      </c>
      <c r="BC7" s="214">
        <f>'IMP-PT2'!AM22</f>
        <v>0</v>
      </c>
      <c r="BD7" s="214">
        <f>'IMP-PT2'!AO22</f>
        <v>0</v>
      </c>
      <c r="BE7" s="214">
        <f>'IMP-PT2'!AR22</f>
        <v>0</v>
      </c>
      <c r="BF7" s="18">
        <f>'IMP-PT2'!AW22</f>
        <v>0</v>
      </c>
    </row>
    <row r="8" spans="2:58" ht="12.75" customHeight="1" x14ac:dyDescent="0.25">
      <c r="B8" s="18" t="str">
        <f>'ORDEN DE CUARENTENA'!$A$24</f>
        <v>diciembre 2024</v>
      </c>
      <c r="C8" s="347">
        <f>'IMP-PT2'!B23</f>
        <v>0</v>
      </c>
      <c r="D8" s="347" t="str">
        <f>TEXT('IMP-PT2'!D23,"yyyy")</f>
        <v>1900</v>
      </c>
      <c r="E8" s="113" t="str">
        <f t="shared" si="0"/>
        <v>00</v>
      </c>
      <c r="F8" s="113" t="str">
        <f t="shared" si="1"/>
        <v>01</v>
      </c>
      <c r="G8" s="113" t="str">
        <f t="shared" si="2"/>
        <v>1900</v>
      </c>
      <c r="H8" s="113">
        <f>'IMP-PT2'!K12</f>
        <v>0</v>
      </c>
      <c r="I8" s="118">
        <f>'IMP-PT2'!G15</f>
        <v>0</v>
      </c>
      <c r="J8" s="114">
        <f>'IMP-PT2'!B15</f>
        <v>0</v>
      </c>
      <c r="K8" s="113">
        <f>'IMP-PT2'!G20</f>
        <v>0</v>
      </c>
      <c r="L8" s="113">
        <f>'IMP-PT2'!N23</f>
        <v>0</v>
      </c>
      <c r="M8" s="113">
        <f>'IMP-PT2'!K16</f>
        <v>0</v>
      </c>
      <c r="N8" s="115">
        <f>'IMP-PT2'!V2</f>
        <v>0</v>
      </c>
      <c r="O8" s="116">
        <f>'IMP-PT2'!V3</f>
        <v>0</v>
      </c>
      <c r="P8" s="113"/>
      <c r="Q8" s="113"/>
      <c r="R8" s="114" t="str">
        <f>'IMP-PT2'!S23</f>
        <v/>
      </c>
      <c r="S8" s="113">
        <f>'IMP-PT2'!U23</f>
        <v>0</v>
      </c>
      <c r="T8" s="117">
        <f>'IMP-PT2'!Y23</f>
        <v>0</v>
      </c>
      <c r="U8" s="18"/>
      <c r="V8" s="18"/>
      <c r="W8" s="18"/>
      <c r="X8" s="18"/>
      <c r="Y8" s="18"/>
      <c r="Z8" s="113"/>
      <c r="AA8" s="113"/>
      <c r="AB8" s="271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210"/>
      <c r="AO8" s="113"/>
      <c r="AP8" s="271"/>
      <c r="AQ8" s="211">
        <f>'IMP-PT2'!X49</f>
        <v>0</v>
      </c>
      <c r="AR8" s="211">
        <f>'IMP-PT2'!X50</f>
        <v>0</v>
      </c>
      <c r="AS8" s="211">
        <f>'IMP-PT2'!X51</f>
        <v>0</v>
      </c>
      <c r="AT8" s="211">
        <f>'IMP-PT2'!X52</f>
        <v>0</v>
      </c>
      <c r="AU8" s="209"/>
      <c r="AV8" s="18">
        <f>'IMP-PT2'!AZ29</f>
        <v>0</v>
      </c>
      <c r="AW8" s="18" t="str">
        <f>IF(ISTEXT('IMP-PT2'!AZ30),"1",IF(ISTEXT('IMP-PT2'!AZ31),"2",IF(ISTEXT('IMP-PT2'!AZ32),"3",IF(ISTEXT('IMP-PT2'!AZ33),"4",IF(ISTEXT('IMP-PT2'!AZ34),"5",IF(ISTEXT('IMP-PT2'!AZ35),"6",IF(ISTEXT('IMP-PT2'!AZ36),"7",IF(ISTEXT('IMP-PT2'!AZ37),"8",""))))))))</f>
        <v/>
      </c>
      <c r="AX8" s="18"/>
      <c r="AY8" s="210"/>
      <c r="AZ8" s="210">
        <f>'IMP-PT2'!AC23</f>
        <v>0</v>
      </c>
      <c r="BA8" s="212">
        <f>'IMP-PT2'!AE23</f>
        <v>0</v>
      </c>
      <c r="BB8" s="212">
        <f>'IMP-PT2'!AH23</f>
        <v>0</v>
      </c>
      <c r="BC8" s="214">
        <f>'IMP-PT2'!AM23</f>
        <v>0</v>
      </c>
      <c r="BD8" s="214">
        <f>'IMP-PT2'!AO23</f>
        <v>0</v>
      </c>
      <c r="BE8" s="214">
        <f>'IMP-PT2'!AR23</f>
        <v>0</v>
      </c>
      <c r="BF8" s="18">
        <f>'IMP-PT2'!AW23</f>
        <v>0</v>
      </c>
    </row>
    <row r="9" spans="2:58" ht="12.75" customHeight="1" x14ac:dyDescent="0.25">
      <c r="C9" s="108"/>
      <c r="D9" s="108"/>
      <c r="E9" s="108"/>
      <c r="F9" s="108"/>
      <c r="G9" s="108"/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</row>
    <row r="10" spans="2:58" ht="12.75" customHeight="1" x14ac:dyDescent="0.25"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</row>
    <row r="11" spans="2:58" ht="12.75" customHeight="1" x14ac:dyDescent="0.25"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</row>
    <row r="12" spans="2:58" ht="12.75" customHeight="1" x14ac:dyDescent="0.25"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</row>
    <row r="13" spans="2:58" ht="12.75" customHeight="1" x14ac:dyDescent="0.25">
      <c r="C13" s="108"/>
      <c r="D13" s="108"/>
      <c r="E13" s="108"/>
      <c r="F13" s="108"/>
      <c r="G13" s="108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</row>
    <row r="14" spans="2:58" ht="12.75" customHeight="1" x14ac:dyDescent="0.25">
      <c r="C14" s="108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</row>
    <row r="15" spans="2:58" ht="12.75" customHeight="1" x14ac:dyDescent="0.25">
      <c r="C15" s="108"/>
      <c r="D15" s="108"/>
      <c r="E15" s="108"/>
      <c r="F15" s="108"/>
      <c r="G15" s="108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</row>
    <row r="16" spans="2:58" ht="12.75" customHeight="1" x14ac:dyDescent="0.25">
      <c r="C16" s="108"/>
      <c r="D16" s="108"/>
      <c r="E16" s="108"/>
      <c r="F16" s="108"/>
      <c r="G16" s="108"/>
      <c r="H16" s="108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</row>
    <row r="17" spans="3:54" ht="12.75" customHeight="1" x14ac:dyDescent="0.25"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</row>
    <row r="18" spans="3:54" ht="12.75" customHeight="1" x14ac:dyDescent="0.25">
      <c r="C18" s="108"/>
      <c r="D18" s="108"/>
      <c r="E18" s="108"/>
      <c r="F18" s="108"/>
      <c r="G18" s="108"/>
      <c r="H18" s="108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</row>
    <row r="19" spans="3:54" ht="12.75" customHeight="1" x14ac:dyDescent="0.25">
      <c r="C19" s="108"/>
      <c r="D19" s="108"/>
      <c r="E19" s="108"/>
      <c r="F19" s="108"/>
      <c r="G19" s="108"/>
      <c r="H19" s="108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</row>
    <row r="20" spans="3:54" ht="12.75" customHeight="1" x14ac:dyDescent="0.25">
      <c r="C20" s="108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</row>
    <row r="21" spans="3:54" ht="12.75" customHeight="1" x14ac:dyDescent="0.25">
      <c r="C21" s="108"/>
      <c r="D21" s="108"/>
      <c r="E21" s="108"/>
      <c r="F21" s="108"/>
      <c r="G21" s="108"/>
      <c r="H21" s="10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</row>
    <row r="22" spans="3:54" ht="12.75" customHeight="1" x14ac:dyDescent="0.25">
      <c r="C22" s="108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</row>
    <row r="23" spans="3:54" ht="12.75" customHeight="1" x14ac:dyDescent="0.25"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</row>
    <row r="24" spans="3:54" ht="12.75" customHeight="1" x14ac:dyDescent="0.25"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</row>
    <row r="25" spans="3:54" ht="12.75" customHeight="1" x14ac:dyDescent="0.25">
      <c r="C25" s="108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</row>
    <row r="26" spans="3:54" ht="12.75" customHeight="1" x14ac:dyDescent="0.25">
      <c r="C26" s="108"/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</row>
    <row r="27" spans="3:54" ht="12.75" customHeight="1" x14ac:dyDescent="0.25"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</row>
    <row r="28" spans="3:54" ht="12.75" customHeight="1" x14ac:dyDescent="0.25">
      <c r="C28" s="108"/>
      <c r="D28" s="108"/>
      <c r="E28" s="108"/>
      <c r="F28" s="108"/>
      <c r="G28" s="108"/>
      <c r="H28" s="108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</row>
    <row r="29" spans="3:54" ht="12.75" customHeight="1" x14ac:dyDescent="0.25"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</row>
    <row r="30" spans="3:54" ht="12.75" customHeight="1" x14ac:dyDescent="0.25"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</row>
    <row r="31" spans="3:54" ht="12.75" customHeight="1" x14ac:dyDescent="0.25"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</row>
    <row r="32" spans="3:54" ht="12.75" customHeight="1" x14ac:dyDescent="0.25"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</row>
    <row r="33" spans="3:54" ht="12.75" customHeight="1" x14ac:dyDescent="0.25"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</row>
    <row r="34" spans="3:54" ht="12.75" customHeight="1" x14ac:dyDescent="0.25"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</row>
    <row r="35" spans="3:54" ht="12.75" customHeight="1" x14ac:dyDescent="0.25"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</row>
    <row r="36" spans="3:54" ht="12.75" customHeight="1" x14ac:dyDescent="0.25"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</row>
    <row r="37" spans="3:54" ht="12.75" customHeight="1" x14ac:dyDescent="0.25">
      <c r="C37" s="108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</row>
    <row r="38" spans="3:54" ht="12.75" customHeight="1" x14ac:dyDescent="0.25">
      <c r="C38" s="108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</row>
    <row r="39" spans="3:54" ht="12.75" customHeight="1" x14ac:dyDescent="0.25">
      <c r="C39" s="108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</row>
    <row r="40" spans="3:54" ht="12.75" customHeight="1" x14ac:dyDescent="0.25"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</row>
    <row r="41" spans="3:54" ht="12.75" customHeight="1" x14ac:dyDescent="0.25"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</row>
    <row r="42" spans="3:54" ht="12.75" customHeight="1" x14ac:dyDescent="0.25">
      <c r="C42" s="108"/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</row>
    <row r="43" spans="3:54" ht="12.75" customHeight="1" x14ac:dyDescent="0.25"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</row>
    <row r="44" spans="3:54" ht="12.75" customHeight="1" x14ac:dyDescent="0.25">
      <c r="C44" s="108"/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</row>
    <row r="45" spans="3:54" ht="12.75" customHeight="1" x14ac:dyDescent="0.25"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</row>
    <row r="46" spans="3:54" ht="12.75" customHeight="1" x14ac:dyDescent="0.25"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</row>
    <row r="47" spans="3:54" ht="12.75" customHeight="1" x14ac:dyDescent="0.25"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</row>
    <row r="48" spans="3:54" ht="12.75" customHeight="1" x14ac:dyDescent="0.25"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</row>
    <row r="49" spans="3:54" ht="12.75" customHeight="1" x14ac:dyDescent="0.25">
      <c r="C49" s="108"/>
      <c r="D49" s="108"/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</row>
    <row r="50" spans="3:54" ht="12.75" customHeight="1" x14ac:dyDescent="0.25">
      <c r="C50" s="108"/>
      <c r="D50" s="108"/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</row>
    <row r="51" spans="3:54" ht="12.75" customHeight="1" x14ac:dyDescent="0.25"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</row>
    <row r="52" spans="3:54" ht="12.75" customHeight="1" x14ac:dyDescent="0.25">
      <c r="C52" s="108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</row>
    <row r="53" spans="3:54" ht="12.75" customHeight="1" x14ac:dyDescent="0.25"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</row>
    <row r="54" spans="3:54" ht="12.75" customHeight="1" x14ac:dyDescent="0.25"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</row>
    <row r="55" spans="3:54" ht="12.75" customHeight="1" x14ac:dyDescent="0.25"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</row>
    <row r="56" spans="3:54" ht="12.75" customHeight="1" x14ac:dyDescent="0.25"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</row>
    <row r="57" spans="3:54" ht="12.75" customHeight="1" x14ac:dyDescent="0.25">
      <c r="C57" s="108"/>
      <c r="D57" s="108"/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</row>
    <row r="58" spans="3:54" ht="12.75" customHeight="1" x14ac:dyDescent="0.25"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</row>
    <row r="59" spans="3:54" ht="12.75" customHeight="1" x14ac:dyDescent="0.25"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</row>
    <row r="60" spans="3:54" ht="12.75" customHeight="1" x14ac:dyDescent="0.25"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</row>
    <row r="61" spans="3:54" ht="12.75" customHeight="1" x14ac:dyDescent="0.25"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</row>
    <row r="62" spans="3:54" ht="12.75" customHeight="1" x14ac:dyDescent="0.25"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</row>
    <row r="63" spans="3:54" ht="12.75" customHeight="1" x14ac:dyDescent="0.25">
      <c r="C63" s="108"/>
      <c r="D63" s="108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</row>
    <row r="64" spans="3:54" ht="12.75" customHeight="1" x14ac:dyDescent="0.25">
      <c r="C64" s="108"/>
      <c r="D64" s="108"/>
      <c r="E64" s="108"/>
      <c r="F64" s="108"/>
      <c r="G64" s="108"/>
      <c r="H64" s="108"/>
      <c r="I64" s="108"/>
      <c r="J64" s="108"/>
      <c r="K64" s="108"/>
      <c r="L64" s="108"/>
      <c r="M64" s="108"/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</row>
    <row r="65" spans="3:54" ht="12.75" customHeight="1" x14ac:dyDescent="0.25">
      <c r="C65" s="108"/>
      <c r="D65" s="108"/>
      <c r="E65" s="108"/>
      <c r="F65" s="108"/>
      <c r="G65" s="108"/>
      <c r="H65" s="108"/>
      <c r="I65" s="108"/>
      <c r="J65" s="108"/>
      <c r="K65" s="108"/>
      <c r="L65" s="108"/>
      <c r="M65" s="108"/>
      <c r="N65" s="108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</row>
    <row r="66" spans="3:54" ht="12.75" customHeight="1" x14ac:dyDescent="0.25">
      <c r="C66" s="108"/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</row>
    <row r="67" spans="3:54" ht="12.75" customHeight="1" x14ac:dyDescent="0.25"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</row>
    <row r="68" spans="3:54" ht="12.75" customHeight="1" x14ac:dyDescent="0.25"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</row>
    <row r="69" spans="3:54" ht="12.75" customHeight="1" x14ac:dyDescent="0.25">
      <c r="C69" s="108"/>
      <c r="D69" s="108"/>
      <c r="E69" s="108"/>
      <c r="F69" s="108"/>
      <c r="G69" s="108"/>
      <c r="H69" s="108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</row>
    <row r="70" spans="3:54" ht="12.75" customHeight="1" x14ac:dyDescent="0.25">
      <c r="C70" s="108"/>
      <c r="D70" s="108"/>
      <c r="E70" s="108"/>
      <c r="F70" s="108"/>
      <c r="G70" s="108"/>
      <c r="H70" s="108"/>
      <c r="I70" s="108"/>
      <c r="J70" s="108"/>
      <c r="K70" s="108"/>
      <c r="L70" s="108"/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</row>
    <row r="71" spans="3:54" ht="12.75" customHeight="1" x14ac:dyDescent="0.25">
      <c r="C71" s="108"/>
      <c r="D71" s="108"/>
      <c r="E71" s="108"/>
      <c r="F71" s="108"/>
      <c r="G71" s="108"/>
      <c r="H71" s="108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</row>
    <row r="72" spans="3:54" ht="12.75" customHeight="1" x14ac:dyDescent="0.25">
      <c r="C72" s="108"/>
      <c r="D72" s="108"/>
      <c r="E72" s="108"/>
      <c r="F72" s="108"/>
      <c r="G72" s="108"/>
      <c r="H72" s="108"/>
      <c r="I72" s="108"/>
      <c r="J72" s="108"/>
      <c r="K72" s="108"/>
      <c r="L72" s="108"/>
      <c r="M72" s="108"/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</row>
    <row r="73" spans="3:54" ht="12.75" customHeight="1" x14ac:dyDescent="0.25">
      <c r="C73" s="108"/>
      <c r="D73" s="108"/>
      <c r="E73" s="108"/>
      <c r="F73" s="108"/>
      <c r="G73" s="108"/>
      <c r="H73" s="108"/>
      <c r="I73" s="108"/>
      <c r="J73" s="108"/>
      <c r="K73" s="108"/>
      <c r="L73" s="108"/>
      <c r="M73" s="108"/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</row>
    <row r="74" spans="3:54" ht="12.75" customHeight="1" x14ac:dyDescent="0.25">
      <c r="C74" s="108"/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</row>
    <row r="75" spans="3:54" ht="12.75" customHeight="1" x14ac:dyDescent="0.25"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</row>
    <row r="76" spans="3:54" ht="12.75" customHeight="1" x14ac:dyDescent="0.25">
      <c r="C76" s="108"/>
      <c r="D76" s="108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</row>
    <row r="77" spans="3:54" ht="12.75" customHeight="1" x14ac:dyDescent="0.25">
      <c r="C77" s="108"/>
      <c r="D77" s="108"/>
      <c r="E77" s="108"/>
      <c r="F77" s="108"/>
      <c r="G77" s="108"/>
      <c r="H77" s="10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</row>
    <row r="78" spans="3:54" ht="12.75" customHeight="1" x14ac:dyDescent="0.25">
      <c r="C78" s="108"/>
      <c r="D78" s="108"/>
      <c r="E78" s="108"/>
      <c r="F78" s="108"/>
      <c r="G78" s="108"/>
      <c r="H78" s="108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</row>
    <row r="79" spans="3:54" ht="12.75" customHeight="1" x14ac:dyDescent="0.25">
      <c r="C79" s="108"/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</row>
    <row r="80" spans="3:54" ht="12.75" customHeight="1" x14ac:dyDescent="0.25">
      <c r="C80" s="108"/>
      <c r="D80" s="108"/>
      <c r="E80" s="108"/>
      <c r="F80" s="108"/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</row>
    <row r="81" spans="3:54" ht="12.75" customHeight="1" x14ac:dyDescent="0.25">
      <c r="C81" s="108"/>
      <c r="D81" s="108"/>
      <c r="E81" s="108"/>
      <c r="F81" s="108"/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</row>
    <row r="82" spans="3:54" ht="12.75" customHeight="1" x14ac:dyDescent="0.25">
      <c r="C82" s="108"/>
      <c r="D82" s="108"/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</row>
    <row r="83" spans="3:54" ht="12.75" customHeight="1" x14ac:dyDescent="0.25"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</row>
    <row r="84" spans="3:54" ht="12.75" customHeight="1" x14ac:dyDescent="0.25"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</row>
    <row r="85" spans="3:54" ht="12.75" customHeight="1" x14ac:dyDescent="0.25">
      <c r="C85" s="108"/>
      <c r="D85" s="108"/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</row>
    <row r="86" spans="3:54" ht="12.75" customHeight="1" x14ac:dyDescent="0.25">
      <c r="C86" s="108"/>
      <c r="D86" s="108"/>
      <c r="E86" s="108"/>
      <c r="F86" s="108"/>
      <c r="G86" s="108"/>
      <c r="H86" s="108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</row>
    <row r="87" spans="3:54" ht="12.75" customHeight="1" x14ac:dyDescent="0.25"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</row>
    <row r="88" spans="3:54" ht="12.75" customHeight="1" x14ac:dyDescent="0.25">
      <c r="C88" s="108"/>
      <c r="D88" s="108"/>
      <c r="E88" s="108"/>
      <c r="F88" s="108"/>
      <c r="G88" s="108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</row>
    <row r="89" spans="3:54" ht="12.75" customHeight="1" x14ac:dyDescent="0.25"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</row>
    <row r="90" spans="3:54" ht="12.75" customHeight="1" x14ac:dyDescent="0.25">
      <c r="C90" s="108"/>
      <c r="D90" s="108"/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</row>
    <row r="91" spans="3:54" ht="12.75" customHeight="1" x14ac:dyDescent="0.25">
      <c r="C91" s="108"/>
      <c r="D91" s="108"/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</row>
    <row r="92" spans="3:54" ht="12.75" customHeight="1" x14ac:dyDescent="0.25">
      <c r="C92" s="108"/>
      <c r="D92" s="108"/>
      <c r="E92" s="108"/>
      <c r="F92" s="108"/>
      <c r="G92" s="108"/>
      <c r="H92" s="108"/>
      <c r="I92" s="108"/>
      <c r="J92" s="108"/>
      <c r="K92" s="108"/>
      <c r="L92" s="108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</row>
    <row r="93" spans="3:54" ht="12.75" customHeight="1" x14ac:dyDescent="0.25">
      <c r="C93" s="108"/>
      <c r="D93" s="108"/>
      <c r="E93" s="108"/>
      <c r="F93" s="108"/>
      <c r="G93" s="108"/>
      <c r="H93" s="108"/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</row>
    <row r="94" spans="3:54" ht="12.75" customHeight="1" x14ac:dyDescent="0.25">
      <c r="C94" s="108"/>
      <c r="D94" s="108"/>
      <c r="E94" s="108"/>
      <c r="F94" s="108"/>
      <c r="G94" s="108"/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  <c r="AU94" s="108"/>
      <c r="AV94" s="108"/>
      <c r="AW94" s="108"/>
      <c r="AX94" s="108"/>
      <c r="AY94" s="108"/>
      <c r="AZ94" s="108"/>
      <c r="BA94" s="108"/>
      <c r="BB94" s="108"/>
    </row>
    <row r="95" spans="3:54" ht="12.75" customHeight="1" x14ac:dyDescent="0.25">
      <c r="C95" s="108"/>
      <c r="D95" s="108"/>
      <c r="E95" s="108"/>
      <c r="F95" s="108"/>
      <c r="G95" s="108"/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</row>
    <row r="96" spans="3:54" ht="12.75" customHeight="1" x14ac:dyDescent="0.25">
      <c r="C96" s="108"/>
      <c r="D96" s="108"/>
      <c r="E96" s="108"/>
      <c r="F96" s="108"/>
      <c r="G96" s="108"/>
      <c r="H96" s="108"/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  <c r="AU96" s="108"/>
      <c r="AV96" s="108"/>
      <c r="AW96" s="108"/>
      <c r="AX96" s="108"/>
      <c r="AY96" s="108"/>
      <c r="AZ96" s="108"/>
      <c r="BA96" s="108"/>
      <c r="BB96" s="108"/>
    </row>
    <row r="97" spans="3:54" ht="12.75" customHeight="1" x14ac:dyDescent="0.25">
      <c r="C97" s="108"/>
      <c r="D97" s="108"/>
      <c r="E97" s="108"/>
      <c r="F97" s="108"/>
      <c r="G97" s="108"/>
      <c r="H97" s="108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8"/>
      <c r="AT97" s="108"/>
      <c r="AU97" s="108"/>
      <c r="AV97" s="108"/>
      <c r="AW97" s="108"/>
      <c r="AX97" s="108"/>
      <c r="AY97" s="108"/>
      <c r="AZ97" s="108"/>
      <c r="BA97" s="108"/>
      <c r="BB97" s="108"/>
    </row>
    <row r="98" spans="3:54" ht="12.75" customHeight="1" x14ac:dyDescent="0.25">
      <c r="C98" s="108"/>
      <c r="D98" s="108"/>
      <c r="E98" s="108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08"/>
      <c r="BA98" s="108"/>
      <c r="BB98" s="108"/>
    </row>
    <row r="99" spans="3:54" ht="12.75" customHeight="1" x14ac:dyDescent="0.25">
      <c r="C99" s="108"/>
      <c r="D99" s="108"/>
      <c r="E99" s="108"/>
      <c r="F99" s="108"/>
      <c r="G99" s="108"/>
      <c r="H99" s="108"/>
      <c r="I99" s="108"/>
      <c r="J99" s="108"/>
      <c r="K99" s="108"/>
      <c r="L99" s="108"/>
      <c r="M99" s="108"/>
      <c r="N99" s="108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  <c r="AU99" s="108"/>
      <c r="AV99" s="108"/>
      <c r="AW99" s="108"/>
      <c r="AX99" s="108"/>
      <c r="AY99" s="108"/>
      <c r="AZ99" s="108"/>
      <c r="BA99" s="108"/>
      <c r="BB99" s="108"/>
    </row>
    <row r="100" spans="3:54" ht="12.75" customHeight="1" x14ac:dyDescent="0.25"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  <c r="AU100" s="108"/>
      <c r="AV100" s="108"/>
      <c r="AW100" s="108"/>
      <c r="AX100" s="108"/>
      <c r="AY100" s="108"/>
      <c r="AZ100" s="108"/>
      <c r="BA100" s="108"/>
      <c r="BB100" s="108"/>
    </row>
    <row r="101" spans="3:54" ht="12.75" customHeight="1" x14ac:dyDescent="0.25"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</row>
    <row r="102" spans="3:54" ht="12.75" customHeight="1" x14ac:dyDescent="0.25"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</row>
    <row r="103" spans="3:54" ht="12.75" customHeight="1" x14ac:dyDescent="0.25"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</row>
    <row r="104" spans="3:54" ht="12.75" customHeight="1" x14ac:dyDescent="0.25">
      <c r="C104" s="108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</row>
    <row r="105" spans="3:54" ht="12.75" customHeight="1" x14ac:dyDescent="0.25">
      <c r="C105" s="108"/>
      <c r="D105" s="108"/>
      <c r="E105" s="108"/>
      <c r="F105" s="108"/>
      <c r="G105" s="108"/>
      <c r="H105" s="108"/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  <c r="AU105" s="108"/>
      <c r="AV105" s="108"/>
      <c r="AW105" s="108"/>
      <c r="AX105" s="108"/>
      <c r="AY105" s="108"/>
      <c r="AZ105" s="108"/>
      <c r="BA105" s="108"/>
      <c r="BB105" s="108"/>
    </row>
    <row r="106" spans="3:54" ht="12.75" customHeight="1" x14ac:dyDescent="0.25">
      <c r="C106" s="108"/>
      <c r="D106" s="108"/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8"/>
      <c r="AV106" s="108"/>
      <c r="AW106" s="108"/>
      <c r="AX106" s="108"/>
      <c r="AY106" s="108"/>
      <c r="AZ106" s="108"/>
      <c r="BA106" s="108"/>
      <c r="BB106" s="108"/>
    </row>
    <row r="107" spans="3:54" ht="12.75" customHeight="1" x14ac:dyDescent="0.25">
      <c r="C107" s="108"/>
      <c r="D107" s="108"/>
      <c r="E107" s="108"/>
      <c r="F107" s="108"/>
      <c r="G107" s="108"/>
      <c r="H107" s="108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  <c r="AU107" s="108"/>
      <c r="AV107" s="108"/>
      <c r="AW107" s="108"/>
      <c r="AX107" s="108"/>
      <c r="AY107" s="108"/>
      <c r="AZ107" s="108"/>
      <c r="BA107" s="108"/>
      <c r="BB107" s="108"/>
    </row>
    <row r="108" spans="3:54" ht="12.75" customHeight="1" x14ac:dyDescent="0.25">
      <c r="C108" s="108"/>
      <c r="D108" s="108"/>
      <c r="E108" s="108"/>
      <c r="F108" s="108"/>
      <c r="G108" s="108"/>
      <c r="H108" s="108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  <c r="AU108" s="108"/>
      <c r="AV108" s="108"/>
      <c r="AW108" s="108"/>
      <c r="AX108" s="108"/>
      <c r="AY108" s="108"/>
      <c r="AZ108" s="108"/>
      <c r="BA108" s="108"/>
      <c r="BB108" s="108"/>
    </row>
    <row r="109" spans="3:54" ht="12.75" customHeight="1" x14ac:dyDescent="0.25">
      <c r="C109" s="108"/>
      <c r="D109" s="108"/>
      <c r="E109" s="108"/>
      <c r="F109" s="108"/>
      <c r="G109" s="108"/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8"/>
      <c r="AV109" s="108"/>
      <c r="AW109" s="108"/>
      <c r="AX109" s="108"/>
      <c r="AY109" s="108"/>
      <c r="AZ109" s="108"/>
      <c r="BA109" s="108"/>
      <c r="BB109" s="108"/>
    </row>
    <row r="110" spans="3:54" ht="12.75" customHeight="1" x14ac:dyDescent="0.25">
      <c r="C110" s="108"/>
      <c r="D110" s="108"/>
      <c r="E110" s="108"/>
      <c r="F110" s="108"/>
      <c r="G110" s="108"/>
      <c r="H110" s="108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  <c r="AU110" s="108"/>
      <c r="AV110" s="108"/>
      <c r="AW110" s="108"/>
      <c r="AX110" s="108"/>
      <c r="AY110" s="108"/>
      <c r="AZ110" s="108"/>
      <c r="BA110" s="108"/>
      <c r="BB110" s="108"/>
    </row>
    <row r="111" spans="3:54" ht="12.75" customHeight="1" x14ac:dyDescent="0.25">
      <c r="C111" s="108"/>
      <c r="D111" s="108"/>
      <c r="E111" s="108"/>
      <c r="F111" s="108"/>
      <c r="G111" s="108"/>
      <c r="H111" s="10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  <c r="AU111" s="108"/>
      <c r="AV111" s="108"/>
      <c r="AW111" s="108"/>
      <c r="AX111" s="108"/>
      <c r="AY111" s="108"/>
      <c r="AZ111" s="108"/>
      <c r="BA111" s="108"/>
      <c r="BB111" s="108"/>
    </row>
    <row r="112" spans="3:54" ht="12.75" customHeight="1" x14ac:dyDescent="0.25">
      <c r="C112" s="108"/>
      <c r="D112" s="108"/>
      <c r="E112" s="108"/>
      <c r="F112" s="108"/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8"/>
      <c r="AV112" s="108"/>
      <c r="AW112" s="108"/>
      <c r="AX112" s="108"/>
      <c r="AY112" s="108"/>
      <c r="AZ112" s="108"/>
      <c r="BA112" s="108"/>
      <c r="BB112" s="108"/>
    </row>
    <row r="113" spans="3:54" ht="12.75" customHeight="1" x14ac:dyDescent="0.25">
      <c r="C113" s="108"/>
      <c r="D113" s="108"/>
      <c r="E113" s="108"/>
      <c r="F113" s="108"/>
      <c r="G113" s="108"/>
      <c r="H113" s="108"/>
      <c r="I113" s="108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  <c r="AW113" s="108"/>
      <c r="AX113" s="108"/>
      <c r="AY113" s="108"/>
      <c r="AZ113" s="108"/>
      <c r="BA113" s="108"/>
      <c r="BB113" s="108"/>
    </row>
    <row r="114" spans="3:54" ht="12.75" customHeight="1" x14ac:dyDescent="0.25">
      <c r="C114" s="108"/>
      <c r="D114" s="108"/>
      <c r="E114" s="108"/>
      <c r="F114" s="108"/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V114" s="108"/>
      <c r="AW114" s="108"/>
      <c r="AX114" s="108"/>
      <c r="AY114" s="108"/>
      <c r="AZ114" s="108"/>
      <c r="BA114" s="108"/>
      <c r="BB114" s="108"/>
    </row>
    <row r="115" spans="3:54" ht="12.75" customHeight="1" x14ac:dyDescent="0.25">
      <c r="C115" s="108"/>
      <c r="D115" s="108"/>
      <c r="E115" s="108"/>
      <c r="F115" s="108"/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8"/>
      <c r="AT115" s="108"/>
      <c r="AU115" s="108"/>
      <c r="AV115" s="108"/>
      <c r="AW115" s="108"/>
      <c r="AX115" s="108"/>
      <c r="AY115" s="108"/>
      <c r="AZ115" s="108"/>
      <c r="BA115" s="108"/>
      <c r="BB115" s="108"/>
    </row>
    <row r="116" spans="3:54" ht="12.75" customHeight="1" x14ac:dyDescent="0.25">
      <c r="C116" s="108"/>
      <c r="D116" s="108"/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  <c r="AU116" s="108"/>
      <c r="AV116" s="108"/>
      <c r="AW116" s="108"/>
      <c r="AX116" s="108"/>
      <c r="AY116" s="108"/>
      <c r="AZ116" s="108"/>
      <c r="BA116" s="108"/>
      <c r="BB116" s="108"/>
    </row>
    <row r="117" spans="3:54" ht="12.75" customHeight="1" x14ac:dyDescent="0.25"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  <c r="AU117" s="108"/>
      <c r="AV117" s="108"/>
      <c r="AW117" s="108"/>
      <c r="AX117" s="108"/>
      <c r="AY117" s="108"/>
      <c r="AZ117" s="108"/>
      <c r="BA117" s="108"/>
      <c r="BB117" s="108"/>
    </row>
    <row r="118" spans="3:54" ht="12.75" customHeight="1" x14ac:dyDescent="0.25">
      <c r="C118" s="108"/>
      <c r="D118" s="108"/>
      <c r="E118" s="108"/>
      <c r="F118" s="108"/>
      <c r="G118" s="108"/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</row>
    <row r="119" spans="3:54" ht="12.75" customHeight="1" x14ac:dyDescent="0.25">
      <c r="C119" s="108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  <c r="AU119" s="108"/>
      <c r="AV119" s="108"/>
      <c r="AW119" s="108"/>
      <c r="AX119" s="108"/>
      <c r="AY119" s="108"/>
      <c r="AZ119" s="108"/>
      <c r="BA119" s="108"/>
      <c r="BB119" s="108"/>
    </row>
    <row r="120" spans="3:54" ht="12.75" customHeight="1" x14ac:dyDescent="0.25"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 s="108"/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  <c r="AU120" s="108"/>
      <c r="AV120" s="108"/>
      <c r="AW120" s="108"/>
      <c r="AX120" s="108"/>
      <c r="AY120" s="108"/>
      <c r="AZ120" s="108"/>
      <c r="BA120" s="108"/>
      <c r="BB120" s="108"/>
    </row>
    <row r="121" spans="3:54" ht="12.75" customHeight="1" x14ac:dyDescent="0.25">
      <c r="C121" s="108"/>
      <c r="D121" s="108"/>
      <c r="E121" s="108"/>
      <c r="F121" s="108"/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  <c r="AU121" s="108"/>
      <c r="AV121" s="108"/>
      <c r="AW121" s="108"/>
      <c r="AX121" s="108"/>
      <c r="AY121" s="108"/>
      <c r="AZ121" s="108"/>
      <c r="BA121" s="108"/>
      <c r="BB121" s="108"/>
    </row>
    <row r="122" spans="3:54" ht="12.75" customHeight="1" x14ac:dyDescent="0.25">
      <c r="C122" s="108"/>
      <c r="D122" s="108"/>
      <c r="E122" s="108"/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  <c r="AU122" s="108"/>
      <c r="AV122" s="108"/>
      <c r="AW122" s="108"/>
      <c r="AX122" s="108"/>
      <c r="AY122" s="108"/>
      <c r="AZ122" s="108"/>
      <c r="BA122" s="108"/>
      <c r="BB122" s="108"/>
    </row>
    <row r="123" spans="3:54" ht="12.75" customHeight="1" x14ac:dyDescent="0.25">
      <c r="C123" s="108"/>
      <c r="D123" s="108"/>
      <c r="E123" s="108"/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  <c r="AU123" s="108"/>
      <c r="AV123" s="108"/>
      <c r="AW123" s="108"/>
      <c r="AX123" s="108"/>
      <c r="AY123" s="108"/>
      <c r="AZ123" s="108"/>
      <c r="BA123" s="108"/>
      <c r="BB123" s="108"/>
    </row>
    <row r="124" spans="3:54" ht="12.75" customHeight="1" x14ac:dyDescent="0.25">
      <c r="C124" s="108"/>
      <c r="D124" s="108"/>
      <c r="E124" s="108"/>
      <c r="F124" s="108"/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  <c r="AR124" s="108"/>
      <c r="AS124" s="108"/>
      <c r="AT124" s="108"/>
      <c r="AU124" s="108"/>
      <c r="AV124" s="108"/>
      <c r="AW124" s="108"/>
      <c r="AX124" s="108"/>
      <c r="AY124" s="108"/>
      <c r="AZ124" s="108"/>
      <c r="BA124" s="108"/>
      <c r="BB124" s="108"/>
    </row>
    <row r="125" spans="3:54" ht="12.75" customHeight="1" x14ac:dyDescent="0.25"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  <c r="AR125" s="108"/>
      <c r="AS125" s="108"/>
      <c r="AT125" s="108"/>
      <c r="AU125" s="108"/>
      <c r="AV125" s="108"/>
      <c r="AW125" s="108"/>
      <c r="AX125" s="108"/>
      <c r="AY125" s="108"/>
      <c r="AZ125" s="108"/>
      <c r="BA125" s="108"/>
      <c r="BB125" s="108"/>
    </row>
    <row r="126" spans="3:54" ht="12.75" customHeight="1" x14ac:dyDescent="0.25">
      <c r="C126" s="108"/>
      <c r="D126" s="108"/>
      <c r="E126" s="108"/>
      <c r="F126" s="108"/>
      <c r="G126" s="108"/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  <c r="AB126" s="108"/>
      <c r="AC126" s="108"/>
      <c r="AD126" s="108"/>
      <c r="AE126" s="108"/>
      <c r="AF126" s="108"/>
      <c r="AG126" s="108"/>
      <c r="AH126" s="108"/>
      <c r="AI126" s="108"/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  <c r="AU126" s="108"/>
      <c r="AV126" s="108"/>
      <c r="AW126" s="108"/>
      <c r="AX126" s="108"/>
      <c r="AY126" s="108"/>
      <c r="AZ126" s="108"/>
      <c r="BA126" s="108"/>
      <c r="BB126" s="108"/>
    </row>
    <row r="127" spans="3:54" ht="12.75" customHeight="1" x14ac:dyDescent="0.25">
      <c r="C127" s="108"/>
      <c r="D127" s="108"/>
      <c r="E127" s="108"/>
      <c r="F127" s="108"/>
      <c r="G127" s="108"/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  <c r="AC127" s="108"/>
      <c r="AD127" s="108"/>
      <c r="AE127" s="108"/>
      <c r="AF127" s="108"/>
      <c r="AG127" s="108"/>
      <c r="AH127" s="108"/>
      <c r="AI127" s="108"/>
      <c r="AJ127" s="108"/>
      <c r="AK127" s="108"/>
      <c r="AL127" s="108"/>
      <c r="AM127" s="108"/>
      <c r="AN127" s="108"/>
      <c r="AO127" s="108"/>
      <c r="AP127" s="108"/>
      <c r="AQ127" s="108"/>
      <c r="AR127" s="108"/>
      <c r="AS127" s="108"/>
      <c r="AT127" s="108"/>
      <c r="AU127" s="108"/>
      <c r="AV127" s="108"/>
      <c r="AW127" s="108"/>
      <c r="AX127" s="108"/>
      <c r="AY127" s="108"/>
      <c r="AZ127" s="108"/>
      <c r="BA127" s="108"/>
      <c r="BB127" s="108"/>
    </row>
    <row r="128" spans="3:54" ht="12.75" customHeight="1" x14ac:dyDescent="0.25">
      <c r="C128" s="108"/>
      <c r="D128" s="108"/>
      <c r="E128" s="108"/>
      <c r="F128" s="108"/>
      <c r="G128" s="108"/>
      <c r="H128" s="108"/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  <c r="Z128" s="108"/>
      <c r="AA128" s="108"/>
      <c r="AB128" s="108"/>
      <c r="AC128" s="108"/>
      <c r="AD128" s="108"/>
      <c r="AE128" s="108"/>
      <c r="AF128" s="108"/>
      <c r="AG128" s="108"/>
      <c r="AH128" s="108"/>
      <c r="AI128" s="108"/>
      <c r="AJ128" s="108"/>
      <c r="AK128" s="108"/>
      <c r="AL128" s="108"/>
      <c r="AM128" s="108"/>
      <c r="AN128" s="108"/>
      <c r="AO128" s="108"/>
      <c r="AP128" s="108"/>
      <c r="AQ128" s="108"/>
      <c r="AR128" s="108"/>
      <c r="AS128" s="108"/>
      <c r="AT128" s="108"/>
      <c r="AU128" s="108"/>
      <c r="AV128" s="108"/>
      <c r="AW128" s="108"/>
      <c r="AX128" s="108"/>
      <c r="AY128" s="108"/>
      <c r="AZ128" s="108"/>
      <c r="BA128" s="108"/>
      <c r="BB128" s="108"/>
    </row>
    <row r="129" spans="3:54" ht="12.75" customHeight="1" x14ac:dyDescent="0.25">
      <c r="C129" s="108"/>
      <c r="D129" s="108"/>
      <c r="E129" s="108"/>
      <c r="F129" s="108"/>
      <c r="G129" s="108"/>
      <c r="H129" s="108"/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  <c r="Z129" s="108"/>
      <c r="AA129" s="108"/>
      <c r="AB129" s="108"/>
      <c r="AC129" s="108"/>
      <c r="AD129" s="108"/>
      <c r="AE129" s="108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P129" s="108"/>
      <c r="AQ129" s="108"/>
      <c r="AR129" s="108"/>
      <c r="AS129" s="108"/>
      <c r="AT129" s="108"/>
      <c r="AU129" s="108"/>
      <c r="AV129" s="108"/>
      <c r="AW129" s="108"/>
      <c r="AX129" s="108"/>
      <c r="AY129" s="108"/>
      <c r="AZ129" s="108"/>
      <c r="BA129" s="108"/>
      <c r="BB129" s="108"/>
    </row>
    <row r="130" spans="3:54" ht="12.75" customHeight="1" x14ac:dyDescent="0.25">
      <c r="C130" s="108"/>
      <c r="D130" s="108"/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108"/>
      <c r="AV130" s="108"/>
      <c r="AW130" s="108"/>
      <c r="AX130" s="108"/>
      <c r="AY130" s="108"/>
      <c r="AZ130" s="108"/>
      <c r="BA130" s="108"/>
      <c r="BB130" s="108"/>
    </row>
    <row r="131" spans="3:54" ht="12.75" customHeight="1" x14ac:dyDescent="0.25">
      <c r="C131" s="108"/>
      <c r="D131" s="108"/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108"/>
      <c r="AV131" s="108"/>
      <c r="AW131" s="108"/>
      <c r="AX131" s="108"/>
      <c r="AY131" s="108"/>
      <c r="AZ131" s="108"/>
      <c r="BA131" s="108"/>
      <c r="BB131" s="108"/>
    </row>
    <row r="132" spans="3:54" ht="12.75" customHeight="1" x14ac:dyDescent="0.25"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108"/>
      <c r="AV132" s="108"/>
      <c r="AW132" s="108"/>
      <c r="AX132" s="108"/>
      <c r="AY132" s="108"/>
      <c r="AZ132" s="108"/>
      <c r="BA132" s="108"/>
      <c r="BB132" s="108"/>
    </row>
    <row r="133" spans="3:54" ht="12.75" customHeight="1" x14ac:dyDescent="0.25">
      <c r="C133" s="108"/>
      <c r="D133" s="108"/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108"/>
      <c r="AV133" s="108"/>
      <c r="AW133" s="108"/>
      <c r="AX133" s="108"/>
      <c r="AY133" s="108"/>
      <c r="AZ133" s="108"/>
      <c r="BA133" s="108"/>
      <c r="BB133" s="108"/>
    </row>
    <row r="134" spans="3:54" ht="12.75" customHeight="1" x14ac:dyDescent="0.25">
      <c r="C134" s="108"/>
      <c r="D134" s="108"/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108"/>
      <c r="AV134" s="108"/>
      <c r="AW134" s="108"/>
      <c r="AX134" s="108"/>
      <c r="AY134" s="108"/>
      <c r="AZ134" s="108"/>
      <c r="BA134" s="108"/>
      <c r="BB134" s="108"/>
    </row>
    <row r="135" spans="3:54" ht="12.75" customHeight="1" x14ac:dyDescent="0.25">
      <c r="C135" s="108"/>
      <c r="D135" s="108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108"/>
      <c r="AV135" s="108"/>
      <c r="AW135" s="108"/>
      <c r="AX135" s="108"/>
      <c r="AY135" s="108"/>
      <c r="AZ135" s="108"/>
      <c r="BA135" s="108"/>
      <c r="BB135" s="108"/>
    </row>
    <row r="136" spans="3:54" ht="12.75" customHeight="1" x14ac:dyDescent="0.25">
      <c r="C136" s="108"/>
      <c r="D136" s="108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108"/>
      <c r="AV136" s="108"/>
      <c r="AW136" s="108"/>
      <c r="AX136" s="108"/>
      <c r="AY136" s="108"/>
      <c r="AZ136" s="108"/>
      <c r="BA136" s="108"/>
      <c r="BB136" s="108"/>
    </row>
    <row r="137" spans="3:54" ht="12.75" customHeight="1" x14ac:dyDescent="0.25">
      <c r="C137" s="108"/>
      <c r="D137" s="108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108"/>
      <c r="AV137" s="108"/>
      <c r="AW137" s="108"/>
      <c r="AX137" s="108"/>
      <c r="AY137" s="108"/>
      <c r="AZ137" s="108"/>
      <c r="BA137" s="108"/>
      <c r="BB137" s="108"/>
    </row>
    <row r="138" spans="3:54" ht="12.75" customHeight="1" x14ac:dyDescent="0.25">
      <c r="C138" s="108"/>
      <c r="D138" s="108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108"/>
      <c r="AV138" s="108"/>
      <c r="AW138" s="108"/>
      <c r="AX138" s="108"/>
      <c r="AY138" s="108"/>
      <c r="AZ138" s="108"/>
      <c r="BA138" s="108"/>
      <c r="BB138" s="108"/>
    </row>
    <row r="139" spans="3:54" ht="12.75" customHeight="1" x14ac:dyDescent="0.25">
      <c r="C139" s="108"/>
      <c r="D139" s="108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108"/>
      <c r="AV139" s="108"/>
      <c r="AW139" s="108"/>
      <c r="AX139" s="108"/>
      <c r="AY139" s="108"/>
      <c r="AZ139" s="108"/>
      <c r="BA139" s="108"/>
      <c r="BB139" s="108"/>
    </row>
    <row r="140" spans="3:54" ht="12.75" customHeight="1" x14ac:dyDescent="0.25">
      <c r="C140" s="108"/>
      <c r="D140" s="108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108"/>
      <c r="AV140" s="108"/>
      <c r="AW140" s="108"/>
      <c r="AX140" s="108"/>
      <c r="AY140" s="108"/>
      <c r="AZ140" s="108"/>
      <c r="BA140" s="108"/>
      <c r="BB140" s="108"/>
    </row>
    <row r="141" spans="3:54" ht="12.75" customHeight="1" x14ac:dyDescent="0.25"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108"/>
      <c r="AV141" s="108"/>
      <c r="AW141" s="108"/>
      <c r="AX141" s="108"/>
      <c r="AY141" s="108"/>
      <c r="AZ141" s="108"/>
      <c r="BA141" s="108"/>
      <c r="BB141" s="108"/>
    </row>
    <row r="142" spans="3:54" ht="12.75" customHeight="1" x14ac:dyDescent="0.25">
      <c r="C142" s="108"/>
      <c r="D142" s="108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108"/>
      <c r="AV142" s="108"/>
      <c r="AW142" s="108"/>
      <c r="AX142" s="108"/>
      <c r="AY142" s="108"/>
      <c r="AZ142" s="108"/>
      <c r="BA142" s="108"/>
      <c r="BB142" s="108"/>
    </row>
    <row r="143" spans="3:54" ht="12.75" customHeight="1" x14ac:dyDescent="0.25">
      <c r="C143" s="108"/>
      <c r="D143" s="108"/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108"/>
      <c r="AV143" s="108"/>
      <c r="AW143" s="108"/>
      <c r="AX143" s="108"/>
      <c r="AY143" s="108"/>
      <c r="AZ143" s="108"/>
      <c r="BA143" s="108"/>
      <c r="BB143" s="108"/>
    </row>
    <row r="144" spans="3:54" ht="12.75" customHeight="1" x14ac:dyDescent="0.25"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108"/>
      <c r="AV144" s="108"/>
      <c r="AW144" s="108"/>
      <c r="AX144" s="108"/>
      <c r="AY144" s="108"/>
      <c r="AZ144" s="108"/>
      <c r="BA144" s="108"/>
      <c r="BB144" s="108"/>
    </row>
    <row r="145" spans="3:54" ht="12.75" customHeight="1" x14ac:dyDescent="0.25">
      <c r="C145" s="108"/>
      <c r="D145" s="108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108"/>
      <c r="AV145" s="108"/>
      <c r="AW145" s="108"/>
      <c r="AX145" s="108"/>
      <c r="AY145" s="108"/>
      <c r="AZ145" s="108"/>
      <c r="BA145" s="108"/>
      <c r="BB145" s="108"/>
    </row>
    <row r="146" spans="3:54" ht="12.75" customHeight="1" x14ac:dyDescent="0.25">
      <c r="C146" s="108"/>
      <c r="D146" s="108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108"/>
      <c r="AV146" s="108"/>
      <c r="AW146" s="108"/>
      <c r="AX146" s="108"/>
      <c r="AY146" s="108"/>
      <c r="AZ146" s="108"/>
      <c r="BA146" s="108"/>
      <c r="BB146" s="108"/>
    </row>
    <row r="147" spans="3:54" ht="12.75" customHeight="1" x14ac:dyDescent="0.25">
      <c r="C147" s="108"/>
      <c r="D147" s="108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108"/>
      <c r="AV147" s="108"/>
      <c r="AW147" s="108"/>
      <c r="AX147" s="108"/>
      <c r="AY147" s="108"/>
      <c r="AZ147" s="108"/>
      <c r="BA147" s="108"/>
      <c r="BB147" s="108"/>
    </row>
    <row r="148" spans="3:54" ht="12.75" customHeight="1" x14ac:dyDescent="0.25">
      <c r="C148" s="108"/>
      <c r="D148" s="108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108"/>
      <c r="AV148" s="108"/>
      <c r="AW148" s="108"/>
      <c r="AX148" s="108"/>
      <c r="AY148" s="108"/>
      <c r="AZ148" s="108"/>
      <c r="BA148" s="108"/>
      <c r="BB148" s="108"/>
    </row>
    <row r="149" spans="3:54" ht="12.75" customHeight="1" x14ac:dyDescent="0.25">
      <c r="C149" s="108"/>
      <c r="D149" s="108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108"/>
      <c r="AV149" s="108"/>
      <c r="AW149" s="108"/>
      <c r="AX149" s="108"/>
      <c r="AY149" s="108"/>
      <c r="AZ149" s="108"/>
      <c r="BA149" s="108"/>
      <c r="BB149" s="108"/>
    </row>
    <row r="150" spans="3:54" ht="12.75" customHeight="1" x14ac:dyDescent="0.25">
      <c r="C150" s="108"/>
      <c r="D150" s="108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108"/>
      <c r="AV150" s="108"/>
      <c r="AW150" s="108"/>
      <c r="AX150" s="108"/>
      <c r="AY150" s="108"/>
      <c r="AZ150" s="108"/>
      <c r="BA150" s="108"/>
      <c r="BB150" s="108"/>
    </row>
    <row r="151" spans="3:54" ht="12.75" customHeight="1" x14ac:dyDescent="0.25">
      <c r="C151" s="108"/>
      <c r="D151" s="108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108"/>
      <c r="AV151" s="108"/>
      <c r="AW151" s="108"/>
      <c r="AX151" s="108"/>
      <c r="AY151" s="108"/>
      <c r="AZ151" s="108"/>
      <c r="BA151" s="108"/>
      <c r="BB151" s="108"/>
    </row>
    <row r="152" spans="3:54" ht="12.75" customHeight="1" x14ac:dyDescent="0.25">
      <c r="C152" s="108"/>
      <c r="D152" s="108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108"/>
      <c r="AV152" s="108"/>
      <c r="AW152" s="108"/>
      <c r="AX152" s="108"/>
      <c r="AY152" s="108"/>
      <c r="AZ152" s="108"/>
      <c r="BA152" s="108"/>
      <c r="BB152" s="108"/>
    </row>
    <row r="153" spans="3:54" ht="12.75" customHeight="1" x14ac:dyDescent="0.25">
      <c r="C153" s="108"/>
      <c r="D153" s="108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108"/>
      <c r="AV153" s="108"/>
      <c r="AW153" s="108"/>
      <c r="AX153" s="108"/>
      <c r="AY153" s="108"/>
      <c r="AZ153" s="108"/>
      <c r="BA153" s="108"/>
      <c r="BB153" s="108"/>
    </row>
    <row r="154" spans="3:54" ht="12.75" customHeight="1" x14ac:dyDescent="0.25">
      <c r="C154" s="108"/>
      <c r="D154" s="108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108"/>
      <c r="AV154" s="108"/>
      <c r="AW154" s="108"/>
      <c r="AX154" s="108"/>
      <c r="AY154" s="108"/>
      <c r="AZ154" s="108"/>
      <c r="BA154" s="108"/>
      <c r="BB154" s="108"/>
    </row>
    <row r="155" spans="3:54" ht="12.75" customHeight="1" x14ac:dyDescent="0.25">
      <c r="C155" s="108"/>
      <c r="D155" s="108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108"/>
      <c r="AV155" s="108"/>
      <c r="AW155" s="108"/>
      <c r="AX155" s="108"/>
      <c r="AY155" s="108"/>
      <c r="AZ155" s="108"/>
      <c r="BA155" s="108"/>
      <c r="BB155" s="108"/>
    </row>
    <row r="156" spans="3:54" ht="12.75" customHeight="1" x14ac:dyDescent="0.25">
      <c r="C156" s="108"/>
      <c r="D156" s="108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108"/>
      <c r="AV156" s="108"/>
      <c r="AW156" s="108"/>
      <c r="AX156" s="108"/>
      <c r="AY156" s="108"/>
      <c r="AZ156" s="108"/>
      <c r="BA156" s="108"/>
      <c r="BB156" s="108"/>
    </row>
    <row r="157" spans="3:54" ht="12.75" customHeight="1" x14ac:dyDescent="0.25">
      <c r="C157" s="108"/>
      <c r="D157" s="108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108"/>
      <c r="AV157" s="108"/>
      <c r="AW157" s="108"/>
      <c r="AX157" s="108"/>
      <c r="AY157" s="108"/>
      <c r="AZ157" s="108"/>
      <c r="BA157" s="108"/>
      <c r="BB157" s="108"/>
    </row>
    <row r="158" spans="3:54" ht="12.75" customHeight="1" x14ac:dyDescent="0.25"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108"/>
      <c r="AV158" s="108"/>
      <c r="AW158" s="108"/>
      <c r="AX158" s="108"/>
      <c r="AY158" s="108"/>
      <c r="AZ158" s="108"/>
      <c r="BA158" s="108"/>
      <c r="BB158" s="108"/>
    </row>
    <row r="159" spans="3:54" ht="12.75" customHeight="1" x14ac:dyDescent="0.25">
      <c r="C159" s="108"/>
      <c r="D159" s="108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108"/>
      <c r="AV159" s="108"/>
      <c r="AW159" s="108"/>
      <c r="AX159" s="108"/>
      <c r="AY159" s="108"/>
      <c r="AZ159" s="108"/>
      <c r="BA159" s="108"/>
      <c r="BB159" s="108"/>
    </row>
    <row r="160" spans="3:54" ht="12.75" customHeight="1" x14ac:dyDescent="0.25">
      <c r="C160" s="108"/>
      <c r="D160" s="108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108"/>
      <c r="AV160" s="108"/>
      <c r="AW160" s="108"/>
      <c r="AX160" s="108"/>
      <c r="AY160" s="108"/>
      <c r="AZ160" s="108"/>
      <c r="BA160" s="108"/>
      <c r="BB160" s="108"/>
    </row>
    <row r="161" spans="3:54" ht="12.75" customHeight="1" x14ac:dyDescent="0.25">
      <c r="C161" s="108"/>
      <c r="D161" s="108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108"/>
      <c r="AV161" s="108"/>
      <c r="AW161" s="108"/>
      <c r="AX161" s="108"/>
      <c r="AY161" s="108"/>
      <c r="AZ161" s="108"/>
      <c r="BA161" s="108"/>
      <c r="BB161" s="108"/>
    </row>
    <row r="162" spans="3:54" ht="12.75" customHeight="1" x14ac:dyDescent="0.25">
      <c r="C162" s="108"/>
      <c r="D162" s="108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108"/>
      <c r="AV162" s="108"/>
      <c r="AW162" s="108"/>
      <c r="AX162" s="108"/>
      <c r="AY162" s="108"/>
      <c r="AZ162" s="108"/>
      <c r="BA162" s="108"/>
      <c r="BB162" s="108"/>
    </row>
    <row r="163" spans="3:54" ht="12.75" customHeight="1" x14ac:dyDescent="0.25"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108"/>
      <c r="AV163" s="108"/>
      <c r="AW163" s="108"/>
      <c r="AX163" s="108"/>
      <c r="AY163" s="108"/>
      <c r="AZ163" s="108"/>
      <c r="BA163" s="108"/>
      <c r="BB163" s="108"/>
    </row>
    <row r="164" spans="3:54" ht="12.75" customHeight="1" x14ac:dyDescent="0.25">
      <c r="C164" s="108"/>
      <c r="D164" s="108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108"/>
      <c r="AV164" s="108"/>
      <c r="AW164" s="108"/>
      <c r="AX164" s="108"/>
      <c r="AY164" s="108"/>
      <c r="AZ164" s="108"/>
      <c r="BA164" s="108"/>
      <c r="BB164" s="108"/>
    </row>
    <row r="165" spans="3:54" ht="12.75" customHeight="1" x14ac:dyDescent="0.25">
      <c r="C165" s="108"/>
      <c r="D165" s="108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108"/>
      <c r="AV165" s="108"/>
      <c r="AW165" s="108"/>
      <c r="AX165" s="108"/>
      <c r="AY165" s="108"/>
      <c r="AZ165" s="108"/>
      <c r="BA165" s="108"/>
      <c r="BB165" s="108"/>
    </row>
    <row r="166" spans="3:54" ht="12.75" customHeight="1" x14ac:dyDescent="0.25">
      <c r="C166" s="108"/>
      <c r="D166" s="108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108"/>
      <c r="AV166" s="108"/>
      <c r="AW166" s="108"/>
      <c r="AX166" s="108"/>
      <c r="AY166" s="108"/>
      <c r="AZ166" s="108"/>
      <c r="BA166" s="108"/>
      <c r="BB166" s="108"/>
    </row>
    <row r="167" spans="3:54" ht="12.75" customHeight="1" x14ac:dyDescent="0.25">
      <c r="C167" s="108"/>
      <c r="D167" s="108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108"/>
      <c r="AV167" s="108"/>
      <c r="AW167" s="108"/>
      <c r="AX167" s="108"/>
      <c r="AY167" s="108"/>
      <c r="AZ167" s="108"/>
      <c r="BA167" s="108"/>
      <c r="BB167" s="108"/>
    </row>
    <row r="168" spans="3:54" ht="12.75" customHeight="1" x14ac:dyDescent="0.25">
      <c r="C168" s="108"/>
      <c r="D168" s="108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108"/>
      <c r="AV168" s="108"/>
      <c r="AW168" s="108"/>
      <c r="AX168" s="108"/>
      <c r="AY168" s="108"/>
      <c r="AZ168" s="108"/>
      <c r="BA168" s="108"/>
      <c r="BB168" s="108"/>
    </row>
    <row r="169" spans="3:54" ht="12.75" customHeight="1" x14ac:dyDescent="0.25"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  <c r="AL169" s="108"/>
      <c r="AM169" s="108"/>
      <c r="AN169" s="108"/>
      <c r="AO169" s="108"/>
      <c r="AP169" s="108"/>
      <c r="AQ169" s="108"/>
      <c r="AR169" s="108"/>
      <c r="AS169" s="108"/>
      <c r="AT169" s="108"/>
      <c r="AU169" s="108"/>
      <c r="AV169" s="108"/>
      <c r="AW169" s="108"/>
      <c r="AX169" s="108"/>
      <c r="AY169" s="108"/>
      <c r="AZ169" s="108"/>
      <c r="BA169" s="108"/>
      <c r="BB169" s="108"/>
    </row>
    <row r="170" spans="3:54" ht="12.75" customHeight="1" x14ac:dyDescent="0.25"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  <c r="AR170" s="108"/>
      <c r="AS170" s="108"/>
      <c r="AT170" s="108"/>
      <c r="AU170" s="108"/>
      <c r="AV170" s="108"/>
      <c r="AW170" s="108"/>
      <c r="AX170" s="108"/>
      <c r="AY170" s="108"/>
      <c r="AZ170" s="108"/>
      <c r="BA170" s="108"/>
      <c r="BB170" s="108"/>
    </row>
    <row r="171" spans="3:54" ht="12.75" customHeight="1" x14ac:dyDescent="0.25">
      <c r="C171" s="108"/>
      <c r="D171" s="108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8"/>
      <c r="AN171" s="108"/>
      <c r="AO171" s="108"/>
      <c r="AP171" s="108"/>
      <c r="AQ171" s="108"/>
      <c r="AR171" s="108"/>
      <c r="AS171" s="108"/>
      <c r="AT171" s="108"/>
      <c r="AU171" s="108"/>
      <c r="AV171" s="108"/>
      <c r="AW171" s="108"/>
      <c r="AX171" s="108"/>
      <c r="AY171" s="108"/>
      <c r="AZ171" s="108"/>
      <c r="BA171" s="108"/>
      <c r="BB171" s="108"/>
    </row>
    <row r="172" spans="3:54" ht="12.75" customHeight="1" x14ac:dyDescent="0.25">
      <c r="C172" s="108"/>
      <c r="D172" s="108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8"/>
      <c r="AR172" s="108"/>
      <c r="AS172" s="108"/>
      <c r="AT172" s="108"/>
      <c r="AU172" s="108"/>
      <c r="AV172" s="108"/>
      <c r="AW172" s="108"/>
      <c r="AX172" s="108"/>
      <c r="AY172" s="108"/>
      <c r="AZ172" s="108"/>
      <c r="BA172" s="108"/>
      <c r="BB172" s="108"/>
    </row>
    <row r="173" spans="3:54" ht="12.75" customHeight="1" x14ac:dyDescent="0.25">
      <c r="C173" s="108"/>
      <c r="D173" s="108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8"/>
      <c r="AR173" s="108"/>
      <c r="AS173" s="108"/>
      <c r="AT173" s="108"/>
      <c r="AU173" s="108"/>
      <c r="AV173" s="108"/>
      <c r="AW173" s="108"/>
      <c r="AX173" s="108"/>
      <c r="AY173" s="108"/>
      <c r="AZ173" s="108"/>
      <c r="BA173" s="108"/>
      <c r="BB173" s="108"/>
    </row>
    <row r="174" spans="3:54" ht="12.75" customHeight="1" x14ac:dyDescent="0.25">
      <c r="C174" s="108"/>
      <c r="D174" s="108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8"/>
      <c r="AR174" s="108"/>
      <c r="AS174" s="108"/>
      <c r="AT174" s="108"/>
      <c r="AU174" s="108"/>
      <c r="AV174" s="108"/>
      <c r="AW174" s="108"/>
      <c r="AX174" s="108"/>
      <c r="AY174" s="108"/>
      <c r="AZ174" s="108"/>
      <c r="BA174" s="108"/>
      <c r="BB174" s="108"/>
    </row>
    <row r="175" spans="3:54" ht="12.75" customHeight="1" x14ac:dyDescent="0.25">
      <c r="C175" s="108"/>
      <c r="D175" s="108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8"/>
      <c r="AN175" s="108"/>
      <c r="AO175" s="108"/>
      <c r="AP175" s="108"/>
      <c r="AQ175" s="108"/>
      <c r="AR175" s="108"/>
      <c r="AS175" s="108"/>
      <c r="AT175" s="108"/>
      <c r="AU175" s="108"/>
      <c r="AV175" s="108"/>
      <c r="AW175" s="108"/>
      <c r="AX175" s="108"/>
      <c r="AY175" s="108"/>
      <c r="AZ175" s="108"/>
      <c r="BA175" s="108"/>
      <c r="BB175" s="108"/>
    </row>
    <row r="176" spans="3:54" ht="12.75" customHeight="1" x14ac:dyDescent="0.25">
      <c r="C176" s="108"/>
      <c r="D176" s="108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08"/>
      <c r="AO176" s="108"/>
      <c r="AP176" s="108"/>
      <c r="AQ176" s="108"/>
      <c r="AR176" s="108"/>
      <c r="AS176" s="108"/>
      <c r="AT176" s="108"/>
      <c r="AU176" s="108"/>
      <c r="AV176" s="108"/>
      <c r="AW176" s="108"/>
      <c r="AX176" s="108"/>
      <c r="AY176" s="108"/>
      <c r="AZ176" s="108"/>
      <c r="BA176" s="108"/>
      <c r="BB176" s="108"/>
    </row>
    <row r="177" spans="3:54" ht="12.75" customHeight="1" x14ac:dyDescent="0.25">
      <c r="C177" s="108"/>
      <c r="D177" s="108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8"/>
      <c r="AR177" s="108"/>
      <c r="AS177" s="108"/>
      <c r="AT177" s="108"/>
      <c r="AU177" s="108"/>
      <c r="AV177" s="108"/>
      <c r="AW177" s="108"/>
      <c r="AX177" s="108"/>
      <c r="AY177" s="108"/>
      <c r="AZ177" s="108"/>
      <c r="BA177" s="108"/>
      <c r="BB177" s="108"/>
    </row>
    <row r="178" spans="3:54" ht="12.75" customHeight="1" x14ac:dyDescent="0.25">
      <c r="C178" s="108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8"/>
      <c r="AR178" s="108"/>
      <c r="AS178" s="108"/>
      <c r="AT178" s="108"/>
      <c r="AU178" s="108"/>
      <c r="AV178" s="108"/>
      <c r="AW178" s="108"/>
      <c r="AX178" s="108"/>
      <c r="AY178" s="108"/>
      <c r="AZ178" s="108"/>
      <c r="BA178" s="108"/>
      <c r="BB178" s="108"/>
    </row>
    <row r="179" spans="3:54" ht="12.75" customHeight="1" x14ac:dyDescent="0.25">
      <c r="C179" s="108"/>
      <c r="D179" s="108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8"/>
      <c r="AR179" s="108"/>
      <c r="AS179" s="108"/>
      <c r="AT179" s="108"/>
      <c r="AU179" s="108"/>
      <c r="AV179" s="108"/>
      <c r="AW179" s="108"/>
      <c r="AX179" s="108"/>
      <c r="AY179" s="108"/>
      <c r="AZ179" s="108"/>
      <c r="BA179" s="108"/>
      <c r="BB179" s="108"/>
    </row>
    <row r="180" spans="3:54" ht="12.75" customHeight="1" x14ac:dyDescent="0.25">
      <c r="C180" s="108"/>
      <c r="D180" s="108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08"/>
      <c r="AO180" s="108"/>
      <c r="AP180" s="108"/>
      <c r="AQ180" s="108"/>
      <c r="AR180" s="108"/>
      <c r="AS180" s="108"/>
      <c r="AT180" s="108"/>
      <c r="AU180" s="108"/>
      <c r="AV180" s="108"/>
      <c r="AW180" s="108"/>
      <c r="AX180" s="108"/>
      <c r="AY180" s="108"/>
      <c r="AZ180" s="108"/>
      <c r="BA180" s="108"/>
      <c r="BB180" s="108"/>
    </row>
    <row r="181" spans="3:54" ht="12.75" customHeight="1" x14ac:dyDescent="0.25">
      <c r="C181" s="108"/>
      <c r="D181" s="108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  <c r="AQ181" s="108"/>
      <c r="AR181" s="108"/>
      <c r="AS181" s="108"/>
      <c r="AT181" s="108"/>
      <c r="AU181" s="108"/>
      <c r="AV181" s="108"/>
      <c r="AW181" s="108"/>
      <c r="AX181" s="108"/>
      <c r="AY181" s="108"/>
      <c r="AZ181" s="108"/>
      <c r="BA181" s="108"/>
      <c r="BB181" s="108"/>
    </row>
    <row r="182" spans="3:54" ht="12.75" customHeight="1" x14ac:dyDescent="0.25">
      <c r="C182" s="108"/>
      <c r="D182" s="108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  <c r="AR182" s="108"/>
      <c r="AS182" s="108"/>
      <c r="AT182" s="108"/>
      <c r="AU182" s="108"/>
      <c r="AV182" s="108"/>
      <c r="AW182" s="108"/>
      <c r="AX182" s="108"/>
      <c r="AY182" s="108"/>
      <c r="AZ182" s="108"/>
      <c r="BA182" s="108"/>
      <c r="BB182" s="108"/>
    </row>
    <row r="183" spans="3:54" ht="12.75" customHeight="1" x14ac:dyDescent="0.25"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8"/>
      <c r="AR183" s="108"/>
      <c r="AS183" s="108"/>
      <c r="AT183" s="108"/>
      <c r="AU183" s="108"/>
      <c r="AV183" s="108"/>
      <c r="AW183" s="108"/>
      <c r="AX183" s="108"/>
      <c r="AY183" s="108"/>
      <c r="AZ183" s="108"/>
      <c r="BA183" s="108"/>
      <c r="BB183" s="108"/>
    </row>
    <row r="184" spans="3:54" ht="12.75" customHeight="1" x14ac:dyDescent="0.25">
      <c r="C184" s="108"/>
      <c r="D184" s="108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8"/>
      <c r="AR184" s="108"/>
      <c r="AS184" s="108"/>
      <c r="AT184" s="108"/>
      <c r="AU184" s="108"/>
      <c r="AV184" s="108"/>
      <c r="AW184" s="108"/>
      <c r="AX184" s="108"/>
      <c r="AY184" s="108"/>
      <c r="AZ184" s="108"/>
      <c r="BA184" s="108"/>
      <c r="BB184" s="108"/>
    </row>
    <row r="185" spans="3:54" ht="12.75" customHeight="1" x14ac:dyDescent="0.25">
      <c r="C185" s="108"/>
      <c r="D185" s="108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8"/>
      <c r="AT185" s="108"/>
      <c r="AU185" s="108"/>
      <c r="AV185" s="108"/>
      <c r="AW185" s="108"/>
      <c r="AX185" s="108"/>
      <c r="AY185" s="108"/>
      <c r="AZ185" s="108"/>
      <c r="BA185" s="108"/>
      <c r="BB185" s="108"/>
    </row>
    <row r="186" spans="3:54" ht="12.75" customHeight="1" x14ac:dyDescent="0.25">
      <c r="C186" s="108"/>
      <c r="D186" s="108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  <c r="AR186" s="108"/>
      <c r="AS186" s="108"/>
      <c r="AT186" s="108"/>
      <c r="AU186" s="108"/>
      <c r="AV186" s="108"/>
      <c r="AW186" s="108"/>
      <c r="AX186" s="108"/>
      <c r="AY186" s="108"/>
      <c r="AZ186" s="108"/>
      <c r="BA186" s="108"/>
      <c r="BB186" s="108"/>
    </row>
    <row r="187" spans="3:54" ht="12.75" customHeight="1" x14ac:dyDescent="0.25"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  <c r="AR187" s="108"/>
      <c r="AS187" s="108"/>
      <c r="AT187" s="108"/>
      <c r="AU187" s="108"/>
      <c r="AV187" s="108"/>
      <c r="AW187" s="108"/>
      <c r="AX187" s="108"/>
      <c r="AY187" s="108"/>
      <c r="AZ187" s="108"/>
      <c r="BA187" s="108"/>
      <c r="BB187" s="108"/>
    </row>
    <row r="188" spans="3:54" ht="12.75" customHeight="1" x14ac:dyDescent="0.25"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  <c r="AR188" s="108"/>
      <c r="AS188" s="108"/>
      <c r="AT188" s="108"/>
      <c r="AU188" s="108"/>
      <c r="AV188" s="108"/>
      <c r="AW188" s="108"/>
      <c r="AX188" s="108"/>
      <c r="AY188" s="108"/>
      <c r="AZ188" s="108"/>
      <c r="BA188" s="108"/>
      <c r="BB188" s="108"/>
    </row>
    <row r="189" spans="3:54" ht="12.75" customHeight="1" x14ac:dyDescent="0.25">
      <c r="C189" s="108"/>
      <c r="D189" s="108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  <c r="AR189" s="108"/>
      <c r="AS189" s="108"/>
      <c r="AT189" s="108"/>
      <c r="AU189" s="108"/>
      <c r="AV189" s="108"/>
      <c r="AW189" s="108"/>
      <c r="AX189" s="108"/>
      <c r="AY189" s="108"/>
      <c r="AZ189" s="108"/>
      <c r="BA189" s="108"/>
      <c r="BB189" s="108"/>
    </row>
    <row r="190" spans="3:54" ht="12.75" customHeight="1" x14ac:dyDescent="0.25">
      <c r="C190" s="108"/>
      <c r="D190" s="108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  <c r="AR190" s="108"/>
      <c r="AS190" s="108"/>
      <c r="AT190" s="108"/>
      <c r="AU190" s="108"/>
      <c r="AV190" s="108"/>
      <c r="AW190" s="108"/>
      <c r="AX190" s="108"/>
      <c r="AY190" s="108"/>
      <c r="AZ190" s="108"/>
      <c r="BA190" s="108"/>
      <c r="BB190" s="108"/>
    </row>
    <row r="191" spans="3:54" ht="12.75" customHeight="1" x14ac:dyDescent="0.25">
      <c r="C191" s="108"/>
      <c r="D191" s="108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8"/>
      <c r="AN191" s="108"/>
      <c r="AO191" s="108"/>
      <c r="AP191" s="108"/>
      <c r="AQ191" s="108"/>
      <c r="AR191" s="108"/>
      <c r="AS191" s="108"/>
      <c r="AT191" s="108"/>
      <c r="AU191" s="108"/>
      <c r="AV191" s="108"/>
      <c r="AW191" s="108"/>
      <c r="AX191" s="108"/>
      <c r="AY191" s="108"/>
      <c r="AZ191" s="108"/>
      <c r="BA191" s="108"/>
      <c r="BB191" s="108"/>
    </row>
    <row r="192" spans="3:54" ht="12.75" customHeight="1" x14ac:dyDescent="0.25">
      <c r="C192" s="108"/>
      <c r="D192" s="108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  <c r="AR192" s="108"/>
      <c r="AS192" s="108"/>
      <c r="AT192" s="108"/>
      <c r="AU192" s="108"/>
      <c r="AV192" s="108"/>
      <c r="AW192" s="108"/>
      <c r="AX192" s="108"/>
      <c r="AY192" s="108"/>
      <c r="AZ192" s="108"/>
      <c r="BA192" s="108"/>
      <c r="BB192" s="108"/>
    </row>
    <row r="193" spans="3:54" ht="12.75" customHeight="1" x14ac:dyDescent="0.25">
      <c r="C193" s="108"/>
      <c r="D193" s="108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8"/>
      <c r="AR193" s="108"/>
      <c r="AS193" s="108"/>
      <c r="AT193" s="108"/>
      <c r="AU193" s="108"/>
      <c r="AV193" s="108"/>
      <c r="AW193" s="108"/>
      <c r="AX193" s="108"/>
      <c r="AY193" s="108"/>
      <c r="AZ193" s="108"/>
      <c r="BA193" s="108"/>
      <c r="BB193" s="108"/>
    </row>
    <row r="194" spans="3:54" ht="12.75" customHeight="1" x14ac:dyDescent="0.25">
      <c r="C194" s="108"/>
      <c r="D194" s="108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8"/>
      <c r="AR194" s="108"/>
      <c r="AS194" s="108"/>
      <c r="AT194" s="108"/>
      <c r="AU194" s="108"/>
      <c r="AV194" s="108"/>
      <c r="AW194" s="108"/>
      <c r="AX194" s="108"/>
      <c r="AY194" s="108"/>
      <c r="AZ194" s="108"/>
      <c r="BA194" s="108"/>
      <c r="BB194" s="108"/>
    </row>
    <row r="195" spans="3:54" ht="12.75" customHeight="1" x14ac:dyDescent="0.25"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8"/>
      <c r="AN195" s="108"/>
      <c r="AO195" s="108"/>
      <c r="AP195" s="108"/>
      <c r="AQ195" s="108"/>
      <c r="AR195" s="108"/>
      <c r="AS195" s="108"/>
      <c r="AT195" s="108"/>
      <c r="AU195" s="108"/>
      <c r="AV195" s="108"/>
      <c r="AW195" s="108"/>
      <c r="AX195" s="108"/>
      <c r="AY195" s="108"/>
      <c r="AZ195" s="108"/>
      <c r="BA195" s="108"/>
      <c r="BB195" s="108"/>
    </row>
    <row r="196" spans="3:54" ht="12.75" customHeight="1" x14ac:dyDescent="0.25">
      <c r="C196" s="108"/>
      <c r="D196" s="108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/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8"/>
      <c r="AR196" s="108"/>
      <c r="AS196" s="108"/>
      <c r="AT196" s="108"/>
      <c r="AU196" s="108"/>
      <c r="AV196" s="108"/>
      <c r="AW196" s="108"/>
      <c r="AX196" s="108"/>
      <c r="AY196" s="108"/>
      <c r="AZ196" s="108"/>
      <c r="BA196" s="108"/>
      <c r="BB196" s="108"/>
    </row>
    <row r="197" spans="3:54" ht="12.75" customHeight="1" x14ac:dyDescent="0.25">
      <c r="C197" s="108"/>
      <c r="D197" s="108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108"/>
      <c r="AH197" s="108"/>
      <c r="AI197" s="108"/>
      <c r="AJ197" s="108"/>
      <c r="AK197" s="108"/>
      <c r="AL197" s="108"/>
      <c r="AM197" s="108"/>
      <c r="AN197" s="108"/>
      <c r="AO197" s="108"/>
      <c r="AP197" s="108"/>
      <c r="AQ197" s="108"/>
      <c r="AR197" s="108"/>
      <c r="AS197" s="108"/>
      <c r="AT197" s="108"/>
      <c r="AU197" s="108"/>
      <c r="AV197" s="108"/>
      <c r="AW197" s="108"/>
      <c r="AX197" s="108"/>
      <c r="AY197" s="108"/>
      <c r="AZ197" s="108"/>
      <c r="BA197" s="108"/>
      <c r="BB197" s="108"/>
    </row>
    <row r="198" spans="3:54" ht="12.75" customHeight="1" x14ac:dyDescent="0.25">
      <c r="C198" s="108"/>
      <c r="D198" s="108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  <c r="AL198" s="108"/>
      <c r="AM198" s="108"/>
      <c r="AN198" s="108"/>
      <c r="AO198" s="108"/>
      <c r="AP198" s="108"/>
      <c r="AQ198" s="108"/>
      <c r="AR198" s="108"/>
      <c r="AS198" s="108"/>
      <c r="AT198" s="108"/>
      <c r="AU198" s="108"/>
      <c r="AV198" s="108"/>
      <c r="AW198" s="108"/>
      <c r="AX198" s="108"/>
      <c r="AY198" s="108"/>
      <c r="AZ198" s="108"/>
      <c r="BA198" s="108"/>
      <c r="BB198" s="108"/>
    </row>
    <row r="199" spans="3:54" ht="12.75" customHeight="1" x14ac:dyDescent="0.25">
      <c r="C199" s="108"/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8"/>
      <c r="AR199" s="108"/>
      <c r="AS199" s="108"/>
      <c r="AT199" s="108"/>
      <c r="AU199" s="108"/>
      <c r="AV199" s="108"/>
      <c r="AW199" s="108"/>
      <c r="AX199" s="108"/>
      <c r="AY199" s="108"/>
      <c r="AZ199" s="108"/>
      <c r="BA199" s="108"/>
      <c r="BB199" s="108"/>
    </row>
    <row r="200" spans="3:54" ht="12.75" customHeight="1" x14ac:dyDescent="0.25">
      <c r="C200" s="108"/>
      <c r="D200" s="108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AR200" s="108"/>
      <c r="AS200" s="108"/>
      <c r="AT200" s="108"/>
      <c r="AU200" s="108"/>
      <c r="AV200" s="108"/>
      <c r="AW200" s="108"/>
      <c r="AX200" s="108"/>
      <c r="AY200" s="108"/>
      <c r="AZ200" s="108"/>
      <c r="BA200" s="108"/>
      <c r="BB200" s="108"/>
    </row>
    <row r="201" spans="3:54" ht="12.75" customHeight="1" x14ac:dyDescent="0.25">
      <c r="C201" s="108"/>
      <c r="D201" s="108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108"/>
      <c r="AV201" s="108"/>
      <c r="AW201" s="108"/>
      <c r="AX201" s="108"/>
      <c r="AY201" s="108"/>
      <c r="AZ201" s="108"/>
      <c r="BA201" s="108"/>
      <c r="BB201" s="108"/>
    </row>
    <row r="202" spans="3:54" ht="12.75" customHeight="1" x14ac:dyDescent="0.25"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108"/>
      <c r="AS202" s="108"/>
      <c r="AT202" s="108"/>
      <c r="AU202" s="108"/>
      <c r="AV202" s="108"/>
      <c r="AW202" s="108"/>
      <c r="AX202" s="108"/>
      <c r="AY202" s="108"/>
      <c r="AZ202" s="108"/>
      <c r="BA202" s="108"/>
      <c r="BB202" s="108"/>
    </row>
    <row r="203" spans="3:54" ht="12.75" customHeight="1" x14ac:dyDescent="0.25">
      <c r="C203" s="108"/>
      <c r="D203" s="108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8"/>
      <c r="AN203" s="108"/>
      <c r="AO203" s="108"/>
      <c r="AP203" s="108"/>
      <c r="AQ203" s="108"/>
      <c r="AR203" s="108"/>
      <c r="AS203" s="108"/>
      <c r="AT203" s="108"/>
      <c r="AU203" s="108"/>
      <c r="AV203" s="108"/>
      <c r="AW203" s="108"/>
      <c r="AX203" s="108"/>
      <c r="AY203" s="108"/>
      <c r="AZ203" s="108"/>
      <c r="BA203" s="108"/>
      <c r="BB203" s="108"/>
    </row>
    <row r="204" spans="3:54" ht="12.75" customHeight="1" x14ac:dyDescent="0.25">
      <c r="C204" s="108"/>
      <c r="D204" s="108"/>
      <c r="E204" s="108"/>
      <c r="F204" s="108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/>
      <c r="Z204" s="108"/>
      <c r="AA204" s="108"/>
      <c r="AB204" s="108"/>
      <c r="AC204" s="108"/>
      <c r="AD204" s="108"/>
      <c r="AE204" s="108"/>
      <c r="AF204" s="108"/>
      <c r="AG204" s="108"/>
      <c r="AH204" s="108"/>
      <c r="AI204" s="108"/>
      <c r="AJ204" s="108"/>
      <c r="AK204" s="108"/>
      <c r="AL204" s="108"/>
      <c r="AM204" s="108"/>
      <c r="AN204" s="108"/>
      <c r="AO204" s="108"/>
      <c r="AP204" s="108"/>
      <c r="AQ204" s="108"/>
      <c r="AR204" s="108"/>
      <c r="AS204" s="108"/>
      <c r="AT204" s="108"/>
      <c r="AU204" s="108"/>
      <c r="AV204" s="108"/>
      <c r="AW204" s="108"/>
      <c r="AX204" s="108"/>
      <c r="AY204" s="108"/>
      <c r="AZ204" s="108"/>
      <c r="BA204" s="108"/>
      <c r="BB204" s="108"/>
    </row>
    <row r="205" spans="3:54" ht="12.75" customHeight="1" x14ac:dyDescent="0.25">
      <c r="C205" s="108"/>
      <c r="D205" s="108"/>
      <c r="E205" s="108"/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/>
      <c r="Z205" s="108"/>
      <c r="AA205" s="108"/>
      <c r="AB205" s="108"/>
      <c r="AC205" s="108"/>
      <c r="AD205" s="108"/>
      <c r="AE205" s="108"/>
      <c r="AF205" s="108"/>
      <c r="AG205" s="108"/>
      <c r="AH205" s="108"/>
      <c r="AI205" s="108"/>
      <c r="AJ205" s="108"/>
      <c r="AK205" s="108"/>
      <c r="AL205" s="108"/>
      <c r="AM205" s="108"/>
      <c r="AN205" s="108"/>
      <c r="AO205" s="108"/>
      <c r="AP205" s="108"/>
      <c r="AQ205" s="108"/>
      <c r="AR205" s="108"/>
      <c r="AS205" s="108"/>
      <c r="AT205" s="108"/>
      <c r="AU205" s="108"/>
      <c r="AV205" s="108"/>
      <c r="AW205" s="108"/>
      <c r="AX205" s="108"/>
      <c r="AY205" s="108"/>
      <c r="AZ205" s="108"/>
      <c r="BA205" s="108"/>
      <c r="BB205" s="108"/>
    </row>
    <row r="206" spans="3:54" ht="12.75" customHeight="1" x14ac:dyDescent="0.25">
      <c r="C206" s="108"/>
      <c r="D206" s="108"/>
      <c r="E206" s="108"/>
      <c r="F206" s="108"/>
      <c r="G206" s="108"/>
      <c r="H206" s="108"/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  <c r="Z206" s="108"/>
      <c r="AA206" s="108"/>
      <c r="AB206" s="108"/>
      <c r="AC206" s="108"/>
      <c r="AD206" s="108"/>
      <c r="AE206" s="108"/>
      <c r="AF206" s="108"/>
      <c r="AG206" s="108"/>
      <c r="AH206" s="108"/>
      <c r="AI206" s="108"/>
      <c r="AJ206" s="108"/>
      <c r="AK206" s="108"/>
      <c r="AL206" s="108"/>
      <c r="AM206" s="108"/>
      <c r="AN206" s="108"/>
      <c r="AO206" s="108"/>
      <c r="AP206" s="108"/>
      <c r="AQ206" s="108"/>
      <c r="AR206" s="108"/>
      <c r="AS206" s="108"/>
      <c r="AT206" s="108"/>
      <c r="AU206" s="108"/>
      <c r="AV206" s="108"/>
      <c r="AW206" s="108"/>
      <c r="AX206" s="108"/>
      <c r="AY206" s="108"/>
      <c r="AZ206" s="108"/>
      <c r="BA206" s="108"/>
      <c r="BB206" s="108"/>
    </row>
    <row r="207" spans="3:54" ht="12.75" customHeight="1" x14ac:dyDescent="0.25"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  <c r="Z207" s="108"/>
      <c r="AA207" s="108"/>
      <c r="AB207" s="108"/>
      <c r="AC207" s="108"/>
      <c r="AD207" s="108"/>
      <c r="AE207" s="108"/>
      <c r="AF207" s="108"/>
      <c r="AG207" s="108"/>
      <c r="AH207" s="108"/>
      <c r="AI207" s="108"/>
      <c r="AJ207" s="108"/>
      <c r="AK207" s="108"/>
      <c r="AL207" s="108"/>
      <c r="AM207" s="108"/>
      <c r="AN207" s="108"/>
      <c r="AO207" s="108"/>
      <c r="AP207" s="108"/>
      <c r="AQ207" s="108"/>
      <c r="AR207" s="108"/>
      <c r="AS207" s="108"/>
      <c r="AT207" s="108"/>
      <c r="AU207" s="108"/>
      <c r="AV207" s="108"/>
      <c r="AW207" s="108"/>
      <c r="AX207" s="108"/>
      <c r="AY207" s="108"/>
      <c r="AZ207" s="108"/>
      <c r="BA207" s="108"/>
      <c r="BB207" s="108"/>
    </row>
    <row r="208" spans="3:54" ht="12.75" customHeight="1" x14ac:dyDescent="0.25"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  <c r="Z208" s="108"/>
      <c r="AA208" s="108"/>
      <c r="AB208" s="108"/>
      <c r="AC208" s="108"/>
      <c r="AD208" s="108"/>
      <c r="AE208" s="108"/>
      <c r="AF208" s="108"/>
      <c r="AG208" s="108"/>
      <c r="AH208" s="108"/>
      <c r="AI208" s="108"/>
      <c r="AJ208" s="108"/>
      <c r="AK208" s="108"/>
      <c r="AL208" s="108"/>
      <c r="AM208" s="108"/>
      <c r="AN208" s="108"/>
      <c r="AO208" s="108"/>
      <c r="AP208" s="108"/>
      <c r="AQ208" s="108"/>
      <c r="AR208" s="108"/>
      <c r="AS208" s="108"/>
      <c r="AT208" s="108"/>
      <c r="AU208" s="108"/>
      <c r="AV208" s="108"/>
      <c r="AW208" s="108"/>
      <c r="AX208" s="108"/>
      <c r="AY208" s="108"/>
      <c r="AZ208" s="108"/>
      <c r="BA208" s="108"/>
      <c r="BB208" s="108"/>
    </row>
    <row r="209" spans="3:54" ht="12.75" customHeight="1" x14ac:dyDescent="0.25">
      <c r="C209" s="108"/>
      <c r="D209" s="108"/>
      <c r="E209" s="108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/>
      <c r="Z209" s="108"/>
      <c r="AA209" s="108"/>
      <c r="AB209" s="108"/>
      <c r="AC209" s="108"/>
      <c r="AD209" s="108"/>
      <c r="AE209" s="108"/>
      <c r="AF209" s="108"/>
      <c r="AG209" s="108"/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108"/>
      <c r="AR209" s="108"/>
      <c r="AS209" s="108"/>
      <c r="AT209" s="108"/>
      <c r="AU209" s="108"/>
      <c r="AV209" s="108"/>
      <c r="AW209" s="108"/>
      <c r="AX209" s="108"/>
      <c r="AY209" s="108"/>
      <c r="AZ209" s="108"/>
      <c r="BA209" s="108"/>
      <c r="BB209" s="108"/>
    </row>
    <row r="210" spans="3:54" ht="12.75" customHeight="1" x14ac:dyDescent="0.25">
      <c r="C210" s="108"/>
      <c r="D210" s="108"/>
      <c r="E210" s="108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/>
      <c r="Z210" s="108"/>
      <c r="AA210" s="108"/>
      <c r="AB210" s="108"/>
      <c r="AC210" s="108"/>
      <c r="AD210" s="108"/>
      <c r="AE210" s="108"/>
      <c r="AF210" s="108"/>
      <c r="AG210" s="108"/>
      <c r="AH210" s="108"/>
      <c r="AI210" s="108"/>
      <c r="AJ210" s="108"/>
      <c r="AK210" s="108"/>
      <c r="AL210" s="108"/>
      <c r="AM210" s="108"/>
      <c r="AN210" s="108"/>
      <c r="AO210" s="108"/>
      <c r="AP210" s="108"/>
      <c r="AQ210" s="108"/>
      <c r="AR210" s="108"/>
      <c r="AS210" s="108"/>
      <c r="AT210" s="108"/>
      <c r="AU210" s="108"/>
      <c r="AV210" s="108"/>
      <c r="AW210" s="108"/>
      <c r="AX210" s="108"/>
      <c r="AY210" s="108"/>
      <c r="AZ210" s="108"/>
      <c r="BA210" s="108"/>
      <c r="BB210" s="108"/>
    </row>
    <row r="211" spans="3:54" ht="12.75" customHeight="1" x14ac:dyDescent="0.25">
      <c r="C211" s="108"/>
      <c r="D211" s="108"/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/>
      <c r="Z211" s="108"/>
      <c r="AA211" s="108"/>
      <c r="AB211" s="108"/>
      <c r="AC211" s="108"/>
      <c r="AD211" s="108"/>
      <c r="AE211" s="108"/>
      <c r="AF211" s="108"/>
      <c r="AG211" s="108"/>
      <c r="AH211" s="108"/>
      <c r="AI211" s="108"/>
      <c r="AJ211" s="108"/>
      <c r="AK211" s="108"/>
      <c r="AL211" s="108"/>
      <c r="AM211" s="108"/>
      <c r="AN211" s="108"/>
      <c r="AO211" s="108"/>
      <c r="AP211" s="108"/>
      <c r="AQ211" s="108"/>
      <c r="AR211" s="108"/>
      <c r="AS211" s="108"/>
      <c r="AT211" s="108"/>
      <c r="AU211" s="108"/>
      <c r="AV211" s="108"/>
      <c r="AW211" s="108"/>
      <c r="AX211" s="108"/>
      <c r="AY211" s="108"/>
      <c r="AZ211" s="108"/>
      <c r="BA211" s="108"/>
      <c r="BB211" s="108"/>
    </row>
    <row r="212" spans="3:54" ht="12.75" customHeight="1" x14ac:dyDescent="0.25">
      <c r="C212" s="108"/>
      <c r="D212" s="108"/>
      <c r="E212" s="108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/>
      <c r="Z212" s="108"/>
      <c r="AA212" s="108"/>
      <c r="AB212" s="108"/>
      <c r="AC212" s="108"/>
      <c r="AD212" s="108"/>
      <c r="AE212" s="108"/>
      <c r="AF212" s="108"/>
      <c r="AG212" s="108"/>
      <c r="AH212" s="108"/>
      <c r="AI212" s="108"/>
      <c r="AJ212" s="108"/>
      <c r="AK212" s="108"/>
      <c r="AL212" s="108"/>
      <c r="AM212" s="108"/>
      <c r="AN212" s="108"/>
      <c r="AO212" s="108"/>
      <c r="AP212" s="108"/>
      <c r="AQ212" s="108"/>
      <c r="AR212" s="108"/>
      <c r="AS212" s="108"/>
      <c r="AT212" s="108"/>
      <c r="AU212" s="108"/>
      <c r="AV212" s="108"/>
      <c r="AW212" s="108"/>
      <c r="AX212" s="108"/>
      <c r="AY212" s="108"/>
      <c r="AZ212" s="108"/>
      <c r="BA212" s="108"/>
      <c r="BB212" s="108"/>
    </row>
    <row r="213" spans="3:54" ht="12.75" customHeight="1" x14ac:dyDescent="0.25">
      <c r="C213" s="108"/>
      <c r="D213" s="108"/>
      <c r="E213" s="108"/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/>
      <c r="Z213" s="108"/>
      <c r="AA213" s="108"/>
      <c r="AB213" s="108"/>
      <c r="AC213" s="108"/>
      <c r="AD213" s="108"/>
      <c r="AE213" s="108"/>
      <c r="AF213" s="108"/>
      <c r="AG213" s="108"/>
      <c r="AH213" s="108"/>
      <c r="AI213" s="108"/>
      <c r="AJ213" s="108"/>
      <c r="AK213" s="108"/>
      <c r="AL213" s="108"/>
      <c r="AM213" s="108"/>
      <c r="AN213" s="108"/>
      <c r="AO213" s="108"/>
      <c r="AP213" s="108"/>
      <c r="AQ213" s="108"/>
      <c r="AR213" s="108"/>
      <c r="AS213" s="108"/>
      <c r="AT213" s="108"/>
      <c r="AU213" s="108"/>
      <c r="AV213" s="108"/>
      <c r="AW213" s="108"/>
      <c r="AX213" s="108"/>
      <c r="AY213" s="108"/>
      <c r="AZ213" s="108"/>
      <c r="BA213" s="108"/>
      <c r="BB213" s="108"/>
    </row>
    <row r="214" spans="3:54" ht="12.75" customHeight="1" x14ac:dyDescent="0.25">
      <c r="C214" s="108"/>
      <c r="D214" s="108"/>
      <c r="E214" s="108"/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/>
      <c r="Z214" s="108"/>
      <c r="AA214" s="108"/>
      <c r="AB214" s="108"/>
      <c r="AC214" s="108"/>
      <c r="AD214" s="108"/>
      <c r="AE214" s="108"/>
      <c r="AF214" s="108"/>
      <c r="AG214" s="108"/>
      <c r="AH214" s="108"/>
      <c r="AI214" s="108"/>
      <c r="AJ214" s="108"/>
      <c r="AK214" s="108"/>
      <c r="AL214" s="108"/>
      <c r="AM214" s="108"/>
      <c r="AN214" s="108"/>
      <c r="AO214" s="108"/>
      <c r="AP214" s="108"/>
      <c r="AQ214" s="108"/>
      <c r="AR214" s="108"/>
      <c r="AS214" s="108"/>
      <c r="AT214" s="108"/>
      <c r="AU214" s="108"/>
      <c r="AV214" s="108"/>
      <c r="AW214" s="108"/>
      <c r="AX214" s="108"/>
      <c r="AY214" s="108"/>
      <c r="AZ214" s="108"/>
      <c r="BA214" s="108"/>
      <c r="BB214" s="108"/>
    </row>
    <row r="215" spans="3:54" ht="12.75" customHeight="1" x14ac:dyDescent="0.25">
      <c r="C215" s="108"/>
      <c r="D215" s="108"/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  <c r="Z215" s="108"/>
      <c r="AA215" s="108"/>
      <c r="AB215" s="108"/>
      <c r="AC215" s="108"/>
      <c r="AD215" s="108"/>
      <c r="AE215" s="108"/>
      <c r="AF215" s="108"/>
      <c r="AG215" s="108"/>
      <c r="AH215" s="108"/>
      <c r="AI215" s="108"/>
      <c r="AJ215" s="108"/>
      <c r="AK215" s="108"/>
      <c r="AL215" s="108"/>
      <c r="AM215" s="108"/>
      <c r="AN215" s="108"/>
      <c r="AO215" s="108"/>
      <c r="AP215" s="108"/>
      <c r="AQ215" s="108"/>
      <c r="AR215" s="108"/>
      <c r="AS215" s="108"/>
      <c r="AT215" s="108"/>
      <c r="AU215" s="108"/>
      <c r="AV215" s="108"/>
      <c r="AW215" s="108"/>
      <c r="AX215" s="108"/>
      <c r="AY215" s="108"/>
      <c r="AZ215" s="108"/>
      <c r="BA215" s="108"/>
      <c r="BB215" s="108"/>
    </row>
    <row r="216" spans="3:54" ht="12.75" customHeight="1" x14ac:dyDescent="0.25">
      <c r="C216" s="108"/>
      <c r="D216" s="108"/>
      <c r="E216" s="108"/>
      <c r="F216" s="108"/>
      <c r="G216" s="108"/>
      <c r="H216" s="108"/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  <c r="Z216" s="108"/>
      <c r="AA216" s="108"/>
      <c r="AB216" s="108"/>
      <c r="AC216" s="108"/>
      <c r="AD216" s="108"/>
      <c r="AE216" s="108"/>
      <c r="AF216" s="108"/>
      <c r="AG216" s="108"/>
      <c r="AH216" s="108"/>
      <c r="AI216" s="108"/>
      <c r="AJ216" s="108"/>
      <c r="AK216" s="108"/>
      <c r="AL216" s="108"/>
      <c r="AM216" s="108"/>
      <c r="AN216" s="108"/>
      <c r="AO216" s="108"/>
      <c r="AP216" s="108"/>
      <c r="AQ216" s="108"/>
      <c r="AR216" s="108"/>
      <c r="AS216" s="108"/>
      <c r="AT216" s="108"/>
      <c r="AU216" s="108"/>
      <c r="AV216" s="108"/>
      <c r="AW216" s="108"/>
      <c r="AX216" s="108"/>
      <c r="AY216" s="108"/>
      <c r="AZ216" s="108"/>
      <c r="BA216" s="108"/>
      <c r="BB216" s="108"/>
    </row>
    <row r="217" spans="3:54" ht="12.75" customHeight="1" x14ac:dyDescent="0.25">
      <c r="C217" s="108"/>
      <c r="D217" s="108"/>
      <c r="E217" s="108"/>
      <c r="F217" s="108"/>
      <c r="G217" s="108"/>
      <c r="H217" s="10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  <c r="Z217" s="108"/>
      <c r="AA217" s="108"/>
      <c r="AB217" s="108"/>
      <c r="AC217" s="108"/>
      <c r="AD217" s="108"/>
      <c r="AE217" s="108"/>
      <c r="AF217" s="108"/>
      <c r="AG217" s="108"/>
      <c r="AH217" s="108"/>
      <c r="AI217" s="108"/>
      <c r="AJ217" s="108"/>
      <c r="AK217" s="108"/>
      <c r="AL217" s="108"/>
      <c r="AM217" s="108"/>
      <c r="AN217" s="108"/>
      <c r="AO217" s="108"/>
      <c r="AP217" s="108"/>
      <c r="AQ217" s="108"/>
      <c r="AR217" s="108"/>
      <c r="AS217" s="108"/>
      <c r="AT217" s="108"/>
      <c r="AU217" s="108"/>
      <c r="AV217" s="108"/>
      <c r="AW217" s="108"/>
      <c r="AX217" s="108"/>
      <c r="AY217" s="108"/>
      <c r="AZ217" s="108"/>
      <c r="BA217" s="108"/>
      <c r="BB217" s="108"/>
    </row>
    <row r="218" spans="3:54" ht="12.75" customHeight="1" x14ac:dyDescent="0.25">
      <c r="C218" s="108"/>
      <c r="D218" s="108"/>
      <c r="E218" s="108"/>
      <c r="F218" s="108"/>
      <c r="G218" s="108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  <c r="Z218" s="108"/>
      <c r="AA218" s="108"/>
      <c r="AB218" s="108"/>
      <c r="AC218" s="108"/>
      <c r="AD218" s="108"/>
      <c r="AE218" s="108"/>
      <c r="AF218" s="108"/>
      <c r="AG218" s="108"/>
      <c r="AH218" s="108"/>
      <c r="AI218" s="108"/>
      <c r="AJ218" s="108"/>
      <c r="AK218" s="108"/>
      <c r="AL218" s="108"/>
      <c r="AM218" s="108"/>
      <c r="AN218" s="108"/>
      <c r="AO218" s="108"/>
      <c r="AP218" s="108"/>
      <c r="AQ218" s="108"/>
      <c r="AR218" s="108"/>
      <c r="AS218" s="108"/>
      <c r="AT218" s="108"/>
      <c r="AU218" s="108"/>
      <c r="AV218" s="108"/>
      <c r="AW218" s="108"/>
      <c r="AX218" s="108"/>
      <c r="AY218" s="108"/>
      <c r="AZ218" s="108"/>
      <c r="BA218" s="108"/>
      <c r="BB218" s="108"/>
    </row>
    <row r="219" spans="3:54" ht="12.75" customHeight="1" x14ac:dyDescent="0.25">
      <c r="C219" s="108"/>
      <c r="D219" s="108"/>
      <c r="E219" s="108"/>
      <c r="F219" s="108"/>
      <c r="G219" s="108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  <c r="Z219" s="108"/>
      <c r="AA219" s="108"/>
      <c r="AB219" s="108"/>
      <c r="AC219" s="108"/>
      <c r="AD219" s="108"/>
      <c r="AE219" s="108"/>
      <c r="AF219" s="108"/>
      <c r="AG219" s="108"/>
      <c r="AH219" s="108"/>
      <c r="AI219" s="108"/>
      <c r="AJ219" s="108"/>
      <c r="AK219" s="108"/>
      <c r="AL219" s="108"/>
      <c r="AM219" s="108"/>
      <c r="AN219" s="108"/>
      <c r="AO219" s="108"/>
      <c r="AP219" s="108"/>
      <c r="AQ219" s="108"/>
      <c r="AR219" s="108"/>
      <c r="AS219" s="108"/>
      <c r="AT219" s="108"/>
      <c r="AU219" s="108"/>
      <c r="AV219" s="108"/>
      <c r="AW219" s="108"/>
      <c r="AX219" s="108"/>
      <c r="AY219" s="108"/>
      <c r="AZ219" s="108"/>
      <c r="BA219" s="108"/>
      <c r="BB219" s="108"/>
    </row>
    <row r="220" spans="3:54" ht="12.75" customHeight="1" x14ac:dyDescent="0.25">
      <c r="C220" s="108"/>
      <c r="D220" s="108"/>
      <c r="E220" s="108"/>
      <c r="F220" s="108"/>
      <c r="G220" s="108"/>
      <c r="H220" s="108"/>
      <c r="I220" s="108"/>
      <c r="J220" s="108"/>
      <c r="K220" s="108"/>
      <c r="L220" s="108"/>
      <c r="M220" s="108"/>
      <c r="N220" s="108"/>
      <c r="O220" s="108"/>
      <c r="P220" s="108"/>
      <c r="Q220" s="108"/>
      <c r="R220" s="108"/>
      <c r="S220" s="108"/>
      <c r="T220" s="108"/>
      <c r="U220" s="108"/>
      <c r="V220" s="108"/>
      <c r="W220" s="108"/>
      <c r="X220" s="108"/>
      <c r="Y220" s="108"/>
      <c r="Z220" s="108"/>
      <c r="AA220" s="108"/>
      <c r="AB220" s="108"/>
      <c r="AC220" s="108"/>
      <c r="AD220" s="108"/>
      <c r="AE220" s="108"/>
      <c r="AF220" s="108"/>
      <c r="AG220" s="108"/>
      <c r="AH220" s="108"/>
      <c r="AI220" s="108"/>
      <c r="AJ220" s="108"/>
      <c r="AK220" s="108"/>
      <c r="AL220" s="108"/>
      <c r="AM220" s="108"/>
      <c r="AN220" s="108"/>
      <c r="AO220" s="108"/>
      <c r="AP220" s="108"/>
      <c r="AQ220" s="108"/>
      <c r="AR220" s="108"/>
      <c r="AS220" s="108"/>
      <c r="AT220" s="108"/>
      <c r="AU220" s="108"/>
      <c r="AV220" s="108"/>
      <c r="AW220" s="108"/>
      <c r="AX220" s="108"/>
      <c r="AY220" s="108"/>
      <c r="AZ220" s="108"/>
      <c r="BA220" s="108"/>
      <c r="BB220" s="108"/>
    </row>
    <row r="221" spans="3:54" ht="12.75" customHeight="1" x14ac:dyDescent="0.25"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  <c r="AA221" s="108"/>
      <c r="AB221" s="108"/>
      <c r="AC221" s="108"/>
      <c r="AD221" s="108"/>
      <c r="AE221" s="108"/>
      <c r="AF221" s="108"/>
      <c r="AG221" s="108"/>
      <c r="AH221" s="108"/>
      <c r="AI221" s="108"/>
      <c r="AJ221" s="108"/>
      <c r="AK221" s="108"/>
      <c r="AL221" s="108"/>
      <c r="AM221" s="108"/>
      <c r="AN221" s="108"/>
      <c r="AO221" s="108"/>
      <c r="AP221" s="108"/>
      <c r="AQ221" s="108"/>
      <c r="AR221" s="108"/>
      <c r="AS221" s="108"/>
      <c r="AT221" s="108"/>
      <c r="AU221" s="108"/>
      <c r="AV221" s="108"/>
      <c r="AW221" s="108"/>
      <c r="AX221" s="108"/>
      <c r="AY221" s="108"/>
      <c r="AZ221" s="108"/>
      <c r="BA221" s="108"/>
      <c r="BB221" s="108"/>
    </row>
    <row r="222" spans="3:54" ht="12.75" customHeight="1" x14ac:dyDescent="0.25">
      <c r="C222" s="108"/>
      <c r="D222" s="108"/>
      <c r="E222" s="108"/>
      <c r="F222" s="108"/>
      <c r="G222" s="108"/>
      <c r="H222" s="108"/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/>
      <c r="Z222" s="108"/>
      <c r="AA222" s="108"/>
      <c r="AB222" s="108"/>
      <c r="AC222" s="108"/>
      <c r="AD222" s="108"/>
      <c r="AE222" s="108"/>
      <c r="AF222" s="108"/>
      <c r="AG222" s="108"/>
      <c r="AH222" s="108"/>
      <c r="AI222" s="108"/>
      <c r="AJ222" s="108"/>
      <c r="AK222" s="108"/>
      <c r="AL222" s="108"/>
      <c r="AM222" s="108"/>
      <c r="AN222" s="108"/>
      <c r="AO222" s="108"/>
      <c r="AP222" s="108"/>
      <c r="AQ222" s="108"/>
      <c r="AR222" s="108"/>
      <c r="AS222" s="108"/>
      <c r="AT222" s="108"/>
      <c r="AU222" s="108"/>
      <c r="AV222" s="108"/>
      <c r="AW222" s="108"/>
      <c r="AX222" s="108"/>
      <c r="AY222" s="108"/>
      <c r="AZ222" s="108"/>
      <c r="BA222" s="108"/>
      <c r="BB222" s="108"/>
    </row>
    <row r="223" spans="3:54" ht="12.75" customHeight="1" x14ac:dyDescent="0.25">
      <c r="C223" s="108"/>
      <c r="D223" s="108"/>
      <c r="E223" s="108"/>
      <c r="F223" s="108"/>
      <c r="G223" s="108"/>
      <c r="H223" s="108"/>
      <c r="I223" s="108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/>
      <c r="Z223" s="108"/>
      <c r="AA223" s="108"/>
      <c r="AB223" s="108"/>
      <c r="AC223" s="108"/>
      <c r="AD223" s="108"/>
      <c r="AE223" s="108"/>
      <c r="AF223" s="108"/>
      <c r="AG223" s="108"/>
      <c r="AH223" s="108"/>
      <c r="AI223" s="108"/>
      <c r="AJ223" s="108"/>
      <c r="AK223" s="108"/>
      <c r="AL223" s="108"/>
      <c r="AM223" s="108"/>
      <c r="AN223" s="108"/>
      <c r="AO223" s="108"/>
      <c r="AP223" s="108"/>
      <c r="AQ223" s="108"/>
      <c r="AR223" s="108"/>
      <c r="AS223" s="108"/>
      <c r="AT223" s="108"/>
      <c r="AU223" s="108"/>
      <c r="AV223" s="108"/>
      <c r="AW223" s="108"/>
      <c r="AX223" s="108"/>
      <c r="AY223" s="108"/>
      <c r="AZ223" s="108"/>
      <c r="BA223" s="108"/>
      <c r="BB223" s="108"/>
    </row>
    <row r="224" spans="3:54" ht="12.75" customHeight="1" x14ac:dyDescent="0.25">
      <c r="C224" s="108"/>
      <c r="D224" s="108"/>
      <c r="E224" s="108"/>
      <c r="F224" s="108"/>
      <c r="G224" s="108"/>
      <c r="H224" s="108"/>
      <c r="I224" s="108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  <c r="Z224" s="108"/>
      <c r="AA224" s="108"/>
      <c r="AB224" s="108"/>
      <c r="AC224" s="108"/>
      <c r="AD224" s="108"/>
      <c r="AE224" s="108"/>
      <c r="AF224" s="108"/>
      <c r="AG224" s="108"/>
      <c r="AH224" s="108"/>
      <c r="AI224" s="108"/>
      <c r="AJ224" s="108"/>
      <c r="AK224" s="108"/>
      <c r="AL224" s="108"/>
      <c r="AM224" s="108"/>
      <c r="AN224" s="108"/>
      <c r="AO224" s="108"/>
      <c r="AP224" s="108"/>
      <c r="AQ224" s="108"/>
      <c r="AR224" s="108"/>
      <c r="AS224" s="108"/>
      <c r="AT224" s="108"/>
      <c r="AU224" s="108"/>
      <c r="AV224" s="108"/>
      <c r="AW224" s="108"/>
      <c r="AX224" s="108"/>
      <c r="AY224" s="108"/>
      <c r="AZ224" s="108"/>
      <c r="BA224" s="108"/>
      <c r="BB224" s="108"/>
    </row>
    <row r="225" spans="3:54" ht="12.75" customHeight="1" x14ac:dyDescent="0.25">
      <c r="C225" s="108"/>
      <c r="D225" s="108"/>
      <c r="E225" s="108"/>
      <c r="F225" s="108"/>
      <c r="G225" s="108"/>
      <c r="H225" s="10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/>
      <c r="Z225" s="108"/>
      <c r="AA225" s="108"/>
      <c r="AB225" s="108"/>
      <c r="AC225" s="108"/>
      <c r="AD225" s="108"/>
      <c r="AE225" s="108"/>
      <c r="AF225" s="108"/>
      <c r="AG225" s="108"/>
      <c r="AH225" s="108"/>
      <c r="AI225" s="108"/>
      <c r="AJ225" s="108"/>
      <c r="AK225" s="108"/>
      <c r="AL225" s="108"/>
      <c r="AM225" s="108"/>
      <c r="AN225" s="108"/>
      <c r="AO225" s="108"/>
      <c r="AP225" s="108"/>
      <c r="AQ225" s="108"/>
      <c r="AR225" s="108"/>
      <c r="AS225" s="108"/>
      <c r="AT225" s="108"/>
      <c r="AU225" s="108"/>
      <c r="AV225" s="108"/>
      <c r="AW225" s="108"/>
      <c r="AX225" s="108"/>
      <c r="AY225" s="108"/>
      <c r="AZ225" s="108"/>
      <c r="BA225" s="108"/>
      <c r="BB225" s="108"/>
    </row>
    <row r="226" spans="3:54" ht="12.75" customHeight="1" x14ac:dyDescent="0.25">
      <c r="C226" s="108"/>
      <c r="D226" s="108"/>
      <c r="E226" s="108"/>
      <c r="F226" s="108"/>
      <c r="G226" s="108"/>
      <c r="H226" s="108"/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/>
      <c r="Z226" s="108"/>
      <c r="AA226" s="108"/>
      <c r="AB226" s="108"/>
      <c r="AC226" s="108"/>
      <c r="AD226" s="108"/>
      <c r="AE226" s="108"/>
      <c r="AF226" s="108"/>
      <c r="AG226" s="108"/>
      <c r="AH226" s="108"/>
      <c r="AI226" s="108"/>
      <c r="AJ226" s="108"/>
      <c r="AK226" s="108"/>
      <c r="AL226" s="108"/>
      <c r="AM226" s="108"/>
      <c r="AN226" s="108"/>
      <c r="AO226" s="108"/>
      <c r="AP226" s="108"/>
      <c r="AQ226" s="108"/>
      <c r="AR226" s="108"/>
      <c r="AS226" s="108"/>
      <c r="AT226" s="108"/>
      <c r="AU226" s="108"/>
      <c r="AV226" s="108"/>
      <c r="AW226" s="108"/>
      <c r="AX226" s="108"/>
      <c r="AY226" s="108"/>
      <c r="AZ226" s="108"/>
      <c r="BA226" s="108"/>
      <c r="BB226" s="108"/>
    </row>
    <row r="227" spans="3:54" ht="12.75" customHeight="1" x14ac:dyDescent="0.25">
      <c r="C227" s="108"/>
      <c r="D227" s="108"/>
      <c r="E227" s="108"/>
      <c r="F227" s="108"/>
      <c r="G227" s="108"/>
      <c r="H227" s="108"/>
      <c r="I227" s="108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/>
      <c r="Z227" s="108"/>
      <c r="AA227" s="108"/>
      <c r="AB227" s="108"/>
      <c r="AC227" s="108"/>
      <c r="AD227" s="108"/>
      <c r="AE227" s="108"/>
      <c r="AF227" s="108"/>
      <c r="AG227" s="108"/>
      <c r="AH227" s="108"/>
      <c r="AI227" s="108"/>
      <c r="AJ227" s="108"/>
      <c r="AK227" s="108"/>
      <c r="AL227" s="108"/>
      <c r="AM227" s="108"/>
      <c r="AN227" s="108"/>
      <c r="AO227" s="108"/>
      <c r="AP227" s="108"/>
      <c r="AQ227" s="108"/>
      <c r="AR227" s="108"/>
      <c r="AS227" s="108"/>
      <c r="AT227" s="108"/>
      <c r="AU227" s="108"/>
      <c r="AV227" s="108"/>
      <c r="AW227" s="108"/>
      <c r="AX227" s="108"/>
      <c r="AY227" s="108"/>
      <c r="AZ227" s="108"/>
      <c r="BA227" s="108"/>
      <c r="BB227" s="108"/>
    </row>
    <row r="228" spans="3:54" ht="12.75" customHeight="1" x14ac:dyDescent="0.25">
      <c r="C228" s="108"/>
      <c r="D228" s="108"/>
      <c r="E228" s="108"/>
      <c r="F228" s="108"/>
      <c r="G228" s="108"/>
      <c r="H228" s="108"/>
      <c r="I228" s="108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  <c r="Z228" s="108"/>
      <c r="AA228" s="108"/>
      <c r="AB228" s="108"/>
      <c r="AC228" s="108"/>
      <c r="AD228" s="108"/>
      <c r="AE228" s="108"/>
      <c r="AF228" s="108"/>
      <c r="AG228" s="108"/>
      <c r="AH228" s="108"/>
      <c r="AI228" s="108"/>
      <c r="AJ228" s="108"/>
      <c r="AK228" s="108"/>
      <c r="AL228" s="108"/>
      <c r="AM228" s="108"/>
      <c r="AN228" s="108"/>
      <c r="AO228" s="108"/>
      <c r="AP228" s="108"/>
      <c r="AQ228" s="108"/>
      <c r="AR228" s="108"/>
      <c r="AS228" s="108"/>
      <c r="AT228" s="108"/>
      <c r="AU228" s="108"/>
      <c r="AV228" s="108"/>
      <c r="AW228" s="108"/>
      <c r="AX228" s="108"/>
      <c r="AY228" s="108"/>
      <c r="AZ228" s="108"/>
      <c r="BA228" s="108"/>
      <c r="BB228" s="108"/>
    </row>
    <row r="229" spans="3:54" ht="12.75" customHeight="1" x14ac:dyDescent="0.25">
      <c r="C229" s="108"/>
      <c r="D229" s="108"/>
      <c r="E229" s="108"/>
      <c r="F229" s="108"/>
      <c r="G229" s="108"/>
      <c r="H229" s="108"/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  <c r="Z229" s="108"/>
      <c r="AA229" s="108"/>
      <c r="AB229" s="108"/>
      <c r="AC229" s="108"/>
      <c r="AD229" s="108"/>
      <c r="AE229" s="108"/>
      <c r="AF229" s="108"/>
      <c r="AG229" s="108"/>
      <c r="AH229" s="108"/>
      <c r="AI229" s="108"/>
      <c r="AJ229" s="108"/>
      <c r="AK229" s="108"/>
      <c r="AL229" s="108"/>
      <c r="AM229" s="108"/>
      <c r="AN229" s="108"/>
      <c r="AO229" s="108"/>
      <c r="AP229" s="108"/>
      <c r="AQ229" s="108"/>
      <c r="AR229" s="108"/>
      <c r="AS229" s="108"/>
      <c r="AT229" s="108"/>
      <c r="AU229" s="108"/>
      <c r="AV229" s="108"/>
      <c r="AW229" s="108"/>
      <c r="AX229" s="108"/>
      <c r="AY229" s="108"/>
      <c r="AZ229" s="108"/>
      <c r="BA229" s="108"/>
      <c r="BB229" s="108"/>
    </row>
    <row r="230" spans="3:54" ht="12.75" customHeight="1" x14ac:dyDescent="0.25">
      <c r="C230" s="108"/>
      <c r="D230" s="108"/>
      <c r="E230" s="108"/>
      <c r="F230" s="108"/>
      <c r="G230" s="108"/>
      <c r="H230" s="108"/>
      <c r="I230" s="108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/>
      <c r="Z230" s="108"/>
      <c r="AA230" s="108"/>
      <c r="AB230" s="108"/>
      <c r="AC230" s="108"/>
      <c r="AD230" s="108"/>
      <c r="AE230" s="108"/>
      <c r="AF230" s="108"/>
      <c r="AG230" s="108"/>
      <c r="AH230" s="108"/>
      <c r="AI230" s="108"/>
      <c r="AJ230" s="108"/>
      <c r="AK230" s="108"/>
      <c r="AL230" s="108"/>
      <c r="AM230" s="108"/>
      <c r="AN230" s="108"/>
      <c r="AO230" s="108"/>
      <c r="AP230" s="108"/>
      <c r="AQ230" s="108"/>
      <c r="AR230" s="108"/>
      <c r="AS230" s="108"/>
      <c r="AT230" s="108"/>
      <c r="AU230" s="108"/>
      <c r="AV230" s="108"/>
      <c r="AW230" s="108"/>
      <c r="AX230" s="108"/>
      <c r="AY230" s="108"/>
      <c r="AZ230" s="108"/>
      <c r="BA230" s="108"/>
      <c r="BB230" s="108"/>
    </row>
    <row r="231" spans="3:54" ht="12.75" customHeight="1" x14ac:dyDescent="0.25">
      <c r="C231" s="108"/>
      <c r="D231" s="108"/>
      <c r="E231" s="108"/>
      <c r="F231" s="108"/>
      <c r="G231" s="108"/>
      <c r="H231" s="108"/>
      <c r="I231" s="108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/>
      <c r="Z231" s="108"/>
      <c r="AA231" s="108"/>
      <c r="AB231" s="108"/>
      <c r="AC231" s="108"/>
      <c r="AD231" s="108"/>
      <c r="AE231" s="108"/>
      <c r="AF231" s="108"/>
      <c r="AG231" s="108"/>
      <c r="AH231" s="108"/>
      <c r="AI231" s="108"/>
      <c r="AJ231" s="108"/>
      <c r="AK231" s="108"/>
      <c r="AL231" s="108"/>
      <c r="AM231" s="108"/>
      <c r="AN231" s="108"/>
      <c r="AO231" s="108"/>
      <c r="AP231" s="108"/>
      <c r="AQ231" s="108"/>
      <c r="AR231" s="108"/>
      <c r="AS231" s="108"/>
      <c r="AT231" s="108"/>
      <c r="AU231" s="108"/>
      <c r="AV231" s="108"/>
      <c r="AW231" s="108"/>
      <c r="AX231" s="108"/>
      <c r="AY231" s="108"/>
      <c r="AZ231" s="108"/>
      <c r="BA231" s="108"/>
      <c r="BB231" s="108"/>
    </row>
    <row r="232" spans="3:54" ht="12.75" customHeight="1" x14ac:dyDescent="0.25">
      <c r="C232" s="108"/>
      <c r="D232" s="108"/>
      <c r="E232" s="108"/>
      <c r="F232" s="108"/>
      <c r="G232" s="108"/>
      <c r="H232" s="108"/>
      <c r="I232" s="108"/>
      <c r="J232" s="108"/>
      <c r="K232" s="108"/>
      <c r="L232" s="108"/>
      <c r="M232" s="108"/>
      <c r="N232" s="108"/>
      <c r="O232" s="108"/>
      <c r="P232" s="108"/>
      <c r="Q232" s="108"/>
      <c r="R232" s="108"/>
      <c r="S232" s="108"/>
      <c r="T232" s="108"/>
      <c r="U232" s="108"/>
      <c r="V232" s="108"/>
      <c r="W232" s="108"/>
      <c r="X232" s="108"/>
      <c r="Y232" s="108"/>
      <c r="Z232" s="108"/>
      <c r="AA232" s="108"/>
      <c r="AB232" s="108"/>
      <c r="AC232" s="108"/>
      <c r="AD232" s="108"/>
      <c r="AE232" s="108"/>
      <c r="AF232" s="108"/>
      <c r="AG232" s="108"/>
      <c r="AH232" s="108"/>
      <c r="AI232" s="108"/>
      <c r="AJ232" s="108"/>
      <c r="AK232" s="108"/>
      <c r="AL232" s="108"/>
      <c r="AM232" s="108"/>
      <c r="AN232" s="108"/>
      <c r="AO232" s="108"/>
      <c r="AP232" s="108"/>
      <c r="AQ232" s="108"/>
      <c r="AR232" s="108"/>
      <c r="AS232" s="108"/>
      <c r="AT232" s="108"/>
      <c r="AU232" s="108"/>
      <c r="AV232" s="108"/>
      <c r="AW232" s="108"/>
      <c r="AX232" s="108"/>
      <c r="AY232" s="108"/>
      <c r="AZ232" s="108"/>
      <c r="BA232" s="108"/>
      <c r="BB232" s="108"/>
    </row>
    <row r="233" spans="3:54" ht="12.75" customHeight="1" x14ac:dyDescent="0.25">
      <c r="C233" s="108"/>
      <c r="D233" s="108"/>
      <c r="E233" s="108"/>
      <c r="F233" s="108"/>
      <c r="G233" s="108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/>
      <c r="Z233" s="108"/>
      <c r="AA233" s="108"/>
      <c r="AB233" s="108"/>
      <c r="AC233" s="108"/>
      <c r="AD233" s="108"/>
      <c r="AE233" s="108"/>
      <c r="AF233" s="108"/>
      <c r="AG233" s="108"/>
      <c r="AH233" s="108"/>
      <c r="AI233" s="108"/>
      <c r="AJ233" s="108"/>
      <c r="AK233" s="108"/>
      <c r="AL233" s="108"/>
      <c r="AM233" s="108"/>
      <c r="AN233" s="108"/>
      <c r="AO233" s="108"/>
      <c r="AP233" s="108"/>
      <c r="AQ233" s="108"/>
      <c r="AR233" s="108"/>
      <c r="AS233" s="108"/>
      <c r="AT233" s="108"/>
      <c r="AU233" s="108"/>
      <c r="AV233" s="108"/>
      <c r="AW233" s="108"/>
      <c r="AX233" s="108"/>
      <c r="AY233" s="108"/>
      <c r="AZ233" s="108"/>
      <c r="BA233" s="108"/>
      <c r="BB233" s="108"/>
    </row>
    <row r="234" spans="3:54" ht="12.75" customHeight="1" x14ac:dyDescent="0.25">
      <c r="C234" s="108"/>
      <c r="D234" s="108"/>
      <c r="E234" s="108"/>
      <c r="F234" s="108"/>
      <c r="G234" s="108"/>
      <c r="H234" s="108"/>
      <c r="I234" s="108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  <c r="T234" s="108"/>
      <c r="U234" s="108"/>
      <c r="V234" s="108"/>
      <c r="W234" s="108"/>
      <c r="X234" s="108"/>
      <c r="Y234" s="108"/>
      <c r="Z234" s="108"/>
      <c r="AA234" s="108"/>
      <c r="AB234" s="108"/>
      <c r="AC234" s="108"/>
      <c r="AD234" s="108"/>
      <c r="AE234" s="108"/>
      <c r="AF234" s="108"/>
      <c r="AG234" s="108"/>
      <c r="AH234" s="108"/>
      <c r="AI234" s="108"/>
      <c r="AJ234" s="108"/>
      <c r="AK234" s="108"/>
      <c r="AL234" s="108"/>
      <c r="AM234" s="108"/>
      <c r="AN234" s="108"/>
      <c r="AO234" s="108"/>
      <c r="AP234" s="108"/>
      <c r="AQ234" s="108"/>
      <c r="AR234" s="108"/>
      <c r="AS234" s="108"/>
      <c r="AT234" s="108"/>
      <c r="AU234" s="108"/>
      <c r="AV234" s="108"/>
      <c r="AW234" s="108"/>
      <c r="AX234" s="108"/>
      <c r="AY234" s="108"/>
      <c r="AZ234" s="108"/>
      <c r="BA234" s="108"/>
      <c r="BB234" s="108"/>
    </row>
    <row r="235" spans="3:54" ht="12.75" customHeight="1" x14ac:dyDescent="0.25">
      <c r="C235" s="108"/>
      <c r="D235" s="108"/>
      <c r="E235" s="108"/>
      <c r="F235" s="108"/>
      <c r="G235" s="108"/>
      <c r="H235" s="108"/>
      <c r="I235" s="108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  <c r="T235" s="108"/>
      <c r="U235" s="108"/>
      <c r="V235" s="108"/>
      <c r="W235" s="108"/>
      <c r="X235" s="108"/>
      <c r="Y235" s="108"/>
      <c r="Z235" s="108"/>
      <c r="AA235" s="108"/>
      <c r="AB235" s="108"/>
      <c r="AC235" s="108"/>
      <c r="AD235" s="108"/>
      <c r="AE235" s="108"/>
      <c r="AF235" s="108"/>
      <c r="AG235" s="108"/>
      <c r="AH235" s="108"/>
      <c r="AI235" s="108"/>
      <c r="AJ235" s="108"/>
      <c r="AK235" s="108"/>
      <c r="AL235" s="108"/>
      <c r="AM235" s="108"/>
      <c r="AN235" s="108"/>
      <c r="AO235" s="108"/>
      <c r="AP235" s="108"/>
      <c r="AQ235" s="108"/>
      <c r="AR235" s="108"/>
      <c r="AS235" s="108"/>
      <c r="AT235" s="108"/>
      <c r="AU235" s="108"/>
      <c r="AV235" s="108"/>
      <c r="AW235" s="108"/>
      <c r="AX235" s="108"/>
      <c r="AY235" s="108"/>
      <c r="AZ235" s="108"/>
      <c r="BA235" s="108"/>
      <c r="BB235" s="108"/>
    </row>
    <row r="236" spans="3:54" ht="12.75" customHeight="1" x14ac:dyDescent="0.25">
      <c r="C236" s="108"/>
      <c r="D236" s="108"/>
      <c r="E236" s="108"/>
      <c r="F236" s="108"/>
      <c r="G236" s="108"/>
      <c r="H236" s="108"/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/>
      <c r="Z236" s="108"/>
      <c r="AA236" s="108"/>
      <c r="AB236" s="108"/>
      <c r="AC236" s="108"/>
      <c r="AD236" s="108"/>
      <c r="AE236" s="108"/>
      <c r="AF236" s="108"/>
      <c r="AG236" s="108"/>
      <c r="AH236" s="108"/>
      <c r="AI236" s="108"/>
      <c r="AJ236" s="108"/>
      <c r="AK236" s="108"/>
      <c r="AL236" s="108"/>
      <c r="AM236" s="108"/>
      <c r="AN236" s="108"/>
      <c r="AO236" s="108"/>
      <c r="AP236" s="108"/>
      <c r="AQ236" s="108"/>
      <c r="AR236" s="108"/>
      <c r="AS236" s="108"/>
      <c r="AT236" s="108"/>
      <c r="AU236" s="108"/>
      <c r="AV236" s="108"/>
      <c r="AW236" s="108"/>
      <c r="AX236" s="108"/>
      <c r="AY236" s="108"/>
      <c r="AZ236" s="108"/>
      <c r="BA236" s="108"/>
      <c r="BB236" s="108"/>
    </row>
    <row r="237" spans="3:54" ht="12.75" customHeight="1" x14ac:dyDescent="0.25">
      <c r="C237" s="108"/>
      <c r="D237" s="108"/>
      <c r="E237" s="108"/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E237" s="108"/>
      <c r="AF237" s="108"/>
      <c r="AG237" s="108"/>
      <c r="AH237" s="108"/>
      <c r="AI237" s="108"/>
      <c r="AJ237" s="108"/>
      <c r="AK237" s="108"/>
      <c r="AL237" s="108"/>
      <c r="AM237" s="108"/>
      <c r="AN237" s="108"/>
      <c r="AO237" s="108"/>
      <c r="AP237" s="108"/>
      <c r="AQ237" s="108"/>
      <c r="AR237" s="108"/>
      <c r="AS237" s="108"/>
      <c r="AT237" s="108"/>
      <c r="AU237" s="108"/>
      <c r="AV237" s="108"/>
      <c r="AW237" s="108"/>
      <c r="AX237" s="108"/>
      <c r="AY237" s="108"/>
      <c r="AZ237" s="108"/>
      <c r="BA237" s="108"/>
      <c r="BB237" s="108"/>
    </row>
    <row r="238" spans="3:54" ht="12.75" customHeight="1" x14ac:dyDescent="0.25">
      <c r="C238" s="108"/>
      <c r="D238" s="108"/>
      <c r="E238" s="108"/>
      <c r="F238" s="108"/>
      <c r="G238" s="108"/>
      <c r="H238" s="108"/>
      <c r="I238" s="108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  <c r="T238" s="108"/>
      <c r="U238" s="108"/>
      <c r="V238" s="108"/>
      <c r="W238" s="108"/>
      <c r="X238" s="108"/>
      <c r="Y238" s="108"/>
      <c r="Z238" s="108"/>
      <c r="AA238" s="108"/>
      <c r="AB238" s="108"/>
      <c r="AC238" s="108"/>
      <c r="AD238" s="108"/>
      <c r="AE238" s="108"/>
      <c r="AF238" s="108"/>
      <c r="AG238" s="108"/>
      <c r="AH238" s="108"/>
      <c r="AI238" s="108"/>
      <c r="AJ238" s="108"/>
      <c r="AK238" s="108"/>
      <c r="AL238" s="108"/>
      <c r="AM238" s="108"/>
      <c r="AN238" s="108"/>
      <c r="AO238" s="108"/>
      <c r="AP238" s="108"/>
      <c r="AQ238" s="108"/>
      <c r="AR238" s="108"/>
      <c r="AS238" s="108"/>
      <c r="AT238" s="108"/>
      <c r="AU238" s="108"/>
      <c r="AV238" s="108"/>
      <c r="AW238" s="108"/>
      <c r="AX238" s="108"/>
      <c r="AY238" s="108"/>
      <c r="AZ238" s="108"/>
      <c r="BA238" s="108"/>
      <c r="BB238" s="108"/>
    </row>
    <row r="239" spans="3:54" ht="12.75" customHeight="1" x14ac:dyDescent="0.25">
      <c r="C239" s="108"/>
      <c r="D239" s="108"/>
      <c r="E239" s="108"/>
      <c r="F239" s="108"/>
      <c r="G239" s="108"/>
      <c r="H239" s="108"/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/>
      <c r="Z239" s="108"/>
      <c r="AA239" s="108"/>
      <c r="AB239" s="108"/>
      <c r="AC239" s="108"/>
      <c r="AD239" s="108"/>
      <c r="AE239" s="108"/>
      <c r="AF239" s="108"/>
      <c r="AG239" s="108"/>
      <c r="AH239" s="108"/>
      <c r="AI239" s="108"/>
      <c r="AJ239" s="108"/>
      <c r="AK239" s="108"/>
      <c r="AL239" s="108"/>
      <c r="AM239" s="108"/>
      <c r="AN239" s="108"/>
      <c r="AO239" s="108"/>
      <c r="AP239" s="108"/>
      <c r="AQ239" s="108"/>
      <c r="AR239" s="108"/>
      <c r="AS239" s="108"/>
      <c r="AT239" s="108"/>
      <c r="AU239" s="108"/>
      <c r="AV239" s="108"/>
      <c r="AW239" s="108"/>
      <c r="AX239" s="108"/>
      <c r="AY239" s="108"/>
      <c r="AZ239" s="108"/>
      <c r="BA239" s="108"/>
      <c r="BB239" s="108"/>
    </row>
    <row r="240" spans="3:54" ht="12.75" customHeight="1" x14ac:dyDescent="0.25">
      <c r="C240" s="108"/>
      <c r="D240" s="108"/>
      <c r="E240" s="108"/>
      <c r="F240" s="108"/>
      <c r="G240" s="108"/>
      <c r="H240" s="108"/>
      <c r="I240" s="108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/>
      <c r="Z240" s="108"/>
      <c r="AA240" s="108"/>
      <c r="AB240" s="108"/>
      <c r="AC240" s="108"/>
      <c r="AD240" s="108"/>
      <c r="AE240" s="108"/>
      <c r="AF240" s="108"/>
      <c r="AG240" s="108"/>
      <c r="AH240" s="108"/>
      <c r="AI240" s="108"/>
      <c r="AJ240" s="108"/>
      <c r="AK240" s="108"/>
      <c r="AL240" s="108"/>
      <c r="AM240" s="108"/>
      <c r="AN240" s="108"/>
      <c r="AO240" s="108"/>
      <c r="AP240" s="108"/>
      <c r="AQ240" s="108"/>
      <c r="AR240" s="108"/>
      <c r="AS240" s="108"/>
      <c r="AT240" s="108"/>
      <c r="AU240" s="108"/>
      <c r="AV240" s="108"/>
      <c r="AW240" s="108"/>
      <c r="AX240" s="108"/>
      <c r="AY240" s="108"/>
      <c r="AZ240" s="108"/>
      <c r="BA240" s="108"/>
      <c r="BB240" s="108"/>
    </row>
    <row r="241" spans="3:54" ht="12.75" customHeight="1" x14ac:dyDescent="0.25">
      <c r="C241" s="108"/>
      <c r="D241" s="108"/>
      <c r="E241" s="108"/>
      <c r="F241" s="108"/>
      <c r="G241" s="108"/>
      <c r="H241" s="108"/>
      <c r="I241" s="108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  <c r="T241" s="108"/>
      <c r="U241" s="108"/>
      <c r="V241" s="108"/>
      <c r="W241" s="108"/>
      <c r="X241" s="108"/>
      <c r="Y241" s="108"/>
      <c r="Z241" s="108"/>
      <c r="AA241" s="108"/>
      <c r="AB241" s="108"/>
      <c r="AC241" s="108"/>
      <c r="AD241" s="108"/>
      <c r="AE241" s="108"/>
      <c r="AF241" s="108"/>
      <c r="AG241" s="108"/>
      <c r="AH241" s="108"/>
      <c r="AI241" s="108"/>
      <c r="AJ241" s="108"/>
      <c r="AK241" s="108"/>
      <c r="AL241" s="108"/>
      <c r="AM241" s="108"/>
      <c r="AN241" s="108"/>
      <c r="AO241" s="108"/>
      <c r="AP241" s="108"/>
      <c r="AQ241" s="108"/>
      <c r="AR241" s="108"/>
      <c r="AS241" s="108"/>
      <c r="AT241" s="108"/>
      <c r="AU241" s="108"/>
      <c r="AV241" s="108"/>
      <c r="AW241" s="108"/>
      <c r="AX241" s="108"/>
      <c r="AY241" s="108"/>
      <c r="AZ241" s="108"/>
      <c r="BA241" s="108"/>
      <c r="BB241" s="108"/>
    </row>
    <row r="242" spans="3:54" ht="12.75" customHeight="1" x14ac:dyDescent="0.25">
      <c r="C242" s="108"/>
      <c r="D242" s="108"/>
      <c r="E242" s="108"/>
      <c r="F242" s="108"/>
      <c r="G242" s="108"/>
      <c r="H242" s="108"/>
      <c r="I242" s="108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  <c r="T242" s="108"/>
      <c r="U242" s="108"/>
      <c r="V242" s="108"/>
      <c r="W242" s="108"/>
      <c r="X242" s="108"/>
      <c r="Y242" s="108"/>
      <c r="Z242" s="108"/>
      <c r="AA242" s="108"/>
      <c r="AB242" s="108"/>
      <c r="AC242" s="108"/>
      <c r="AD242" s="108"/>
      <c r="AE242" s="108"/>
      <c r="AF242" s="108"/>
      <c r="AG242" s="108"/>
      <c r="AH242" s="108"/>
      <c r="AI242" s="108"/>
      <c r="AJ242" s="108"/>
      <c r="AK242" s="108"/>
      <c r="AL242" s="108"/>
      <c r="AM242" s="108"/>
      <c r="AN242" s="108"/>
      <c r="AO242" s="108"/>
      <c r="AP242" s="108"/>
      <c r="AQ242" s="108"/>
      <c r="AR242" s="108"/>
      <c r="AS242" s="108"/>
      <c r="AT242" s="108"/>
      <c r="AU242" s="108"/>
      <c r="AV242" s="108"/>
      <c r="AW242" s="108"/>
      <c r="AX242" s="108"/>
      <c r="AY242" s="108"/>
      <c r="AZ242" s="108"/>
      <c r="BA242" s="108"/>
      <c r="BB242" s="108"/>
    </row>
    <row r="243" spans="3:54" ht="12.75" customHeight="1" x14ac:dyDescent="0.25">
      <c r="C243" s="108"/>
      <c r="D243" s="108"/>
      <c r="E243" s="108"/>
      <c r="F243" s="108"/>
      <c r="G243" s="108"/>
      <c r="H243" s="108"/>
      <c r="I243" s="108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  <c r="T243" s="108"/>
      <c r="U243" s="108"/>
      <c r="V243" s="108"/>
      <c r="W243" s="108"/>
      <c r="X243" s="108"/>
      <c r="Y243" s="108"/>
      <c r="Z243" s="108"/>
      <c r="AA243" s="108"/>
      <c r="AB243" s="108"/>
      <c r="AC243" s="108"/>
      <c r="AD243" s="108"/>
      <c r="AE243" s="108"/>
      <c r="AF243" s="108"/>
      <c r="AG243" s="108"/>
      <c r="AH243" s="108"/>
      <c r="AI243" s="108"/>
      <c r="AJ243" s="108"/>
      <c r="AK243" s="108"/>
      <c r="AL243" s="108"/>
      <c r="AM243" s="108"/>
      <c r="AN243" s="108"/>
      <c r="AO243" s="108"/>
      <c r="AP243" s="108"/>
      <c r="AQ243" s="108"/>
      <c r="AR243" s="108"/>
      <c r="AS243" s="108"/>
      <c r="AT243" s="108"/>
      <c r="AU243" s="108"/>
      <c r="AV243" s="108"/>
      <c r="AW243" s="108"/>
      <c r="AX243" s="108"/>
      <c r="AY243" s="108"/>
      <c r="AZ243" s="108"/>
      <c r="BA243" s="108"/>
      <c r="BB243" s="108"/>
    </row>
    <row r="244" spans="3:54" ht="12.75" customHeight="1" x14ac:dyDescent="0.25">
      <c r="C244" s="108"/>
      <c r="D244" s="108"/>
      <c r="E244" s="108"/>
      <c r="F244" s="108"/>
      <c r="G244" s="108"/>
      <c r="H244" s="108"/>
      <c r="I244" s="108"/>
      <c r="J244" s="108"/>
      <c r="K244" s="108"/>
      <c r="L244" s="108"/>
      <c r="M244" s="108"/>
      <c r="N244" s="108"/>
      <c r="O244" s="108"/>
      <c r="P244" s="108"/>
      <c r="Q244" s="108"/>
      <c r="R244" s="108"/>
      <c r="S244" s="108"/>
      <c r="T244" s="108"/>
      <c r="U244" s="108"/>
      <c r="V244" s="108"/>
      <c r="W244" s="108"/>
      <c r="X244" s="108"/>
      <c r="Y244" s="108"/>
      <c r="Z244" s="108"/>
      <c r="AA244" s="108"/>
      <c r="AB244" s="108"/>
      <c r="AC244" s="108"/>
      <c r="AD244" s="108"/>
      <c r="AE244" s="108"/>
      <c r="AF244" s="108"/>
      <c r="AG244" s="108"/>
      <c r="AH244" s="108"/>
      <c r="AI244" s="108"/>
      <c r="AJ244" s="108"/>
      <c r="AK244" s="108"/>
      <c r="AL244" s="108"/>
      <c r="AM244" s="108"/>
      <c r="AN244" s="108"/>
      <c r="AO244" s="108"/>
      <c r="AP244" s="108"/>
      <c r="AQ244" s="108"/>
      <c r="AR244" s="108"/>
      <c r="AS244" s="108"/>
      <c r="AT244" s="108"/>
      <c r="AU244" s="108"/>
      <c r="AV244" s="108"/>
      <c r="AW244" s="108"/>
      <c r="AX244" s="108"/>
      <c r="AY244" s="108"/>
      <c r="AZ244" s="108"/>
      <c r="BA244" s="108"/>
      <c r="BB244" s="108"/>
    </row>
    <row r="245" spans="3:54" ht="12.75" customHeight="1" x14ac:dyDescent="0.25">
      <c r="C245" s="108"/>
      <c r="D245" s="108"/>
      <c r="E245" s="108"/>
      <c r="F245" s="108"/>
      <c r="G245" s="108"/>
      <c r="H245" s="108"/>
      <c r="I245" s="108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  <c r="T245" s="108"/>
      <c r="U245" s="108"/>
      <c r="V245" s="108"/>
      <c r="W245" s="108"/>
      <c r="X245" s="108"/>
      <c r="Y245" s="108"/>
      <c r="Z245" s="108"/>
      <c r="AA245" s="108"/>
      <c r="AB245" s="108"/>
      <c r="AC245" s="108"/>
      <c r="AD245" s="108"/>
      <c r="AE245" s="108"/>
      <c r="AF245" s="108"/>
      <c r="AG245" s="108"/>
      <c r="AH245" s="108"/>
      <c r="AI245" s="108"/>
      <c r="AJ245" s="108"/>
      <c r="AK245" s="108"/>
      <c r="AL245" s="108"/>
      <c r="AM245" s="108"/>
      <c r="AN245" s="108"/>
      <c r="AO245" s="108"/>
      <c r="AP245" s="108"/>
      <c r="AQ245" s="108"/>
      <c r="AR245" s="108"/>
      <c r="AS245" s="108"/>
      <c r="AT245" s="108"/>
      <c r="AU245" s="108"/>
      <c r="AV245" s="108"/>
      <c r="AW245" s="108"/>
      <c r="AX245" s="108"/>
      <c r="AY245" s="108"/>
      <c r="AZ245" s="108"/>
      <c r="BA245" s="108"/>
      <c r="BB245" s="108"/>
    </row>
    <row r="246" spans="3:54" ht="12.75" customHeight="1" x14ac:dyDescent="0.25">
      <c r="C246" s="108"/>
      <c r="D246" s="108"/>
      <c r="E246" s="108"/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08"/>
      <c r="AG246" s="108"/>
      <c r="AH246" s="108"/>
      <c r="AI246" s="108"/>
      <c r="AJ246" s="108"/>
      <c r="AK246" s="108"/>
      <c r="AL246" s="108"/>
      <c r="AM246" s="108"/>
      <c r="AN246" s="108"/>
      <c r="AO246" s="108"/>
      <c r="AP246" s="108"/>
      <c r="AQ246" s="108"/>
      <c r="AR246" s="108"/>
      <c r="AS246" s="108"/>
      <c r="AT246" s="108"/>
      <c r="AU246" s="108"/>
      <c r="AV246" s="108"/>
      <c r="AW246" s="108"/>
      <c r="AX246" s="108"/>
      <c r="AY246" s="108"/>
      <c r="AZ246" s="108"/>
      <c r="BA246" s="108"/>
      <c r="BB246" s="108"/>
    </row>
    <row r="247" spans="3:54" ht="12.75" customHeight="1" x14ac:dyDescent="0.25">
      <c r="C247" s="108"/>
      <c r="D247" s="108"/>
      <c r="E247" s="108"/>
      <c r="F247" s="108"/>
      <c r="G247" s="108"/>
      <c r="H247" s="108"/>
      <c r="I247" s="108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  <c r="T247" s="108"/>
      <c r="U247" s="108"/>
      <c r="V247" s="108"/>
      <c r="W247" s="108"/>
      <c r="X247" s="108"/>
      <c r="Y247" s="108"/>
      <c r="Z247" s="108"/>
      <c r="AA247" s="108"/>
      <c r="AB247" s="108"/>
      <c r="AC247" s="108"/>
      <c r="AD247" s="108"/>
      <c r="AE247" s="108"/>
      <c r="AF247" s="108"/>
      <c r="AG247" s="108"/>
      <c r="AH247" s="108"/>
      <c r="AI247" s="108"/>
      <c r="AJ247" s="108"/>
      <c r="AK247" s="108"/>
      <c r="AL247" s="108"/>
      <c r="AM247" s="108"/>
      <c r="AN247" s="108"/>
      <c r="AO247" s="108"/>
      <c r="AP247" s="108"/>
      <c r="AQ247" s="108"/>
      <c r="AR247" s="108"/>
      <c r="AS247" s="108"/>
      <c r="AT247" s="108"/>
      <c r="AU247" s="108"/>
      <c r="AV247" s="108"/>
      <c r="AW247" s="108"/>
      <c r="AX247" s="108"/>
      <c r="AY247" s="108"/>
      <c r="AZ247" s="108"/>
      <c r="BA247" s="108"/>
      <c r="BB247" s="108"/>
    </row>
    <row r="248" spans="3:54" ht="12.75" customHeight="1" x14ac:dyDescent="0.25">
      <c r="C248" s="108"/>
      <c r="D248" s="108"/>
      <c r="E248" s="108"/>
      <c r="F248" s="108"/>
      <c r="G248" s="108"/>
      <c r="H248" s="108"/>
      <c r="I248" s="108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  <c r="AA248" s="108"/>
      <c r="AB248" s="108"/>
      <c r="AC248" s="108"/>
      <c r="AD248" s="108"/>
      <c r="AE248" s="108"/>
      <c r="AF248" s="108"/>
      <c r="AG248" s="108"/>
      <c r="AH248" s="108"/>
      <c r="AI248" s="108"/>
      <c r="AJ248" s="108"/>
      <c r="AK248" s="108"/>
      <c r="AL248" s="108"/>
      <c r="AM248" s="108"/>
      <c r="AN248" s="108"/>
      <c r="AO248" s="108"/>
      <c r="AP248" s="108"/>
      <c r="AQ248" s="108"/>
      <c r="AR248" s="108"/>
      <c r="AS248" s="108"/>
      <c r="AT248" s="108"/>
      <c r="AU248" s="108"/>
      <c r="AV248" s="108"/>
      <c r="AW248" s="108"/>
      <c r="AX248" s="108"/>
      <c r="AY248" s="108"/>
      <c r="AZ248" s="108"/>
      <c r="BA248" s="108"/>
      <c r="BB248" s="108"/>
    </row>
    <row r="249" spans="3:54" ht="12.75" customHeight="1" x14ac:dyDescent="0.25">
      <c r="C249" s="108"/>
      <c r="D249" s="108"/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  <c r="AA249" s="108"/>
      <c r="AB249" s="108"/>
      <c r="AC249" s="108"/>
      <c r="AD249" s="108"/>
      <c r="AE249" s="108"/>
      <c r="AF249" s="108"/>
      <c r="AG249" s="108"/>
      <c r="AH249" s="108"/>
      <c r="AI249" s="108"/>
      <c r="AJ249" s="108"/>
      <c r="AK249" s="108"/>
      <c r="AL249" s="108"/>
      <c r="AM249" s="108"/>
      <c r="AN249" s="108"/>
      <c r="AO249" s="108"/>
      <c r="AP249" s="108"/>
      <c r="AQ249" s="108"/>
      <c r="AR249" s="108"/>
      <c r="AS249" s="108"/>
      <c r="AT249" s="108"/>
      <c r="AU249" s="108"/>
      <c r="AV249" s="108"/>
      <c r="AW249" s="108"/>
      <c r="AX249" s="108"/>
      <c r="AY249" s="108"/>
      <c r="AZ249" s="108"/>
      <c r="BA249" s="108"/>
      <c r="BB249" s="108"/>
    </row>
    <row r="250" spans="3:54" ht="12.75" customHeight="1" x14ac:dyDescent="0.25">
      <c r="C250" s="108"/>
      <c r="D250" s="108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108"/>
      <c r="AG250" s="108"/>
      <c r="AH250" s="108"/>
      <c r="AI250" s="108"/>
      <c r="AJ250" s="108"/>
      <c r="AK250" s="108"/>
      <c r="AL250" s="108"/>
      <c r="AM250" s="108"/>
      <c r="AN250" s="108"/>
      <c r="AO250" s="108"/>
      <c r="AP250" s="108"/>
      <c r="AQ250" s="108"/>
      <c r="AR250" s="108"/>
      <c r="AS250" s="108"/>
      <c r="AT250" s="108"/>
      <c r="AU250" s="108"/>
      <c r="AV250" s="108"/>
      <c r="AW250" s="108"/>
      <c r="AX250" s="108"/>
      <c r="AY250" s="108"/>
      <c r="AZ250" s="108"/>
      <c r="BA250" s="108"/>
      <c r="BB250" s="108"/>
    </row>
    <row r="251" spans="3:54" ht="12.75" customHeight="1" x14ac:dyDescent="0.25">
      <c r="C251" s="108"/>
      <c r="D251" s="108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  <c r="AA251" s="108"/>
      <c r="AB251" s="108"/>
      <c r="AC251" s="108"/>
      <c r="AD251" s="108"/>
      <c r="AE251" s="108"/>
      <c r="AF251" s="108"/>
      <c r="AG251" s="108"/>
      <c r="AH251" s="108"/>
      <c r="AI251" s="108"/>
      <c r="AJ251" s="108"/>
      <c r="AK251" s="108"/>
      <c r="AL251" s="108"/>
      <c r="AM251" s="108"/>
      <c r="AN251" s="108"/>
      <c r="AO251" s="108"/>
      <c r="AP251" s="108"/>
      <c r="AQ251" s="108"/>
      <c r="AR251" s="108"/>
      <c r="AS251" s="108"/>
      <c r="AT251" s="108"/>
      <c r="AU251" s="108"/>
      <c r="AV251" s="108"/>
      <c r="AW251" s="108"/>
      <c r="AX251" s="108"/>
      <c r="AY251" s="108"/>
      <c r="AZ251" s="108"/>
      <c r="BA251" s="108"/>
      <c r="BB251" s="108"/>
    </row>
    <row r="252" spans="3:54" ht="12.75" customHeight="1" x14ac:dyDescent="0.25">
      <c r="C252" s="108"/>
      <c r="D252" s="108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  <c r="AA252" s="108"/>
      <c r="AB252" s="108"/>
      <c r="AC252" s="108"/>
      <c r="AD252" s="108"/>
      <c r="AE252" s="108"/>
      <c r="AF252" s="108"/>
      <c r="AG252" s="108"/>
      <c r="AH252" s="108"/>
      <c r="AI252" s="108"/>
      <c r="AJ252" s="108"/>
      <c r="AK252" s="108"/>
      <c r="AL252" s="108"/>
      <c r="AM252" s="108"/>
      <c r="AN252" s="108"/>
      <c r="AO252" s="108"/>
      <c r="AP252" s="108"/>
      <c r="AQ252" s="108"/>
      <c r="AR252" s="108"/>
      <c r="AS252" s="108"/>
      <c r="AT252" s="108"/>
      <c r="AU252" s="108"/>
      <c r="AV252" s="108"/>
      <c r="AW252" s="108"/>
      <c r="AX252" s="108"/>
      <c r="AY252" s="108"/>
      <c r="AZ252" s="108"/>
      <c r="BA252" s="108"/>
      <c r="BB252" s="108"/>
    </row>
    <row r="253" spans="3:54" ht="12.75" customHeight="1" x14ac:dyDescent="0.25">
      <c r="C253" s="108"/>
      <c r="D253" s="108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  <c r="AA253" s="108"/>
      <c r="AB253" s="108"/>
      <c r="AC253" s="108"/>
      <c r="AD253" s="108"/>
      <c r="AE253" s="108"/>
      <c r="AF253" s="108"/>
      <c r="AG253" s="108"/>
      <c r="AH253" s="108"/>
      <c r="AI253" s="108"/>
      <c r="AJ253" s="108"/>
      <c r="AK253" s="108"/>
      <c r="AL253" s="108"/>
      <c r="AM253" s="108"/>
      <c r="AN253" s="108"/>
      <c r="AO253" s="108"/>
      <c r="AP253" s="108"/>
      <c r="AQ253" s="108"/>
      <c r="AR253" s="108"/>
      <c r="AS253" s="108"/>
      <c r="AT253" s="108"/>
      <c r="AU253" s="108"/>
      <c r="AV253" s="108"/>
      <c r="AW253" s="108"/>
      <c r="AX253" s="108"/>
      <c r="AY253" s="108"/>
      <c r="AZ253" s="108"/>
      <c r="BA253" s="108"/>
      <c r="BB253" s="108"/>
    </row>
    <row r="254" spans="3:54" ht="12.75" customHeight="1" x14ac:dyDescent="0.25">
      <c r="C254" s="108"/>
      <c r="D254" s="108"/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  <c r="AA254" s="108"/>
      <c r="AB254" s="108"/>
      <c r="AC254" s="108"/>
      <c r="AD254" s="108"/>
      <c r="AE254" s="108"/>
      <c r="AF254" s="108"/>
      <c r="AG254" s="108"/>
      <c r="AH254" s="108"/>
      <c r="AI254" s="108"/>
      <c r="AJ254" s="108"/>
      <c r="AK254" s="108"/>
      <c r="AL254" s="108"/>
      <c r="AM254" s="108"/>
      <c r="AN254" s="108"/>
      <c r="AO254" s="108"/>
      <c r="AP254" s="108"/>
      <c r="AQ254" s="108"/>
      <c r="AR254" s="108"/>
      <c r="AS254" s="108"/>
      <c r="AT254" s="108"/>
      <c r="AU254" s="108"/>
      <c r="AV254" s="108"/>
      <c r="AW254" s="108"/>
      <c r="AX254" s="108"/>
      <c r="AY254" s="108"/>
      <c r="AZ254" s="108"/>
      <c r="BA254" s="108"/>
      <c r="BB254" s="108"/>
    </row>
    <row r="255" spans="3:54" ht="12.75" customHeight="1" x14ac:dyDescent="0.25">
      <c r="C255" s="108"/>
      <c r="D255" s="108"/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  <c r="AA255" s="108"/>
      <c r="AB255" s="108"/>
      <c r="AC255" s="108"/>
      <c r="AD255" s="108"/>
      <c r="AE255" s="108"/>
      <c r="AF255" s="108"/>
      <c r="AG255" s="108"/>
      <c r="AH255" s="108"/>
      <c r="AI255" s="108"/>
      <c r="AJ255" s="108"/>
      <c r="AK255" s="108"/>
      <c r="AL255" s="108"/>
      <c r="AM255" s="108"/>
      <c r="AN255" s="108"/>
      <c r="AO255" s="108"/>
      <c r="AP255" s="108"/>
      <c r="AQ255" s="108"/>
      <c r="AR255" s="108"/>
      <c r="AS255" s="108"/>
      <c r="AT255" s="108"/>
      <c r="AU255" s="108"/>
      <c r="AV255" s="108"/>
      <c r="AW255" s="108"/>
      <c r="AX255" s="108"/>
      <c r="AY255" s="108"/>
      <c r="AZ255" s="108"/>
      <c r="BA255" s="108"/>
      <c r="BB255" s="108"/>
    </row>
    <row r="256" spans="3:54" ht="12.75" customHeight="1" x14ac:dyDescent="0.25">
      <c r="C256" s="108"/>
      <c r="D256" s="108"/>
      <c r="E256" s="108"/>
      <c r="F256" s="108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  <c r="AA256" s="108"/>
      <c r="AB256" s="108"/>
      <c r="AC256" s="108"/>
      <c r="AD256" s="108"/>
      <c r="AE256" s="108"/>
      <c r="AF256" s="108"/>
      <c r="AG256" s="108"/>
      <c r="AH256" s="108"/>
      <c r="AI256" s="108"/>
      <c r="AJ256" s="108"/>
      <c r="AK256" s="108"/>
      <c r="AL256" s="108"/>
      <c r="AM256" s="108"/>
      <c r="AN256" s="108"/>
      <c r="AO256" s="108"/>
      <c r="AP256" s="108"/>
      <c r="AQ256" s="108"/>
      <c r="AR256" s="108"/>
      <c r="AS256" s="108"/>
      <c r="AT256" s="108"/>
      <c r="AU256" s="108"/>
      <c r="AV256" s="108"/>
      <c r="AW256" s="108"/>
      <c r="AX256" s="108"/>
      <c r="AY256" s="108"/>
      <c r="AZ256" s="108"/>
      <c r="BA256" s="108"/>
      <c r="BB256" s="108"/>
    </row>
    <row r="257" spans="3:54" ht="12.75" customHeight="1" x14ac:dyDescent="0.25">
      <c r="C257" s="108"/>
      <c r="D257" s="108"/>
      <c r="E257" s="108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  <c r="AA257" s="108"/>
      <c r="AB257" s="108"/>
      <c r="AC257" s="108"/>
      <c r="AD257" s="108"/>
      <c r="AE257" s="108"/>
      <c r="AF257" s="108"/>
      <c r="AG257" s="108"/>
      <c r="AH257" s="108"/>
      <c r="AI257" s="108"/>
      <c r="AJ257" s="108"/>
      <c r="AK257" s="108"/>
      <c r="AL257" s="108"/>
      <c r="AM257" s="108"/>
      <c r="AN257" s="108"/>
      <c r="AO257" s="108"/>
      <c r="AP257" s="108"/>
      <c r="AQ257" s="108"/>
      <c r="AR257" s="108"/>
      <c r="AS257" s="108"/>
      <c r="AT257" s="108"/>
      <c r="AU257" s="108"/>
      <c r="AV257" s="108"/>
      <c r="AW257" s="108"/>
      <c r="AX257" s="108"/>
      <c r="AY257" s="108"/>
      <c r="AZ257" s="108"/>
      <c r="BA257" s="108"/>
      <c r="BB257" s="108"/>
    </row>
    <row r="258" spans="3:54" ht="12.75" customHeight="1" x14ac:dyDescent="0.25">
      <c r="C258" s="108"/>
      <c r="D258" s="108"/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  <c r="AA258" s="108"/>
      <c r="AB258" s="108"/>
      <c r="AC258" s="108"/>
      <c r="AD258" s="108"/>
      <c r="AE258" s="108"/>
      <c r="AF258" s="108"/>
      <c r="AG258" s="108"/>
      <c r="AH258" s="108"/>
      <c r="AI258" s="108"/>
      <c r="AJ258" s="108"/>
      <c r="AK258" s="108"/>
      <c r="AL258" s="108"/>
      <c r="AM258" s="108"/>
      <c r="AN258" s="108"/>
      <c r="AO258" s="108"/>
      <c r="AP258" s="108"/>
      <c r="AQ258" s="108"/>
      <c r="AR258" s="108"/>
      <c r="AS258" s="108"/>
      <c r="AT258" s="108"/>
      <c r="AU258" s="108"/>
      <c r="AV258" s="108"/>
      <c r="AW258" s="108"/>
      <c r="AX258" s="108"/>
      <c r="AY258" s="108"/>
      <c r="AZ258" s="108"/>
      <c r="BA258" s="108"/>
      <c r="BB258" s="108"/>
    </row>
    <row r="259" spans="3:54" ht="12.75" customHeight="1" x14ac:dyDescent="0.25">
      <c r="C259" s="108"/>
      <c r="D259" s="108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108"/>
      <c r="AA259" s="108"/>
      <c r="AB259" s="108"/>
      <c r="AC259" s="108"/>
      <c r="AD259" s="108"/>
      <c r="AE259" s="108"/>
      <c r="AF259" s="108"/>
      <c r="AG259" s="108"/>
      <c r="AH259" s="108"/>
      <c r="AI259" s="108"/>
      <c r="AJ259" s="108"/>
      <c r="AK259" s="108"/>
      <c r="AL259" s="108"/>
      <c r="AM259" s="108"/>
      <c r="AN259" s="108"/>
      <c r="AO259" s="108"/>
      <c r="AP259" s="108"/>
      <c r="AQ259" s="108"/>
      <c r="AR259" s="108"/>
      <c r="AS259" s="108"/>
      <c r="AT259" s="108"/>
      <c r="AU259" s="108"/>
      <c r="AV259" s="108"/>
      <c r="AW259" s="108"/>
      <c r="AX259" s="108"/>
      <c r="AY259" s="108"/>
      <c r="AZ259" s="108"/>
      <c r="BA259" s="108"/>
      <c r="BB259" s="108"/>
    </row>
    <row r="260" spans="3:54" ht="12.75" customHeight="1" x14ac:dyDescent="0.25">
      <c r="C260" s="108"/>
      <c r="D260" s="108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108"/>
      <c r="AA260" s="108"/>
      <c r="AB260" s="108"/>
      <c r="AC260" s="108"/>
      <c r="AD260" s="108"/>
      <c r="AE260" s="108"/>
      <c r="AF260" s="108"/>
      <c r="AG260" s="108"/>
      <c r="AH260" s="108"/>
      <c r="AI260" s="108"/>
      <c r="AJ260" s="108"/>
      <c r="AK260" s="108"/>
      <c r="AL260" s="108"/>
      <c r="AM260" s="108"/>
      <c r="AN260" s="108"/>
      <c r="AO260" s="108"/>
      <c r="AP260" s="108"/>
      <c r="AQ260" s="108"/>
      <c r="AR260" s="108"/>
      <c r="AS260" s="108"/>
      <c r="AT260" s="108"/>
      <c r="AU260" s="108"/>
      <c r="AV260" s="108"/>
      <c r="AW260" s="108"/>
      <c r="AX260" s="108"/>
      <c r="AY260" s="108"/>
      <c r="AZ260" s="108"/>
      <c r="BA260" s="108"/>
      <c r="BB260" s="108"/>
    </row>
    <row r="261" spans="3:54" ht="12.75" customHeight="1" x14ac:dyDescent="0.25">
      <c r="C261" s="108"/>
      <c r="D261" s="108"/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  <c r="AA261" s="108"/>
      <c r="AB261" s="108"/>
      <c r="AC261" s="108"/>
      <c r="AD261" s="108"/>
      <c r="AE261" s="108"/>
      <c r="AF261" s="108"/>
      <c r="AG261" s="108"/>
      <c r="AH261" s="108"/>
      <c r="AI261" s="108"/>
      <c r="AJ261" s="108"/>
      <c r="AK261" s="108"/>
      <c r="AL261" s="108"/>
      <c r="AM261" s="108"/>
      <c r="AN261" s="108"/>
      <c r="AO261" s="108"/>
      <c r="AP261" s="108"/>
      <c r="AQ261" s="108"/>
      <c r="AR261" s="108"/>
      <c r="AS261" s="108"/>
      <c r="AT261" s="108"/>
      <c r="AU261" s="108"/>
      <c r="AV261" s="108"/>
      <c r="AW261" s="108"/>
      <c r="AX261" s="108"/>
      <c r="AY261" s="108"/>
      <c r="AZ261" s="108"/>
      <c r="BA261" s="108"/>
      <c r="BB261" s="108"/>
    </row>
    <row r="262" spans="3:54" ht="12.75" customHeight="1" x14ac:dyDescent="0.25">
      <c r="C262" s="108"/>
      <c r="D262" s="108"/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108"/>
      <c r="AA262" s="108"/>
      <c r="AB262" s="108"/>
      <c r="AC262" s="108"/>
      <c r="AD262" s="108"/>
      <c r="AE262" s="108"/>
      <c r="AF262" s="108"/>
      <c r="AG262" s="108"/>
      <c r="AH262" s="108"/>
      <c r="AI262" s="108"/>
      <c r="AJ262" s="108"/>
      <c r="AK262" s="108"/>
      <c r="AL262" s="108"/>
      <c r="AM262" s="108"/>
      <c r="AN262" s="108"/>
      <c r="AO262" s="108"/>
      <c r="AP262" s="108"/>
      <c r="AQ262" s="108"/>
      <c r="AR262" s="108"/>
      <c r="AS262" s="108"/>
      <c r="AT262" s="108"/>
      <c r="AU262" s="108"/>
      <c r="AV262" s="108"/>
      <c r="AW262" s="108"/>
      <c r="AX262" s="108"/>
      <c r="AY262" s="108"/>
      <c r="AZ262" s="108"/>
      <c r="BA262" s="108"/>
      <c r="BB262" s="108"/>
    </row>
    <row r="263" spans="3:54" ht="12.75" customHeight="1" x14ac:dyDescent="0.25">
      <c r="C263" s="108"/>
      <c r="D263" s="108"/>
      <c r="E263" s="108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108"/>
      <c r="AH263" s="108"/>
      <c r="AI263" s="108"/>
      <c r="AJ263" s="108"/>
      <c r="AK263" s="108"/>
      <c r="AL263" s="108"/>
      <c r="AM263" s="108"/>
      <c r="AN263" s="108"/>
      <c r="AO263" s="108"/>
      <c r="AP263" s="108"/>
      <c r="AQ263" s="108"/>
      <c r="AR263" s="108"/>
      <c r="AS263" s="108"/>
      <c r="AT263" s="108"/>
      <c r="AU263" s="108"/>
      <c r="AV263" s="108"/>
      <c r="AW263" s="108"/>
      <c r="AX263" s="108"/>
      <c r="AY263" s="108"/>
      <c r="AZ263" s="108"/>
      <c r="BA263" s="108"/>
      <c r="BB263" s="108"/>
    </row>
    <row r="264" spans="3:54" ht="12.75" customHeight="1" x14ac:dyDescent="0.25">
      <c r="C264" s="108"/>
      <c r="D264" s="108"/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108"/>
      <c r="AA264" s="108"/>
      <c r="AB264" s="108"/>
      <c r="AC264" s="108"/>
      <c r="AD264" s="108"/>
      <c r="AE264" s="108"/>
      <c r="AF264" s="108"/>
      <c r="AG264" s="108"/>
      <c r="AH264" s="108"/>
      <c r="AI264" s="108"/>
      <c r="AJ264" s="108"/>
      <c r="AK264" s="108"/>
      <c r="AL264" s="108"/>
      <c r="AM264" s="108"/>
      <c r="AN264" s="108"/>
      <c r="AO264" s="108"/>
      <c r="AP264" s="108"/>
      <c r="AQ264" s="108"/>
      <c r="AR264" s="108"/>
      <c r="AS264" s="108"/>
      <c r="AT264" s="108"/>
      <c r="AU264" s="108"/>
      <c r="AV264" s="108"/>
      <c r="AW264" s="108"/>
      <c r="AX264" s="108"/>
      <c r="AY264" s="108"/>
      <c r="AZ264" s="108"/>
      <c r="BA264" s="108"/>
      <c r="BB264" s="108"/>
    </row>
    <row r="265" spans="3:54" ht="12.75" customHeight="1" x14ac:dyDescent="0.25">
      <c r="C265" s="108"/>
      <c r="D265" s="108"/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108"/>
      <c r="AH265" s="108"/>
      <c r="AI265" s="108"/>
      <c r="AJ265" s="108"/>
      <c r="AK265" s="108"/>
      <c r="AL265" s="108"/>
      <c r="AM265" s="108"/>
      <c r="AN265" s="108"/>
      <c r="AO265" s="108"/>
      <c r="AP265" s="108"/>
      <c r="AQ265" s="108"/>
      <c r="AR265" s="108"/>
      <c r="AS265" s="108"/>
      <c r="AT265" s="108"/>
      <c r="AU265" s="108"/>
      <c r="AV265" s="108"/>
      <c r="AW265" s="108"/>
      <c r="AX265" s="108"/>
      <c r="AY265" s="108"/>
      <c r="AZ265" s="108"/>
      <c r="BA265" s="108"/>
      <c r="BB265" s="108"/>
    </row>
    <row r="266" spans="3:54" ht="12.75" customHeight="1" x14ac:dyDescent="0.25"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  <c r="AA266" s="108"/>
      <c r="AB266" s="108"/>
      <c r="AC266" s="108"/>
      <c r="AD266" s="108"/>
      <c r="AE266" s="108"/>
      <c r="AF266" s="108"/>
      <c r="AG266" s="108"/>
      <c r="AH266" s="108"/>
      <c r="AI266" s="108"/>
      <c r="AJ266" s="108"/>
      <c r="AK266" s="108"/>
      <c r="AL266" s="108"/>
      <c r="AM266" s="108"/>
      <c r="AN266" s="108"/>
      <c r="AO266" s="108"/>
      <c r="AP266" s="108"/>
      <c r="AQ266" s="108"/>
      <c r="AR266" s="108"/>
      <c r="AS266" s="108"/>
      <c r="AT266" s="108"/>
      <c r="AU266" s="108"/>
      <c r="AV266" s="108"/>
      <c r="AW266" s="108"/>
      <c r="AX266" s="108"/>
      <c r="AY266" s="108"/>
      <c r="AZ266" s="108"/>
      <c r="BA266" s="108"/>
      <c r="BB266" s="108"/>
    </row>
    <row r="267" spans="3:54" ht="12.75" customHeight="1" x14ac:dyDescent="0.25">
      <c r="C267" s="108"/>
      <c r="D267" s="108"/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108"/>
      <c r="AA267" s="108"/>
      <c r="AB267" s="108"/>
      <c r="AC267" s="108"/>
      <c r="AD267" s="108"/>
      <c r="AE267" s="108"/>
      <c r="AF267" s="108"/>
      <c r="AG267" s="108"/>
      <c r="AH267" s="108"/>
      <c r="AI267" s="108"/>
      <c r="AJ267" s="108"/>
      <c r="AK267" s="108"/>
      <c r="AL267" s="108"/>
      <c r="AM267" s="108"/>
      <c r="AN267" s="108"/>
      <c r="AO267" s="108"/>
      <c r="AP267" s="108"/>
      <c r="AQ267" s="108"/>
      <c r="AR267" s="108"/>
      <c r="AS267" s="108"/>
      <c r="AT267" s="108"/>
      <c r="AU267" s="108"/>
      <c r="AV267" s="108"/>
      <c r="AW267" s="108"/>
      <c r="AX267" s="108"/>
      <c r="AY267" s="108"/>
      <c r="AZ267" s="108"/>
      <c r="BA267" s="108"/>
      <c r="BB267" s="108"/>
    </row>
    <row r="268" spans="3:54" ht="12.75" customHeight="1" x14ac:dyDescent="0.25">
      <c r="C268" s="108"/>
      <c r="D268" s="108"/>
      <c r="E268" s="108"/>
      <c r="F268" s="108"/>
      <c r="G268" s="108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108"/>
      <c r="AA268" s="108"/>
      <c r="AB268" s="108"/>
      <c r="AC268" s="108"/>
      <c r="AD268" s="108"/>
      <c r="AE268" s="108"/>
      <c r="AF268" s="108"/>
      <c r="AG268" s="108"/>
      <c r="AH268" s="108"/>
      <c r="AI268" s="108"/>
      <c r="AJ268" s="108"/>
      <c r="AK268" s="108"/>
      <c r="AL268" s="108"/>
      <c r="AM268" s="108"/>
      <c r="AN268" s="108"/>
      <c r="AO268" s="108"/>
      <c r="AP268" s="108"/>
      <c r="AQ268" s="108"/>
      <c r="AR268" s="108"/>
      <c r="AS268" s="108"/>
      <c r="AT268" s="108"/>
      <c r="AU268" s="108"/>
      <c r="AV268" s="108"/>
      <c r="AW268" s="108"/>
      <c r="AX268" s="108"/>
      <c r="AY268" s="108"/>
      <c r="AZ268" s="108"/>
      <c r="BA268" s="108"/>
      <c r="BB268" s="108"/>
    </row>
    <row r="269" spans="3:54" ht="12.75" customHeight="1" x14ac:dyDescent="0.25">
      <c r="C269" s="108"/>
      <c r="D269" s="108"/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  <c r="AC269" s="108"/>
      <c r="AD269" s="108"/>
      <c r="AE269" s="108"/>
      <c r="AF269" s="108"/>
      <c r="AG269" s="108"/>
      <c r="AH269" s="108"/>
      <c r="AI269" s="108"/>
      <c r="AJ269" s="108"/>
      <c r="AK269" s="108"/>
      <c r="AL269" s="108"/>
      <c r="AM269" s="108"/>
      <c r="AN269" s="108"/>
      <c r="AO269" s="108"/>
      <c r="AP269" s="108"/>
      <c r="AQ269" s="108"/>
      <c r="AR269" s="108"/>
      <c r="AS269" s="108"/>
      <c r="AT269" s="108"/>
      <c r="AU269" s="108"/>
      <c r="AV269" s="108"/>
      <c r="AW269" s="108"/>
      <c r="AX269" s="108"/>
      <c r="AY269" s="108"/>
      <c r="AZ269" s="108"/>
      <c r="BA269" s="108"/>
      <c r="BB269" s="108"/>
    </row>
    <row r="270" spans="3:54" ht="12.75" customHeight="1" x14ac:dyDescent="0.25">
      <c r="C270" s="108"/>
      <c r="D270" s="108"/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  <c r="AA270" s="108"/>
      <c r="AB270" s="108"/>
      <c r="AC270" s="108"/>
      <c r="AD270" s="108"/>
      <c r="AE270" s="108"/>
      <c r="AF270" s="108"/>
      <c r="AG270" s="108"/>
      <c r="AH270" s="108"/>
      <c r="AI270" s="108"/>
      <c r="AJ270" s="108"/>
      <c r="AK270" s="108"/>
      <c r="AL270" s="108"/>
      <c r="AM270" s="108"/>
      <c r="AN270" s="108"/>
      <c r="AO270" s="108"/>
      <c r="AP270" s="108"/>
      <c r="AQ270" s="108"/>
      <c r="AR270" s="108"/>
      <c r="AS270" s="108"/>
      <c r="AT270" s="108"/>
      <c r="AU270" s="108"/>
      <c r="AV270" s="108"/>
      <c r="AW270" s="108"/>
      <c r="AX270" s="108"/>
      <c r="AY270" s="108"/>
      <c r="AZ270" s="108"/>
      <c r="BA270" s="108"/>
      <c r="BB270" s="108"/>
    </row>
    <row r="271" spans="3:54" ht="12.75" customHeight="1" x14ac:dyDescent="0.25">
      <c r="C271" s="108"/>
      <c r="D271" s="108"/>
      <c r="E271" s="108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  <c r="AA271" s="108"/>
      <c r="AB271" s="108"/>
      <c r="AC271" s="108"/>
      <c r="AD271" s="108"/>
      <c r="AE271" s="108"/>
      <c r="AF271" s="108"/>
      <c r="AG271" s="108"/>
      <c r="AH271" s="108"/>
      <c r="AI271" s="108"/>
      <c r="AJ271" s="108"/>
      <c r="AK271" s="108"/>
      <c r="AL271" s="108"/>
      <c r="AM271" s="108"/>
      <c r="AN271" s="108"/>
      <c r="AO271" s="108"/>
      <c r="AP271" s="108"/>
      <c r="AQ271" s="108"/>
      <c r="AR271" s="108"/>
      <c r="AS271" s="108"/>
      <c r="AT271" s="108"/>
      <c r="AU271" s="108"/>
      <c r="AV271" s="108"/>
      <c r="AW271" s="108"/>
      <c r="AX271" s="108"/>
      <c r="AY271" s="108"/>
      <c r="AZ271" s="108"/>
      <c r="BA271" s="108"/>
      <c r="BB271" s="108"/>
    </row>
    <row r="272" spans="3:54" ht="12.75" customHeight="1" x14ac:dyDescent="0.25">
      <c r="C272" s="108"/>
      <c r="D272" s="108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  <c r="Z272" s="108"/>
      <c r="AA272" s="108"/>
      <c r="AB272" s="108"/>
      <c r="AC272" s="108"/>
      <c r="AD272" s="108"/>
      <c r="AE272" s="108"/>
      <c r="AF272" s="108"/>
      <c r="AG272" s="108"/>
      <c r="AH272" s="108"/>
      <c r="AI272" s="108"/>
      <c r="AJ272" s="108"/>
      <c r="AK272" s="108"/>
      <c r="AL272" s="108"/>
      <c r="AM272" s="108"/>
      <c r="AN272" s="108"/>
      <c r="AO272" s="108"/>
      <c r="AP272" s="108"/>
      <c r="AQ272" s="108"/>
      <c r="AR272" s="108"/>
      <c r="AS272" s="108"/>
      <c r="AT272" s="108"/>
      <c r="AU272" s="108"/>
      <c r="AV272" s="108"/>
      <c r="AW272" s="108"/>
      <c r="AX272" s="108"/>
      <c r="AY272" s="108"/>
      <c r="AZ272" s="108"/>
      <c r="BA272" s="108"/>
      <c r="BB272" s="108"/>
    </row>
    <row r="273" spans="3:54" ht="12.75" customHeight="1" x14ac:dyDescent="0.25">
      <c r="C273" s="108"/>
      <c r="D273" s="108"/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  <c r="AA273" s="108"/>
      <c r="AB273" s="108"/>
      <c r="AC273" s="108"/>
      <c r="AD273" s="108"/>
      <c r="AE273" s="108"/>
      <c r="AF273" s="108"/>
      <c r="AG273" s="108"/>
      <c r="AH273" s="108"/>
      <c r="AI273" s="108"/>
      <c r="AJ273" s="108"/>
      <c r="AK273" s="108"/>
      <c r="AL273" s="108"/>
      <c r="AM273" s="108"/>
      <c r="AN273" s="108"/>
      <c r="AO273" s="108"/>
      <c r="AP273" s="108"/>
      <c r="AQ273" s="108"/>
      <c r="AR273" s="108"/>
      <c r="AS273" s="108"/>
      <c r="AT273" s="108"/>
      <c r="AU273" s="108"/>
      <c r="AV273" s="108"/>
      <c r="AW273" s="108"/>
      <c r="AX273" s="108"/>
      <c r="AY273" s="108"/>
      <c r="AZ273" s="108"/>
      <c r="BA273" s="108"/>
      <c r="BB273" s="108"/>
    </row>
    <row r="274" spans="3:54" ht="12.75" customHeight="1" x14ac:dyDescent="0.25">
      <c r="C274" s="108"/>
      <c r="D274" s="108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  <c r="Z274" s="108"/>
      <c r="AA274" s="108"/>
      <c r="AB274" s="108"/>
      <c r="AC274" s="108"/>
      <c r="AD274" s="108"/>
      <c r="AE274" s="108"/>
      <c r="AF274" s="108"/>
      <c r="AG274" s="108"/>
      <c r="AH274" s="108"/>
      <c r="AI274" s="108"/>
      <c r="AJ274" s="108"/>
      <c r="AK274" s="108"/>
      <c r="AL274" s="108"/>
      <c r="AM274" s="108"/>
      <c r="AN274" s="108"/>
      <c r="AO274" s="108"/>
      <c r="AP274" s="108"/>
      <c r="AQ274" s="108"/>
      <c r="AR274" s="108"/>
      <c r="AS274" s="108"/>
      <c r="AT274" s="108"/>
      <c r="AU274" s="108"/>
      <c r="AV274" s="108"/>
      <c r="AW274" s="108"/>
      <c r="AX274" s="108"/>
      <c r="AY274" s="108"/>
      <c r="AZ274" s="108"/>
      <c r="BA274" s="108"/>
      <c r="BB274" s="108"/>
    </row>
    <row r="275" spans="3:54" ht="12.75" customHeight="1" x14ac:dyDescent="0.25">
      <c r="C275" s="108"/>
      <c r="D275" s="108"/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  <c r="Z275" s="108"/>
      <c r="AA275" s="108"/>
      <c r="AB275" s="108"/>
      <c r="AC275" s="108"/>
      <c r="AD275" s="108"/>
      <c r="AE275" s="108"/>
      <c r="AF275" s="108"/>
      <c r="AG275" s="108"/>
      <c r="AH275" s="108"/>
      <c r="AI275" s="108"/>
      <c r="AJ275" s="108"/>
      <c r="AK275" s="108"/>
      <c r="AL275" s="108"/>
      <c r="AM275" s="108"/>
      <c r="AN275" s="108"/>
      <c r="AO275" s="108"/>
      <c r="AP275" s="108"/>
      <c r="AQ275" s="108"/>
      <c r="AR275" s="108"/>
      <c r="AS275" s="108"/>
      <c r="AT275" s="108"/>
      <c r="AU275" s="108"/>
      <c r="AV275" s="108"/>
      <c r="AW275" s="108"/>
      <c r="AX275" s="108"/>
      <c r="AY275" s="108"/>
      <c r="AZ275" s="108"/>
      <c r="BA275" s="108"/>
      <c r="BB275" s="108"/>
    </row>
    <row r="276" spans="3:54" ht="12.75" customHeight="1" x14ac:dyDescent="0.25">
      <c r="C276" s="108"/>
      <c r="D276" s="108"/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  <c r="AA276" s="108"/>
      <c r="AB276" s="108"/>
      <c r="AC276" s="108"/>
      <c r="AD276" s="108"/>
      <c r="AE276" s="108"/>
      <c r="AF276" s="108"/>
      <c r="AG276" s="108"/>
      <c r="AH276" s="108"/>
      <c r="AI276" s="108"/>
      <c r="AJ276" s="108"/>
      <c r="AK276" s="108"/>
      <c r="AL276" s="108"/>
      <c r="AM276" s="108"/>
      <c r="AN276" s="108"/>
      <c r="AO276" s="108"/>
      <c r="AP276" s="108"/>
      <c r="AQ276" s="108"/>
      <c r="AR276" s="108"/>
      <c r="AS276" s="108"/>
      <c r="AT276" s="108"/>
      <c r="AU276" s="108"/>
      <c r="AV276" s="108"/>
      <c r="AW276" s="108"/>
      <c r="AX276" s="108"/>
      <c r="AY276" s="108"/>
      <c r="AZ276" s="108"/>
      <c r="BA276" s="108"/>
      <c r="BB276" s="108"/>
    </row>
    <row r="277" spans="3:54" ht="12.75" customHeight="1" x14ac:dyDescent="0.25">
      <c r="C277" s="108"/>
      <c r="D277" s="108"/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  <c r="AA277" s="108"/>
      <c r="AB277" s="108"/>
      <c r="AC277" s="108"/>
      <c r="AD277" s="108"/>
      <c r="AE277" s="108"/>
      <c r="AF277" s="108"/>
      <c r="AG277" s="108"/>
      <c r="AH277" s="108"/>
      <c r="AI277" s="108"/>
      <c r="AJ277" s="108"/>
      <c r="AK277" s="108"/>
      <c r="AL277" s="108"/>
      <c r="AM277" s="108"/>
      <c r="AN277" s="108"/>
      <c r="AO277" s="108"/>
      <c r="AP277" s="108"/>
      <c r="AQ277" s="108"/>
      <c r="AR277" s="108"/>
      <c r="AS277" s="108"/>
      <c r="AT277" s="108"/>
      <c r="AU277" s="108"/>
      <c r="AV277" s="108"/>
      <c r="AW277" s="108"/>
      <c r="AX277" s="108"/>
      <c r="AY277" s="108"/>
      <c r="AZ277" s="108"/>
      <c r="BA277" s="108"/>
      <c r="BB277" s="108"/>
    </row>
    <row r="278" spans="3:54" ht="12.75" customHeight="1" x14ac:dyDescent="0.25">
      <c r="C278" s="108"/>
      <c r="D278" s="108"/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  <c r="AA278" s="108"/>
      <c r="AB278" s="108"/>
      <c r="AC278" s="108"/>
      <c r="AD278" s="108"/>
      <c r="AE278" s="108"/>
      <c r="AF278" s="108"/>
      <c r="AG278" s="108"/>
      <c r="AH278" s="108"/>
      <c r="AI278" s="108"/>
      <c r="AJ278" s="108"/>
      <c r="AK278" s="108"/>
      <c r="AL278" s="108"/>
      <c r="AM278" s="108"/>
      <c r="AN278" s="108"/>
      <c r="AO278" s="108"/>
      <c r="AP278" s="108"/>
      <c r="AQ278" s="108"/>
      <c r="AR278" s="108"/>
      <c r="AS278" s="108"/>
      <c r="AT278" s="108"/>
      <c r="AU278" s="108"/>
      <c r="AV278" s="108"/>
      <c r="AW278" s="108"/>
      <c r="AX278" s="108"/>
      <c r="AY278" s="108"/>
      <c r="AZ278" s="108"/>
      <c r="BA278" s="108"/>
      <c r="BB278" s="108"/>
    </row>
    <row r="279" spans="3:54" ht="12.75" customHeight="1" x14ac:dyDescent="0.25">
      <c r="C279" s="108"/>
      <c r="D279" s="108"/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  <c r="AA279" s="108"/>
      <c r="AB279" s="108"/>
      <c r="AC279" s="108"/>
      <c r="AD279" s="108"/>
      <c r="AE279" s="108"/>
      <c r="AF279" s="108"/>
      <c r="AG279" s="108"/>
      <c r="AH279" s="108"/>
      <c r="AI279" s="108"/>
      <c r="AJ279" s="108"/>
      <c r="AK279" s="108"/>
      <c r="AL279" s="108"/>
      <c r="AM279" s="108"/>
      <c r="AN279" s="108"/>
      <c r="AO279" s="108"/>
      <c r="AP279" s="108"/>
      <c r="AQ279" s="108"/>
      <c r="AR279" s="108"/>
      <c r="AS279" s="108"/>
      <c r="AT279" s="108"/>
      <c r="AU279" s="108"/>
      <c r="AV279" s="108"/>
      <c r="AW279" s="108"/>
      <c r="AX279" s="108"/>
      <c r="AY279" s="108"/>
      <c r="AZ279" s="108"/>
      <c r="BA279" s="108"/>
      <c r="BB279" s="108"/>
    </row>
    <row r="280" spans="3:54" ht="12.75" customHeight="1" x14ac:dyDescent="0.25">
      <c r="C280" s="108"/>
      <c r="D280" s="108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  <c r="AA280" s="108"/>
      <c r="AB280" s="108"/>
      <c r="AC280" s="108"/>
      <c r="AD280" s="108"/>
      <c r="AE280" s="108"/>
      <c r="AF280" s="108"/>
      <c r="AG280" s="108"/>
      <c r="AH280" s="108"/>
      <c r="AI280" s="108"/>
      <c r="AJ280" s="108"/>
      <c r="AK280" s="108"/>
      <c r="AL280" s="108"/>
      <c r="AM280" s="108"/>
      <c r="AN280" s="108"/>
      <c r="AO280" s="108"/>
      <c r="AP280" s="108"/>
      <c r="AQ280" s="108"/>
      <c r="AR280" s="108"/>
      <c r="AS280" s="108"/>
      <c r="AT280" s="108"/>
      <c r="AU280" s="108"/>
      <c r="AV280" s="108"/>
      <c r="AW280" s="108"/>
      <c r="AX280" s="108"/>
      <c r="AY280" s="108"/>
      <c r="AZ280" s="108"/>
      <c r="BA280" s="108"/>
      <c r="BB280" s="108"/>
    </row>
    <row r="281" spans="3:54" ht="12.75" customHeight="1" x14ac:dyDescent="0.25">
      <c r="C281" s="108"/>
      <c r="D281" s="108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  <c r="AA281" s="108"/>
      <c r="AB281" s="108"/>
      <c r="AC281" s="108"/>
      <c r="AD281" s="108"/>
      <c r="AE281" s="108"/>
      <c r="AF281" s="108"/>
      <c r="AG281" s="108"/>
      <c r="AH281" s="108"/>
      <c r="AI281" s="108"/>
      <c r="AJ281" s="108"/>
      <c r="AK281" s="108"/>
      <c r="AL281" s="108"/>
      <c r="AM281" s="108"/>
      <c r="AN281" s="108"/>
      <c r="AO281" s="108"/>
      <c r="AP281" s="108"/>
      <c r="AQ281" s="108"/>
      <c r="AR281" s="108"/>
      <c r="AS281" s="108"/>
      <c r="AT281" s="108"/>
      <c r="AU281" s="108"/>
      <c r="AV281" s="108"/>
      <c r="AW281" s="108"/>
      <c r="AX281" s="108"/>
      <c r="AY281" s="108"/>
      <c r="AZ281" s="108"/>
      <c r="BA281" s="108"/>
      <c r="BB281" s="108"/>
    </row>
    <row r="282" spans="3:54" ht="12.75" customHeight="1" x14ac:dyDescent="0.25">
      <c r="C282" s="108"/>
      <c r="D282" s="108"/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  <c r="AA282" s="108"/>
      <c r="AB282" s="108"/>
      <c r="AC282" s="108"/>
      <c r="AD282" s="108"/>
      <c r="AE282" s="108"/>
      <c r="AF282" s="108"/>
      <c r="AG282" s="108"/>
      <c r="AH282" s="108"/>
      <c r="AI282" s="108"/>
      <c r="AJ282" s="108"/>
      <c r="AK282" s="108"/>
      <c r="AL282" s="108"/>
      <c r="AM282" s="108"/>
      <c r="AN282" s="108"/>
      <c r="AO282" s="108"/>
      <c r="AP282" s="108"/>
      <c r="AQ282" s="108"/>
      <c r="AR282" s="108"/>
      <c r="AS282" s="108"/>
      <c r="AT282" s="108"/>
      <c r="AU282" s="108"/>
      <c r="AV282" s="108"/>
      <c r="AW282" s="108"/>
      <c r="AX282" s="108"/>
      <c r="AY282" s="108"/>
      <c r="AZ282" s="108"/>
      <c r="BA282" s="108"/>
      <c r="BB282" s="108"/>
    </row>
    <row r="283" spans="3:54" ht="12.75" customHeight="1" x14ac:dyDescent="0.25">
      <c r="C283" s="108"/>
      <c r="D283" s="108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  <c r="AA283" s="108"/>
      <c r="AB283" s="108"/>
      <c r="AC283" s="108"/>
      <c r="AD283" s="108"/>
      <c r="AE283" s="108"/>
      <c r="AF283" s="108"/>
      <c r="AG283" s="108"/>
      <c r="AH283" s="108"/>
      <c r="AI283" s="108"/>
      <c r="AJ283" s="108"/>
      <c r="AK283" s="108"/>
      <c r="AL283" s="108"/>
      <c r="AM283" s="108"/>
      <c r="AN283" s="108"/>
      <c r="AO283" s="108"/>
      <c r="AP283" s="108"/>
      <c r="AQ283" s="108"/>
      <c r="AR283" s="108"/>
      <c r="AS283" s="108"/>
      <c r="AT283" s="108"/>
      <c r="AU283" s="108"/>
      <c r="AV283" s="108"/>
      <c r="AW283" s="108"/>
      <c r="AX283" s="108"/>
      <c r="AY283" s="108"/>
      <c r="AZ283" s="108"/>
      <c r="BA283" s="108"/>
      <c r="BB283" s="108"/>
    </row>
    <row r="284" spans="3:54" ht="12.75" customHeight="1" x14ac:dyDescent="0.25">
      <c r="C284" s="108"/>
      <c r="D284" s="108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  <c r="AA284" s="108"/>
      <c r="AB284" s="108"/>
      <c r="AC284" s="108"/>
      <c r="AD284" s="108"/>
      <c r="AE284" s="108"/>
      <c r="AF284" s="108"/>
      <c r="AG284" s="108"/>
      <c r="AH284" s="108"/>
      <c r="AI284" s="108"/>
      <c r="AJ284" s="108"/>
      <c r="AK284" s="108"/>
      <c r="AL284" s="108"/>
      <c r="AM284" s="108"/>
      <c r="AN284" s="108"/>
      <c r="AO284" s="108"/>
      <c r="AP284" s="108"/>
      <c r="AQ284" s="108"/>
      <c r="AR284" s="108"/>
      <c r="AS284" s="108"/>
      <c r="AT284" s="108"/>
      <c r="AU284" s="108"/>
      <c r="AV284" s="108"/>
      <c r="AW284" s="108"/>
      <c r="AX284" s="108"/>
      <c r="AY284" s="108"/>
      <c r="AZ284" s="108"/>
      <c r="BA284" s="108"/>
      <c r="BB284" s="108"/>
    </row>
    <row r="285" spans="3:54" ht="12.75" customHeight="1" x14ac:dyDescent="0.25">
      <c r="C285" s="108"/>
      <c r="D285" s="108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  <c r="AA285" s="108"/>
      <c r="AB285" s="108"/>
      <c r="AC285" s="108"/>
      <c r="AD285" s="108"/>
      <c r="AE285" s="108"/>
      <c r="AF285" s="108"/>
      <c r="AG285" s="108"/>
      <c r="AH285" s="108"/>
      <c r="AI285" s="108"/>
      <c r="AJ285" s="108"/>
      <c r="AK285" s="108"/>
      <c r="AL285" s="108"/>
      <c r="AM285" s="108"/>
      <c r="AN285" s="108"/>
      <c r="AO285" s="108"/>
      <c r="AP285" s="108"/>
      <c r="AQ285" s="108"/>
      <c r="AR285" s="108"/>
      <c r="AS285" s="108"/>
      <c r="AT285" s="108"/>
      <c r="AU285" s="108"/>
      <c r="AV285" s="108"/>
      <c r="AW285" s="108"/>
      <c r="AX285" s="108"/>
      <c r="AY285" s="108"/>
      <c r="AZ285" s="108"/>
      <c r="BA285" s="108"/>
      <c r="BB285" s="108"/>
    </row>
    <row r="286" spans="3:54" ht="12.75" customHeight="1" x14ac:dyDescent="0.25">
      <c r="C286" s="108"/>
      <c r="D286" s="108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  <c r="AA286" s="108"/>
      <c r="AB286" s="108"/>
      <c r="AC286" s="108"/>
      <c r="AD286" s="108"/>
      <c r="AE286" s="108"/>
      <c r="AF286" s="108"/>
      <c r="AG286" s="108"/>
      <c r="AH286" s="108"/>
      <c r="AI286" s="108"/>
      <c r="AJ286" s="108"/>
      <c r="AK286" s="108"/>
      <c r="AL286" s="108"/>
      <c r="AM286" s="108"/>
      <c r="AN286" s="108"/>
      <c r="AO286" s="108"/>
      <c r="AP286" s="108"/>
      <c r="AQ286" s="108"/>
      <c r="AR286" s="108"/>
      <c r="AS286" s="108"/>
      <c r="AT286" s="108"/>
      <c r="AU286" s="108"/>
      <c r="AV286" s="108"/>
      <c r="AW286" s="108"/>
      <c r="AX286" s="108"/>
      <c r="AY286" s="108"/>
      <c r="AZ286" s="108"/>
      <c r="BA286" s="108"/>
      <c r="BB286" s="108"/>
    </row>
    <row r="287" spans="3:54" ht="12.75" customHeight="1" x14ac:dyDescent="0.25">
      <c r="C287" s="108"/>
      <c r="D287" s="108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  <c r="AA287" s="108"/>
      <c r="AB287" s="108"/>
      <c r="AC287" s="108"/>
      <c r="AD287" s="108"/>
      <c r="AE287" s="108"/>
      <c r="AF287" s="108"/>
      <c r="AG287" s="108"/>
      <c r="AH287" s="108"/>
      <c r="AI287" s="108"/>
      <c r="AJ287" s="108"/>
      <c r="AK287" s="108"/>
      <c r="AL287" s="108"/>
      <c r="AM287" s="108"/>
      <c r="AN287" s="108"/>
      <c r="AO287" s="108"/>
      <c r="AP287" s="108"/>
      <c r="AQ287" s="108"/>
      <c r="AR287" s="108"/>
      <c r="AS287" s="108"/>
      <c r="AT287" s="108"/>
      <c r="AU287" s="108"/>
      <c r="AV287" s="108"/>
      <c r="AW287" s="108"/>
      <c r="AX287" s="108"/>
      <c r="AY287" s="108"/>
      <c r="AZ287" s="108"/>
      <c r="BA287" s="108"/>
      <c r="BB287" s="108"/>
    </row>
    <row r="288" spans="3:54" ht="12.75" customHeight="1" x14ac:dyDescent="0.25">
      <c r="C288" s="108"/>
      <c r="D288" s="108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  <c r="AA288" s="108"/>
      <c r="AB288" s="108"/>
      <c r="AC288" s="108"/>
      <c r="AD288" s="108"/>
      <c r="AE288" s="108"/>
      <c r="AF288" s="108"/>
      <c r="AG288" s="108"/>
      <c r="AH288" s="108"/>
      <c r="AI288" s="108"/>
      <c r="AJ288" s="108"/>
      <c r="AK288" s="108"/>
      <c r="AL288" s="108"/>
      <c r="AM288" s="108"/>
      <c r="AN288" s="108"/>
      <c r="AO288" s="108"/>
      <c r="AP288" s="108"/>
      <c r="AQ288" s="108"/>
      <c r="AR288" s="108"/>
      <c r="AS288" s="108"/>
      <c r="AT288" s="108"/>
      <c r="AU288" s="108"/>
      <c r="AV288" s="108"/>
      <c r="AW288" s="108"/>
      <c r="AX288" s="108"/>
      <c r="AY288" s="108"/>
      <c r="AZ288" s="108"/>
      <c r="BA288" s="108"/>
      <c r="BB288" s="108"/>
    </row>
    <row r="289" spans="3:54" ht="12.75" customHeight="1" x14ac:dyDescent="0.25">
      <c r="C289" s="108"/>
      <c r="D289" s="108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8"/>
      <c r="AE289" s="108"/>
      <c r="AF289" s="108"/>
      <c r="AG289" s="108"/>
      <c r="AH289" s="108"/>
      <c r="AI289" s="108"/>
      <c r="AJ289" s="108"/>
      <c r="AK289" s="108"/>
      <c r="AL289" s="108"/>
      <c r="AM289" s="108"/>
      <c r="AN289" s="108"/>
      <c r="AO289" s="108"/>
      <c r="AP289" s="108"/>
      <c r="AQ289" s="108"/>
      <c r="AR289" s="108"/>
      <c r="AS289" s="108"/>
      <c r="AT289" s="108"/>
      <c r="AU289" s="108"/>
      <c r="AV289" s="108"/>
      <c r="AW289" s="108"/>
      <c r="AX289" s="108"/>
      <c r="AY289" s="108"/>
      <c r="AZ289" s="108"/>
      <c r="BA289" s="108"/>
      <c r="BB289" s="108"/>
    </row>
    <row r="290" spans="3:54" ht="12.75" customHeight="1" x14ac:dyDescent="0.25">
      <c r="C290" s="108"/>
      <c r="D290" s="108"/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08"/>
      <c r="AG290" s="108"/>
      <c r="AH290" s="108"/>
      <c r="AI290" s="108"/>
      <c r="AJ290" s="108"/>
      <c r="AK290" s="108"/>
      <c r="AL290" s="108"/>
      <c r="AM290" s="108"/>
      <c r="AN290" s="108"/>
      <c r="AO290" s="108"/>
      <c r="AP290" s="108"/>
      <c r="AQ290" s="108"/>
      <c r="AR290" s="108"/>
      <c r="AS290" s="108"/>
      <c r="AT290" s="108"/>
      <c r="AU290" s="108"/>
      <c r="AV290" s="108"/>
      <c r="AW290" s="108"/>
      <c r="AX290" s="108"/>
      <c r="AY290" s="108"/>
      <c r="AZ290" s="108"/>
      <c r="BA290" s="108"/>
      <c r="BB290" s="108"/>
    </row>
    <row r="291" spans="3:54" ht="12.75" customHeight="1" x14ac:dyDescent="0.25">
      <c r="C291" s="108"/>
      <c r="D291" s="108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08"/>
      <c r="AG291" s="108"/>
      <c r="AH291" s="108"/>
      <c r="AI291" s="108"/>
      <c r="AJ291" s="108"/>
      <c r="AK291" s="108"/>
      <c r="AL291" s="108"/>
      <c r="AM291" s="108"/>
      <c r="AN291" s="108"/>
      <c r="AO291" s="108"/>
      <c r="AP291" s="108"/>
      <c r="AQ291" s="108"/>
      <c r="AR291" s="108"/>
      <c r="AS291" s="108"/>
      <c r="AT291" s="108"/>
      <c r="AU291" s="108"/>
      <c r="AV291" s="108"/>
      <c r="AW291" s="108"/>
      <c r="AX291" s="108"/>
      <c r="AY291" s="108"/>
      <c r="AZ291" s="108"/>
      <c r="BA291" s="108"/>
      <c r="BB291" s="108"/>
    </row>
    <row r="292" spans="3:54" ht="12.75" customHeight="1" x14ac:dyDescent="0.25">
      <c r="C292" s="108"/>
      <c r="D292" s="108"/>
      <c r="E292" s="108"/>
      <c r="F292" s="108"/>
      <c r="G292" s="108"/>
      <c r="H292" s="108"/>
      <c r="I292" s="108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  <c r="Z292" s="108"/>
      <c r="AA292" s="108"/>
      <c r="AB292" s="108"/>
      <c r="AC292" s="108"/>
      <c r="AD292" s="108"/>
      <c r="AE292" s="108"/>
      <c r="AF292" s="108"/>
      <c r="AG292" s="108"/>
      <c r="AH292" s="108"/>
      <c r="AI292" s="108"/>
      <c r="AJ292" s="108"/>
      <c r="AK292" s="108"/>
      <c r="AL292" s="108"/>
      <c r="AM292" s="108"/>
      <c r="AN292" s="108"/>
      <c r="AO292" s="108"/>
      <c r="AP292" s="108"/>
      <c r="AQ292" s="108"/>
      <c r="AR292" s="108"/>
      <c r="AS292" s="108"/>
      <c r="AT292" s="108"/>
      <c r="AU292" s="108"/>
      <c r="AV292" s="108"/>
      <c r="AW292" s="108"/>
      <c r="AX292" s="108"/>
      <c r="AY292" s="108"/>
      <c r="AZ292" s="108"/>
      <c r="BA292" s="108"/>
      <c r="BB292" s="108"/>
    </row>
    <row r="293" spans="3:54" ht="12.75" customHeight="1" x14ac:dyDescent="0.25">
      <c r="C293" s="108"/>
      <c r="D293" s="108"/>
      <c r="E293" s="108"/>
      <c r="F293" s="108"/>
      <c r="G293" s="108"/>
      <c r="H293" s="108"/>
      <c r="I293" s="108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  <c r="Z293" s="108"/>
      <c r="AA293" s="108"/>
      <c r="AB293" s="108"/>
      <c r="AC293" s="108"/>
      <c r="AD293" s="108"/>
      <c r="AE293" s="108"/>
      <c r="AF293" s="108"/>
      <c r="AG293" s="108"/>
      <c r="AH293" s="108"/>
      <c r="AI293" s="108"/>
      <c r="AJ293" s="108"/>
      <c r="AK293" s="108"/>
      <c r="AL293" s="108"/>
      <c r="AM293" s="108"/>
      <c r="AN293" s="108"/>
      <c r="AO293" s="108"/>
      <c r="AP293" s="108"/>
      <c r="AQ293" s="108"/>
      <c r="AR293" s="108"/>
      <c r="AS293" s="108"/>
      <c r="AT293" s="108"/>
      <c r="AU293" s="108"/>
      <c r="AV293" s="108"/>
      <c r="AW293" s="108"/>
      <c r="AX293" s="108"/>
      <c r="AY293" s="108"/>
      <c r="AZ293" s="108"/>
      <c r="BA293" s="108"/>
      <c r="BB293" s="108"/>
    </row>
    <row r="294" spans="3:54" ht="12.75" customHeight="1" x14ac:dyDescent="0.25">
      <c r="C294" s="108"/>
      <c r="D294" s="108"/>
      <c r="E294" s="108"/>
      <c r="F294" s="108"/>
      <c r="G294" s="108"/>
      <c r="H294" s="108"/>
      <c r="I294" s="108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  <c r="Z294" s="108"/>
      <c r="AA294" s="108"/>
      <c r="AB294" s="108"/>
      <c r="AC294" s="108"/>
      <c r="AD294" s="108"/>
      <c r="AE294" s="108"/>
      <c r="AF294" s="108"/>
      <c r="AG294" s="108"/>
      <c r="AH294" s="108"/>
      <c r="AI294" s="108"/>
      <c r="AJ294" s="108"/>
      <c r="AK294" s="108"/>
      <c r="AL294" s="108"/>
      <c r="AM294" s="108"/>
      <c r="AN294" s="108"/>
      <c r="AO294" s="108"/>
      <c r="AP294" s="108"/>
      <c r="AQ294" s="108"/>
      <c r="AR294" s="108"/>
      <c r="AS294" s="108"/>
      <c r="AT294" s="108"/>
      <c r="AU294" s="108"/>
      <c r="AV294" s="108"/>
      <c r="AW294" s="108"/>
      <c r="AX294" s="108"/>
      <c r="AY294" s="108"/>
      <c r="AZ294" s="108"/>
      <c r="BA294" s="108"/>
      <c r="BB294" s="108"/>
    </row>
    <row r="295" spans="3:54" ht="12.75" customHeight="1" x14ac:dyDescent="0.25">
      <c r="C295" s="108"/>
      <c r="D295" s="108"/>
      <c r="E295" s="108"/>
      <c r="F295" s="108"/>
      <c r="G295" s="108"/>
      <c r="H295" s="108"/>
      <c r="I295" s="108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  <c r="Z295" s="108"/>
      <c r="AA295" s="108"/>
      <c r="AB295" s="108"/>
      <c r="AC295" s="108"/>
      <c r="AD295" s="108"/>
      <c r="AE295" s="108"/>
      <c r="AF295" s="108"/>
      <c r="AG295" s="108"/>
      <c r="AH295" s="108"/>
      <c r="AI295" s="108"/>
      <c r="AJ295" s="108"/>
      <c r="AK295" s="108"/>
      <c r="AL295" s="108"/>
      <c r="AM295" s="108"/>
      <c r="AN295" s="108"/>
      <c r="AO295" s="108"/>
      <c r="AP295" s="108"/>
      <c r="AQ295" s="108"/>
      <c r="AR295" s="108"/>
      <c r="AS295" s="108"/>
      <c r="AT295" s="108"/>
      <c r="AU295" s="108"/>
      <c r="AV295" s="108"/>
      <c r="AW295" s="108"/>
      <c r="AX295" s="108"/>
      <c r="AY295" s="108"/>
      <c r="AZ295" s="108"/>
      <c r="BA295" s="108"/>
      <c r="BB295" s="108"/>
    </row>
    <row r="296" spans="3:54" ht="12.75" customHeight="1" x14ac:dyDescent="0.25">
      <c r="C296" s="108"/>
      <c r="D296" s="108"/>
      <c r="E296" s="108"/>
      <c r="F296" s="108"/>
      <c r="G296" s="108"/>
      <c r="H296" s="108"/>
      <c r="I296" s="108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  <c r="Z296" s="108"/>
      <c r="AA296" s="108"/>
      <c r="AB296" s="108"/>
      <c r="AC296" s="108"/>
      <c r="AD296" s="108"/>
      <c r="AE296" s="108"/>
      <c r="AF296" s="108"/>
      <c r="AG296" s="108"/>
      <c r="AH296" s="108"/>
      <c r="AI296" s="108"/>
      <c r="AJ296" s="108"/>
      <c r="AK296" s="108"/>
      <c r="AL296" s="108"/>
      <c r="AM296" s="108"/>
      <c r="AN296" s="108"/>
      <c r="AO296" s="108"/>
      <c r="AP296" s="108"/>
      <c r="AQ296" s="108"/>
      <c r="AR296" s="108"/>
      <c r="AS296" s="108"/>
      <c r="AT296" s="108"/>
      <c r="AU296" s="108"/>
      <c r="AV296" s="108"/>
      <c r="AW296" s="108"/>
      <c r="AX296" s="108"/>
      <c r="AY296" s="108"/>
      <c r="AZ296" s="108"/>
      <c r="BA296" s="108"/>
      <c r="BB296" s="108"/>
    </row>
    <row r="297" spans="3:54" ht="12.75" customHeight="1" x14ac:dyDescent="0.25">
      <c r="C297" s="108"/>
      <c r="D297" s="108"/>
      <c r="E297" s="108"/>
      <c r="F297" s="108"/>
      <c r="G297" s="108"/>
      <c r="H297" s="108"/>
      <c r="I297" s="108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  <c r="Z297" s="108"/>
      <c r="AA297" s="108"/>
      <c r="AB297" s="108"/>
      <c r="AC297" s="108"/>
      <c r="AD297" s="108"/>
      <c r="AE297" s="108"/>
      <c r="AF297" s="108"/>
      <c r="AG297" s="108"/>
      <c r="AH297" s="108"/>
      <c r="AI297" s="108"/>
      <c r="AJ297" s="108"/>
      <c r="AK297" s="108"/>
      <c r="AL297" s="108"/>
      <c r="AM297" s="108"/>
      <c r="AN297" s="108"/>
      <c r="AO297" s="108"/>
      <c r="AP297" s="108"/>
      <c r="AQ297" s="108"/>
      <c r="AR297" s="108"/>
      <c r="AS297" s="108"/>
      <c r="AT297" s="108"/>
      <c r="AU297" s="108"/>
      <c r="AV297" s="108"/>
      <c r="AW297" s="108"/>
      <c r="AX297" s="108"/>
      <c r="AY297" s="108"/>
      <c r="AZ297" s="108"/>
      <c r="BA297" s="108"/>
      <c r="BB297" s="108"/>
    </row>
    <row r="298" spans="3:54" ht="12.75" customHeight="1" x14ac:dyDescent="0.25">
      <c r="C298" s="108"/>
      <c r="D298" s="108"/>
      <c r="E298" s="108"/>
      <c r="F298" s="108"/>
      <c r="G298" s="108"/>
      <c r="H298" s="108"/>
      <c r="I298" s="108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  <c r="Z298" s="108"/>
      <c r="AA298" s="108"/>
      <c r="AB298" s="108"/>
      <c r="AC298" s="108"/>
      <c r="AD298" s="108"/>
      <c r="AE298" s="108"/>
      <c r="AF298" s="108"/>
      <c r="AG298" s="108"/>
      <c r="AH298" s="108"/>
      <c r="AI298" s="108"/>
      <c r="AJ298" s="108"/>
      <c r="AK298" s="108"/>
      <c r="AL298" s="108"/>
      <c r="AM298" s="108"/>
      <c r="AN298" s="108"/>
      <c r="AO298" s="108"/>
      <c r="AP298" s="108"/>
      <c r="AQ298" s="108"/>
      <c r="AR298" s="108"/>
      <c r="AS298" s="108"/>
      <c r="AT298" s="108"/>
      <c r="AU298" s="108"/>
      <c r="AV298" s="108"/>
      <c r="AW298" s="108"/>
      <c r="AX298" s="108"/>
      <c r="AY298" s="108"/>
      <c r="AZ298" s="108"/>
      <c r="BA298" s="108"/>
      <c r="BB298" s="108"/>
    </row>
    <row r="299" spans="3:54" ht="12.75" customHeight="1" x14ac:dyDescent="0.25">
      <c r="C299" s="108"/>
      <c r="D299" s="108"/>
      <c r="E299" s="108"/>
      <c r="F299" s="108"/>
      <c r="G299" s="108"/>
      <c r="H299" s="108"/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  <c r="Z299" s="108"/>
      <c r="AA299" s="108"/>
      <c r="AB299" s="108"/>
      <c r="AC299" s="108"/>
      <c r="AD299" s="108"/>
      <c r="AE299" s="108"/>
      <c r="AF299" s="108"/>
      <c r="AG299" s="108"/>
      <c r="AH299" s="108"/>
      <c r="AI299" s="108"/>
      <c r="AJ299" s="108"/>
      <c r="AK299" s="108"/>
      <c r="AL299" s="108"/>
      <c r="AM299" s="108"/>
      <c r="AN299" s="108"/>
      <c r="AO299" s="108"/>
      <c r="AP299" s="108"/>
      <c r="AQ299" s="108"/>
      <c r="AR299" s="108"/>
      <c r="AS299" s="108"/>
      <c r="AT299" s="108"/>
      <c r="AU299" s="108"/>
      <c r="AV299" s="108"/>
      <c r="AW299" s="108"/>
      <c r="AX299" s="108"/>
      <c r="AY299" s="108"/>
      <c r="AZ299" s="108"/>
      <c r="BA299" s="108"/>
      <c r="BB299" s="108"/>
    </row>
    <row r="300" spans="3:54" ht="12.75" customHeight="1" x14ac:dyDescent="0.25">
      <c r="C300" s="108"/>
      <c r="D300" s="108"/>
      <c r="E300" s="108"/>
      <c r="F300" s="108"/>
      <c r="G300" s="108"/>
      <c r="H300" s="108"/>
      <c r="I300" s="108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  <c r="Z300" s="108"/>
      <c r="AA300" s="108"/>
      <c r="AB300" s="108"/>
      <c r="AC300" s="108"/>
      <c r="AD300" s="108"/>
      <c r="AE300" s="108"/>
      <c r="AF300" s="108"/>
      <c r="AG300" s="108"/>
      <c r="AH300" s="108"/>
      <c r="AI300" s="108"/>
      <c r="AJ300" s="108"/>
      <c r="AK300" s="108"/>
      <c r="AL300" s="108"/>
      <c r="AM300" s="108"/>
      <c r="AN300" s="108"/>
      <c r="AO300" s="108"/>
      <c r="AP300" s="108"/>
      <c r="AQ300" s="108"/>
      <c r="AR300" s="108"/>
      <c r="AS300" s="108"/>
      <c r="AT300" s="108"/>
      <c r="AU300" s="108"/>
      <c r="AV300" s="108"/>
      <c r="AW300" s="108"/>
      <c r="AX300" s="108"/>
      <c r="AY300" s="108"/>
      <c r="AZ300" s="108"/>
      <c r="BA300" s="108"/>
      <c r="BB300" s="108"/>
    </row>
    <row r="301" spans="3:54" ht="12.75" customHeight="1" x14ac:dyDescent="0.25">
      <c r="C301" s="108"/>
      <c r="D301" s="108"/>
      <c r="E301" s="108"/>
      <c r="F301" s="108"/>
      <c r="G301" s="108"/>
      <c r="H301" s="108"/>
      <c r="I301" s="108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  <c r="Z301" s="108"/>
      <c r="AA301" s="108"/>
      <c r="AB301" s="108"/>
      <c r="AC301" s="108"/>
      <c r="AD301" s="108"/>
      <c r="AE301" s="108"/>
      <c r="AF301" s="108"/>
      <c r="AG301" s="108"/>
      <c r="AH301" s="108"/>
      <c r="AI301" s="108"/>
      <c r="AJ301" s="108"/>
      <c r="AK301" s="108"/>
      <c r="AL301" s="108"/>
      <c r="AM301" s="108"/>
      <c r="AN301" s="108"/>
      <c r="AO301" s="108"/>
      <c r="AP301" s="108"/>
      <c r="AQ301" s="108"/>
      <c r="AR301" s="108"/>
      <c r="AS301" s="108"/>
      <c r="AT301" s="108"/>
      <c r="AU301" s="108"/>
      <c r="AV301" s="108"/>
      <c r="AW301" s="108"/>
      <c r="AX301" s="108"/>
      <c r="AY301" s="108"/>
      <c r="AZ301" s="108"/>
      <c r="BA301" s="108"/>
      <c r="BB301" s="108"/>
    </row>
    <row r="302" spans="3:54" ht="12.75" customHeight="1" x14ac:dyDescent="0.25">
      <c r="C302" s="108"/>
      <c r="D302" s="108"/>
      <c r="E302" s="108"/>
      <c r="F302" s="108"/>
      <c r="G302" s="108"/>
      <c r="H302" s="108"/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  <c r="Z302" s="108"/>
      <c r="AA302" s="108"/>
      <c r="AB302" s="108"/>
      <c r="AC302" s="108"/>
      <c r="AD302" s="108"/>
      <c r="AE302" s="108"/>
      <c r="AF302" s="108"/>
      <c r="AG302" s="108"/>
      <c r="AH302" s="108"/>
      <c r="AI302" s="108"/>
      <c r="AJ302" s="108"/>
      <c r="AK302" s="108"/>
      <c r="AL302" s="108"/>
      <c r="AM302" s="108"/>
      <c r="AN302" s="108"/>
      <c r="AO302" s="108"/>
      <c r="AP302" s="108"/>
      <c r="AQ302" s="108"/>
      <c r="AR302" s="108"/>
      <c r="AS302" s="108"/>
      <c r="AT302" s="108"/>
      <c r="AU302" s="108"/>
      <c r="AV302" s="108"/>
      <c r="AW302" s="108"/>
      <c r="AX302" s="108"/>
      <c r="AY302" s="108"/>
      <c r="AZ302" s="108"/>
      <c r="BA302" s="108"/>
      <c r="BB302" s="108"/>
    </row>
    <row r="303" spans="3:54" ht="12.75" customHeight="1" x14ac:dyDescent="0.25">
      <c r="C303" s="108"/>
      <c r="D303" s="108"/>
      <c r="E303" s="108"/>
      <c r="F303" s="108"/>
      <c r="G303" s="108"/>
      <c r="H303" s="108"/>
      <c r="I303" s="108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  <c r="Z303" s="108"/>
      <c r="AA303" s="108"/>
      <c r="AB303" s="108"/>
      <c r="AC303" s="108"/>
      <c r="AD303" s="108"/>
      <c r="AE303" s="108"/>
      <c r="AF303" s="108"/>
      <c r="AG303" s="108"/>
      <c r="AH303" s="108"/>
      <c r="AI303" s="108"/>
      <c r="AJ303" s="108"/>
      <c r="AK303" s="108"/>
      <c r="AL303" s="108"/>
      <c r="AM303" s="108"/>
      <c r="AN303" s="108"/>
      <c r="AO303" s="108"/>
      <c r="AP303" s="108"/>
      <c r="AQ303" s="108"/>
      <c r="AR303" s="108"/>
      <c r="AS303" s="108"/>
      <c r="AT303" s="108"/>
      <c r="AU303" s="108"/>
      <c r="AV303" s="108"/>
      <c r="AW303" s="108"/>
      <c r="AX303" s="108"/>
      <c r="AY303" s="108"/>
      <c r="AZ303" s="108"/>
      <c r="BA303" s="108"/>
      <c r="BB303" s="108"/>
    </row>
    <row r="304" spans="3:54" ht="12.75" customHeight="1" x14ac:dyDescent="0.25">
      <c r="C304" s="108"/>
      <c r="D304" s="108"/>
      <c r="E304" s="108"/>
      <c r="F304" s="108"/>
      <c r="G304" s="108"/>
      <c r="H304" s="108"/>
      <c r="I304" s="108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  <c r="Z304" s="108"/>
      <c r="AA304" s="108"/>
      <c r="AB304" s="108"/>
      <c r="AC304" s="108"/>
      <c r="AD304" s="108"/>
      <c r="AE304" s="108"/>
      <c r="AF304" s="108"/>
      <c r="AG304" s="108"/>
      <c r="AH304" s="108"/>
      <c r="AI304" s="108"/>
      <c r="AJ304" s="108"/>
      <c r="AK304" s="108"/>
      <c r="AL304" s="108"/>
      <c r="AM304" s="108"/>
      <c r="AN304" s="108"/>
      <c r="AO304" s="108"/>
      <c r="AP304" s="108"/>
      <c r="AQ304" s="108"/>
      <c r="AR304" s="108"/>
      <c r="AS304" s="108"/>
      <c r="AT304" s="108"/>
      <c r="AU304" s="108"/>
      <c r="AV304" s="108"/>
      <c r="AW304" s="108"/>
      <c r="AX304" s="108"/>
      <c r="AY304" s="108"/>
      <c r="AZ304" s="108"/>
      <c r="BA304" s="108"/>
      <c r="BB304" s="108"/>
    </row>
    <row r="305" spans="3:54" ht="12.75" customHeight="1" x14ac:dyDescent="0.25">
      <c r="C305" s="108"/>
      <c r="D305" s="108"/>
      <c r="E305" s="108"/>
      <c r="F305" s="108"/>
      <c r="G305" s="108"/>
      <c r="H305" s="108"/>
      <c r="I305" s="108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  <c r="T305" s="108"/>
      <c r="U305" s="108"/>
      <c r="V305" s="108"/>
      <c r="W305" s="108"/>
      <c r="X305" s="108"/>
      <c r="Y305" s="108"/>
      <c r="Z305" s="108"/>
      <c r="AA305" s="108"/>
      <c r="AB305" s="108"/>
      <c r="AC305" s="108"/>
      <c r="AD305" s="108"/>
      <c r="AE305" s="108"/>
      <c r="AF305" s="108"/>
      <c r="AG305" s="108"/>
      <c r="AH305" s="108"/>
      <c r="AI305" s="108"/>
      <c r="AJ305" s="108"/>
      <c r="AK305" s="108"/>
      <c r="AL305" s="108"/>
      <c r="AM305" s="108"/>
      <c r="AN305" s="108"/>
      <c r="AO305" s="108"/>
      <c r="AP305" s="108"/>
      <c r="AQ305" s="108"/>
      <c r="AR305" s="108"/>
      <c r="AS305" s="108"/>
      <c r="AT305" s="108"/>
      <c r="AU305" s="108"/>
      <c r="AV305" s="108"/>
      <c r="AW305" s="108"/>
      <c r="AX305" s="108"/>
      <c r="AY305" s="108"/>
      <c r="AZ305" s="108"/>
      <c r="BA305" s="108"/>
      <c r="BB305" s="108"/>
    </row>
    <row r="306" spans="3:54" ht="12.75" customHeight="1" x14ac:dyDescent="0.25">
      <c r="C306" s="108"/>
      <c r="D306" s="108"/>
      <c r="E306" s="108"/>
      <c r="F306" s="108"/>
      <c r="G306" s="108"/>
      <c r="H306" s="108"/>
      <c r="I306" s="108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  <c r="T306" s="108"/>
      <c r="U306" s="108"/>
      <c r="V306" s="108"/>
      <c r="W306" s="108"/>
      <c r="X306" s="108"/>
      <c r="Y306" s="108"/>
      <c r="Z306" s="108"/>
      <c r="AA306" s="108"/>
      <c r="AB306" s="108"/>
      <c r="AC306" s="108"/>
      <c r="AD306" s="108"/>
      <c r="AE306" s="108"/>
      <c r="AF306" s="108"/>
      <c r="AG306" s="108"/>
      <c r="AH306" s="108"/>
      <c r="AI306" s="108"/>
      <c r="AJ306" s="108"/>
      <c r="AK306" s="108"/>
      <c r="AL306" s="108"/>
      <c r="AM306" s="108"/>
      <c r="AN306" s="108"/>
      <c r="AO306" s="108"/>
      <c r="AP306" s="108"/>
      <c r="AQ306" s="108"/>
      <c r="AR306" s="108"/>
      <c r="AS306" s="108"/>
      <c r="AT306" s="108"/>
      <c r="AU306" s="108"/>
      <c r="AV306" s="108"/>
      <c r="AW306" s="108"/>
      <c r="AX306" s="108"/>
      <c r="AY306" s="108"/>
      <c r="AZ306" s="108"/>
      <c r="BA306" s="108"/>
      <c r="BB306" s="108"/>
    </row>
    <row r="307" spans="3:54" ht="12.75" customHeight="1" x14ac:dyDescent="0.25">
      <c r="C307" s="108"/>
      <c r="D307" s="108"/>
      <c r="E307" s="108"/>
      <c r="F307" s="108"/>
      <c r="G307" s="108"/>
      <c r="H307" s="108"/>
      <c r="I307" s="108"/>
      <c r="J307" s="108"/>
      <c r="K307" s="108"/>
      <c r="L307" s="108"/>
      <c r="M307" s="108"/>
      <c r="N307" s="108"/>
      <c r="O307" s="108"/>
      <c r="P307" s="108"/>
      <c r="Q307" s="108"/>
      <c r="R307" s="108"/>
      <c r="S307" s="108"/>
      <c r="T307" s="108"/>
      <c r="U307" s="108"/>
      <c r="V307" s="108"/>
      <c r="W307" s="108"/>
      <c r="X307" s="108"/>
      <c r="Y307" s="108"/>
      <c r="Z307" s="108"/>
      <c r="AA307" s="108"/>
      <c r="AB307" s="108"/>
      <c r="AC307" s="108"/>
      <c r="AD307" s="108"/>
      <c r="AE307" s="108"/>
      <c r="AF307" s="108"/>
      <c r="AG307" s="108"/>
      <c r="AH307" s="108"/>
      <c r="AI307" s="108"/>
      <c r="AJ307" s="108"/>
      <c r="AK307" s="108"/>
      <c r="AL307" s="108"/>
      <c r="AM307" s="108"/>
      <c r="AN307" s="108"/>
      <c r="AO307" s="108"/>
      <c r="AP307" s="108"/>
      <c r="AQ307" s="108"/>
      <c r="AR307" s="108"/>
      <c r="AS307" s="108"/>
      <c r="AT307" s="108"/>
      <c r="AU307" s="108"/>
      <c r="AV307" s="108"/>
      <c r="AW307" s="108"/>
      <c r="AX307" s="108"/>
      <c r="AY307" s="108"/>
      <c r="AZ307" s="108"/>
      <c r="BA307" s="108"/>
      <c r="BB307" s="108"/>
    </row>
    <row r="308" spans="3:54" ht="12.75" customHeight="1" x14ac:dyDescent="0.25">
      <c r="C308" s="108"/>
      <c r="D308" s="108"/>
      <c r="E308" s="108"/>
      <c r="F308" s="108"/>
      <c r="G308" s="108"/>
      <c r="H308" s="108"/>
      <c r="I308" s="108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  <c r="T308" s="108"/>
      <c r="U308" s="108"/>
      <c r="V308" s="108"/>
      <c r="W308" s="108"/>
      <c r="X308" s="108"/>
      <c r="Y308" s="108"/>
      <c r="Z308" s="108"/>
      <c r="AA308" s="108"/>
      <c r="AB308" s="108"/>
      <c r="AC308" s="108"/>
      <c r="AD308" s="108"/>
      <c r="AE308" s="108"/>
      <c r="AF308" s="108"/>
      <c r="AG308" s="108"/>
      <c r="AH308" s="108"/>
      <c r="AI308" s="108"/>
      <c r="AJ308" s="108"/>
      <c r="AK308" s="108"/>
      <c r="AL308" s="108"/>
      <c r="AM308" s="108"/>
      <c r="AN308" s="108"/>
      <c r="AO308" s="108"/>
      <c r="AP308" s="108"/>
      <c r="AQ308" s="108"/>
      <c r="AR308" s="108"/>
      <c r="AS308" s="108"/>
      <c r="AT308" s="108"/>
      <c r="AU308" s="108"/>
      <c r="AV308" s="108"/>
      <c r="AW308" s="108"/>
      <c r="AX308" s="108"/>
      <c r="AY308" s="108"/>
      <c r="AZ308" s="108"/>
      <c r="BA308" s="108"/>
      <c r="BB308" s="108"/>
    </row>
    <row r="309" spans="3:54" ht="12.75" customHeight="1" x14ac:dyDescent="0.25">
      <c r="C309" s="108"/>
      <c r="D309" s="108"/>
      <c r="E309" s="108"/>
      <c r="F309" s="108"/>
      <c r="G309" s="108"/>
      <c r="H309" s="108"/>
      <c r="I309" s="108"/>
      <c r="J309" s="108"/>
      <c r="K309" s="108"/>
      <c r="L309" s="108"/>
      <c r="M309" s="108"/>
      <c r="N309" s="108"/>
      <c r="O309" s="108"/>
      <c r="P309" s="108"/>
      <c r="Q309" s="108"/>
      <c r="R309" s="108"/>
      <c r="S309" s="108"/>
      <c r="T309" s="108"/>
      <c r="U309" s="108"/>
      <c r="V309" s="108"/>
      <c r="W309" s="108"/>
      <c r="X309" s="108"/>
      <c r="Y309" s="108"/>
      <c r="Z309" s="108"/>
      <c r="AA309" s="108"/>
      <c r="AB309" s="108"/>
      <c r="AC309" s="108"/>
      <c r="AD309" s="108"/>
      <c r="AE309" s="108"/>
      <c r="AF309" s="108"/>
      <c r="AG309" s="108"/>
      <c r="AH309" s="108"/>
      <c r="AI309" s="108"/>
      <c r="AJ309" s="108"/>
      <c r="AK309" s="108"/>
      <c r="AL309" s="108"/>
      <c r="AM309" s="108"/>
      <c r="AN309" s="108"/>
      <c r="AO309" s="108"/>
      <c r="AP309" s="108"/>
      <c r="AQ309" s="108"/>
      <c r="AR309" s="108"/>
      <c r="AS309" s="108"/>
      <c r="AT309" s="108"/>
      <c r="AU309" s="108"/>
      <c r="AV309" s="108"/>
      <c r="AW309" s="108"/>
      <c r="AX309" s="108"/>
      <c r="AY309" s="108"/>
      <c r="AZ309" s="108"/>
      <c r="BA309" s="108"/>
      <c r="BB309" s="108"/>
    </row>
    <row r="310" spans="3:54" ht="12.75" customHeight="1" x14ac:dyDescent="0.25">
      <c r="C310" s="108"/>
      <c r="D310" s="108"/>
      <c r="E310" s="108"/>
      <c r="F310" s="108"/>
      <c r="G310" s="108"/>
      <c r="H310" s="108"/>
      <c r="I310" s="108"/>
      <c r="J310" s="108"/>
      <c r="K310" s="108"/>
      <c r="L310" s="108"/>
      <c r="M310" s="108"/>
      <c r="N310" s="108"/>
      <c r="O310" s="108"/>
      <c r="P310" s="108"/>
      <c r="Q310" s="108"/>
      <c r="R310" s="108"/>
      <c r="S310" s="108"/>
      <c r="T310" s="108"/>
      <c r="U310" s="108"/>
      <c r="V310" s="108"/>
      <c r="W310" s="108"/>
      <c r="X310" s="108"/>
      <c r="Y310" s="108"/>
      <c r="Z310" s="108"/>
      <c r="AA310" s="108"/>
      <c r="AB310" s="108"/>
      <c r="AC310" s="108"/>
      <c r="AD310" s="108"/>
      <c r="AE310" s="108"/>
      <c r="AF310" s="108"/>
      <c r="AG310" s="108"/>
      <c r="AH310" s="108"/>
      <c r="AI310" s="108"/>
      <c r="AJ310" s="108"/>
      <c r="AK310" s="108"/>
      <c r="AL310" s="108"/>
      <c r="AM310" s="108"/>
      <c r="AN310" s="108"/>
      <c r="AO310" s="108"/>
      <c r="AP310" s="108"/>
      <c r="AQ310" s="108"/>
      <c r="AR310" s="108"/>
      <c r="AS310" s="108"/>
      <c r="AT310" s="108"/>
      <c r="AU310" s="108"/>
      <c r="AV310" s="108"/>
      <c r="AW310" s="108"/>
      <c r="AX310" s="108"/>
      <c r="AY310" s="108"/>
      <c r="AZ310" s="108"/>
      <c r="BA310" s="108"/>
      <c r="BB310" s="108"/>
    </row>
    <row r="311" spans="3:54" ht="12.75" customHeight="1" x14ac:dyDescent="0.25">
      <c r="C311" s="108"/>
      <c r="D311" s="108"/>
      <c r="E311" s="108"/>
      <c r="F311" s="108"/>
      <c r="G311" s="108"/>
      <c r="H311" s="108"/>
      <c r="I311" s="108"/>
      <c r="J311" s="108"/>
      <c r="K311" s="108"/>
      <c r="L311" s="108"/>
      <c r="M311" s="108"/>
      <c r="N311" s="108"/>
      <c r="O311" s="108"/>
      <c r="P311" s="108"/>
      <c r="Q311" s="108"/>
      <c r="R311" s="108"/>
      <c r="S311" s="108"/>
      <c r="T311" s="108"/>
      <c r="U311" s="108"/>
      <c r="V311" s="108"/>
      <c r="W311" s="108"/>
      <c r="X311" s="108"/>
      <c r="Y311" s="108"/>
      <c r="Z311" s="108"/>
      <c r="AA311" s="108"/>
      <c r="AB311" s="108"/>
      <c r="AC311" s="108"/>
      <c r="AD311" s="108"/>
      <c r="AE311" s="108"/>
      <c r="AF311" s="108"/>
      <c r="AG311" s="108"/>
      <c r="AH311" s="108"/>
      <c r="AI311" s="108"/>
      <c r="AJ311" s="108"/>
      <c r="AK311" s="108"/>
      <c r="AL311" s="108"/>
      <c r="AM311" s="108"/>
      <c r="AN311" s="108"/>
      <c r="AO311" s="108"/>
      <c r="AP311" s="108"/>
      <c r="AQ311" s="108"/>
      <c r="AR311" s="108"/>
      <c r="AS311" s="108"/>
      <c r="AT311" s="108"/>
      <c r="AU311" s="108"/>
      <c r="AV311" s="108"/>
      <c r="AW311" s="108"/>
      <c r="AX311" s="108"/>
      <c r="AY311" s="108"/>
      <c r="AZ311" s="108"/>
      <c r="BA311" s="108"/>
      <c r="BB311" s="108"/>
    </row>
    <row r="312" spans="3:54" ht="12.75" customHeight="1" x14ac:dyDescent="0.25">
      <c r="C312" s="108"/>
      <c r="D312" s="108"/>
      <c r="E312" s="108"/>
      <c r="F312" s="108"/>
      <c r="G312" s="108"/>
      <c r="H312" s="108"/>
      <c r="I312" s="108"/>
      <c r="J312" s="108"/>
      <c r="K312" s="108"/>
      <c r="L312" s="108"/>
      <c r="M312" s="108"/>
      <c r="N312" s="108"/>
      <c r="O312" s="108"/>
      <c r="P312" s="108"/>
      <c r="Q312" s="108"/>
      <c r="R312" s="108"/>
      <c r="S312" s="108"/>
      <c r="T312" s="108"/>
      <c r="U312" s="108"/>
      <c r="V312" s="108"/>
      <c r="W312" s="108"/>
      <c r="X312" s="108"/>
      <c r="Y312" s="108"/>
      <c r="Z312" s="108"/>
      <c r="AA312" s="108"/>
      <c r="AB312" s="108"/>
      <c r="AC312" s="108"/>
      <c r="AD312" s="108"/>
      <c r="AE312" s="108"/>
      <c r="AF312" s="108"/>
      <c r="AG312" s="108"/>
      <c r="AH312" s="108"/>
      <c r="AI312" s="108"/>
      <c r="AJ312" s="108"/>
      <c r="AK312" s="108"/>
      <c r="AL312" s="108"/>
      <c r="AM312" s="108"/>
      <c r="AN312" s="108"/>
      <c r="AO312" s="108"/>
      <c r="AP312" s="108"/>
      <c r="AQ312" s="108"/>
      <c r="AR312" s="108"/>
      <c r="AS312" s="108"/>
      <c r="AT312" s="108"/>
      <c r="AU312" s="108"/>
      <c r="AV312" s="108"/>
      <c r="AW312" s="108"/>
      <c r="AX312" s="108"/>
      <c r="AY312" s="108"/>
      <c r="AZ312" s="108"/>
      <c r="BA312" s="108"/>
      <c r="BB312" s="108"/>
    </row>
    <row r="313" spans="3:54" ht="12.75" customHeight="1" x14ac:dyDescent="0.25">
      <c r="C313" s="108"/>
      <c r="D313" s="108"/>
      <c r="E313" s="108"/>
      <c r="F313" s="108"/>
      <c r="G313" s="108"/>
      <c r="H313" s="108"/>
      <c r="I313" s="108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  <c r="T313" s="108"/>
      <c r="U313" s="108"/>
      <c r="V313" s="108"/>
      <c r="W313" s="108"/>
      <c r="X313" s="108"/>
      <c r="Y313" s="108"/>
      <c r="Z313" s="108"/>
      <c r="AA313" s="108"/>
      <c r="AB313" s="108"/>
      <c r="AC313" s="108"/>
      <c r="AD313" s="108"/>
      <c r="AE313" s="108"/>
      <c r="AF313" s="108"/>
      <c r="AG313" s="108"/>
      <c r="AH313" s="108"/>
      <c r="AI313" s="108"/>
      <c r="AJ313" s="108"/>
      <c r="AK313" s="108"/>
      <c r="AL313" s="108"/>
      <c r="AM313" s="108"/>
      <c r="AN313" s="108"/>
      <c r="AO313" s="108"/>
      <c r="AP313" s="108"/>
      <c r="AQ313" s="108"/>
      <c r="AR313" s="108"/>
      <c r="AS313" s="108"/>
      <c r="AT313" s="108"/>
      <c r="AU313" s="108"/>
      <c r="AV313" s="108"/>
      <c r="AW313" s="108"/>
      <c r="AX313" s="108"/>
      <c r="AY313" s="108"/>
      <c r="AZ313" s="108"/>
      <c r="BA313" s="108"/>
      <c r="BB313" s="108"/>
    </row>
    <row r="314" spans="3:54" ht="12.75" customHeight="1" x14ac:dyDescent="0.25">
      <c r="C314" s="108"/>
      <c r="D314" s="108"/>
      <c r="E314" s="108"/>
      <c r="F314" s="108"/>
      <c r="G314" s="108"/>
      <c r="H314" s="108"/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  <c r="Z314" s="108"/>
      <c r="AA314" s="108"/>
      <c r="AB314" s="108"/>
      <c r="AC314" s="108"/>
      <c r="AD314" s="108"/>
      <c r="AE314" s="108"/>
      <c r="AF314" s="108"/>
      <c r="AG314" s="108"/>
      <c r="AH314" s="108"/>
      <c r="AI314" s="108"/>
      <c r="AJ314" s="108"/>
      <c r="AK314" s="108"/>
      <c r="AL314" s="108"/>
      <c r="AM314" s="108"/>
      <c r="AN314" s="108"/>
      <c r="AO314" s="108"/>
      <c r="AP314" s="108"/>
      <c r="AQ314" s="108"/>
      <c r="AR314" s="108"/>
      <c r="AS314" s="108"/>
      <c r="AT314" s="108"/>
      <c r="AU314" s="108"/>
      <c r="AV314" s="108"/>
      <c r="AW314" s="108"/>
      <c r="AX314" s="108"/>
      <c r="AY314" s="108"/>
      <c r="AZ314" s="108"/>
      <c r="BA314" s="108"/>
      <c r="BB314" s="108"/>
    </row>
    <row r="315" spans="3:54" ht="12.75" customHeight="1" x14ac:dyDescent="0.25">
      <c r="C315" s="108"/>
      <c r="D315" s="108"/>
      <c r="E315" s="108"/>
      <c r="F315" s="108"/>
      <c r="G315" s="108"/>
      <c r="H315" s="108"/>
      <c r="I315" s="108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  <c r="T315" s="108"/>
      <c r="U315" s="108"/>
      <c r="V315" s="108"/>
      <c r="W315" s="108"/>
      <c r="X315" s="108"/>
      <c r="Y315" s="108"/>
      <c r="Z315" s="108"/>
      <c r="AA315" s="108"/>
      <c r="AB315" s="108"/>
      <c r="AC315" s="108"/>
      <c r="AD315" s="108"/>
      <c r="AE315" s="108"/>
      <c r="AF315" s="108"/>
      <c r="AG315" s="108"/>
      <c r="AH315" s="108"/>
      <c r="AI315" s="108"/>
      <c r="AJ315" s="108"/>
      <c r="AK315" s="108"/>
      <c r="AL315" s="108"/>
      <c r="AM315" s="108"/>
      <c r="AN315" s="108"/>
      <c r="AO315" s="108"/>
      <c r="AP315" s="108"/>
      <c r="AQ315" s="108"/>
      <c r="AR315" s="108"/>
      <c r="AS315" s="108"/>
      <c r="AT315" s="108"/>
      <c r="AU315" s="108"/>
      <c r="AV315" s="108"/>
      <c r="AW315" s="108"/>
      <c r="AX315" s="108"/>
      <c r="AY315" s="108"/>
      <c r="AZ315" s="108"/>
      <c r="BA315" s="108"/>
      <c r="BB315" s="108"/>
    </row>
    <row r="316" spans="3:54" ht="12.75" customHeight="1" x14ac:dyDescent="0.25">
      <c r="C316" s="108"/>
      <c r="D316" s="108"/>
      <c r="E316" s="108"/>
      <c r="F316" s="108"/>
      <c r="G316" s="108"/>
      <c r="H316" s="108"/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  <c r="U316" s="108"/>
      <c r="V316" s="108"/>
      <c r="W316" s="108"/>
      <c r="X316" s="108"/>
      <c r="Y316" s="108"/>
      <c r="Z316" s="108"/>
      <c r="AA316" s="108"/>
      <c r="AB316" s="108"/>
      <c r="AC316" s="108"/>
      <c r="AD316" s="108"/>
      <c r="AE316" s="108"/>
      <c r="AF316" s="108"/>
      <c r="AG316" s="108"/>
      <c r="AH316" s="108"/>
      <c r="AI316" s="108"/>
      <c r="AJ316" s="108"/>
      <c r="AK316" s="108"/>
      <c r="AL316" s="108"/>
      <c r="AM316" s="108"/>
      <c r="AN316" s="108"/>
      <c r="AO316" s="108"/>
      <c r="AP316" s="108"/>
      <c r="AQ316" s="108"/>
      <c r="AR316" s="108"/>
      <c r="AS316" s="108"/>
      <c r="AT316" s="108"/>
      <c r="AU316" s="108"/>
      <c r="AV316" s="108"/>
      <c r="AW316" s="108"/>
      <c r="AX316" s="108"/>
      <c r="AY316" s="108"/>
      <c r="AZ316" s="108"/>
      <c r="BA316" s="108"/>
      <c r="BB316" s="108"/>
    </row>
    <row r="317" spans="3:54" ht="12.75" customHeight="1" x14ac:dyDescent="0.25">
      <c r="C317" s="108"/>
      <c r="D317" s="108"/>
      <c r="E317" s="108"/>
      <c r="F317" s="108"/>
      <c r="G317" s="108"/>
      <c r="H317" s="108"/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  <c r="T317" s="108"/>
      <c r="U317" s="108"/>
      <c r="V317" s="108"/>
      <c r="W317" s="108"/>
      <c r="X317" s="108"/>
      <c r="Y317" s="108"/>
      <c r="Z317" s="108"/>
      <c r="AA317" s="108"/>
      <c r="AB317" s="108"/>
      <c r="AC317" s="108"/>
      <c r="AD317" s="108"/>
      <c r="AE317" s="108"/>
      <c r="AF317" s="108"/>
      <c r="AG317" s="108"/>
      <c r="AH317" s="108"/>
      <c r="AI317" s="108"/>
      <c r="AJ317" s="108"/>
      <c r="AK317" s="108"/>
      <c r="AL317" s="108"/>
      <c r="AM317" s="108"/>
      <c r="AN317" s="108"/>
      <c r="AO317" s="108"/>
      <c r="AP317" s="108"/>
      <c r="AQ317" s="108"/>
      <c r="AR317" s="108"/>
      <c r="AS317" s="108"/>
      <c r="AT317" s="108"/>
      <c r="AU317" s="108"/>
      <c r="AV317" s="108"/>
      <c r="AW317" s="108"/>
      <c r="AX317" s="108"/>
      <c r="AY317" s="108"/>
      <c r="AZ317" s="108"/>
      <c r="BA317" s="108"/>
      <c r="BB317" s="108"/>
    </row>
    <row r="318" spans="3:54" ht="12.75" customHeight="1" x14ac:dyDescent="0.25">
      <c r="C318" s="108"/>
      <c r="D318" s="108"/>
      <c r="E318" s="108"/>
      <c r="F318" s="108"/>
      <c r="G318" s="108"/>
      <c r="H318" s="108"/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  <c r="Z318" s="108"/>
      <c r="AA318" s="108"/>
      <c r="AB318" s="108"/>
      <c r="AC318" s="108"/>
      <c r="AD318" s="108"/>
      <c r="AE318" s="108"/>
      <c r="AF318" s="108"/>
      <c r="AG318" s="108"/>
      <c r="AH318" s="108"/>
      <c r="AI318" s="108"/>
      <c r="AJ318" s="108"/>
      <c r="AK318" s="108"/>
      <c r="AL318" s="108"/>
      <c r="AM318" s="108"/>
      <c r="AN318" s="108"/>
      <c r="AO318" s="108"/>
      <c r="AP318" s="108"/>
      <c r="AQ318" s="108"/>
      <c r="AR318" s="108"/>
      <c r="AS318" s="108"/>
      <c r="AT318" s="108"/>
      <c r="AU318" s="108"/>
      <c r="AV318" s="108"/>
      <c r="AW318" s="108"/>
      <c r="AX318" s="108"/>
      <c r="AY318" s="108"/>
      <c r="AZ318" s="108"/>
      <c r="BA318" s="108"/>
      <c r="BB318" s="108"/>
    </row>
    <row r="319" spans="3:54" ht="12.75" customHeight="1" x14ac:dyDescent="0.25">
      <c r="C319" s="108"/>
      <c r="D319" s="108"/>
      <c r="E319" s="108"/>
      <c r="F319" s="108"/>
      <c r="G319" s="108"/>
      <c r="H319" s="108"/>
      <c r="I319" s="108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/>
      <c r="Z319" s="108"/>
      <c r="AA319" s="108"/>
      <c r="AB319" s="108"/>
      <c r="AC319" s="108"/>
      <c r="AD319" s="108"/>
      <c r="AE319" s="108"/>
      <c r="AF319" s="108"/>
      <c r="AG319" s="108"/>
      <c r="AH319" s="108"/>
      <c r="AI319" s="108"/>
      <c r="AJ319" s="108"/>
      <c r="AK319" s="108"/>
      <c r="AL319" s="108"/>
      <c r="AM319" s="108"/>
      <c r="AN319" s="108"/>
      <c r="AO319" s="108"/>
      <c r="AP319" s="108"/>
      <c r="AQ319" s="108"/>
      <c r="AR319" s="108"/>
      <c r="AS319" s="108"/>
      <c r="AT319" s="108"/>
      <c r="AU319" s="108"/>
      <c r="AV319" s="108"/>
      <c r="AW319" s="108"/>
      <c r="AX319" s="108"/>
      <c r="AY319" s="108"/>
      <c r="AZ319" s="108"/>
      <c r="BA319" s="108"/>
      <c r="BB319" s="108"/>
    </row>
    <row r="320" spans="3:54" ht="12.75" customHeight="1" x14ac:dyDescent="0.25">
      <c r="C320" s="108"/>
      <c r="D320" s="108"/>
      <c r="E320" s="108"/>
      <c r="F320" s="108"/>
      <c r="G320" s="108"/>
      <c r="H320" s="108"/>
      <c r="I320" s="108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/>
      <c r="Z320" s="108"/>
      <c r="AA320" s="108"/>
      <c r="AB320" s="108"/>
      <c r="AC320" s="108"/>
      <c r="AD320" s="108"/>
      <c r="AE320" s="108"/>
      <c r="AF320" s="108"/>
      <c r="AG320" s="108"/>
      <c r="AH320" s="108"/>
      <c r="AI320" s="108"/>
      <c r="AJ320" s="108"/>
      <c r="AK320" s="108"/>
      <c r="AL320" s="108"/>
      <c r="AM320" s="108"/>
      <c r="AN320" s="108"/>
      <c r="AO320" s="108"/>
      <c r="AP320" s="108"/>
      <c r="AQ320" s="108"/>
      <c r="AR320" s="108"/>
      <c r="AS320" s="108"/>
      <c r="AT320" s="108"/>
      <c r="AU320" s="108"/>
      <c r="AV320" s="108"/>
      <c r="AW320" s="108"/>
      <c r="AX320" s="108"/>
      <c r="AY320" s="108"/>
      <c r="AZ320" s="108"/>
      <c r="BA320" s="108"/>
      <c r="BB320" s="108"/>
    </row>
    <row r="321" spans="3:54" ht="12.75" customHeight="1" x14ac:dyDescent="0.25">
      <c r="C321" s="108"/>
      <c r="D321" s="108"/>
      <c r="E321" s="108"/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/>
      <c r="Z321" s="108"/>
      <c r="AA321" s="108"/>
      <c r="AB321" s="108"/>
      <c r="AC321" s="108"/>
      <c r="AD321" s="108"/>
      <c r="AE321" s="108"/>
      <c r="AF321" s="108"/>
      <c r="AG321" s="108"/>
      <c r="AH321" s="108"/>
      <c r="AI321" s="108"/>
      <c r="AJ321" s="108"/>
      <c r="AK321" s="108"/>
      <c r="AL321" s="108"/>
      <c r="AM321" s="108"/>
      <c r="AN321" s="108"/>
      <c r="AO321" s="108"/>
      <c r="AP321" s="108"/>
      <c r="AQ321" s="108"/>
      <c r="AR321" s="108"/>
      <c r="AS321" s="108"/>
      <c r="AT321" s="108"/>
      <c r="AU321" s="108"/>
      <c r="AV321" s="108"/>
      <c r="AW321" s="108"/>
      <c r="AX321" s="108"/>
      <c r="AY321" s="108"/>
      <c r="AZ321" s="108"/>
      <c r="BA321" s="108"/>
      <c r="BB321" s="108"/>
    </row>
    <row r="322" spans="3:54" ht="12.75" customHeight="1" x14ac:dyDescent="0.25">
      <c r="C322" s="108"/>
      <c r="D322" s="108"/>
      <c r="E322" s="108"/>
      <c r="F322" s="108"/>
      <c r="G322" s="108"/>
      <c r="H322" s="108"/>
      <c r="I322" s="108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  <c r="Z322" s="108"/>
      <c r="AA322" s="108"/>
      <c r="AB322" s="108"/>
      <c r="AC322" s="108"/>
      <c r="AD322" s="108"/>
      <c r="AE322" s="108"/>
      <c r="AF322" s="108"/>
      <c r="AG322" s="108"/>
      <c r="AH322" s="108"/>
      <c r="AI322" s="108"/>
      <c r="AJ322" s="108"/>
      <c r="AK322" s="108"/>
      <c r="AL322" s="108"/>
      <c r="AM322" s="108"/>
      <c r="AN322" s="108"/>
      <c r="AO322" s="108"/>
      <c r="AP322" s="108"/>
      <c r="AQ322" s="108"/>
      <c r="AR322" s="108"/>
      <c r="AS322" s="108"/>
      <c r="AT322" s="108"/>
      <c r="AU322" s="108"/>
      <c r="AV322" s="108"/>
      <c r="AW322" s="108"/>
      <c r="AX322" s="108"/>
      <c r="AY322" s="108"/>
      <c r="AZ322" s="108"/>
      <c r="BA322" s="108"/>
      <c r="BB322" s="108"/>
    </row>
    <row r="323" spans="3:54" ht="12.75" customHeight="1" x14ac:dyDescent="0.25">
      <c r="C323" s="108"/>
      <c r="D323" s="108"/>
      <c r="E323" s="108"/>
      <c r="F323" s="108"/>
      <c r="G323" s="108"/>
      <c r="H323" s="108"/>
      <c r="I323" s="108"/>
      <c r="J323" s="108"/>
      <c r="K323" s="108"/>
      <c r="L323" s="108"/>
      <c r="M323" s="108"/>
      <c r="N323" s="108"/>
      <c r="O323" s="108"/>
      <c r="P323" s="108"/>
      <c r="Q323" s="108"/>
      <c r="R323" s="108"/>
      <c r="S323" s="108"/>
      <c r="T323" s="108"/>
      <c r="U323" s="108"/>
      <c r="V323" s="108"/>
      <c r="W323" s="108"/>
      <c r="X323" s="108"/>
      <c r="Y323" s="108"/>
      <c r="Z323" s="108"/>
      <c r="AA323" s="108"/>
      <c r="AB323" s="108"/>
      <c r="AC323" s="108"/>
      <c r="AD323" s="108"/>
      <c r="AE323" s="108"/>
      <c r="AF323" s="108"/>
      <c r="AG323" s="108"/>
      <c r="AH323" s="108"/>
      <c r="AI323" s="108"/>
      <c r="AJ323" s="108"/>
      <c r="AK323" s="108"/>
      <c r="AL323" s="108"/>
      <c r="AM323" s="108"/>
      <c r="AN323" s="108"/>
      <c r="AO323" s="108"/>
      <c r="AP323" s="108"/>
      <c r="AQ323" s="108"/>
      <c r="AR323" s="108"/>
      <c r="AS323" s="108"/>
      <c r="AT323" s="108"/>
      <c r="AU323" s="108"/>
      <c r="AV323" s="108"/>
      <c r="AW323" s="108"/>
      <c r="AX323" s="108"/>
      <c r="AY323" s="108"/>
      <c r="AZ323" s="108"/>
      <c r="BA323" s="108"/>
      <c r="BB323" s="108"/>
    </row>
    <row r="324" spans="3:54" ht="12.75" customHeight="1" x14ac:dyDescent="0.25">
      <c r="C324" s="108"/>
      <c r="D324" s="108"/>
      <c r="E324" s="108"/>
      <c r="F324" s="108"/>
      <c r="G324" s="108"/>
      <c r="H324" s="108"/>
      <c r="I324" s="108"/>
      <c r="J324" s="108"/>
      <c r="K324" s="108"/>
      <c r="L324" s="108"/>
      <c r="M324" s="108"/>
      <c r="N324" s="108"/>
      <c r="O324" s="108"/>
      <c r="P324" s="108"/>
      <c r="Q324" s="108"/>
      <c r="R324" s="108"/>
      <c r="S324" s="108"/>
      <c r="T324" s="108"/>
      <c r="U324" s="108"/>
      <c r="V324" s="108"/>
      <c r="W324" s="108"/>
      <c r="X324" s="108"/>
      <c r="Y324" s="108"/>
      <c r="Z324" s="108"/>
      <c r="AA324" s="108"/>
      <c r="AB324" s="108"/>
      <c r="AC324" s="108"/>
      <c r="AD324" s="108"/>
      <c r="AE324" s="108"/>
      <c r="AF324" s="108"/>
      <c r="AG324" s="108"/>
      <c r="AH324" s="108"/>
      <c r="AI324" s="108"/>
      <c r="AJ324" s="108"/>
      <c r="AK324" s="108"/>
      <c r="AL324" s="108"/>
      <c r="AM324" s="108"/>
      <c r="AN324" s="108"/>
      <c r="AO324" s="108"/>
      <c r="AP324" s="108"/>
      <c r="AQ324" s="108"/>
      <c r="AR324" s="108"/>
      <c r="AS324" s="108"/>
      <c r="AT324" s="108"/>
      <c r="AU324" s="108"/>
      <c r="AV324" s="108"/>
      <c r="AW324" s="108"/>
      <c r="AX324" s="108"/>
      <c r="AY324" s="108"/>
      <c r="AZ324" s="108"/>
      <c r="BA324" s="108"/>
      <c r="BB324" s="108"/>
    </row>
    <row r="325" spans="3:54" ht="12.75" customHeight="1" x14ac:dyDescent="0.25">
      <c r="C325" s="108"/>
      <c r="D325" s="108"/>
      <c r="E325" s="108"/>
      <c r="F325" s="108"/>
      <c r="G325" s="108"/>
      <c r="H325" s="108"/>
      <c r="I325" s="108"/>
      <c r="J325" s="108"/>
      <c r="K325" s="108"/>
      <c r="L325" s="108"/>
      <c r="M325" s="108"/>
      <c r="N325" s="108"/>
      <c r="O325" s="108"/>
      <c r="P325" s="108"/>
      <c r="Q325" s="108"/>
      <c r="R325" s="108"/>
      <c r="S325" s="108"/>
      <c r="T325" s="108"/>
      <c r="U325" s="108"/>
      <c r="V325" s="108"/>
      <c r="W325" s="108"/>
      <c r="X325" s="108"/>
      <c r="Y325" s="108"/>
      <c r="Z325" s="108"/>
      <c r="AA325" s="108"/>
      <c r="AB325" s="108"/>
      <c r="AC325" s="108"/>
      <c r="AD325" s="108"/>
      <c r="AE325" s="108"/>
      <c r="AF325" s="108"/>
      <c r="AG325" s="108"/>
      <c r="AH325" s="108"/>
      <c r="AI325" s="108"/>
      <c r="AJ325" s="108"/>
      <c r="AK325" s="108"/>
      <c r="AL325" s="108"/>
      <c r="AM325" s="108"/>
      <c r="AN325" s="108"/>
      <c r="AO325" s="108"/>
      <c r="AP325" s="108"/>
      <c r="AQ325" s="108"/>
      <c r="AR325" s="108"/>
      <c r="AS325" s="108"/>
      <c r="AT325" s="108"/>
      <c r="AU325" s="108"/>
      <c r="AV325" s="108"/>
      <c r="AW325" s="108"/>
      <c r="AX325" s="108"/>
      <c r="AY325" s="108"/>
      <c r="AZ325" s="108"/>
      <c r="BA325" s="108"/>
      <c r="BB325" s="108"/>
    </row>
    <row r="326" spans="3:54" ht="12.75" customHeight="1" x14ac:dyDescent="0.25">
      <c r="C326" s="108"/>
      <c r="D326" s="108"/>
      <c r="E326" s="108"/>
      <c r="F326" s="108"/>
      <c r="G326" s="108"/>
      <c r="H326" s="108"/>
      <c r="I326" s="108"/>
      <c r="J326" s="108"/>
      <c r="K326" s="108"/>
      <c r="L326" s="108"/>
      <c r="M326" s="108"/>
      <c r="N326" s="108"/>
      <c r="O326" s="108"/>
      <c r="P326" s="108"/>
      <c r="Q326" s="108"/>
      <c r="R326" s="108"/>
      <c r="S326" s="108"/>
      <c r="T326" s="108"/>
      <c r="U326" s="108"/>
      <c r="V326" s="108"/>
      <c r="W326" s="108"/>
      <c r="X326" s="108"/>
      <c r="Y326" s="108"/>
      <c r="Z326" s="108"/>
      <c r="AA326" s="108"/>
      <c r="AB326" s="108"/>
      <c r="AC326" s="108"/>
      <c r="AD326" s="108"/>
      <c r="AE326" s="108"/>
      <c r="AF326" s="108"/>
      <c r="AG326" s="108"/>
      <c r="AH326" s="108"/>
      <c r="AI326" s="108"/>
      <c r="AJ326" s="108"/>
      <c r="AK326" s="108"/>
      <c r="AL326" s="108"/>
      <c r="AM326" s="108"/>
      <c r="AN326" s="108"/>
      <c r="AO326" s="108"/>
      <c r="AP326" s="108"/>
      <c r="AQ326" s="108"/>
      <c r="AR326" s="108"/>
      <c r="AS326" s="108"/>
      <c r="AT326" s="108"/>
      <c r="AU326" s="108"/>
      <c r="AV326" s="108"/>
      <c r="AW326" s="108"/>
      <c r="AX326" s="108"/>
      <c r="AY326" s="108"/>
      <c r="AZ326" s="108"/>
      <c r="BA326" s="108"/>
      <c r="BB326" s="108"/>
    </row>
    <row r="327" spans="3:54" ht="12.75" customHeight="1" x14ac:dyDescent="0.25">
      <c r="C327" s="108"/>
      <c r="D327" s="108"/>
      <c r="E327" s="108"/>
      <c r="F327" s="108"/>
      <c r="G327" s="108"/>
      <c r="H327" s="108"/>
      <c r="I327" s="108"/>
      <c r="J327" s="108"/>
      <c r="K327" s="108"/>
      <c r="L327" s="108"/>
      <c r="M327" s="108"/>
      <c r="N327" s="108"/>
      <c r="O327" s="108"/>
      <c r="P327" s="108"/>
      <c r="Q327" s="108"/>
      <c r="R327" s="108"/>
      <c r="S327" s="108"/>
      <c r="T327" s="108"/>
      <c r="U327" s="108"/>
      <c r="V327" s="108"/>
      <c r="W327" s="108"/>
      <c r="X327" s="108"/>
      <c r="Y327" s="108"/>
      <c r="Z327" s="108"/>
      <c r="AA327" s="108"/>
      <c r="AB327" s="108"/>
      <c r="AC327" s="108"/>
      <c r="AD327" s="108"/>
      <c r="AE327" s="108"/>
      <c r="AF327" s="108"/>
      <c r="AG327" s="108"/>
      <c r="AH327" s="108"/>
      <c r="AI327" s="108"/>
      <c r="AJ327" s="108"/>
      <c r="AK327" s="108"/>
      <c r="AL327" s="108"/>
      <c r="AM327" s="108"/>
      <c r="AN327" s="108"/>
      <c r="AO327" s="108"/>
      <c r="AP327" s="108"/>
      <c r="AQ327" s="108"/>
      <c r="AR327" s="108"/>
      <c r="AS327" s="108"/>
      <c r="AT327" s="108"/>
      <c r="AU327" s="108"/>
      <c r="AV327" s="108"/>
      <c r="AW327" s="108"/>
      <c r="AX327" s="108"/>
      <c r="AY327" s="108"/>
      <c r="AZ327" s="108"/>
      <c r="BA327" s="108"/>
      <c r="BB327" s="108"/>
    </row>
    <row r="328" spans="3:54" ht="12.75" customHeight="1" x14ac:dyDescent="0.25">
      <c r="C328" s="108"/>
      <c r="D328" s="108"/>
      <c r="E328" s="108"/>
      <c r="F328" s="108"/>
      <c r="G328" s="108"/>
      <c r="H328" s="108"/>
      <c r="I328" s="108"/>
      <c r="J328" s="108"/>
      <c r="K328" s="108"/>
      <c r="L328" s="108"/>
      <c r="M328" s="108"/>
      <c r="N328" s="108"/>
      <c r="O328" s="108"/>
      <c r="P328" s="108"/>
      <c r="Q328" s="108"/>
      <c r="R328" s="108"/>
      <c r="S328" s="108"/>
      <c r="T328" s="108"/>
      <c r="U328" s="108"/>
      <c r="V328" s="108"/>
      <c r="W328" s="108"/>
      <c r="X328" s="108"/>
      <c r="Y328" s="108"/>
      <c r="Z328" s="108"/>
      <c r="AA328" s="108"/>
      <c r="AB328" s="108"/>
      <c r="AC328" s="108"/>
      <c r="AD328" s="108"/>
      <c r="AE328" s="108"/>
      <c r="AF328" s="108"/>
      <c r="AG328" s="108"/>
      <c r="AH328" s="108"/>
      <c r="AI328" s="108"/>
      <c r="AJ328" s="108"/>
      <c r="AK328" s="108"/>
      <c r="AL328" s="108"/>
      <c r="AM328" s="108"/>
      <c r="AN328" s="108"/>
      <c r="AO328" s="108"/>
      <c r="AP328" s="108"/>
      <c r="AQ328" s="108"/>
      <c r="AR328" s="108"/>
      <c r="AS328" s="108"/>
      <c r="AT328" s="108"/>
      <c r="AU328" s="108"/>
      <c r="AV328" s="108"/>
      <c r="AW328" s="108"/>
      <c r="AX328" s="108"/>
      <c r="AY328" s="108"/>
      <c r="AZ328" s="108"/>
      <c r="BA328" s="108"/>
      <c r="BB328" s="108"/>
    </row>
    <row r="329" spans="3:54" ht="12.75" customHeight="1" x14ac:dyDescent="0.25">
      <c r="C329" s="108"/>
      <c r="D329" s="108"/>
      <c r="E329" s="108"/>
      <c r="F329" s="108"/>
      <c r="G329" s="108"/>
      <c r="H329" s="108"/>
      <c r="I329" s="108"/>
      <c r="J329" s="108"/>
      <c r="K329" s="108"/>
      <c r="L329" s="108"/>
      <c r="M329" s="108"/>
      <c r="N329" s="108"/>
      <c r="O329" s="108"/>
      <c r="P329" s="108"/>
      <c r="Q329" s="108"/>
      <c r="R329" s="108"/>
      <c r="S329" s="108"/>
      <c r="T329" s="108"/>
      <c r="U329" s="108"/>
      <c r="V329" s="108"/>
      <c r="W329" s="108"/>
      <c r="X329" s="108"/>
      <c r="Y329" s="108"/>
      <c r="Z329" s="108"/>
      <c r="AA329" s="108"/>
      <c r="AB329" s="108"/>
      <c r="AC329" s="108"/>
      <c r="AD329" s="108"/>
      <c r="AE329" s="108"/>
      <c r="AF329" s="108"/>
      <c r="AG329" s="108"/>
      <c r="AH329" s="108"/>
      <c r="AI329" s="108"/>
      <c r="AJ329" s="108"/>
      <c r="AK329" s="108"/>
      <c r="AL329" s="108"/>
      <c r="AM329" s="108"/>
      <c r="AN329" s="108"/>
      <c r="AO329" s="108"/>
      <c r="AP329" s="108"/>
      <c r="AQ329" s="108"/>
      <c r="AR329" s="108"/>
      <c r="AS329" s="108"/>
      <c r="AT329" s="108"/>
      <c r="AU329" s="108"/>
      <c r="AV329" s="108"/>
      <c r="AW329" s="108"/>
      <c r="AX329" s="108"/>
      <c r="AY329" s="108"/>
      <c r="AZ329" s="108"/>
      <c r="BA329" s="108"/>
      <c r="BB329" s="108"/>
    </row>
    <row r="330" spans="3:54" ht="12.75" customHeight="1" x14ac:dyDescent="0.25">
      <c r="C330" s="108"/>
      <c r="D330" s="108"/>
      <c r="E330" s="108"/>
      <c r="F330" s="108"/>
      <c r="G330" s="108"/>
      <c r="H330" s="108"/>
      <c r="I330" s="108"/>
      <c r="J330" s="108"/>
      <c r="K330" s="108"/>
      <c r="L330" s="108"/>
      <c r="M330" s="108"/>
      <c r="N330" s="108"/>
      <c r="O330" s="108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/>
      <c r="Z330" s="108"/>
      <c r="AA330" s="108"/>
      <c r="AB330" s="108"/>
      <c r="AC330" s="108"/>
      <c r="AD330" s="108"/>
      <c r="AE330" s="108"/>
      <c r="AF330" s="108"/>
      <c r="AG330" s="108"/>
      <c r="AH330" s="108"/>
      <c r="AI330" s="108"/>
      <c r="AJ330" s="108"/>
      <c r="AK330" s="108"/>
      <c r="AL330" s="108"/>
      <c r="AM330" s="108"/>
      <c r="AN330" s="108"/>
      <c r="AO330" s="108"/>
      <c r="AP330" s="108"/>
      <c r="AQ330" s="108"/>
      <c r="AR330" s="108"/>
      <c r="AS330" s="108"/>
      <c r="AT330" s="108"/>
      <c r="AU330" s="108"/>
      <c r="AV330" s="108"/>
      <c r="AW330" s="108"/>
      <c r="AX330" s="108"/>
      <c r="AY330" s="108"/>
      <c r="AZ330" s="108"/>
      <c r="BA330" s="108"/>
      <c r="BB330" s="108"/>
    </row>
    <row r="331" spans="3:54" ht="12.75" customHeight="1" x14ac:dyDescent="0.25">
      <c r="C331" s="108"/>
      <c r="D331" s="108"/>
      <c r="E331" s="108"/>
      <c r="F331" s="108"/>
      <c r="G331" s="108"/>
      <c r="H331" s="108"/>
      <c r="I331" s="108"/>
      <c r="J331" s="108"/>
      <c r="K331" s="108"/>
      <c r="L331" s="108"/>
      <c r="M331" s="108"/>
      <c r="N331" s="108"/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  <c r="Z331" s="108"/>
      <c r="AA331" s="108"/>
      <c r="AB331" s="108"/>
      <c r="AC331" s="108"/>
      <c r="AD331" s="108"/>
      <c r="AE331" s="108"/>
      <c r="AF331" s="108"/>
      <c r="AG331" s="108"/>
      <c r="AH331" s="108"/>
      <c r="AI331" s="108"/>
      <c r="AJ331" s="108"/>
      <c r="AK331" s="108"/>
      <c r="AL331" s="108"/>
      <c r="AM331" s="108"/>
      <c r="AN331" s="108"/>
      <c r="AO331" s="108"/>
      <c r="AP331" s="108"/>
      <c r="AQ331" s="108"/>
      <c r="AR331" s="108"/>
      <c r="AS331" s="108"/>
      <c r="AT331" s="108"/>
      <c r="AU331" s="108"/>
      <c r="AV331" s="108"/>
      <c r="AW331" s="108"/>
      <c r="AX331" s="108"/>
      <c r="AY331" s="108"/>
      <c r="AZ331" s="108"/>
      <c r="BA331" s="108"/>
      <c r="BB331" s="108"/>
    </row>
    <row r="332" spans="3:54" ht="12.75" customHeight="1" x14ac:dyDescent="0.25">
      <c r="C332" s="108"/>
      <c r="D332" s="108"/>
      <c r="E332" s="108"/>
      <c r="F332" s="108"/>
      <c r="G332" s="108"/>
      <c r="H332" s="108"/>
      <c r="I332" s="108"/>
      <c r="J332" s="108"/>
      <c r="K332" s="108"/>
      <c r="L332" s="108"/>
      <c r="M332" s="108"/>
      <c r="N332" s="108"/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  <c r="Z332" s="108"/>
      <c r="AA332" s="108"/>
      <c r="AB332" s="108"/>
      <c r="AC332" s="108"/>
      <c r="AD332" s="108"/>
      <c r="AE332" s="108"/>
      <c r="AF332" s="108"/>
      <c r="AG332" s="108"/>
      <c r="AH332" s="108"/>
      <c r="AI332" s="108"/>
      <c r="AJ332" s="108"/>
      <c r="AK332" s="108"/>
      <c r="AL332" s="108"/>
      <c r="AM332" s="108"/>
      <c r="AN332" s="108"/>
      <c r="AO332" s="108"/>
      <c r="AP332" s="108"/>
      <c r="AQ332" s="108"/>
      <c r="AR332" s="108"/>
      <c r="AS332" s="108"/>
      <c r="AT332" s="108"/>
      <c r="AU332" s="108"/>
      <c r="AV332" s="108"/>
      <c r="AW332" s="108"/>
      <c r="AX332" s="108"/>
      <c r="AY332" s="108"/>
      <c r="AZ332" s="108"/>
      <c r="BA332" s="108"/>
      <c r="BB332" s="108"/>
    </row>
    <row r="333" spans="3:54" ht="12.75" customHeight="1" x14ac:dyDescent="0.25">
      <c r="C333" s="108"/>
      <c r="D333" s="108"/>
      <c r="E333" s="108"/>
      <c r="F333" s="108"/>
      <c r="G333" s="108"/>
      <c r="H333" s="108"/>
      <c r="I333" s="108"/>
      <c r="J333" s="108"/>
      <c r="K333" s="108"/>
      <c r="L333" s="108"/>
      <c r="M333" s="108"/>
      <c r="N333" s="108"/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  <c r="Z333" s="108"/>
      <c r="AA333" s="108"/>
      <c r="AB333" s="108"/>
      <c r="AC333" s="108"/>
      <c r="AD333" s="108"/>
      <c r="AE333" s="108"/>
      <c r="AF333" s="108"/>
      <c r="AG333" s="108"/>
      <c r="AH333" s="108"/>
      <c r="AI333" s="108"/>
      <c r="AJ333" s="108"/>
      <c r="AK333" s="108"/>
      <c r="AL333" s="108"/>
      <c r="AM333" s="108"/>
      <c r="AN333" s="108"/>
      <c r="AO333" s="108"/>
      <c r="AP333" s="108"/>
      <c r="AQ333" s="108"/>
      <c r="AR333" s="108"/>
      <c r="AS333" s="108"/>
      <c r="AT333" s="108"/>
      <c r="AU333" s="108"/>
      <c r="AV333" s="108"/>
      <c r="AW333" s="108"/>
      <c r="AX333" s="108"/>
      <c r="AY333" s="108"/>
      <c r="AZ333" s="108"/>
      <c r="BA333" s="108"/>
      <c r="BB333" s="108"/>
    </row>
    <row r="334" spans="3:54" ht="12.75" customHeight="1" x14ac:dyDescent="0.25">
      <c r="C334" s="108"/>
      <c r="D334" s="108"/>
      <c r="E334" s="108"/>
      <c r="F334" s="108"/>
      <c r="G334" s="108"/>
      <c r="H334" s="108"/>
      <c r="I334" s="108"/>
      <c r="J334" s="108"/>
      <c r="K334" s="108"/>
      <c r="L334" s="108"/>
      <c r="M334" s="108"/>
      <c r="N334" s="108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  <c r="Z334" s="108"/>
      <c r="AA334" s="108"/>
      <c r="AB334" s="108"/>
      <c r="AC334" s="108"/>
      <c r="AD334" s="108"/>
      <c r="AE334" s="108"/>
      <c r="AF334" s="108"/>
      <c r="AG334" s="108"/>
      <c r="AH334" s="108"/>
      <c r="AI334" s="108"/>
      <c r="AJ334" s="108"/>
      <c r="AK334" s="108"/>
      <c r="AL334" s="108"/>
      <c r="AM334" s="108"/>
      <c r="AN334" s="108"/>
      <c r="AO334" s="108"/>
      <c r="AP334" s="108"/>
      <c r="AQ334" s="108"/>
      <c r="AR334" s="108"/>
      <c r="AS334" s="108"/>
      <c r="AT334" s="108"/>
      <c r="AU334" s="108"/>
      <c r="AV334" s="108"/>
      <c r="AW334" s="108"/>
      <c r="AX334" s="108"/>
      <c r="AY334" s="108"/>
      <c r="AZ334" s="108"/>
      <c r="BA334" s="108"/>
      <c r="BB334" s="108"/>
    </row>
    <row r="335" spans="3:54" ht="12.75" customHeight="1" x14ac:dyDescent="0.25">
      <c r="C335" s="108"/>
      <c r="D335" s="108"/>
      <c r="E335" s="108"/>
      <c r="F335" s="108"/>
      <c r="G335" s="108"/>
      <c r="H335" s="108"/>
      <c r="I335" s="108"/>
      <c r="J335" s="108"/>
      <c r="K335" s="108"/>
      <c r="L335" s="108"/>
      <c r="M335" s="108"/>
      <c r="N335" s="108"/>
      <c r="O335" s="108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/>
      <c r="Z335" s="108"/>
      <c r="AA335" s="108"/>
      <c r="AB335" s="108"/>
      <c r="AC335" s="108"/>
      <c r="AD335" s="108"/>
      <c r="AE335" s="108"/>
      <c r="AF335" s="108"/>
      <c r="AG335" s="108"/>
      <c r="AH335" s="108"/>
      <c r="AI335" s="108"/>
      <c r="AJ335" s="108"/>
      <c r="AK335" s="108"/>
      <c r="AL335" s="108"/>
      <c r="AM335" s="108"/>
      <c r="AN335" s="108"/>
      <c r="AO335" s="108"/>
      <c r="AP335" s="108"/>
      <c r="AQ335" s="108"/>
      <c r="AR335" s="108"/>
      <c r="AS335" s="108"/>
      <c r="AT335" s="108"/>
      <c r="AU335" s="108"/>
      <c r="AV335" s="108"/>
      <c r="AW335" s="108"/>
      <c r="AX335" s="108"/>
      <c r="AY335" s="108"/>
      <c r="AZ335" s="108"/>
      <c r="BA335" s="108"/>
      <c r="BB335" s="108"/>
    </row>
    <row r="336" spans="3:54" ht="12.75" customHeight="1" x14ac:dyDescent="0.25">
      <c r="C336" s="108"/>
      <c r="D336" s="108"/>
      <c r="E336" s="108"/>
      <c r="F336" s="108"/>
      <c r="G336" s="108"/>
      <c r="H336" s="108"/>
      <c r="I336" s="108"/>
      <c r="J336" s="108"/>
      <c r="K336" s="108"/>
      <c r="L336" s="108"/>
      <c r="M336" s="108"/>
      <c r="N336" s="108"/>
      <c r="O336" s="108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/>
      <c r="Z336" s="108"/>
      <c r="AA336" s="108"/>
      <c r="AB336" s="108"/>
      <c r="AC336" s="108"/>
      <c r="AD336" s="108"/>
      <c r="AE336" s="108"/>
      <c r="AF336" s="108"/>
      <c r="AG336" s="108"/>
      <c r="AH336" s="108"/>
      <c r="AI336" s="108"/>
      <c r="AJ336" s="108"/>
      <c r="AK336" s="108"/>
      <c r="AL336" s="108"/>
      <c r="AM336" s="108"/>
      <c r="AN336" s="108"/>
      <c r="AO336" s="108"/>
      <c r="AP336" s="108"/>
      <c r="AQ336" s="108"/>
      <c r="AR336" s="108"/>
      <c r="AS336" s="108"/>
      <c r="AT336" s="108"/>
      <c r="AU336" s="108"/>
      <c r="AV336" s="108"/>
      <c r="AW336" s="108"/>
      <c r="AX336" s="108"/>
      <c r="AY336" s="108"/>
      <c r="AZ336" s="108"/>
      <c r="BA336" s="108"/>
      <c r="BB336" s="108"/>
    </row>
    <row r="337" spans="3:54" ht="12.75" customHeight="1" x14ac:dyDescent="0.25">
      <c r="C337" s="108"/>
      <c r="D337" s="108"/>
      <c r="E337" s="108"/>
      <c r="F337" s="108"/>
      <c r="G337" s="108"/>
      <c r="H337" s="108"/>
      <c r="I337" s="108"/>
      <c r="J337" s="108"/>
      <c r="K337" s="108"/>
      <c r="L337" s="108"/>
      <c r="M337" s="108"/>
      <c r="N337" s="108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  <c r="Z337" s="108"/>
      <c r="AA337" s="108"/>
      <c r="AB337" s="108"/>
      <c r="AC337" s="108"/>
      <c r="AD337" s="108"/>
      <c r="AE337" s="108"/>
      <c r="AF337" s="108"/>
      <c r="AG337" s="108"/>
      <c r="AH337" s="108"/>
      <c r="AI337" s="108"/>
      <c r="AJ337" s="108"/>
      <c r="AK337" s="108"/>
      <c r="AL337" s="108"/>
      <c r="AM337" s="108"/>
      <c r="AN337" s="108"/>
      <c r="AO337" s="108"/>
      <c r="AP337" s="108"/>
      <c r="AQ337" s="108"/>
      <c r="AR337" s="108"/>
      <c r="AS337" s="108"/>
      <c r="AT337" s="108"/>
      <c r="AU337" s="108"/>
      <c r="AV337" s="108"/>
      <c r="AW337" s="108"/>
      <c r="AX337" s="108"/>
      <c r="AY337" s="108"/>
      <c r="AZ337" s="108"/>
      <c r="BA337" s="108"/>
      <c r="BB337" s="108"/>
    </row>
    <row r="338" spans="3:54" ht="12.75" customHeight="1" x14ac:dyDescent="0.25">
      <c r="C338" s="108"/>
      <c r="D338" s="108"/>
      <c r="E338" s="108"/>
      <c r="F338" s="108"/>
      <c r="G338" s="108"/>
      <c r="H338" s="108"/>
      <c r="I338" s="108"/>
      <c r="J338" s="108"/>
      <c r="K338" s="108"/>
      <c r="L338" s="108"/>
      <c r="M338" s="108"/>
      <c r="N338" s="108"/>
      <c r="O338" s="108"/>
      <c r="P338" s="108"/>
      <c r="Q338" s="108"/>
      <c r="R338" s="108"/>
      <c r="S338" s="108"/>
      <c r="T338" s="108"/>
      <c r="U338" s="108"/>
      <c r="V338" s="108"/>
      <c r="W338" s="108"/>
      <c r="X338" s="108"/>
      <c r="Y338" s="108"/>
      <c r="Z338" s="108"/>
      <c r="AA338" s="108"/>
      <c r="AB338" s="108"/>
      <c r="AC338" s="108"/>
      <c r="AD338" s="108"/>
      <c r="AE338" s="108"/>
      <c r="AF338" s="108"/>
      <c r="AG338" s="108"/>
      <c r="AH338" s="108"/>
      <c r="AI338" s="108"/>
      <c r="AJ338" s="108"/>
      <c r="AK338" s="108"/>
      <c r="AL338" s="108"/>
      <c r="AM338" s="108"/>
      <c r="AN338" s="108"/>
      <c r="AO338" s="108"/>
      <c r="AP338" s="108"/>
      <c r="AQ338" s="108"/>
      <c r="AR338" s="108"/>
      <c r="AS338" s="108"/>
      <c r="AT338" s="108"/>
      <c r="AU338" s="108"/>
      <c r="AV338" s="108"/>
      <c r="AW338" s="108"/>
      <c r="AX338" s="108"/>
      <c r="AY338" s="108"/>
      <c r="AZ338" s="108"/>
      <c r="BA338" s="108"/>
      <c r="BB338" s="108"/>
    </row>
    <row r="339" spans="3:54" ht="12.75" customHeight="1" x14ac:dyDescent="0.25">
      <c r="C339" s="108"/>
      <c r="D339" s="108"/>
      <c r="E339" s="108"/>
      <c r="F339" s="108"/>
      <c r="G339" s="108"/>
      <c r="H339" s="108"/>
      <c r="I339" s="108"/>
      <c r="J339" s="108"/>
      <c r="K339" s="108"/>
      <c r="L339" s="108"/>
      <c r="M339" s="108"/>
      <c r="N339" s="108"/>
      <c r="O339" s="108"/>
      <c r="P339" s="108"/>
      <c r="Q339" s="108"/>
      <c r="R339" s="108"/>
      <c r="S339" s="108"/>
      <c r="T339" s="108"/>
      <c r="U339" s="108"/>
      <c r="V339" s="108"/>
      <c r="W339" s="108"/>
      <c r="X339" s="108"/>
      <c r="Y339" s="108"/>
      <c r="Z339" s="108"/>
      <c r="AA339" s="108"/>
      <c r="AB339" s="108"/>
      <c r="AC339" s="108"/>
      <c r="AD339" s="108"/>
      <c r="AE339" s="108"/>
      <c r="AF339" s="108"/>
      <c r="AG339" s="108"/>
      <c r="AH339" s="108"/>
      <c r="AI339" s="108"/>
      <c r="AJ339" s="108"/>
      <c r="AK339" s="108"/>
      <c r="AL339" s="108"/>
      <c r="AM339" s="108"/>
      <c r="AN339" s="108"/>
      <c r="AO339" s="108"/>
      <c r="AP339" s="108"/>
      <c r="AQ339" s="108"/>
      <c r="AR339" s="108"/>
      <c r="AS339" s="108"/>
      <c r="AT339" s="108"/>
      <c r="AU339" s="108"/>
      <c r="AV339" s="108"/>
      <c r="AW339" s="108"/>
      <c r="AX339" s="108"/>
      <c r="AY339" s="108"/>
      <c r="AZ339" s="108"/>
      <c r="BA339" s="108"/>
      <c r="BB339" s="108"/>
    </row>
    <row r="340" spans="3:54" ht="12.75" customHeight="1" x14ac:dyDescent="0.25">
      <c r="C340" s="108"/>
      <c r="D340" s="108"/>
      <c r="E340" s="108"/>
      <c r="F340" s="108"/>
      <c r="G340" s="108"/>
      <c r="H340" s="108"/>
      <c r="I340" s="108"/>
      <c r="J340" s="108"/>
      <c r="K340" s="108"/>
      <c r="L340" s="108"/>
      <c r="M340" s="108"/>
      <c r="N340" s="108"/>
      <c r="O340" s="108"/>
      <c r="P340" s="108"/>
      <c r="Q340" s="108"/>
      <c r="R340" s="108"/>
      <c r="S340" s="108"/>
      <c r="T340" s="108"/>
      <c r="U340" s="108"/>
      <c r="V340" s="108"/>
      <c r="W340" s="108"/>
      <c r="X340" s="108"/>
      <c r="Y340" s="108"/>
      <c r="Z340" s="108"/>
      <c r="AA340" s="108"/>
      <c r="AB340" s="108"/>
      <c r="AC340" s="108"/>
      <c r="AD340" s="108"/>
      <c r="AE340" s="108"/>
      <c r="AF340" s="108"/>
      <c r="AG340" s="108"/>
      <c r="AH340" s="108"/>
      <c r="AI340" s="108"/>
      <c r="AJ340" s="108"/>
      <c r="AK340" s="108"/>
      <c r="AL340" s="108"/>
      <c r="AM340" s="108"/>
      <c r="AN340" s="108"/>
      <c r="AO340" s="108"/>
      <c r="AP340" s="108"/>
      <c r="AQ340" s="108"/>
      <c r="AR340" s="108"/>
      <c r="AS340" s="108"/>
      <c r="AT340" s="108"/>
      <c r="AU340" s="108"/>
      <c r="AV340" s="108"/>
      <c r="AW340" s="108"/>
      <c r="AX340" s="108"/>
      <c r="AY340" s="108"/>
      <c r="AZ340" s="108"/>
      <c r="BA340" s="108"/>
      <c r="BB340" s="108"/>
    </row>
    <row r="341" spans="3:54" ht="12.75" customHeight="1" x14ac:dyDescent="0.25">
      <c r="C341" s="108"/>
      <c r="D341" s="108"/>
      <c r="E341" s="108"/>
      <c r="F341" s="108"/>
      <c r="G341" s="108"/>
      <c r="H341" s="108"/>
      <c r="I341" s="108"/>
      <c r="J341" s="108"/>
      <c r="K341" s="108"/>
      <c r="L341" s="108"/>
      <c r="M341" s="108"/>
      <c r="N341" s="108"/>
      <c r="O341" s="108"/>
      <c r="P341" s="108"/>
      <c r="Q341" s="108"/>
      <c r="R341" s="108"/>
      <c r="S341" s="108"/>
      <c r="T341" s="108"/>
      <c r="U341" s="108"/>
      <c r="V341" s="108"/>
      <c r="W341" s="108"/>
      <c r="X341" s="108"/>
      <c r="Y341" s="108"/>
      <c r="Z341" s="108"/>
      <c r="AA341" s="108"/>
      <c r="AB341" s="108"/>
      <c r="AC341" s="108"/>
      <c r="AD341" s="108"/>
      <c r="AE341" s="108"/>
      <c r="AF341" s="108"/>
      <c r="AG341" s="108"/>
      <c r="AH341" s="108"/>
      <c r="AI341" s="108"/>
      <c r="AJ341" s="108"/>
      <c r="AK341" s="108"/>
      <c r="AL341" s="108"/>
      <c r="AM341" s="108"/>
      <c r="AN341" s="108"/>
      <c r="AO341" s="108"/>
      <c r="AP341" s="108"/>
      <c r="AQ341" s="108"/>
      <c r="AR341" s="108"/>
      <c r="AS341" s="108"/>
      <c r="AT341" s="108"/>
      <c r="AU341" s="108"/>
      <c r="AV341" s="108"/>
      <c r="AW341" s="108"/>
      <c r="AX341" s="108"/>
      <c r="AY341" s="108"/>
      <c r="AZ341" s="108"/>
      <c r="BA341" s="108"/>
      <c r="BB341" s="108"/>
    </row>
    <row r="342" spans="3:54" ht="12.75" customHeight="1" x14ac:dyDescent="0.25">
      <c r="C342" s="108"/>
      <c r="D342" s="108"/>
      <c r="E342" s="108"/>
      <c r="F342" s="108"/>
      <c r="G342" s="108"/>
      <c r="H342" s="108"/>
      <c r="I342" s="108"/>
      <c r="J342" s="108"/>
      <c r="K342" s="108"/>
      <c r="L342" s="108"/>
      <c r="M342" s="108"/>
      <c r="N342" s="108"/>
      <c r="O342" s="108"/>
      <c r="P342" s="108"/>
      <c r="Q342" s="108"/>
      <c r="R342" s="108"/>
      <c r="S342" s="108"/>
      <c r="T342" s="108"/>
      <c r="U342" s="108"/>
      <c r="V342" s="108"/>
      <c r="W342" s="108"/>
      <c r="X342" s="108"/>
      <c r="Y342" s="108"/>
      <c r="Z342" s="108"/>
      <c r="AA342" s="108"/>
      <c r="AB342" s="108"/>
      <c r="AC342" s="108"/>
      <c r="AD342" s="108"/>
      <c r="AE342" s="108"/>
      <c r="AF342" s="108"/>
      <c r="AG342" s="108"/>
      <c r="AH342" s="108"/>
      <c r="AI342" s="108"/>
      <c r="AJ342" s="108"/>
      <c r="AK342" s="108"/>
      <c r="AL342" s="108"/>
      <c r="AM342" s="108"/>
      <c r="AN342" s="108"/>
      <c r="AO342" s="108"/>
      <c r="AP342" s="108"/>
      <c r="AQ342" s="108"/>
      <c r="AR342" s="108"/>
      <c r="AS342" s="108"/>
      <c r="AT342" s="108"/>
      <c r="AU342" s="108"/>
      <c r="AV342" s="108"/>
      <c r="AW342" s="108"/>
      <c r="AX342" s="108"/>
      <c r="AY342" s="108"/>
      <c r="AZ342" s="108"/>
      <c r="BA342" s="108"/>
      <c r="BB342" s="108"/>
    </row>
    <row r="343" spans="3:54" ht="12.75" customHeight="1" x14ac:dyDescent="0.25">
      <c r="C343" s="108"/>
      <c r="D343" s="108"/>
      <c r="E343" s="108"/>
      <c r="F343" s="108"/>
      <c r="G343" s="108"/>
      <c r="H343" s="108"/>
      <c r="I343" s="108"/>
      <c r="J343" s="108"/>
      <c r="K343" s="108"/>
      <c r="L343" s="108"/>
      <c r="M343" s="108"/>
      <c r="N343" s="108"/>
      <c r="O343" s="108"/>
      <c r="P343" s="108"/>
      <c r="Q343" s="108"/>
      <c r="R343" s="108"/>
      <c r="S343" s="108"/>
      <c r="T343" s="108"/>
      <c r="U343" s="108"/>
      <c r="V343" s="108"/>
      <c r="W343" s="108"/>
      <c r="X343" s="108"/>
      <c r="Y343" s="108"/>
      <c r="Z343" s="108"/>
      <c r="AA343" s="108"/>
      <c r="AB343" s="108"/>
      <c r="AC343" s="108"/>
      <c r="AD343" s="108"/>
      <c r="AE343" s="108"/>
      <c r="AF343" s="108"/>
      <c r="AG343" s="108"/>
      <c r="AH343" s="108"/>
      <c r="AI343" s="108"/>
      <c r="AJ343" s="108"/>
      <c r="AK343" s="108"/>
      <c r="AL343" s="108"/>
      <c r="AM343" s="108"/>
      <c r="AN343" s="108"/>
      <c r="AO343" s="108"/>
      <c r="AP343" s="108"/>
      <c r="AQ343" s="108"/>
      <c r="AR343" s="108"/>
      <c r="AS343" s="108"/>
      <c r="AT343" s="108"/>
      <c r="AU343" s="108"/>
      <c r="AV343" s="108"/>
      <c r="AW343" s="108"/>
      <c r="AX343" s="108"/>
      <c r="AY343" s="108"/>
      <c r="AZ343" s="108"/>
      <c r="BA343" s="108"/>
      <c r="BB343" s="108"/>
    </row>
    <row r="344" spans="3:54" ht="12.75" customHeight="1" x14ac:dyDescent="0.25">
      <c r="C344" s="108"/>
      <c r="D344" s="108"/>
      <c r="E344" s="108"/>
      <c r="F344" s="108"/>
      <c r="G344" s="108"/>
      <c r="H344" s="108"/>
      <c r="I344" s="108"/>
      <c r="J344" s="108"/>
      <c r="K344" s="108"/>
      <c r="L344" s="108"/>
      <c r="M344" s="108"/>
      <c r="N344" s="108"/>
      <c r="O344" s="108"/>
      <c r="P344" s="108"/>
      <c r="Q344" s="108"/>
      <c r="R344" s="108"/>
      <c r="S344" s="108"/>
      <c r="T344" s="108"/>
      <c r="U344" s="108"/>
      <c r="V344" s="108"/>
      <c r="W344" s="108"/>
      <c r="X344" s="108"/>
      <c r="Y344" s="108"/>
      <c r="Z344" s="108"/>
      <c r="AA344" s="108"/>
      <c r="AB344" s="108"/>
      <c r="AC344" s="108"/>
      <c r="AD344" s="108"/>
      <c r="AE344" s="108"/>
      <c r="AF344" s="108"/>
      <c r="AG344" s="108"/>
      <c r="AH344" s="108"/>
      <c r="AI344" s="108"/>
      <c r="AJ344" s="108"/>
      <c r="AK344" s="108"/>
      <c r="AL344" s="108"/>
      <c r="AM344" s="108"/>
      <c r="AN344" s="108"/>
      <c r="AO344" s="108"/>
      <c r="AP344" s="108"/>
      <c r="AQ344" s="108"/>
      <c r="AR344" s="108"/>
      <c r="AS344" s="108"/>
      <c r="AT344" s="108"/>
      <c r="AU344" s="108"/>
      <c r="AV344" s="108"/>
      <c r="AW344" s="108"/>
      <c r="AX344" s="108"/>
      <c r="AY344" s="108"/>
      <c r="AZ344" s="108"/>
      <c r="BA344" s="108"/>
      <c r="BB344" s="108"/>
    </row>
    <row r="345" spans="3:54" ht="12.75" customHeight="1" x14ac:dyDescent="0.25">
      <c r="C345" s="108"/>
      <c r="D345" s="108"/>
      <c r="E345" s="108"/>
      <c r="F345" s="108"/>
      <c r="G345" s="108"/>
      <c r="H345" s="108"/>
      <c r="I345" s="108"/>
      <c r="J345" s="108"/>
      <c r="K345" s="108"/>
      <c r="L345" s="108"/>
      <c r="M345" s="108"/>
      <c r="N345" s="108"/>
      <c r="O345" s="108"/>
      <c r="P345" s="108"/>
      <c r="Q345" s="108"/>
      <c r="R345" s="108"/>
      <c r="S345" s="108"/>
      <c r="T345" s="108"/>
      <c r="U345" s="108"/>
      <c r="V345" s="108"/>
      <c r="W345" s="108"/>
      <c r="X345" s="108"/>
      <c r="Y345" s="108"/>
      <c r="Z345" s="108"/>
      <c r="AA345" s="108"/>
      <c r="AB345" s="108"/>
      <c r="AC345" s="108"/>
      <c r="AD345" s="108"/>
      <c r="AE345" s="108"/>
      <c r="AF345" s="108"/>
      <c r="AG345" s="108"/>
      <c r="AH345" s="108"/>
      <c r="AI345" s="108"/>
      <c r="AJ345" s="108"/>
      <c r="AK345" s="108"/>
      <c r="AL345" s="108"/>
      <c r="AM345" s="108"/>
      <c r="AN345" s="108"/>
      <c r="AO345" s="108"/>
      <c r="AP345" s="108"/>
      <c r="AQ345" s="108"/>
      <c r="AR345" s="108"/>
      <c r="AS345" s="108"/>
      <c r="AT345" s="108"/>
      <c r="AU345" s="108"/>
      <c r="AV345" s="108"/>
      <c r="AW345" s="108"/>
      <c r="AX345" s="108"/>
      <c r="AY345" s="108"/>
      <c r="AZ345" s="108"/>
      <c r="BA345" s="108"/>
      <c r="BB345" s="108"/>
    </row>
    <row r="346" spans="3:54" ht="12.75" customHeight="1" x14ac:dyDescent="0.25">
      <c r="C346" s="108"/>
      <c r="D346" s="108"/>
      <c r="E346" s="108"/>
      <c r="F346" s="108"/>
      <c r="G346" s="108"/>
      <c r="H346" s="108"/>
      <c r="I346" s="108"/>
      <c r="J346" s="108"/>
      <c r="K346" s="108"/>
      <c r="L346" s="108"/>
      <c r="M346" s="108"/>
      <c r="N346" s="108"/>
      <c r="O346" s="108"/>
      <c r="P346" s="108"/>
      <c r="Q346" s="108"/>
      <c r="R346" s="108"/>
      <c r="S346" s="108"/>
      <c r="T346" s="108"/>
      <c r="U346" s="108"/>
      <c r="V346" s="108"/>
      <c r="W346" s="108"/>
      <c r="X346" s="108"/>
      <c r="Y346" s="108"/>
      <c r="Z346" s="108"/>
      <c r="AA346" s="108"/>
      <c r="AB346" s="108"/>
      <c r="AC346" s="108"/>
      <c r="AD346" s="108"/>
      <c r="AE346" s="108"/>
      <c r="AF346" s="108"/>
      <c r="AG346" s="108"/>
      <c r="AH346" s="108"/>
      <c r="AI346" s="108"/>
      <c r="AJ346" s="108"/>
      <c r="AK346" s="108"/>
      <c r="AL346" s="108"/>
      <c r="AM346" s="108"/>
      <c r="AN346" s="108"/>
      <c r="AO346" s="108"/>
      <c r="AP346" s="108"/>
      <c r="AQ346" s="108"/>
      <c r="AR346" s="108"/>
      <c r="AS346" s="108"/>
      <c r="AT346" s="108"/>
      <c r="AU346" s="108"/>
      <c r="AV346" s="108"/>
      <c r="AW346" s="108"/>
      <c r="AX346" s="108"/>
      <c r="AY346" s="108"/>
      <c r="AZ346" s="108"/>
      <c r="BA346" s="108"/>
      <c r="BB346" s="108"/>
    </row>
    <row r="347" spans="3:54" ht="12.75" customHeight="1" x14ac:dyDescent="0.25">
      <c r="C347" s="108"/>
      <c r="D347" s="108"/>
      <c r="E347" s="108"/>
      <c r="F347" s="108"/>
      <c r="G347" s="108"/>
      <c r="H347" s="108"/>
      <c r="I347" s="108"/>
      <c r="J347" s="108"/>
      <c r="K347" s="108"/>
      <c r="L347" s="108"/>
      <c r="M347" s="108"/>
      <c r="N347" s="108"/>
      <c r="O347" s="108"/>
      <c r="P347" s="108"/>
      <c r="Q347" s="108"/>
      <c r="R347" s="108"/>
      <c r="S347" s="108"/>
      <c r="T347" s="108"/>
      <c r="U347" s="108"/>
      <c r="V347" s="108"/>
      <c r="W347" s="108"/>
      <c r="X347" s="108"/>
      <c r="Y347" s="108"/>
      <c r="Z347" s="108"/>
      <c r="AA347" s="108"/>
      <c r="AB347" s="108"/>
      <c r="AC347" s="108"/>
      <c r="AD347" s="108"/>
      <c r="AE347" s="108"/>
      <c r="AF347" s="108"/>
      <c r="AG347" s="108"/>
      <c r="AH347" s="108"/>
      <c r="AI347" s="108"/>
      <c r="AJ347" s="108"/>
      <c r="AK347" s="108"/>
      <c r="AL347" s="108"/>
      <c r="AM347" s="108"/>
      <c r="AN347" s="108"/>
      <c r="AO347" s="108"/>
      <c r="AP347" s="108"/>
      <c r="AQ347" s="108"/>
      <c r="AR347" s="108"/>
      <c r="AS347" s="108"/>
      <c r="AT347" s="108"/>
      <c r="AU347" s="108"/>
      <c r="AV347" s="108"/>
      <c r="AW347" s="108"/>
      <c r="AX347" s="108"/>
      <c r="AY347" s="108"/>
      <c r="AZ347" s="108"/>
      <c r="BA347" s="108"/>
      <c r="BB347" s="108"/>
    </row>
    <row r="348" spans="3:54" ht="12.75" customHeight="1" x14ac:dyDescent="0.25">
      <c r="C348" s="108"/>
      <c r="D348" s="108"/>
      <c r="E348" s="108"/>
      <c r="F348" s="108"/>
      <c r="G348" s="108"/>
      <c r="H348" s="108"/>
      <c r="I348" s="108"/>
      <c r="J348" s="108"/>
      <c r="K348" s="108"/>
      <c r="L348" s="108"/>
      <c r="M348" s="108"/>
      <c r="N348" s="108"/>
      <c r="O348" s="108"/>
      <c r="P348" s="108"/>
      <c r="Q348" s="108"/>
      <c r="R348" s="108"/>
      <c r="S348" s="108"/>
      <c r="T348" s="108"/>
      <c r="U348" s="108"/>
      <c r="V348" s="108"/>
      <c r="W348" s="108"/>
      <c r="X348" s="108"/>
      <c r="Y348" s="108"/>
      <c r="Z348" s="108"/>
      <c r="AA348" s="108"/>
      <c r="AB348" s="108"/>
      <c r="AC348" s="108"/>
      <c r="AD348" s="108"/>
      <c r="AE348" s="108"/>
      <c r="AF348" s="108"/>
      <c r="AG348" s="108"/>
      <c r="AH348" s="108"/>
      <c r="AI348" s="108"/>
      <c r="AJ348" s="108"/>
      <c r="AK348" s="108"/>
      <c r="AL348" s="108"/>
      <c r="AM348" s="108"/>
      <c r="AN348" s="108"/>
      <c r="AO348" s="108"/>
      <c r="AP348" s="108"/>
      <c r="AQ348" s="108"/>
      <c r="AR348" s="108"/>
      <c r="AS348" s="108"/>
      <c r="AT348" s="108"/>
      <c r="AU348" s="108"/>
      <c r="AV348" s="108"/>
      <c r="AW348" s="108"/>
      <c r="AX348" s="108"/>
      <c r="AY348" s="108"/>
      <c r="AZ348" s="108"/>
      <c r="BA348" s="108"/>
      <c r="BB348" s="108"/>
    </row>
    <row r="349" spans="3:54" ht="12.75" customHeight="1" x14ac:dyDescent="0.25">
      <c r="C349" s="108"/>
      <c r="D349" s="108"/>
      <c r="E349" s="108"/>
      <c r="F349" s="108"/>
      <c r="G349" s="108"/>
      <c r="H349" s="108"/>
      <c r="I349" s="108"/>
      <c r="J349" s="108"/>
      <c r="K349" s="108"/>
      <c r="L349" s="108"/>
      <c r="M349" s="108"/>
      <c r="N349" s="108"/>
      <c r="O349" s="108"/>
      <c r="P349" s="108"/>
      <c r="Q349" s="108"/>
      <c r="R349" s="108"/>
      <c r="S349" s="108"/>
      <c r="T349" s="108"/>
      <c r="U349" s="108"/>
      <c r="V349" s="108"/>
      <c r="W349" s="108"/>
      <c r="X349" s="108"/>
      <c r="Y349" s="108"/>
      <c r="Z349" s="108"/>
      <c r="AA349" s="108"/>
      <c r="AB349" s="108"/>
      <c r="AC349" s="108"/>
      <c r="AD349" s="108"/>
      <c r="AE349" s="108"/>
      <c r="AF349" s="108"/>
      <c r="AG349" s="108"/>
      <c r="AH349" s="108"/>
      <c r="AI349" s="108"/>
      <c r="AJ349" s="108"/>
      <c r="AK349" s="108"/>
      <c r="AL349" s="108"/>
      <c r="AM349" s="108"/>
      <c r="AN349" s="108"/>
      <c r="AO349" s="108"/>
      <c r="AP349" s="108"/>
      <c r="AQ349" s="108"/>
      <c r="AR349" s="108"/>
      <c r="AS349" s="108"/>
      <c r="AT349" s="108"/>
      <c r="AU349" s="108"/>
      <c r="AV349" s="108"/>
      <c r="AW349" s="108"/>
      <c r="AX349" s="108"/>
      <c r="AY349" s="108"/>
      <c r="AZ349" s="108"/>
      <c r="BA349" s="108"/>
      <c r="BB349" s="108"/>
    </row>
    <row r="350" spans="3:54" ht="12.75" customHeight="1" x14ac:dyDescent="0.25">
      <c r="C350" s="108"/>
      <c r="D350" s="108"/>
      <c r="E350" s="108"/>
      <c r="F350" s="108"/>
      <c r="G350" s="108"/>
      <c r="H350" s="108"/>
      <c r="I350" s="108"/>
      <c r="J350" s="108"/>
      <c r="K350" s="108"/>
      <c r="L350" s="108"/>
      <c r="M350" s="108"/>
      <c r="N350" s="108"/>
      <c r="O350" s="108"/>
      <c r="P350" s="108"/>
      <c r="Q350" s="108"/>
      <c r="R350" s="108"/>
      <c r="S350" s="108"/>
      <c r="T350" s="108"/>
      <c r="U350" s="108"/>
      <c r="V350" s="108"/>
      <c r="W350" s="108"/>
      <c r="X350" s="108"/>
      <c r="Y350" s="108"/>
      <c r="Z350" s="108"/>
      <c r="AA350" s="108"/>
      <c r="AB350" s="108"/>
      <c r="AC350" s="108"/>
      <c r="AD350" s="108"/>
      <c r="AE350" s="108"/>
      <c r="AF350" s="108"/>
      <c r="AG350" s="108"/>
      <c r="AH350" s="108"/>
      <c r="AI350" s="108"/>
      <c r="AJ350" s="108"/>
      <c r="AK350" s="108"/>
      <c r="AL350" s="108"/>
      <c r="AM350" s="108"/>
      <c r="AN350" s="108"/>
      <c r="AO350" s="108"/>
      <c r="AP350" s="108"/>
      <c r="AQ350" s="108"/>
      <c r="AR350" s="108"/>
      <c r="AS350" s="108"/>
      <c r="AT350" s="108"/>
      <c r="AU350" s="108"/>
      <c r="AV350" s="108"/>
      <c r="AW350" s="108"/>
      <c r="AX350" s="108"/>
      <c r="AY350" s="108"/>
      <c r="AZ350" s="108"/>
      <c r="BA350" s="108"/>
      <c r="BB350" s="108"/>
    </row>
    <row r="351" spans="3:54" ht="12.75" customHeight="1" x14ac:dyDescent="0.25">
      <c r="C351" s="108"/>
      <c r="D351" s="108"/>
      <c r="E351" s="108"/>
      <c r="F351" s="108"/>
      <c r="G351" s="108"/>
      <c r="H351" s="108"/>
      <c r="I351" s="108"/>
      <c r="J351" s="108"/>
      <c r="K351" s="108"/>
      <c r="L351" s="108"/>
      <c r="M351" s="108"/>
      <c r="N351" s="108"/>
      <c r="O351" s="108"/>
      <c r="P351" s="108"/>
      <c r="Q351" s="108"/>
      <c r="R351" s="108"/>
      <c r="S351" s="108"/>
      <c r="T351" s="108"/>
      <c r="U351" s="108"/>
      <c r="V351" s="108"/>
      <c r="W351" s="108"/>
      <c r="X351" s="108"/>
      <c r="Y351" s="108"/>
      <c r="Z351" s="108"/>
      <c r="AA351" s="108"/>
      <c r="AB351" s="108"/>
      <c r="AC351" s="108"/>
      <c r="AD351" s="108"/>
      <c r="AE351" s="108"/>
      <c r="AF351" s="108"/>
      <c r="AG351" s="108"/>
      <c r="AH351" s="108"/>
      <c r="AI351" s="108"/>
      <c r="AJ351" s="108"/>
      <c r="AK351" s="108"/>
      <c r="AL351" s="108"/>
      <c r="AM351" s="108"/>
      <c r="AN351" s="108"/>
      <c r="AO351" s="108"/>
      <c r="AP351" s="108"/>
      <c r="AQ351" s="108"/>
      <c r="AR351" s="108"/>
      <c r="AS351" s="108"/>
      <c r="AT351" s="108"/>
      <c r="AU351" s="108"/>
      <c r="AV351" s="108"/>
      <c r="AW351" s="108"/>
      <c r="AX351" s="108"/>
      <c r="AY351" s="108"/>
      <c r="AZ351" s="108"/>
      <c r="BA351" s="108"/>
      <c r="BB351" s="108"/>
    </row>
    <row r="352" spans="3:54" ht="12.75" customHeight="1" x14ac:dyDescent="0.25">
      <c r="C352" s="108"/>
      <c r="D352" s="108"/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08"/>
      <c r="P352" s="108"/>
      <c r="Q352" s="108"/>
      <c r="R352" s="108"/>
      <c r="S352" s="108"/>
      <c r="T352" s="108"/>
      <c r="U352" s="108"/>
      <c r="V352" s="108"/>
      <c r="W352" s="108"/>
      <c r="X352" s="108"/>
      <c r="Y352" s="108"/>
      <c r="Z352" s="108"/>
      <c r="AA352" s="108"/>
      <c r="AB352" s="108"/>
      <c r="AC352" s="108"/>
      <c r="AD352" s="108"/>
      <c r="AE352" s="108"/>
      <c r="AF352" s="108"/>
      <c r="AG352" s="108"/>
      <c r="AH352" s="108"/>
      <c r="AI352" s="108"/>
      <c r="AJ352" s="108"/>
      <c r="AK352" s="108"/>
      <c r="AL352" s="108"/>
      <c r="AM352" s="108"/>
      <c r="AN352" s="108"/>
      <c r="AO352" s="108"/>
      <c r="AP352" s="108"/>
      <c r="AQ352" s="108"/>
      <c r="AR352" s="108"/>
      <c r="AS352" s="108"/>
      <c r="AT352" s="108"/>
      <c r="AU352" s="108"/>
      <c r="AV352" s="108"/>
      <c r="AW352" s="108"/>
      <c r="AX352" s="108"/>
      <c r="AY352" s="108"/>
      <c r="AZ352" s="108"/>
      <c r="BA352" s="108"/>
      <c r="BB352" s="108"/>
    </row>
    <row r="353" spans="3:54" ht="12.75" customHeight="1" x14ac:dyDescent="0.25">
      <c r="C353" s="108"/>
      <c r="D353" s="108"/>
      <c r="E353" s="108"/>
      <c r="F353" s="108"/>
      <c r="G353" s="108"/>
      <c r="H353" s="108"/>
      <c r="I353" s="108"/>
      <c r="J353" s="108"/>
      <c r="K353" s="108"/>
      <c r="L353" s="108"/>
      <c r="M353" s="108"/>
      <c r="N353" s="108"/>
      <c r="O353" s="108"/>
      <c r="P353" s="108"/>
      <c r="Q353" s="108"/>
      <c r="R353" s="108"/>
      <c r="S353" s="108"/>
      <c r="T353" s="108"/>
      <c r="U353" s="108"/>
      <c r="V353" s="108"/>
      <c r="W353" s="108"/>
      <c r="X353" s="108"/>
      <c r="Y353" s="108"/>
      <c r="Z353" s="108"/>
      <c r="AA353" s="108"/>
      <c r="AB353" s="108"/>
      <c r="AC353" s="108"/>
      <c r="AD353" s="108"/>
      <c r="AE353" s="108"/>
      <c r="AF353" s="108"/>
      <c r="AG353" s="108"/>
      <c r="AH353" s="108"/>
      <c r="AI353" s="108"/>
      <c r="AJ353" s="108"/>
      <c r="AK353" s="108"/>
      <c r="AL353" s="108"/>
      <c r="AM353" s="108"/>
      <c r="AN353" s="108"/>
      <c r="AO353" s="108"/>
      <c r="AP353" s="108"/>
      <c r="AQ353" s="108"/>
      <c r="AR353" s="108"/>
      <c r="AS353" s="108"/>
      <c r="AT353" s="108"/>
      <c r="AU353" s="108"/>
      <c r="AV353" s="108"/>
      <c r="AW353" s="108"/>
      <c r="AX353" s="108"/>
      <c r="AY353" s="108"/>
      <c r="AZ353" s="108"/>
      <c r="BA353" s="108"/>
      <c r="BB353" s="108"/>
    </row>
    <row r="354" spans="3:54" ht="12.75" customHeight="1" x14ac:dyDescent="0.25">
      <c r="C354" s="108"/>
      <c r="D354" s="108"/>
      <c r="E354" s="108"/>
      <c r="F354" s="108"/>
      <c r="G354" s="108"/>
      <c r="H354" s="108"/>
      <c r="I354" s="108"/>
      <c r="J354" s="108"/>
      <c r="K354" s="108"/>
      <c r="L354" s="108"/>
      <c r="M354" s="108"/>
      <c r="N354" s="108"/>
      <c r="O354" s="108"/>
      <c r="P354" s="108"/>
      <c r="Q354" s="108"/>
      <c r="R354" s="108"/>
      <c r="S354" s="108"/>
      <c r="T354" s="108"/>
      <c r="U354" s="108"/>
      <c r="V354" s="108"/>
      <c r="W354" s="108"/>
      <c r="X354" s="108"/>
      <c r="Y354" s="108"/>
      <c r="Z354" s="108"/>
      <c r="AA354" s="108"/>
      <c r="AB354" s="108"/>
      <c r="AC354" s="108"/>
      <c r="AD354" s="108"/>
      <c r="AE354" s="108"/>
      <c r="AF354" s="108"/>
      <c r="AG354" s="108"/>
      <c r="AH354" s="108"/>
      <c r="AI354" s="108"/>
      <c r="AJ354" s="108"/>
      <c r="AK354" s="108"/>
      <c r="AL354" s="108"/>
      <c r="AM354" s="108"/>
      <c r="AN354" s="108"/>
      <c r="AO354" s="108"/>
      <c r="AP354" s="108"/>
      <c r="AQ354" s="108"/>
      <c r="AR354" s="108"/>
      <c r="AS354" s="108"/>
      <c r="AT354" s="108"/>
      <c r="AU354" s="108"/>
      <c r="AV354" s="108"/>
      <c r="AW354" s="108"/>
      <c r="AX354" s="108"/>
      <c r="AY354" s="108"/>
      <c r="AZ354" s="108"/>
      <c r="BA354" s="108"/>
      <c r="BB354" s="108"/>
    </row>
    <row r="355" spans="3:54" ht="12.75" customHeight="1" x14ac:dyDescent="0.25">
      <c r="C355" s="108"/>
      <c r="D355" s="108"/>
      <c r="E355" s="108"/>
      <c r="F355" s="108"/>
      <c r="G355" s="108"/>
      <c r="H355" s="108"/>
      <c r="I355" s="108"/>
      <c r="J355" s="108"/>
      <c r="K355" s="108"/>
      <c r="L355" s="108"/>
      <c r="M355" s="108"/>
      <c r="N355" s="108"/>
      <c r="O355" s="108"/>
      <c r="P355" s="108"/>
      <c r="Q355" s="108"/>
      <c r="R355" s="108"/>
      <c r="S355" s="108"/>
      <c r="T355" s="108"/>
      <c r="U355" s="108"/>
      <c r="V355" s="108"/>
      <c r="W355" s="108"/>
      <c r="X355" s="108"/>
      <c r="Y355" s="108"/>
      <c r="Z355" s="108"/>
      <c r="AA355" s="108"/>
      <c r="AB355" s="108"/>
      <c r="AC355" s="108"/>
      <c r="AD355" s="108"/>
      <c r="AE355" s="108"/>
      <c r="AF355" s="108"/>
      <c r="AG355" s="108"/>
      <c r="AH355" s="108"/>
      <c r="AI355" s="108"/>
      <c r="AJ355" s="108"/>
      <c r="AK355" s="108"/>
      <c r="AL355" s="108"/>
      <c r="AM355" s="108"/>
      <c r="AN355" s="108"/>
      <c r="AO355" s="108"/>
      <c r="AP355" s="108"/>
      <c r="AQ355" s="108"/>
      <c r="AR355" s="108"/>
      <c r="AS355" s="108"/>
      <c r="AT355" s="108"/>
      <c r="AU355" s="108"/>
      <c r="AV355" s="108"/>
      <c r="AW355" s="108"/>
      <c r="AX355" s="108"/>
      <c r="AY355" s="108"/>
      <c r="AZ355" s="108"/>
      <c r="BA355" s="108"/>
      <c r="BB355" s="108"/>
    </row>
    <row r="356" spans="3:54" ht="12.75" customHeight="1" x14ac:dyDescent="0.25">
      <c r="C356" s="108"/>
      <c r="D356" s="108"/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08"/>
      <c r="P356" s="108"/>
      <c r="Q356" s="108"/>
      <c r="R356" s="108"/>
      <c r="S356" s="108"/>
      <c r="T356" s="108"/>
      <c r="U356" s="108"/>
      <c r="V356" s="108"/>
      <c r="W356" s="108"/>
      <c r="X356" s="108"/>
      <c r="Y356" s="108"/>
      <c r="Z356" s="108"/>
      <c r="AA356" s="108"/>
      <c r="AB356" s="108"/>
      <c r="AC356" s="108"/>
      <c r="AD356" s="108"/>
      <c r="AE356" s="108"/>
      <c r="AF356" s="108"/>
      <c r="AG356" s="108"/>
      <c r="AH356" s="108"/>
      <c r="AI356" s="108"/>
      <c r="AJ356" s="108"/>
      <c r="AK356" s="108"/>
      <c r="AL356" s="108"/>
      <c r="AM356" s="108"/>
      <c r="AN356" s="108"/>
      <c r="AO356" s="108"/>
      <c r="AP356" s="108"/>
      <c r="AQ356" s="108"/>
      <c r="AR356" s="108"/>
      <c r="AS356" s="108"/>
      <c r="AT356" s="108"/>
      <c r="AU356" s="108"/>
      <c r="AV356" s="108"/>
      <c r="AW356" s="108"/>
      <c r="AX356" s="108"/>
      <c r="AY356" s="108"/>
      <c r="AZ356" s="108"/>
      <c r="BA356" s="108"/>
      <c r="BB356" s="108"/>
    </row>
    <row r="357" spans="3:54" ht="12.75" customHeight="1" x14ac:dyDescent="0.25">
      <c r="C357" s="108"/>
      <c r="D357" s="108"/>
      <c r="E357" s="108"/>
      <c r="F357" s="108"/>
      <c r="G357" s="108"/>
      <c r="H357" s="108"/>
      <c r="I357" s="108"/>
      <c r="J357" s="108"/>
      <c r="K357" s="108"/>
      <c r="L357" s="108"/>
      <c r="M357" s="108"/>
      <c r="N357" s="108"/>
      <c r="O357" s="108"/>
      <c r="P357" s="108"/>
      <c r="Q357" s="108"/>
      <c r="R357" s="108"/>
      <c r="S357" s="108"/>
      <c r="T357" s="108"/>
      <c r="U357" s="108"/>
      <c r="V357" s="108"/>
      <c r="W357" s="108"/>
      <c r="X357" s="108"/>
      <c r="Y357" s="108"/>
      <c r="Z357" s="108"/>
      <c r="AA357" s="108"/>
      <c r="AB357" s="108"/>
      <c r="AC357" s="108"/>
      <c r="AD357" s="108"/>
      <c r="AE357" s="108"/>
      <c r="AF357" s="108"/>
      <c r="AG357" s="108"/>
      <c r="AH357" s="108"/>
      <c r="AI357" s="108"/>
      <c r="AJ357" s="108"/>
      <c r="AK357" s="108"/>
      <c r="AL357" s="108"/>
      <c r="AM357" s="108"/>
      <c r="AN357" s="108"/>
      <c r="AO357" s="108"/>
      <c r="AP357" s="108"/>
      <c r="AQ357" s="108"/>
      <c r="AR357" s="108"/>
      <c r="AS357" s="108"/>
      <c r="AT357" s="108"/>
      <c r="AU357" s="108"/>
      <c r="AV357" s="108"/>
      <c r="AW357" s="108"/>
      <c r="AX357" s="108"/>
      <c r="AY357" s="108"/>
      <c r="AZ357" s="108"/>
      <c r="BA357" s="108"/>
      <c r="BB357" s="108"/>
    </row>
    <row r="358" spans="3:54" ht="12.75" customHeight="1" x14ac:dyDescent="0.25">
      <c r="C358" s="108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8"/>
      <c r="W358" s="108"/>
      <c r="X358" s="108"/>
      <c r="Y358" s="108"/>
      <c r="Z358" s="108"/>
      <c r="AA358" s="108"/>
      <c r="AB358" s="108"/>
      <c r="AC358" s="108"/>
      <c r="AD358" s="108"/>
      <c r="AE358" s="108"/>
      <c r="AF358" s="108"/>
      <c r="AG358" s="108"/>
      <c r="AH358" s="108"/>
      <c r="AI358" s="108"/>
      <c r="AJ358" s="108"/>
      <c r="AK358" s="108"/>
      <c r="AL358" s="108"/>
      <c r="AM358" s="108"/>
      <c r="AN358" s="108"/>
      <c r="AO358" s="108"/>
      <c r="AP358" s="108"/>
      <c r="AQ358" s="108"/>
      <c r="AR358" s="108"/>
      <c r="AS358" s="108"/>
      <c r="AT358" s="108"/>
      <c r="AU358" s="108"/>
      <c r="AV358" s="108"/>
      <c r="AW358" s="108"/>
      <c r="AX358" s="108"/>
      <c r="AY358" s="108"/>
      <c r="AZ358" s="108"/>
      <c r="BA358" s="108"/>
      <c r="BB358" s="108"/>
    </row>
    <row r="359" spans="3:54" ht="12.75" customHeight="1" x14ac:dyDescent="0.25">
      <c r="C359" s="108"/>
      <c r="D359" s="108"/>
      <c r="E359" s="108"/>
      <c r="F359" s="108"/>
      <c r="G359" s="108"/>
      <c r="H359" s="108"/>
      <c r="I359" s="108"/>
      <c r="J359" s="108"/>
      <c r="K359" s="108"/>
      <c r="L359" s="108"/>
      <c r="M359" s="108"/>
      <c r="N359" s="108"/>
      <c r="O359" s="108"/>
      <c r="P359" s="108"/>
      <c r="Q359" s="108"/>
      <c r="R359" s="108"/>
      <c r="S359" s="108"/>
      <c r="T359" s="108"/>
      <c r="U359" s="108"/>
      <c r="V359" s="108"/>
      <c r="W359" s="108"/>
      <c r="X359" s="108"/>
      <c r="Y359" s="108"/>
      <c r="Z359" s="108"/>
      <c r="AA359" s="108"/>
      <c r="AB359" s="108"/>
      <c r="AC359" s="108"/>
      <c r="AD359" s="108"/>
      <c r="AE359" s="108"/>
      <c r="AF359" s="108"/>
      <c r="AG359" s="108"/>
      <c r="AH359" s="108"/>
      <c r="AI359" s="108"/>
      <c r="AJ359" s="108"/>
      <c r="AK359" s="108"/>
      <c r="AL359" s="108"/>
      <c r="AM359" s="108"/>
      <c r="AN359" s="108"/>
      <c r="AO359" s="108"/>
      <c r="AP359" s="108"/>
      <c r="AQ359" s="108"/>
      <c r="AR359" s="108"/>
      <c r="AS359" s="108"/>
      <c r="AT359" s="108"/>
      <c r="AU359" s="108"/>
      <c r="AV359" s="108"/>
      <c r="AW359" s="108"/>
      <c r="AX359" s="108"/>
      <c r="AY359" s="108"/>
      <c r="AZ359" s="108"/>
      <c r="BA359" s="108"/>
      <c r="BB359" s="108"/>
    </row>
    <row r="360" spans="3:54" ht="12.75" customHeight="1" x14ac:dyDescent="0.25">
      <c r="C360" s="108"/>
      <c r="D360" s="108"/>
      <c r="E360" s="108"/>
      <c r="F360" s="108"/>
      <c r="G360" s="108"/>
      <c r="H360" s="108"/>
      <c r="I360" s="108"/>
      <c r="J360" s="108"/>
      <c r="K360" s="108"/>
      <c r="L360" s="108"/>
      <c r="M360" s="108"/>
      <c r="N360" s="108"/>
      <c r="O360" s="108"/>
      <c r="P360" s="108"/>
      <c r="Q360" s="108"/>
      <c r="R360" s="108"/>
      <c r="S360" s="108"/>
      <c r="T360" s="108"/>
      <c r="U360" s="108"/>
      <c r="V360" s="108"/>
      <c r="W360" s="108"/>
      <c r="X360" s="108"/>
      <c r="Y360" s="108"/>
      <c r="Z360" s="108"/>
      <c r="AA360" s="108"/>
      <c r="AB360" s="108"/>
      <c r="AC360" s="108"/>
      <c r="AD360" s="108"/>
      <c r="AE360" s="108"/>
      <c r="AF360" s="108"/>
      <c r="AG360" s="108"/>
      <c r="AH360" s="108"/>
      <c r="AI360" s="108"/>
      <c r="AJ360" s="108"/>
      <c r="AK360" s="108"/>
      <c r="AL360" s="108"/>
      <c r="AM360" s="108"/>
      <c r="AN360" s="108"/>
      <c r="AO360" s="108"/>
      <c r="AP360" s="108"/>
      <c r="AQ360" s="108"/>
      <c r="AR360" s="108"/>
      <c r="AS360" s="108"/>
      <c r="AT360" s="108"/>
      <c r="AU360" s="108"/>
      <c r="AV360" s="108"/>
      <c r="AW360" s="108"/>
      <c r="AX360" s="108"/>
      <c r="AY360" s="108"/>
      <c r="AZ360" s="108"/>
      <c r="BA360" s="108"/>
      <c r="BB360" s="108"/>
    </row>
    <row r="361" spans="3:54" ht="12.75" customHeight="1" x14ac:dyDescent="0.25">
      <c r="C361" s="108"/>
      <c r="D361" s="108"/>
      <c r="E361" s="108"/>
      <c r="F361" s="108"/>
      <c r="G361" s="108"/>
      <c r="H361" s="108"/>
      <c r="I361" s="108"/>
      <c r="J361" s="108"/>
      <c r="K361" s="108"/>
      <c r="L361" s="108"/>
      <c r="M361" s="108"/>
      <c r="N361" s="108"/>
      <c r="O361" s="108"/>
      <c r="P361" s="108"/>
      <c r="Q361" s="108"/>
      <c r="R361" s="108"/>
      <c r="S361" s="108"/>
      <c r="T361" s="108"/>
      <c r="U361" s="108"/>
      <c r="V361" s="108"/>
      <c r="W361" s="108"/>
      <c r="X361" s="108"/>
      <c r="Y361" s="108"/>
      <c r="Z361" s="108"/>
      <c r="AA361" s="108"/>
      <c r="AB361" s="108"/>
      <c r="AC361" s="108"/>
      <c r="AD361" s="108"/>
      <c r="AE361" s="108"/>
      <c r="AF361" s="108"/>
      <c r="AG361" s="108"/>
      <c r="AH361" s="108"/>
      <c r="AI361" s="108"/>
      <c r="AJ361" s="108"/>
      <c r="AK361" s="108"/>
      <c r="AL361" s="108"/>
      <c r="AM361" s="108"/>
      <c r="AN361" s="108"/>
      <c r="AO361" s="108"/>
      <c r="AP361" s="108"/>
      <c r="AQ361" s="108"/>
      <c r="AR361" s="108"/>
      <c r="AS361" s="108"/>
      <c r="AT361" s="108"/>
      <c r="AU361" s="108"/>
      <c r="AV361" s="108"/>
      <c r="AW361" s="108"/>
      <c r="AX361" s="108"/>
      <c r="AY361" s="108"/>
      <c r="AZ361" s="108"/>
      <c r="BA361" s="108"/>
      <c r="BB361" s="108"/>
    </row>
    <row r="362" spans="3:54" ht="12.75" customHeight="1" x14ac:dyDescent="0.25">
      <c r="C362" s="108"/>
      <c r="D362" s="108"/>
      <c r="E362" s="108"/>
      <c r="F362" s="108"/>
      <c r="G362" s="108"/>
      <c r="H362" s="108"/>
      <c r="I362" s="108"/>
      <c r="J362" s="108"/>
      <c r="K362" s="108"/>
      <c r="L362" s="108"/>
      <c r="M362" s="108"/>
      <c r="N362" s="108"/>
      <c r="O362" s="108"/>
      <c r="P362" s="108"/>
      <c r="Q362" s="108"/>
      <c r="R362" s="108"/>
      <c r="S362" s="108"/>
      <c r="T362" s="108"/>
      <c r="U362" s="108"/>
      <c r="V362" s="108"/>
      <c r="W362" s="108"/>
      <c r="X362" s="108"/>
      <c r="Y362" s="108"/>
      <c r="Z362" s="108"/>
      <c r="AA362" s="108"/>
      <c r="AB362" s="108"/>
      <c r="AC362" s="108"/>
      <c r="AD362" s="108"/>
      <c r="AE362" s="108"/>
      <c r="AF362" s="108"/>
      <c r="AG362" s="108"/>
      <c r="AH362" s="108"/>
      <c r="AI362" s="108"/>
      <c r="AJ362" s="108"/>
      <c r="AK362" s="108"/>
      <c r="AL362" s="108"/>
      <c r="AM362" s="108"/>
      <c r="AN362" s="108"/>
      <c r="AO362" s="108"/>
      <c r="AP362" s="108"/>
      <c r="AQ362" s="108"/>
      <c r="AR362" s="108"/>
      <c r="AS362" s="108"/>
      <c r="AT362" s="108"/>
      <c r="AU362" s="108"/>
      <c r="AV362" s="108"/>
      <c r="AW362" s="108"/>
      <c r="AX362" s="108"/>
      <c r="AY362" s="108"/>
      <c r="AZ362" s="108"/>
      <c r="BA362" s="108"/>
      <c r="BB362" s="108"/>
    </row>
    <row r="363" spans="3:54" ht="12.75" customHeight="1" x14ac:dyDescent="0.25">
      <c r="C363" s="108"/>
      <c r="D363" s="108"/>
      <c r="E363" s="108"/>
      <c r="F363" s="108"/>
      <c r="G363" s="108"/>
      <c r="H363" s="108"/>
      <c r="I363" s="108"/>
      <c r="J363" s="108"/>
      <c r="K363" s="108"/>
      <c r="L363" s="108"/>
      <c r="M363" s="108"/>
      <c r="N363" s="108"/>
      <c r="O363" s="108"/>
      <c r="P363" s="108"/>
      <c r="Q363" s="108"/>
      <c r="R363" s="108"/>
      <c r="S363" s="108"/>
      <c r="T363" s="108"/>
      <c r="U363" s="108"/>
      <c r="V363" s="108"/>
      <c r="W363" s="108"/>
      <c r="X363" s="108"/>
      <c r="Y363" s="108"/>
      <c r="Z363" s="108"/>
      <c r="AA363" s="108"/>
      <c r="AB363" s="108"/>
      <c r="AC363" s="108"/>
      <c r="AD363" s="108"/>
      <c r="AE363" s="108"/>
      <c r="AF363" s="108"/>
      <c r="AG363" s="108"/>
      <c r="AH363" s="108"/>
      <c r="AI363" s="108"/>
      <c r="AJ363" s="108"/>
      <c r="AK363" s="108"/>
      <c r="AL363" s="108"/>
      <c r="AM363" s="108"/>
      <c r="AN363" s="108"/>
      <c r="AO363" s="108"/>
      <c r="AP363" s="108"/>
      <c r="AQ363" s="108"/>
      <c r="AR363" s="108"/>
      <c r="AS363" s="108"/>
      <c r="AT363" s="108"/>
      <c r="AU363" s="108"/>
      <c r="AV363" s="108"/>
      <c r="AW363" s="108"/>
      <c r="AX363" s="108"/>
      <c r="AY363" s="108"/>
      <c r="AZ363" s="108"/>
      <c r="BA363" s="108"/>
      <c r="BB363" s="108"/>
    </row>
    <row r="364" spans="3:54" ht="12.75" customHeight="1" x14ac:dyDescent="0.25">
      <c r="C364" s="108"/>
      <c r="D364" s="108"/>
      <c r="E364" s="108"/>
      <c r="F364" s="108"/>
      <c r="G364" s="108"/>
      <c r="H364" s="108"/>
      <c r="I364" s="108"/>
      <c r="J364" s="108"/>
      <c r="K364" s="108"/>
      <c r="L364" s="108"/>
      <c r="M364" s="108"/>
      <c r="N364" s="108"/>
      <c r="O364" s="108"/>
      <c r="P364" s="108"/>
      <c r="Q364" s="108"/>
      <c r="R364" s="108"/>
      <c r="S364" s="108"/>
      <c r="T364" s="108"/>
      <c r="U364" s="108"/>
      <c r="V364" s="108"/>
      <c r="W364" s="108"/>
      <c r="X364" s="108"/>
      <c r="Y364" s="108"/>
      <c r="Z364" s="108"/>
      <c r="AA364" s="108"/>
      <c r="AB364" s="108"/>
      <c r="AC364" s="108"/>
      <c r="AD364" s="108"/>
      <c r="AE364" s="108"/>
      <c r="AF364" s="108"/>
      <c r="AG364" s="108"/>
      <c r="AH364" s="108"/>
      <c r="AI364" s="108"/>
      <c r="AJ364" s="108"/>
      <c r="AK364" s="108"/>
      <c r="AL364" s="108"/>
      <c r="AM364" s="108"/>
      <c r="AN364" s="108"/>
      <c r="AO364" s="108"/>
      <c r="AP364" s="108"/>
      <c r="AQ364" s="108"/>
      <c r="AR364" s="108"/>
      <c r="AS364" s="108"/>
      <c r="AT364" s="108"/>
      <c r="AU364" s="108"/>
      <c r="AV364" s="108"/>
      <c r="AW364" s="108"/>
      <c r="AX364" s="108"/>
      <c r="AY364" s="108"/>
      <c r="AZ364" s="108"/>
      <c r="BA364" s="108"/>
      <c r="BB364" s="108"/>
    </row>
    <row r="365" spans="3:54" ht="12.75" customHeight="1" x14ac:dyDescent="0.25">
      <c r="C365" s="108"/>
      <c r="D365" s="108"/>
      <c r="E365" s="108"/>
      <c r="F365" s="108"/>
      <c r="G365" s="108"/>
      <c r="H365" s="108"/>
      <c r="I365" s="108"/>
      <c r="J365" s="108"/>
      <c r="K365" s="108"/>
      <c r="L365" s="108"/>
      <c r="M365" s="108"/>
      <c r="N365" s="108"/>
      <c r="O365" s="108"/>
      <c r="P365" s="108"/>
      <c r="Q365" s="108"/>
      <c r="R365" s="108"/>
      <c r="S365" s="108"/>
      <c r="T365" s="108"/>
      <c r="U365" s="108"/>
      <c r="V365" s="108"/>
      <c r="W365" s="108"/>
      <c r="X365" s="108"/>
      <c r="Y365" s="108"/>
      <c r="Z365" s="108"/>
      <c r="AA365" s="108"/>
      <c r="AB365" s="108"/>
      <c r="AC365" s="108"/>
      <c r="AD365" s="108"/>
      <c r="AE365" s="108"/>
      <c r="AF365" s="108"/>
      <c r="AG365" s="108"/>
      <c r="AH365" s="108"/>
      <c r="AI365" s="108"/>
      <c r="AJ365" s="108"/>
      <c r="AK365" s="108"/>
      <c r="AL365" s="108"/>
      <c r="AM365" s="108"/>
      <c r="AN365" s="108"/>
      <c r="AO365" s="108"/>
      <c r="AP365" s="108"/>
      <c r="AQ365" s="108"/>
      <c r="AR365" s="108"/>
      <c r="AS365" s="108"/>
      <c r="AT365" s="108"/>
      <c r="AU365" s="108"/>
      <c r="AV365" s="108"/>
      <c r="AW365" s="108"/>
      <c r="AX365" s="108"/>
      <c r="AY365" s="108"/>
      <c r="AZ365" s="108"/>
      <c r="BA365" s="108"/>
      <c r="BB365" s="108"/>
    </row>
    <row r="366" spans="3:54" ht="12.75" customHeight="1" x14ac:dyDescent="0.25">
      <c r="C366" s="108"/>
      <c r="D366" s="108"/>
      <c r="E366" s="108"/>
      <c r="F366" s="108"/>
      <c r="G366" s="108"/>
      <c r="H366" s="108"/>
      <c r="I366" s="108"/>
      <c r="J366" s="108"/>
      <c r="K366" s="108"/>
      <c r="L366" s="108"/>
      <c r="M366" s="108"/>
      <c r="N366" s="108"/>
      <c r="O366" s="108"/>
      <c r="P366" s="108"/>
      <c r="Q366" s="108"/>
      <c r="R366" s="108"/>
      <c r="S366" s="108"/>
      <c r="T366" s="108"/>
      <c r="U366" s="108"/>
      <c r="V366" s="108"/>
      <c r="W366" s="108"/>
      <c r="X366" s="108"/>
      <c r="Y366" s="108"/>
      <c r="Z366" s="108"/>
      <c r="AA366" s="108"/>
      <c r="AB366" s="108"/>
      <c r="AC366" s="108"/>
      <c r="AD366" s="108"/>
      <c r="AE366" s="108"/>
      <c r="AF366" s="108"/>
      <c r="AG366" s="108"/>
      <c r="AH366" s="108"/>
      <c r="AI366" s="108"/>
      <c r="AJ366" s="108"/>
      <c r="AK366" s="108"/>
      <c r="AL366" s="108"/>
      <c r="AM366" s="108"/>
      <c r="AN366" s="108"/>
      <c r="AO366" s="108"/>
      <c r="AP366" s="108"/>
      <c r="AQ366" s="108"/>
      <c r="AR366" s="108"/>
      <c r="AS366" s="108"/>
      <c r="AT366" s="108"/>
      <c r="AU366" s="108"/>
      <c r="AV366" s="108"/>
      <c r="AW366" s="108"/>
      <c r="AX366" s="108"/>
      <c r="AY366" s="108"/>
      <c r="AZ366" s="108"/>
      <c r="BA366" s="108"/>
      <c r="BB366" s="108"/>
    </row>
    <row r="367" spans="3:54" ht="12.75" customHeight="1" x14ac:dyDescent="0.25">
      <c r="C367" s="108"/>
      <c r="D367" s="108"/>
      <c r="E367" s="108"/>
      <c r="F367" s="108"/>
      <c r="G367" s="108"/>
      <c r="H367" s="108"/>
      <c r="I367" s="108"/>
      <c r="J367" s="108"/>
      <c r="K367" s="108"/>
      <c r="L367" s="108"/>
      <c r="M367" s="108"/>
      <c r="N367" s="108"/>
      <c r="O367" s="108"/>
      <c r="P367" s="108"/>
      <c r="Q367" s="108"/>
      <c r="R367" s="108"/>
      <c r="S367" s="108"/>
      <c r="T367" s="108"/>
      <c r="U367" s="108"/>
      <c r="V367" s="108"/>
      <c r="W367" s="108"/>
      <c r="X367" s="108"/>
      <c r="Y367" s="108"/>
      <c r="Z367" s="108"/>
      <c r="AA367" s="108"/>
      <c r="AB367" s="108"/>
      <c r="AC367" s="108"/>
      <c r="AD367" s="108"/>
      <c r="AE367" s="108"/>
      <c r="AF367" s="108"/>
      <c r="AG367" s="108"/>
      <c r="AH367" s="108"/>
      <c r="AI367" s="108"/>
      <c r="AJ367" s="108"/>
      <c r="AK367" s="108"/>
      <c r="AL367" s="108"/>
      <c r="AM367" s="108"/>
      <c r="AN367" s="108"/>
      <c r="AO367" s="108"/>
      <c r="AP367" s="108"/>
      <c r="AQ367" s="108"/>
      <c r="AR367" s="108"/>
      <c r="AS367" s="108"/>
      <c r="AT367" s="108"/>
      <c r="AU367" s="108"/>
      <c r="AV367" s="108"/>
      <c r="AW367" s="108"/>
      <c r="AX367" s="108"/>
      <c r="AY367" s="108"/>
      <c r="AZ367" s="108"/>
      <c r="BA367" s="108"/>
      <c r="BB367" s="108"/>
    </row>
    <row r="368" spans="3:54" ht="12.75" customHeight="1" x14ac:dyDescent="0.25">
      <c r="C368" s="108"/>
      <c r="D368" s="108"/>
      <c r="E368" s="108"/>
      <c r="F368" s="108"/>
      <c r="G368" s="108"/>
      <c r="H368" s="108"/>
      <c r="I368" s="108"/>
      <c r="J368" s="108"/>
      <c r="K368" s="108"/>
      <c r="L368" s="108"/>
      <c r="M368" s="108"/>
      <c r="N368" s="108"/>
      <c r="O368" s="108"/>
      <c r="P368" s="108"/>
      <c r="Q368" s="108"/>
      <c r="R368" s="108"/>
      <c r="S368" s="108"/>
      <c r="T368" s="108"/>
      <c r="U368" s="108"/>
      <c r="V368" s="108"/>
      <c r="W368" s="108"/>
      <c r="X368" s="108"/>
      <c r="Y368" s="108"/>
      <c r="Z368" s="108"/>
      <c r="AA368" s="108"/>
      <c r="AB368" s="108"/>
      <c r="AC368" s="108"/>
      <c r="AD368" s="108"/>
      <c r="AE368" s="108"/>
      <c r="AF368" s="108"/>
      <c r="AG368" s="108"/>
      <c r="AH368" s="108"/>
      <c r="AI368" s="108"/>
      <c r="AJ368" s="108"/>
      <c r="AK368" s="108"/>
      <c r="AL368" s="108"/>
      <c r="AM368" s="108"/>
      <c r="AN368" s="108"/>
      <c r="AO368" s="108"/>
      <c r="AP368" s="108"/>
      <c r="AQ368" s="108"/>
      <c r="AR368" s="108"/>
      <c r="AS368" s="108"/>
      <c r="AT368" s="108"/>
      <c r="AU368" s="108"/>
      <c r="AV368" s="108"/>
      <c r="AW368" s="108"/>
      <c r="AX368" s="108"/>
      <c r="AY368" s="108"/>
      <c r="AZ368" s="108"/>
      <c r="BA368" s="108"/>
      <c r="BB368" s="108"/>
    </row>
    <row r="369" spans="3:54" ht="12.75" customHeight="1" x14ac:dyDescent="0.25">
      <c r="C369" s="108"/>
      <c r="D369" s="108"/>
      <c r="E369" s="108"/>
      <c r="F369" s="108"/>
      <c r="G369" s="108"/>
      <c r="H369" s="108"/>
      <c r="I369" s="108"/>
      <c r="J369" s="108"/>
      <c r="K369" s="108"/>
      <c r="L369" s="108"/>
      <c r="M369" s="108"/>
      <c r="N369" s="108"/>
      <c r="O369" s="108"/>
      <c r="P369" s="108"/>
      <c r="Q369" s="108"/>
      <c r="R369" s="108"/>
      <c r="S369" s="108"/>
      <c r="T369" s="108"/>
      <c r="U369" s="108"/>
      <c r="V369" s="108"/>
      <c r="W369" s="108"/>
      <c r="X369" s="108"/>
      <c r="Y369" s="108"/>
      <c r="Z369" s="108"/>
      <c r="AA369" s="108"/>
      <c r="AB369" s="108"/>
      <c r="AC369" s="108"/>
      <c r="AD369" s="108"/>
      <c r="AE369" s="108"/>
      <c r="AF369" s="108"/>
      <c r="AG369" s="108"/>
      <c r="AH369" s="108"/>
      <c r="AI369" s="108"/>
      <c r="AJ369" s="108"/>
      <c r="AK369" s="108"/>
      <c r="AL369" s="108"/>
      <c r="AM369" s="108"/>
      <c r="AN369" s="108"/>
      <c r="AO369" s="108"/>
      <c r="AP369" s="108"/>
      <c r="AQ369" s="108"/>
      <c r="AR369" s="108"/>
      <c r="AS369" s="108"/>
      <c r="AT369" s="108"/>
      <c r="AU369" s="108"/>
      <c r="AV369" s="108"/>
      <c r="AW369" s="108"/>
      <c r="AX369" s="108"/>
      <c r="AY369" s="108"/>
      <c r="AZ369" s="108"/>
      <c r="BA369" s="108"/>
      <c r="BB369" s="108"/>
    </row>
    <row r="370" spans="3:54" ht="12.75" customHeight="1" x14ac:dyDescent="0.25">
      <c r="C370" s="108"/>
      <c r="D370" s="108"/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08"/>
      <c r="P370" s="108"/>
      <c r="Q370" s="108"/>
      <c r="R370" s="108"/>
      <c r="S370" s="108"/>
      <c r="T370" s="108"/>
      <c r="U370" s="108"/>
      <c r="V370" s="108"/>
      <c r="W370" s="108"/>
      <c r="X370" s="108"/>
      <c r="Y370" s="108"/>
      <c r="Z370" s="108"/>
      <c r="AA370" s="108"/>
      <c r="AB370" s="108"/>
      <c r="AC370" s="108"/>
      <c r="AD370" s="108"/>
      <c r="AE370" s="108"/>
      <c r="AF370" s="108"/>
      <c r="AG370" s="108"/>
      <c r="AH370" s="108"/>
      <c r="AI370" s="108"/>
      <c r="AJ370" s="108"/>
      <c r="AK370" s="108"/>
      <c r="AL370" s="108"/>
      <c r="AM370" s="108"/>
      <c r="AN370" s="108"/>
      <c r="AO370" s="108"/>
      <c r="AP370" s="108"/>
      <c r="AQ370" s="108"/>
      <c r="AR370" s="108"/>
      <c r="AS370" s="108"/>
      <c r="AT370" s="108"/>
      <c r="AU370" s="108"/>
      <c r="AV370" s="108"/>
      <c r="AW370" s="108"/>
      <c r="AX370" s="108"/>
      <c r="AY370" s="108"/>
      <c r="AZ370" s="108"/>
      <c r="BA370" s="108"/>
      <c r="BB370" s="108"/>
    </row>
    <row r="371" spans="3:54" ht="12.75" customHeight="1" x14ac:dyDescent="0.25">
      <c r="C371" s="108"/>
      <c r="D371" s="108"/>
      <c r="E371" s="108"/>
      <c r="F371" s="108"/>
      <c r="G371" s="108"/>
      <c r="H371" s="108"/>
      <c r="I371" s="108"/>
      <c r="J371" s="108"/>
      <c r="K371" s="108"/>
      <c r="L371" s="108"/>
      <c r="M371" s="108"/>
      <c r="N371" s="108"/>
      <c r="O371" s="108"/>
      <c r="P371" s="108"/>
      <c r="Q371" s="108"/>
      <c r="R371" s="108"/>
      <c r="S371" s="108"/>
      <c r="T371" s="108"/>
      <c r="U371" s="108"/>
      <c r="V371" s="108"/>
      <c r="W371" s="108"/>
      <c r="X371" s="108"/>
      <c r="Y371" s="108"/>
      <c r="Z371" s="108"/>
      <c r="AA371" s="108"/>
      <c r="AB371" s="108"/>
      <c r="AC371" s="108"/>
      <c r="AD371" s="108"/>
      <c r="AE371" s="108"/>
      <c r="AF371" s="108"/>
      <c r="AG371" s="108"/>
      <c r="AH371" s="108"/>
      <c r="AI371" s="108"/>
      <c r="AJ371" s="108"/>
      <c r="AK371" s="108"/>
      <c r="AL371" s="108"/>
      <c r="AM371" s="108"/>
      <c r="AN371" s="108"/>
      <c r="AO371" s="108"/>
      <c r="AP371" s="108"/>
      <c r="AQ371" s="108"/>
      <c r="AR371" s="108"/>
      <c r="AS371" s="108"/>
      <c r="AT371" s="108"/>
      <c r="AU371" s="108"/>
      <c r="AV371" s="108"/>
      <c r="AW371" s="108"/>
      <c r="AX371" s="108"/>
      <c r="AY371" s="108"/>
      <c r="AZ371" s="108"/>
      <c r="BA371" s="108"/>
      <c r="BB371" s="108"/>
    </row>
    <row r="372" spans="3:54" ht="12.75" customHeight="1" x14ac:dyDescent="0.25">
      <c r="C372" s="108"/>
      <c r="D372" s="108"/>
      <c r="E372" s="108"/>
      <c r="F372" s="108"/>
      <c r="G372" s="108"/>
      <c r="H372" s="108"/>
      <c r="I372" s="108"/>
      <c r="J372" s="108"/>
      <c r="K372" s="108"/>
      <c r="L372" s="108"/>
      <c r="M372" s="108"/>
      <c r="N372" s="108"/>
      <c r="O372" s="108"/>
      <c r="P372" s="108"/>
      <c r="Q372" s="108"/>
      <c r="R372" s="108"/>
      <c r="S372" s="108"/>
      <c r="T372" s="108"/>
      <c r="U372" s="108"/>
      <c r="V372" s="108"/>
      <c r="W372" s="108"/>
      <c r="X372" s="108"/>
      <c r="Y372" s="108"/>
      <c r="Z372" s="108"/>
      <c r="AA372" s="108"/>
      <c r="AB372" s="108"/>
      <c r="AC372" s="108"/>
      <c r="AD372" s="108"/>
      <c r="AE372" s="108"/>
      <c r="AF372" s="108"/>
      <c r="AG372" s="108"/>
      <c r="AH372" s="108"/>
      <c r="AI372" s="108"/>
      <c r="AJ372" s="108"/>
      <c r="AK372" s="108"/>
      <c r="AL372" s="108"/>
      <c r="AM372" s="108"/>
      <c r="AN372" s="108"/>
      <c r="AO372" s="108"/>
      <c r="AP372" s="108"/>
      <c r="AQ372" s="108"/>
      <c r="AR372" s="108"/>
      <c r="AS372" s="108"/>
      <c r="AT372" s="108"/>
      <c r="AU372" s="108"/>
      <c r="AV372" s="108"/>
      <c r="AW372" s="108"/>
      <c r="AX372" s="108"/>
      <c r="AY372" s="108"/>
      <c r="AZ372" s="108"/>
      <c r="BA372" s="108"/>
      <c r="BB372" s="108"/>
    </row>
    <row r="373" spans="3:54" ht="12.75" customHeight="1" x14ac:dyDescent="0.25">
      <c r="C373" s="108"/>
      <c r="D373" s="108"/>
      <c r="E373" s="108"/>
      <c r="F373" s="108"/>
      <c r="G373" s="108"/>
      <c r="H373" s="108"/>
      <c r="I373" s="108"/>
      <c r="J373" s="108"/>
      <c r="K373" s="108"/>
      <c r="L373" s="108"/>
      <c r="M373" s="108"/>
      <c r="N373" s="108"/>
      <c r="O373" s="108"/>
      <c r="P373" s="108"/>
      <c r="Q373" s="108"/>
      <c r="R373" s="108"/>
      <c r="S373" s="108"/>
      <c r="T373" s="108"/>
      <c r="U373" s="108"/>
      <c r="V373" s="108"/>
      <c r="W373" s="108"/>
      <c r="X373" s="108"/>
      <c r="Y373" s="108"/>
      <c r="Z373" s="108"/>
      <c r="AA373" s="108"/>
      <c r="AB373" s="108"/>
      <c r="AC373" s="108"/>
      <c r="AD373" s="108"/>
      <c r="AE373" s="108"/>
      <c r="AF373" s="108"/>
      <c r="AG373" s="108"/>
      <c r="AH373" s="108"/>
      <c r="AI373" s="108"/>
      <c r="AJ373" s="108"/>
      <c r="AK373" s="108"/>
      <c r="AL373" s="108"/>
      <c r="AM373" s="108"/>
      <c r="AN373" s="108"/>
      <c r="AO373" s="108"/>
      <c r="AP373" s="108"/>
      <c r="AQ373" s="108"/>
      <c r="AR373" s="108"/>
      <c r="AS373" s="108"/>
      <c r="AT373" s="108"/>
      <c r="AU373" s="108"/>
      <c r="AV373" s="108"/>
      <c r="AW373" s="108"/>
      <c r="AX373" s="108"/>
      <c r="AY373" s="108"/>
      <c r="AZ373" s="108"/>
      <c r="BA373" s="108"/>
      <c r="BB373" s="108"/>
    </row>
    <row r="374" spans="3:54" ht="12.75" customHeight="1" x14ac:dyDescent="0.25">
      <c r="C374" s="108"/>
      <c r="D374" s="108"/>
      <c r="E374" s="108"/>
      <c r="F374" s="108"/>
      <c r="G374" s="108"/>
      <c r="H374" s="108"/>
      <c r="I374" s="108"/>
      <c r="J374" s="108"/>
      <c r="K374" s="108"/>
      <c r="L374" s="108"/>
      <c r="M374" s="108"/>
      <c r="N374" s="108"/>
      <c r="O374" s="108"/>
      <c r="P374" s="108"/>
      <c r="Q374" s="108"/>
      <c r="R374" s="108"/>
      <c r="S374" s="108"/>
      <c r="T374" s="108"/>
      <c r="U374" s="108"/>
      <c r="V374" s="108"/>
      <c r="W374" s="108"/>
      <c r="X374" s="108"/>
      <c r="Y374" s="108"/>
      <c r="Z374" s="108"/>
      <c r="AA374" s="108"/>
      <c r="AB374" s="108"/>
      <c r="AC374" s="108"/>
      <c r="AD374" s="108"/>
      <c r="AE374" s="108"/>
      <c r="AF374" s="108"/>
      <c r="AG374" s="108"/>
      <c r="AH374" s="108"/>
      <c r="AI374" s="108"/>
      <c r="AJ374" s="108"/>
      <c r="AK374" s="108"/>
      <c r="AL374" s="108"/>
      <c r="AM374" s="108"/>
      <c r="AN374" s="108"/>
      <c r="AO374" s="108"/>
      <c r="AP374" s="108"/>
      <c r="AQ374" s="108"/>
      <c r="AR374" s="108"/>
      <c r="AS374" s="108"/>
      <c r="AT374" s="108"/>
      <c r="AU374" s="108"/>
      <c r="AV374" s="108"/>
      <c r="AW374" s="108"/>
      <c r="AX374" s="108"/>
      <c r="AY374" s="108"/>
      <c r="AZ374" s="108"/>
      <c r="BA374" s="108"/>
      <c r="BB374" s="108"/>
    </row>
    <row r="375" spans="3:54" ht="12.75" customHeight="1" x14ac:dyDescent="0.25">
      <c r="C375" s="108"/>
      <c r="D375" s="108"/>
      <c r="E375" s="108"/>
      <c r="F375" s="108"/>
      <c r="G375" s="108"/>
      <c r="H375" s="108"/>
      <c r="I375" s="108"/>
      <c r="J375" s="108"/>
      <c r="K375" s="108"/>
      <c r="L375" s="108"/>
      <c r="M375" s="108"/>
      <c r="N375" s="108"/>
      <c r="O375" s="108"/>
      <c r="P375" s="108"/>
      <c r="Q375" s="108"/>
      <c r="R375" s="108"/>
      <c r="S375" s="108"/>
      <c r="T375" s="108"/>
      <c r="U375" s="108"/>
      <c r="V375" s="108"/>
      <c r="W375" s="108"/>
      <c r="X375" s="108"/>
      <c r="Y375" s="108"/>
      <c r="Z375" s="108"/>
      <c r="AA375" s="108"/>
      <c r="AB375" s="108"/>
      <c r="AC375" s="108"/>
      <c r="AD375" s="108"/>
      <c r="AE375" s="108"/>
      <c r="AF375" s="108"/>
      <c r="AG375" s="108"/>
      <c r="AH375" s="108"/>
      <c r="AI375" s="108"/>
      <c r="AJ375" s="108"/>
      <c r="AK375" s="108"/>
      <c r="AL375" s="108"/>
      <c r="AM375" s="108"/>
      <c r="AN375" s="108"/>
      <c r="AO375" s="108"/>
      <c r="AP375" s="108"/>
      <c r="AQ375" s="108"/>
      <c r="AR375" s="108"/>
      <c r="AS375" s="108"/>
      <c r="AT375" s="108"/>
      <c r="AU375" s="108"/>
      <c r="AV375" s="108"/>
      <c r="AW375" s="108"/>
      <c r="AX375" s="108"/>
      <c r="AY375" s="108"/>
      <c r="AZ375" s="108"/>
      <c r="BA375" s="108"/>
      <c r="BB375" s="108"/>
    </row>
    <row r="376" spans="3:54" ht="12.75" customHeight="1" x14ac:dyDescent="0.25">
      <c r="C376" s="108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8"/>
      <c r="W376" s="108"/>
      <c r="X376" s="108"/>
      <c r="Y376" s="108"/>
      <c r="Z376" s="108"/>
      <c r="AA376" s="108"/>
      <c r="AB376" s="108"/>
      <c r="AC376" s="108"/>
      <c r="AD376" s="108"/>
      <c r="AE376" s="108"/>
      <c r="AF376" s="108"/>
      <c r="AG376" s="108"/>
      <c r="AH376" s="108"/>
      <c r="AI376" s="108"/>
      <c r="AJ376" s="108"/>
      <c r="AK376" s="108"/>
      <c r="AL376" s="108"/>
      <c r="AM376" s="108"/>
      <c r="AN376" s="108"/>
      <c r="AO376" s="108"/>
      <c r="AP376" s="108"/>
      <c r="AQ376" s="108"/>
      <c r="AR376" s="108"/>
      <c r="AS376" s="108"/>
      <c r="AT376" s="108"/>
      <c r="AU376" s="108"/>
      <c r="AV376" s="108"/>
      <c r="AW376" s="108"/>
      <c r="AX376" s="108"/>
      <c r="AY376" s="108"/>
      <c r="AZ376" s="108"/>
      <c r="BA376" s="108"/>
      <c r="BB376" s="108"/>
    </row>
    <row r="377" spans="3:54" ht="12.75" customHeight="1" x14ac:dyDescent="0.25">
      <c r="C377" s="108"/>
      <c r="D377" s="108"/>
      <c r="E377" s="108"/>
      <c r="F377" s="108"/>
      <c r="G377" s="108"/>
      <c r="H377" s="108"/>
      <c r="I377" s="108"/>
      <c r="J377" s="108"/>
      <c r="K377" s="108"/>
      <c r="L377" s="108"/>
      <c r="M377" s="108"/>
      <c r="N377" s="108"/>
      <c r="O377" s="108"/>
      <c r="P377" s="108"/>
      <c r="Q377" s="108"/>
      <c r="R377" s="108"/>
      <c r="S377" s="108"/>
      <c r="T377" s="108"/>
      <c r="U377" s="108"/>
      <c r="V377" s="108"/>
      <c r="W377" s="108"/>
      <c r="X377" s="108"/>
      <c r="Y377" s="108"/>
      <c r="Z377" s="108"/>
      <c r="AA377" s="108"/>
      <c r="AB377" s="108"/>
      <c r="AC377" s="108"/>
      <c r="AD377" s="108"/>
      <c r="AE377" s="108"/>
      <c r="AF377" s="108"/>
      <c r="AG377" s="108"/>
      <c r="AH377" s="108"/>
      <c r="AI377" s="108"/>
      <c r="AJ377" s="108"/>
      <c r="AK377" s="108"/>
      <c r="AL377" s="108"/>
      <c r="AM377" s="108"/>
      <c r="AN377" s="108"/>
      <c r="AO377" s="108"/>
      <c r="AP377" s="108"/>
      <c r="AQ377" s="108"/>
      <c r="AR377" s="108"/>
      <c r="AS377" s="108"/>
      <c r="AT377" s="108"/>
      <c r="AU377" s="108"/>
      <c r="AV377" s="108"/>
      <c r="AW377" s="108"/>
      <c r="AX377" s="108"/>
      <c r="AY377" s="108"/>
      <c r="AZ377" s="108"/>
      <c r="BA377" s="108"/>
      <c r="BB377" s="108"/>
    </row>
    <row r="378" spans="3:54" ht="12.75" customHeight="1" x14ac:dyDescent="0.25">
      <c r="C378" s="108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8"/>
      <c r="W378" s="108"/>
      <c r="X378" s="108"/>
      <c r="Y378" s="108"/>
      <c r="Z378" s="108"/>
      <c r="AA378" s="108"/>
      <c r="AB378" s="108"/>
      <c r="AC378" s="108"/>
      <c r="AD378" s="108"/>
      <c r="AE378" s="108"/>
      <c r="AF378" s="108"/>
      <c r="AG378" s="108"/>
      <c r="AH378" s="108"/>
      <c r="AI378" s="108"/>
      <c r="AJ378" s="108"/>
      <c r="AK378" s="108"/>
      <c r="AL378" s="108"/>
      <c r="AM378" s="108"/>
      <c r="AN378" s="108"/>
      <c r="AO378" s="108"/>
      <c r="AP378" s="108"/>
      <c r="AQ378" s="108"/>
      <c r="AR378" s="108"/>
      <c r="AS378" s="108"/>
      <c r="AT378" s="108"/>
      <c r="AU378" s="108"/>
      <c r="AV378" s="108"/>
      <c r="AW378" s="108"/>
      <c r="AX378" s="108"/>
      <c r="AY378" s="108"/>
      <c r="AZ378" s="108"/>
      <c r="BA378" s="108"/>
      <c r="BB378" s="108"/>
    </row>
    <row r="379" spans="3:54" ht="12.75" customHeight="1" x14ac:dyDescent="0.25">
      <c r="C379" s="108"/>
      <c r="D379" s="108"/>
      <c r="E379" s="108"/>
      <c r="F379" s="108"/>
      <c r="G379" s="108"/>
      <c r="H379" s="108"/>
      <c r="I379" s="108"/>
      <c r="J379" s="108"/>
      <c r="K379" s="108"/>
      <c r="L379" s="108"/>
      <c r="M379" s="108"/>
      <c r="N379" s="108"/>
      <c r="O379" s="108"/>
      <c r="P379" s="108"/>
      <c r="Q379" s="108"/>
      <c r="R379" s="108"/>
      <c r="S379" s="108"/>
      <c r="T379" s="108"/>
      <c r="U379" s="108"/>
      <c r="V379" s="108"/>
      <c r="W379" s="108"/>
      <c r="X379" s="108"/>
      <c r="Y379" s="108"/>
      <c r="Z379" s="108"/>
      <c r="AA379" s="108"/>
      <c r="AB379" s="108"/>
      <c r="AC379" s="108"/>
      <c r="AD379" s="108"/>
      <c r="AE379" s="108"/>
      <c r="AF379" s="108"/>
      <c r="AG379" s="108"/>
      <c r="AH379" s="108"/>
      <c r="AI379" s="108"/>
      <c r="AJ379" s="108"/>
      <c r="AK379" s="108"/>
      <c r="AL379" s="108"/>
      <c r="AM379" s="108"/>
      <c r="AN379" s="108"/>
      <c r="AO379" s="108"/>
      <c r="AP379" s="108"/>
      <c r="AQ379" s="108"/>
      <c r="AR379" s="108"/>
      <c r="AS379" s="108"/>
      <c r="AT379" s="108"/>
      <c r="AU379" s="108"/>
      <c r="AV379" s="108"/>
      <c r="AW379" s="108"/>
      <c r="AX379" s="108"/>
      <c r="AY379" s="108"/>
      <c r="AZ379" s="108"/>
      <c r="BA379" s="108"/>
      <c r="BB379" s="108"/>
    </row>
    <row r="380" spans="3:54" ht="12.75" customHeight="1" x14ac:dyDescent="0.25">
      <c r="C380" s="108"/>
      <c r="D380" s="108"/>
      <c r="E380" s="108"/>
      <c r="F380" s="108"/>
      <c r="G380" s="108"/>
      <c r="H380" s="108"/>
      <c r="I380" s="108"/>
      <c r="J380" s="108"/>
      <c r="K380" s="108"/>
      <c r="L380" s="108"/>
      <c r="M380" s="108"/>
      <c r="N380" s="108"/>
      <c r="O380" s="108"/>
      <c r="P380" s="108"/>
      <c r="Q380" s="108"/>
      <c r="R380" s="108"/>
      <c r="S380" s="108"/>
      <c r="T380" s="108"/>
      <c r="U380" s="108"/>
      <c r="V380" s="108"/>
      <c r="W380" s="108"/>
      <c r="X380" s="108"/>
      <c r="Y380" s="108"/>
      <c r="Z380" s="108"/>
      <c r="AA380" s="108"/>
      <c r="AB380" s="108"/>
      <c r="AC380" s="108"/>
      <c r="AD380" s="108"/>
      <c r="AE380" s="108"/>
      <c r="AF380" s="108"/>
      <c r="AG380" s="108"/>
      <c r="AH380" s="108"/>
      <c r="AI380" s="108"/>
      <c r="AJ380" s="108"/>
      <c r="AK380" s="108"/>
      <c r="AL380" s="108"/>
      <c r="AM380" s="108"/>
      <c r="AN380" s="108"/>
      <c r="AO380" s="108"/>
      <c r="AP380" s="108"/>
      <c r="AQ380" s="108"/>
      <c r="AR380" s="108"/>
      <c r="AS380" s="108"/>
      <c r="AT380" s="108"/>
      <c r="AU380" s="108"/>
      <c r="AV380" s="108"/>
      <c r="AW380" s="108"/>
      <c r="AX380" s="108"/>
      <c r="AY380" s="108"/>
      <c r="AZ380" s="108"/>
      <c r="BA380" s="108"/>
      <c r="BB380" s="108"/>
    </row>
    <row r="381" spans="3:54" ht="12.75" customHeight="1" x14ac:dyDescent="0.25">
      <c r="C381" s="108"/>
      <c r="D381" s="108"/>
      <c r="E381" s="108"/>
      <c r="F381" s="108"/>
      <c r="G381" s="108"/>
      <c r="H381" s="108"/>
      <c r="I381" s="108"/>
      <c r="J381" s="108"/>
      <c r="K381" s="108"/>
      <c r="L381" s="108"/>
      <c r="M381" s="108"/>
      <c r="N381" s="108"/>
      <c r="O381" s="108"/>
      <c r="P381" s="108"/>
      <c r="Q381" s="108"/>
      <c r="R381" s="108"/>
      <c r="S381" s="108"/>
      <c r="T381" s="108"/>
      <c r="U381" s="108"/>
      <c r="V381" s="108"/>
      <c r="W381" s="108"/>
      <c r="X381" s="108"/>
      <c r="Y381" s="108"/>
      <c r="Z381" s="108"/>
      <c r="AA381" s="108"/>
      <c r="AB381" s="108"/>
      <c r="AC381" s="108"/>
      <c r="AD381" s="108"/>
      <c r="AE381" s="108"/>
      <c r="AF381" s="108"/>
      <c r="AG381" s="108"/>
      <c r="AH381" s="108"/>
      <c r="AI381" s="108"/>
      <c r="AJ381" s="108"/>
      <c r="AK381" s="108"/>
      <c r="AL381" s="108"/>
      <c r="AM381" s="108"/>
      <c r="AN381" s="108"/>
      <c r="AO381" s="108"/>
      <c r="AP381" s="108"/>
      <c r="AQ381" s="108"/>
      <c r="AR381" s="108"/>
      <c r="AS381" s="108"/>
      <c r="AT381" s="108"/>
      <c r="AU381" s="108"/>
      <c r="AV381" s="108"/>
      <c r="AW381" s="108"/>
      <c r="AX381" s="108"/>
      <c r="AY381" s="108"/>
      <c r="AZ381" s="108"/>
      <c r="BA381" s="108"/>
      <c r="BB381" s="108"/>
    </row>
    <row r="382" spans="3:54" ht="12.75" customHeight="1" x14ac:dyDescent="0.25">
      <c r="C382" s="108"/>
      <c r="D382" s="108"/>
      <c r="E382" s="108"/>
      <c r="F382" s="108"/>
      <c r="G382" s="108"/>
      <c r="H382" s="108"/>
      <c r="I382" s="108"/>
      <c r="J382" s="108"/>
      <c r="K382" s="108"/>
      <c r="L382" s="108"/>
      <c r="M382" s="108"/>
      <c r="N382" s="108"/>
      <c r="O382" s="108"/>
      <c r="P382" s="108"/>
      <c r="Q382" s="108"/>
      <c r="R382" s="108"/>
      <c r="S382" s="108"/>
      <c r="T382" s="108"/>
      <c r="U382" s="108"/>
      <c r="V382" s="108"/>
      <c r="W382" s="108"/>
      <c r="X382" s="108"/>
      <c r="Y382" s="108"/>
      <c r="Z382" s="108"/>
      <c r="AA382" s="108"/>
      <c r="AB382" s="108"/>
      <c r="AC382" s="108"/>
      <c r="AD382" s="108"/>
      <c r="AE382" s="108"/>
      <c r="AF382" s="108"/>
      <c r="AG382" s="108"/>
      <c r="AH382" s="108"/>
      <c r="AI382" s="108"/>
      <c r="AJ382" s="108"/>
      <c r="AK382" s="108"/>
      <c r="AL382" s="108"/>
      <c r="AM382" s="108"/>
      <c r="AN382" s="108"/>
      <c r="AO382" s="108"/>
      <c r="AP382" s="108"/>
      <c r="AQ382" s="108"/>
      <c r="AR382" s="108"/>
      <c r="AS382" s="108"/>
      <c r="AT382" s="108"/>
      <c r="AU382" s="108"/>
      <c r="AV382" s="108"/>
      <c r="AW382" s="108"/>
      <c r="AX382" s="108"/>
      <c r="AY382" s="108"/>
      <c r="AZ382" s="108"/>
      <c r="BA382" s="108"/>
      <c r="BB382" s="108"/>
    </row>
    <row r="383" spans="3:54" ht="12.75" customHeight="1" x14ac:dyDescent="0.25">
      <c r="C383" s="108"/>
      <c r="D383" s="108"/>
      <c r="E383" s="108"/>
      <c r="F383" s="108"/>
      <c r="G383" s="108"/>
      <c r="H383" s="108"/>
      <c r="I383" s="108"/>
      <c r="J383" s="108"/>
      <c r="K383" s="108"/>
      <c r="L383" s="108"/>
      <c r="M383" s="108"/>
      <c r="N383" s="108"/>
      <c r="O383" s="108"/>
      <c r="P383" s="108"/>
      <c r="Q383" s="108"/>
      <c r="R383" s="108"/>
      <c r="S383" s="108"/>
      <c r="T383" s="108"/>
      <c r="U383" s="108"/>
      <c r="V383" s="108"/>
      <c r="W383" s="108"/>
      <c r="X383" s="108"/>
      <c r="Y383" s="108"/>
      <c r="Z383" s="108"/>
      <c r="AA383" s="108"/>
      <c r="AB383" s="108"/>
      <c r="AC383" s="108"/>
      <c r="AD383" s="108"/>
      <c r="AE383" s="108"/>
      <c r="AF383" s="108"/>
      <c r="AG383" s="108"/>
      <c r="AH383" s="108"/>
      <c r="AI383" s="108"/>
      <c r="AJ383" s="108"/>
      <c r="AK383" s="108"/>
      <c r="AL383" s="108"/>
      <c r="AM383" s="108"/>
      <c r="AN383" s="108"/>
      <c r="AO383" s="108"/>
      <c r="AP383" s="108"/>
      <c r="AQ383" s="108"/>
      <c r="AR383" s="108"/>
      <c r="AS383" s="108"/>
      <c r="AT383" s="108"/>
      <c r="AU383" s="108"/>
      <c r="AV383" s="108"/>
      <c r="AW383" s="108"/>
      <c r="AX383" s="108"/>
      <c r="AY383" s="108"/>
      <c r="AZ383" s="108"/>
      <c r="BA383" s="108"/>
      <c r="BB383" s="108"/>
    </row>
    <row r="384" spans="3:54" ht="12.75" customHeight="1" x14ac:dyDescent="0.25">
      <c r="C384" s="108"/>
      <c r="D384" s="108"/>
      <c r="E384" s="108"/>
      <c r="F384" s="108"/>
      <c r="G384" s="108"/>
      <c r="H384" s="108"/>
      <c r="I384" s="108"/>
      <c r="J384" s="108"/>
      <c r="K384" s="108"/>
      <c r="L384" s="108"/>
      <c r="M384" s="108"/>
      <c r="N384" s="108"/>
      <c r="O384" s="108"/>
      <c r="P384" s="108"/>
      <c r="Q384" s="108"/>
      <c r="R384" s="108"/>
      <c r="S384" s="108"/>
      <c r="T384" s="108"/>
      <c r="U384" s="108"/>
      <c r="V384" s="108"/>
      <c r="W384" s="108"/>
      <c r="X384" s="108"/>
      <c r="Y384" s="108"/>
      <c r="Z384" s="108"/>
      <c r="AA384" s="108"/>
      <c r="AB384" s="108"/>
      <c r="AC384" s="108"/>
      <c r="AD384" s="108"/>
      <c r="AE384" s="108"/>
      <c r="AF384" s="108"/>
      <c r="AG384" s="108"/>
      <c r="AH384" s="108"/>
      <c r="AI384" s="108"/>
      <c r="AJ384" s="108"/>
      <c r="AK384" s="108"/>
      <c r="AL384" s="108"/>
      <c r="AM384" s="108"/>
      <c r="AN384" s="108"/>
      <c r="AO384" s="108"/>
      <c r="AP384" s="108"/>
      <c r="AQ384" s="108"/>
      <c r="AR384" s="108"/>
      <c r="AS384" s="108"/>
      <c r="AT384" s="108"/>
      <c r="AU384" s="108"/>
      <c r="AV384" s="108"/>
      <c r="AW384" s="108"/>
      <c r="AX384" s="108"/>
      <c r="AY384" s="108"/>
      <c r="AZ384" s="108"/>
      <c r="BA384" s="108"/>
      <c r="BB384" s="108"/>
    </row>
    <row r="385" spans="3:54" ht="12.75" customHeight="1" x14ac:dyDescent="0.25">
      <c r="C385" s="108"/>
      <c r="D385" s="108"/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08"/>
      <c r="P385" s="108"/>
      <c r="Q385" s="108"/>
      <c r="R385" s="108"/>
      <c r="S385" s="108"/>
      <c r="T385" s="108"/>
      <c r="U385" s="108"/>
      <c r="V385" s="108"/>
      <c r="W385" s="108"/>
      <c r="X385" s="108"/>
      <c r="Y385" s="108"/>
      <c r="Z385" s="108"/>
      <c r="AA385" s="108"/>
      <c r="AB385" s="108"/>
      <c r="AC385" s="108"/>
      <c r="AD385" s="108"/>
      <c r="AE385" s="108"/>
      <c r="AF385" s="108"/>
      <c r="AG385" s="108"/>
      <c r="AH385" s="108"/>
      <c r="AI385" s="108"/>
      <c r="AJ385" s="108"/>
      <c r="AK385" s="108"/>
      <c r="AL385" s="108"/>
      <c r="AM385" s="108"/>
      <c r="AN385" s="108"/>
      <c r="AO385" s="108"/>
      <c r="AP385" s="108"/>
      <c r="AQ385" s="108"/>
      <c r="AR385" s="108"/>
      <c r="AS385" s="108"/>
      <c r="AT385" s="108"/>
      <c r="AU385" s="108"/>
      <c r="AV385" s="108"/>
      <c r="AW385" s="108"/>
      <c r="AX385" s="108"/>
      <c r="AY385" s="108"/>
      <c r="AZ385" s="108"/>
      <c r="BA385" s="108"/>
      <c r="BB385" s="108"/>
    </row>
    <row r="386" spans="3:54" ht="12.75" customHeight="1" x14ac:dyDescent="0.25">
      <c r="C386" s="108"/>
      <c r="D386" s="108"/>
      <c r="E386" s="108"/>
      <c r="F386" s="108"/>
      <c r="G386" s="108"/>
      <c r="H386" s="108"/>
      <c r="I386" s="108"/>
      <c r="J386" s="108"/>
      <c r="K386" s="108"/>
      <c r="L386" s="108"/>
      <c r="M386" s="108"/>
      <c r="N386" s="108"/>
      <c r="O386" s="108"/>
      <c r="P386" s="108"/>
      <c r="Q386" s="108"/>
      <c r="R386" s="108"/>
      <c r="S386" s="108"/>
      <c r="T386" s="108"/>
      <c r="U386" s="108"/>
      <c r="V386" s="108"/>
      <c r="W386" s="108"/>
      <c r="X386" s="108"/>
      <c r="Y386" s="108"/>
      <c r="Z386" s="108"/>
      <c r="AA386" s="108"/>
      <c r="AB386" s="108"/>
      <c r="AC386" s="108"/>
      <c r="AD386" s="108"/>
      <c r="AE386" s="108"/>
      <c r="AF386" s="108"/>
      <c r="AG386" s="108"/>
      <c r="AH386" s="108"/>
      <c r="AI386" s="108"/>
      <c r="AJ386" s="108"/>
      <c r="AK386" s="108"/>
      <c r="AL386" s="108"/>
      <c r="AM386" s="108"/>
      <c r="AN386" s="108"/>
      <c r="AO386" s="108"/>
      <c r="AP386" s="108"/>
      <c r="AQ386" s="108"/>
      <c r="AR386" s="108"/>
      <c r="AS386" s="108"/>
      <c r="AT386" s="108"/>
      <c r="AU386" s="108"/>
      <c r="AV386" s="108"/>
      <c r="AW386" s="108"/>
      <c r="AX386" s="108"/>
      <c r="AY386" s="108"/>
      <c r="AZ386" s="108"/>
      <c r="BA386" s="108"/>
      <c r="BB386" s="108"/>
    </row>
    <row r="387" spans="3:54" ht="12.75" customHeight="1" x14ac:dyDescent="0.25">
      <c r="C387" s="108"/>
      <c r="D387" s="108"/>
      <c r="E387" s="108"/>
      <c r="F387" s="108"/>
      <c r="G387" s="108"/>
      <c r="H387" s="108"/>
      <c r="I387" s="108"/>
      <c r="J387" s="108"/>
      <c r="K387" s="108"/>
      <c r="L387" s="108"/>
      <c r="M387" s="108"/>
      <c r="N387" s="108"/>
      <c r="O387" s="108"/>
      <c r="P387" s="108"/>
      <c r="Q387" s="108"/>
      <c r="R387" s="108"/>
      <c r="S387" s="108"/>
      <c r="T387" s="108"/>
      <c r="U387" s="108"/>
      <c r="V387" s="108"/>
      <c r="W387" s="108"/>
      <c r="X387" s="108"/>
      <c r="Y387" s="108"/>
      <c r="Z387" s="108"/>
      <c r="AA387" s="108"/>
      <c r="AB387" s="108"/>
      <c r="AC387" s="108"/>
      <c r="AD387" s="108"/>
      <c r="AE387" s="108"/>
      <c r="AF387" s="108"/>
      <c r="AG387" s="108"/>
      <c r="AH387" s="108"/>
      <c r="AI387" s="108"/>
      <c r="AJ387" s="108"/>
      <c r="AK387" s="108"/>
      <c r="AL387" s="108"/>
      <c r="AM387" s="108"/>
      <c r="AN387" s="108"/>
      <c r="AO387" s="108"/>
      <c r="AP387" s="108"/>
      <c r="AQ387" s="108"/>
      <c r="AR387" s="108"/>
      <c r="AS387" s="108"/>
      <c r="AT387" s="108"/>
      <c r="AU387" s="108"/>
      <c r="AV387" s="108"/>
      <c r="AW387" s="108"/>
      <c r="AX387" s="108"/>
      <c r="AY387" s="108"/>
      <c r="AZ387" s="108"/>
      <c r="BA387" s="108"/>
      <c r="BB387" s="108"/>
    </row>
    <row r="388" spans="3:54" ht="12.75" customHeight="1" x14ac:dyDescent="0.25">
      <c r="C388" s="108"/>
      <c r="D388" s="108"/>
      <c r="E388" s="108"/>
      <c r="F388" s="108"/>
      <c r="G388" s="108"/>
      <c r="H388" s="108"/>
      <c r="I388" s="108"/>
      <c r="J388" s="108"/>
      <c r="K388" s="108"/>
      <c r="L388" s="108"/>
      <c r="M388" s="108"/>
      <c r="N388" s="108"/>
      <c r="O388" s="108"/>
      <c r="P388" s="108"/>
      <c r="Q388" s="108"/>
      <c r="R388" s="108"/>
      <c r="S388" s="108"/>
      <c r="T388" s="108"/>
      <c r="U388" s="108"/>
      <c r="V388" s="108"/>
      <c r="W388" s="108"/>
      <c r="X388" s="108"/>
      <c r="Y388" s="108"/>
      <c r="Z388" s="108"/>
      <c r="AA388" s="108"/>
      <c r="AB388" s="108"/>
      <c r="AC388" s="108"/>
      <c r="AD388" s="108"/>
      <c r="AE388" s="108"/>
      <c r="AF388" s="108"/>
      <c r="AG388" s="108"/>
      <c r="AH388" s="108"/>
      <c r="AI388" s="108"/>
      <c r="AJ388" s="108"/>
      <c r="AK388" s="108"/>
      <c r="AL388" s="108"/>
      <c r="AM388" s="108"/>
      <c r="AN388" s="108"/>
      <c r="AO388" s="108"/>
      <c r="AP388" s="108"/>
      <c r="AQ388" s="108"/>
      <c r="AR388" s="108"/>
      <c r="AS388" s="108"/>
      <c r="AT388" s="108"/>
      <c r="AU388" s="108"/>
      <c r="AV388" s="108"/>
      <c r="AW388" s="108"/>
      <c r="AX388" s="108"/>
      <c r="AY388" s="108"/>
      <c r="AZ388" s="108"/>
      <c r="BA388" s="108"/>
      <c r="BB388" s="108"/>
    </row>
    <row r="389" spans="3:54" ht="12.75" customHeight="1" x14ac:dyDescent="0.25">
      <c r="C389" s="108"/>
      <c r="D389" s="108"/>
      <c r="E389" s="108"/>
      <c r="F389" s="108"/>
      <c r="G389" s="108"/>
      <c r="H389" s="108"/>
      <c r="I389" s="108"/>
      <c r="J389" s="108"/>
      <c r="K389" s="108"/>
      <c r="L389" s="108"/>
      <c r="M389" s="108"/>
      <c r="N389" s="108"/>
      <c r="O389" s="108"/>
      <c r="P389" s="108"/>
      <c r="Q389" s="108"/>
      <c r="R389" s="108"/>
      <c r="S389" s="108"/>
      <c r="T389" s="108"/>
      <c r="U389" s="108"/>
      <c r="V389" s="108"/>
      <c r="W389" s="108"/>
      <c r="X389" s="108"/>
      <c r="Y389" s="108"/>
      <c r="Z389" s="108"/>
      <c r="AA389" s="108"/>
      <c r="AB389" s="108"/>
      <c r="AC389" s="108"/>
      <c r="AD389" s="108"/>
      <c r="AE389" s="108"/>
      <c r="AF389" s="108"/>
      <c r="AG389" s="108"/>
      <c r="AH389" s="108"/>
      <c r="AI389" s="108"/>
      <c r="AJ389" s="108"/>
      <c r="AK389" s="108"/>
      <c r="AL389" s="108"/>
      <c r="AM389" s="108"/>
      <c r="AN389" s="108"/>
      <c r="AO389" s="108"/>
      <c r="AP389" s="108"/>
      <c r="AQ389" s="108"/>
      <c r="AR389" s="108"/>
      <c r="AS389" s="108"/>
      <c r="AT389" s="108"/>
      <c r="AU389" s="108"/>
      <c r="AV389" s="108"/>
      <c r="AW389" s="108"/>
      <c r="AX389" s="108"/>
      <c r="AY389" s="108"/>
      <c r="AZ389" s="108"/>
      <c r="BA389" s="108"/>
      <c r="BB389" s="108"/>
    </row>
    <row r="390" spans="3:54" ht="12.75" customHeight="1" x14ac:dyDescent="0.25">
      <c r="C390" s="108"/>
      <c r="D390" s="108"/>
      <c r="E390" s="108"/>
      <c r="F390" s="108"/>
      <c r="G390" s="108"/>
      <c r="H390" s="108"/>
      <c r="I390" s="108"/>
      <c r="J390" s="108"/>
      <c r="K390" s="108"/>
      <c r="L390" s="108"/>
      <c r="M390" s="108"/>
      <c r="N390" s="108"/>
      <c r="O390" s="108"/>
      <c r="P390" s="108"/>
      <c r="Q390" s="108"/>
      <c r="R390" s="108"/>
      <c r="S390" s="108"/>
      <c r="T390" s="108"/>
      <c r="U390" s="108"/>
      <c r="V390" s="108"/>
      <c r="W390" s="108"/>
      <c r="X390" s="108"/>
      <c r="Y390" s="108"/>
      <c r="Z390" s="108"/>
      <c r="AA390" s="108"/>
      <c r="AB390" s="108"/>
      <c r="AC390" s="108"/>
      <c r="AD390" s="108"/>
      <c r="AE390" s="108"/>
      <c r="AF390" s="108"/>
      <c r="AG390" s="108"/>
      <c r="AH390" s="108"/>
      <c r="AI390" s="108"/>
      <c r="AJ390" s="108"/>
      <c r="AK390" s="108"/>
      <c r="AL390" s="108"/>
      <c r="AM390" s="108"/>
      <c r="AN390" s="108"/>
      <c r="AO390" s="108"/>
      <c r="AP390" s="108"/>
      <c r="AQ390" s="108"/>
      <c r="AR390" s="108"/>
      <c r="AS390" s="108"/>
      <c r="AT390" s="108"/>
      <c r="AU390" s="108"/>
      <c r="AV390" s="108"/>
      <c r="AW390" s="108"/>
      <c r="AX390" s="108"/>
      <c r="AY390" s="108"/>
      <c r="AZ390" s="108"/>
      <c r="BA390" s="108"/>
      <c r="BB390" s="108"/>
    </row>
    <row r="391" spans="3:54" ht="12.75" customHeight="1" x14ac:dyDescent="0.25">
      <c r="C391" s="108"/>
      <c r="D391" s="108"/>
      <c r="E391" s="108"/>
      <c r="F391" s="108"/>
      <c r="G391" s="108"/>
      <c r="H391" s="108"/>
      <c r="I391" s="108"/>
      <c r="J391" s="108"/>
      <c r="K391" s="108"/>
      <c r="L391" s="108"/>
      <c r="M391" s="108"/>
      <c r="N391" s="108"/>
      <c r="O391" s="108"/>
      <c r="P391" s="108"/>
      <c r="Q391" s="108"/>
      <c r="R391" s="108"/>
      <c r="S391" s="108"/>
      <c r="T391" s="108"/>
      <c r="U391" s="108"/>
      <c r="V391" s="108"/>
      <c r="W391" s="108"/>
      <c r="X391" s="108"/>
      <c r="Y391" s="108"/>
      <c r="Z391" s="108"/>
      <c r="AA391" s="108"/>
      <c r="AB391" s="108"/>
      <c r="AC391" s="108"/>
      <c r="AD391" s="108"/>
      <c r="AE391" s="108"/>
      <c r="AF391" s="108"/>
      <c r="AG391" s="108"/>
      <c r="AH391" s="108"/>
      <c r="AI391" s="108"/>
      <c r="AJ391" s="108"/>
      <c r="AK391" s="108"/>
      <c r="AL391" s="108"/>
      <c r="AM391" s="108"/>
      <c r="AN391" s="108"/>
      <c r="AO391" s="108"/>
      <c r="AP391" s="108"/>
      <c r="AQ391" s="108"/>
      <c r="AR391" s="108"/>
      <c r="AS391" s="108"/>
      <c r="AT391" s="108"/>
      <c r="AU391" s="108"/>
      <c r="AV391" s="108"/>
      <c r="AW391" s="108"/>
      <c r="AX391" s="108"/>
      <c r="AY391" s="108"/>
      <c r="AZ391" s="108"/>
      <c r="BA391" s="108"/>
      <c r="BB391" s="108"/>
    </row>
    <row r="392" spans="3:54" ht="12.75" customHeight="1" x14ac:dyDescent="0.25">
      <c r="C392" s="108"/>
      <c r="D392" s="108"/>
      <c r="E392" s="108"/>
      <c r="F392" s="108"/>
      <c r="G392" s="108"/>
      <c r="H392" s="108"/>
      <c r="I392" s="108"/>
      <c r="J392" s="108"/>
      <c r="K392" s="108"/>
      <c r="L392" s="108"/>
      <c r="M392" s="108"/>
      <c r="N392" s="108"/>
      <c r="O392" s="108"/>
      <c r="P392" s="108"/>
      <c r="Q392" s="108"/>
      <c r="R392" s="108"/>
      <c r="S392" s="108"/>
      <c r="T392" s="108"/>
      <c r="U392" s="108"/>
      <c r="V392" s="108"/>
      <c r="W392" s="108"/>
      <c r="X392" s="108"/>
      <c r="Y392" s="108"/>
      <c r="Z392" s="108"/>
      <c r="AA392" s="108"/>
      <c r="AB392" s="108"/>
      <c r="AC392" s="108"/>
      <c r="AD392" s="108"/>
      <c r="AE392" s="108"/>
      <c r="AF392" s="108"/>
      <c r="AG392" s="108"/>
      <c r="AH392" s="108"/>
      <c r="AI392" s="108"/>
      <c r="AJ392" s="108"/>
      <c r="AK392" s="108"/>
      <c r="AL392" s="108"/>
      <c r="AM392" s="108"/>
      <c r="AN392" s="108"/>
      <c r="AO392" s="108"/>
      <c r="AP392" s="108"/>
      <c r="AQ392" s="108"/>
      <c r="AR392" s="108"/>
      <c r="AS392" s="108"/>
      <c r="AT392" s="108"/>
      <c r="AU392" s="108"/>
      <c r="AV392" s="108"/>
      <c r="AW392" s="108"/>
      <c r="AX392" s="108"/>
      <c r="AY392" s="108"/>
      <c r="AZ392" s="108"/>
      <c r="BA392" s="108"/>
      <c r="BB392" s="108"/>
    </row>
    <row r="393" spans="3:54" ht="12.75" customHeight="1" x14ac:dyDescent="0.25">
      <c r="C393" s="108"/>
      <c r="D393" s="108"/>
      <c r="E393" s="108"/>
      <c r="F393" s="108"/>
      <c r="G393" s="108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  <c r="T393" s="108"/>
      <c r="U393" s="108"/>
      <c r="V393" s="108"/>
      <c r="W393" s="108"/>
      <c r="X393" s="108"/>
      <c r="Y393" s="108"/>
      <c r="Z393" s="108"/>
      <c r="AA393" s="108"/>
      <c r="AB393" s="108"/>
      <c r="AC393" s="108"/>
      <c r="AD393" s="108"/>
      <c r="AE393" s="108"/>
      <c r="AF393" s="108"/>
      <c r="AG393" s="108"/>
      <c r="AH393" s="108"/>
      <c r="AI393" s="108"/>
      <c r="AJ393" s="108"/>
      <c r="AK393" s="108"/>
      <c r="AL393" s="108"/>
      <c r="AM393" s="108"/>
      <c r="AN393" s="108"/>
      <c r="AO393" s="108"/>
      <c r="AP393" s="108"/>
      <c r="AQ393" s="108"/>
      <c r="AR393" s="108"/>
      <c r="AS393" s="108"/>
      <c r="AT393" s="108"/>
      <c r="AU393" s="108"/>
      <c r="AV393" s="108"/>
      <c r="AW393" s="108"/>
      <c r="AX393" s="108"/>
      <c r="AY393" s="108"/>
      <c r="AZ393" s="108"/>
      <c r="BA393" s="108"/>
      <c r="BB393" s="108"/>
    </row>
    <row r="394" spans="3:54" ht="12.75" customHeight="1" x14ac:dyDescent="0.25">
      <c r="C394" s="108"/>
      <c r="D394" s="108"/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8"/>
      <c r="W394" s="108"/>
      <c r="X394" s="108"/>
      <c r="Y394" s="108"/>
      <c r="Z394" s="108"/>
      <c r="AA394" s="108"/>
      <c r="AB394" s="108"/>
      <c r="AC394" s="108"/>
      <c r="AD394" s="108"/>
      <c r="AE394" s="108"/>
      <c r="AF394" s="108"/>
      <c r="AG394" s="108"/>
      <c r="AH394" s="108"/>
      <c r="AI394" s="108"/>
      <c r="AJ394" s="108"/>
      <c r="AK394" s="108"/>
      <c r="AL394" s="108"/>
      <c r="AM394" s="108"/>
      <c r="AN394" s="108"/>
      <c r="AO394" s="108"/>
      <c r="AP394" s="108"/>
      <c r="AQ394" s="108"/>
      <c r="AR394" s="108"/>
      <c r="AS394" s="108"/>
      <c r="AT394" s="108"/>
      <c r="AU394" s="108"/>
      <c r="AV394" s="108"/>
      <c r="AW394" s="108"/>
      <c r="AX394" s="108"/>
      <c r="AY394" s="108"/>
      <c r="AZ394" s="108"/>
      <c r="BA394" s="108"/>
      <c r="BB394" s="108"/>
    </row>
    <row r="395" spans="3:54" ht="12.75" customHeight="1" x14ac:dyDescent="0.25">
      <c r="C395" s="108"/>
      <c r="D395" s="108"/>
      <c r="E395" s="108"/>
      <c r="F395" s="108"/>
      <c r="G395" s="108"/>
      <c r="H395" s="108"/>
      <c r="I395" s="108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  <c r="T395" s="108"/>
      <c r="U395" s="108"/>
      <c r="V395" s="108"/>
      <c r="W395" s="108"/>
      <c r="X395" s="108"/>
      <c r="Y395" s="108"/>
      <c r="Z395" s="108"/>
      <c r="AA395" s="108"/>
      <c r="AB395" s="108"/>
      <c r="AC395" s="108"/>
      <c r="AD395" s="108"/>
      <c r="AE395" s="108"/>
      <c r="AF395" s="108"/>
      <c r="AG395" s="108"/>
      <c r="AH395" s="108"/>
      <c r="AI395" s="108"/>
      <c r="AJ395" s="108"/>
      <c r="AK395" s="108"/>
      <c r="AL395" s="108"/>
      <c r="AM395" s="108"/>
      <c r="AN395" s="108"/>
      <c r="AO395" s="108"/>
      <c r="AP395" s="108"/>
      <c r="AQ395" s="108"/>
      <c r="AR395" s="108"/>
      <c r="AS395" s="108"/>
      <c r="AT395" s="108"/>
      <c r="AU395" s="108"/>
      <c r="AV395" s="108"/>
      <c r="AW395" s="108"/>
      <c r="AX395" s="108"/>
      <c r="AY395" s="108"/>
      <c r="AZ395" s="108"/>
      <c r="BA395" s="108"/>
      <c r="BB395" s="108"/>
    </row>
    <row r="396" spans="3:54" ht="12.75" customHeight="1" x14ac:dyDescent="0.25">
      <c r="C396" s="108"/>
      <c r="D396" s="108"/>
      <c r="E396" s="108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8"/>
      <c r="W396" s="108"/>
      <c r="X396" s="108"/>
      <c r="Y396" s="108"/>
      <c r="Z396" s="108"/>
      <c r="AA396" s="108"/>
      <c r="AB396" s="108"/>
      <c r="AC396" s="108"/>
      <c r="AD396" s="108"/>
      <c r="AE396" s="108"/>
      <c r="AF396" s="108"/>
      <c r="AG396" s="108"/>
      <c r="AH396" s="108"/>
      <c r="AI396" s="108"/>
      <c r="AJ396" s="108"/>
      <c r="AK396" s="108"/>
      <c r="AL396" s="108"/>
      <c r="AM396" s="108"/>
      <c r="AN396" s="108"/>
      <c r="AO396" s="108"/>
      <c r="AP396" s="108"/>
      <c r="AQ396" s="108"/>
      <c r="AR396" s="108"/>
      <c r="AS396" s="108"/>
      <c r="AT396" s="108"/>
      <c r="AU396" s="108"/>
      <c r="AV396" s="108"/>
      <c r="AW396" s="108"/>
      <c r="AX396" s="108"/>
      <c r="AY396" s="108"/>
      <c r="AZ396" s="108"/>
      <c r="BA396" s="108"/>
      <c r="BB396" s="108"/>
    </row>
    <row r="397" spans="3:54" ht="12.75" customHeight="1" x14ac:dyDescent="0.25">
      <c r="C397" s="108"/>
      <c r="D397" s="108"/>
      <c r="E397" s="108"/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8"/>
      <c r="W397" s="108"/>
      <c r="X397" s="108"/>
      <c r="Y397" s="108"/>
      <c r="Z397" s="108"/>
      <c r="AA397" s="108"/>
      <c r="AB397" s="108"/>
      <c r="AC397" s="108"/>
      <c r="AD397" s="108"/>
      <c r="AE397" s="108"/>
      <c r="AF397" s="108"/>
      <c r="AG397" s="108"/>
      <c r="AH397" s="108"/>
      <c r="AI397" s="108"/>
      <c r="AJ397" s="108"/>
      <c r="AK397" s="108"/>
      <c r="AL397" s="108"/>
      <c r="AM397" s="108"/>
      <c r="AN397" s="108"/>
      <c r="AO397" s="108"/>
      <c r="AP397" s="108"/>
      <c r="AQ397" s="108"/>
      <c r="AR397" s="108"/>
      <c r="AS397" s="108"/>
      <c r="AT397" s="108"/>
      <c r="AU397" s="108"/>
      <c r="AV397" s="108"/>
      <c r="AW397" s="108"/>
      <c r="AX397" s="108"/>
      <c r="AY397" s="108"/>
      <c r="AZ397" s="108"/>
      <c r="BA397" s="108"/>
      <c r="BB397" s="108"/>
    </row>
    <row r="398" spans="3:54" ht="12.75" customHeight="1" x14ac:dyDescent="0.25">
      <c r="C398" s="108"/>
      <c r="D398" s="108"/>
      <c r="E398" s="108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108"/>
      <c r="R398" s="108"/>
      <c r="S398" s="108"/>
      <c r="T398" s="108"/>
      <c r="U398" s="108"/>
      <c r="V398" s="108"/>
      <c r="W398" s="108"/>
      <c r="X398" s="108"/>
      <c r="Y398" s="108"/>
      <c r="Z398" s="108"/>
      <c r="AA398" s="108"/>
      <c r="AB398" s="108"/>
      <c r="AC398" s="108"/>
      <c r="AD398" s="108"/>
      <c r="AE398" s="108"/>
      <c r="AF398" s="108"/>
      <c r="AG398" s="108"/>
      <c r="AH398" s="108"/>
      <c r="AI398" s="108"/>
      <c r="AJ398" s="108"/>
      <c r="AK398" s="108"/>
      <c r="AL398" s="108"/>
      <c r="AM398" s="108"/>
      <c r="AN398" s="108"/>
      <c r="AO398" s="108"/>
      <c r="AP398" s="108"/>
      <c r="AQ398" s="108"/>
      <c r="AR398" s="108"/>
      <c r="AS398" s="108"/>
      <c r="AT398" s="108"/>
      <c r="AU398" s="108"/>
      <c r="AV398" s="108"/>
      <c r="AW398" s="108"/>
      <c r="AX398" s="108"/>
      <c r="AY398" s="108"/>
      <c r="AZ398" s="108"/>
      <c r="BA398" s="108"/>
      <c r="BB398" s="108"/>
    </row>
    <row r="399" spans="3:54" ht="12.75" customHeight="1" x14ac:dyDescent="0.25">
      <c r="C399" s="108"/>
      <c r="D399" s="108"/>
      <c r="E399" s="108"/>
      <c r="F399" s="108"/>
      <c r="G399" s="108"/>
      <c r="H399" s="108"/>
      <c r="I399" s="108"/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  <c r="T399" s="108"/>
      <c r="U399" s="108"/>
      <c r="V399" s="108"/>
      <c r="W399" s="108"/>
      <c r="X399" s="108"/>
      <c r="Y399" s="108"/>
      <c r="Z399" s="108"/>
      <c r="AA399" s="108"/>
      <c r="AB399" s="108"/>
      <c r="AC399" s="108"/>
      <c r="AD399" s="108"/>
      <c r="AE399" s="108"/>
      <c r="AF399" s="108"/>
      <c r="AG399" s="108"/>
      <c r="AH399" s="108"/>
      <c r="AI399" s="108"/>
      <c r="AJ399" s="108"/>
      <c r="AK399" s="108"/>
      <c r="AL399" s="108"/>
      <c r="AM399" s="108"/>
      <c r="AN399" s="108"/>
      <c r="AO399" s="108"/>
      <c r="AP399" s="108"/>
      <c r="AQ399" s="108"/>
      <c r="AR399" s="108"/>
      <c r="AS399" s="108"/>
      <c r="AT399" s="108"/>
      <c r="AU399" s="108"/>
      <c r="AV399" s="108"/>
      <c r="AW399" s="108"/>
      <c r="AX399" s="108"/>
      <c r="AY399" s="108"/>
      <c r="AZ399" s="108"/>
      <c r="BA399" s="108"/>
      <c r="BB399" s="108"/>
    </row>
    <row r="400" spans="3:54" ht="12.75" customHeight="1" x14ac:dyDescent="0.25">
      <c r="C400" s="108"/>
      <c r="D400" s="108"/>
      <c r="E400" s="108"/>
      <c r="F400" s="108"/>
      <c r="G400" s="108"/>
      <c r="H400" s="108"/>
      <c r="I400" s="108"/>
      <c r="J400" s="108"/>
      <c r="K400" s="108"/>
      <c r="L400" s="108"/>
      <c r="M400" s="108"/>
      <c r="N400" s="108"/>
      <c r="O400" s="108"/>
      <c r="P400" s="108"/>
      <c r="Q400" s="108"/>
      <c r="R400" s="108"/>
      <c r="S400" s="108"/>
      <c r="T400" s="108"/>
      <c r="U400" s="108"/>
      <c r="V400" s="108"/>
      <c r="W400" s="108"/>
      <c r="X400" s="108"/>
      <c r="Y400" s="108"/>
      <c r="Z400" s="108"/>
      <c r="AA400" s="108"/>
      <c r="AB400" s="108"/>
      <c r="AC400" s="108"/>
      <c r="AD400" s="108"/>
      <c r="AE400" s="108"/>
      <c r="AF400" s="108"/>
      <c r="AG400" s="108"/>
      <c r="AH400" s="108"/>
      <c r="AI400" s="108"/>
      <c r="AJ400" s="108"/>
      <c r="AK400" s="108"/>
      <c r="AL400" s="108"/>
      <c r="AM400" s="108"/>
      <c r="AN400" s="108"/>
      <c r="AO400" s="108"/>
      <c r="AP400" s="108"/>
      <c r="AQ400" s="108"/>
      <c r="AR400" s="108"/>
      <c r="AS400" s="108"/>
      <c r="AT400" s="108"/>
      <c r="AU400" s="108"/>
      <c r="AV400" s="108"/>
      <c r="AW400" s="108"/>
      <c r="AX400" s="108"/>
      <c r="AY400" s="108"/>
      <c r="AZ400" s="108"/>
      <c r="BA400" s="108"/>
      <c r="BB400" s="108"/>
    </row>
    <row r="401" spans="3:54" ht="12.75" customHeight="1" x14ac:dyDescent="0.25">
      <c r="C401" s="108"/>
      <c r="D401" s="108"/>
      <c r="E401" s="108"/>
      <c r="F401" s="108"/>
      <c r="G401" s="108"/>
      <c r="H401" s="108"/>
      <c r="I401" s="108"/>
      <c r="J401" s="108"/>
      <c r="K401" s="108"/>
      <c r="L401" s="108"/>
      <c r="M401" s="108"/>
      <c r="N401" s="108"/>
      <c r="O401" s="108"/>
      <c r="P401" s="108"/>
      <c r="Q401" s="108"/>
      <c r="R401" s="108"/>
      <c r="S401" s="108"/>
      <c r="T401" s="108"/>
      <c r="U401" s="108"/>
      <c r="V401" s="108"/>
      <c r="W401" s="108"/>
      <c r="X401" s="108"/>
      <c r="Y401" s="108"/>
      <c r="Z401" s="108"/>
      <c r="AA401" s="108"/>
      <c r="AB401" s="108"/>
      <c r="AC401" s="108"/>
      <c r="AD401" s="108"/>
      <c r="AE401" s="108"/>
      <c r="AF401" s="108"/>
      <c r="AG401" s="108"/>
      <c r="AH401" s="108"/>
      <c r="AI401" s="108"/>
      <c r="AJ401" s="108"/>
      <c r="AK401" s="108"/>
      <c r="AL401" s="108"/>
      <c r="AM401" s="108"/>
      <c r="AN401" s="108"/>
      <c r="AO401" s="108"/>
      <c r="AP401" s="108"/>
      <c r="AQ401" s="108"/>
      <c r="AR401" s="108"/>
      <c r="AS401" s="108"/>
      <c r="AT401" s="108"/>
      <c r="AU401" s="108"/>
      <c r="AV401" s="108"/>
      <c r="AW401" s="108"/>
      <c r="AX401" s="108"/>
      <c r="AY401" s="108"/>
      <c r="AZ401" s="108"/>
      <c r="BA401" s="108"/>
      <c r="BB401" s="108"/>
    </row>
    <row r="402" spans="3:54" ht="12.75" customHeight="1" x14ac:dyDescent="0.25">
      <c r="C402" s="108"/>
      <c r="D402" s="108"/>
      <c r="E402" s="108"/>
      <c r="F402" s="108"/>
      <c r="G402" s="108"/>
      <c r="H402" s="108"/>
      <c r="I402" s="108"/>
      <c r="J402" s="108"/>
      <c r="K402" s="108"/>
      <c r="L402" s="108"/>
      <c r="M402" s="108"/>
      <c r="N402" s="108"/>
      <c r="O402" s="108"/>
      <c r="P402" s="108"/>
      <c r="Q402" s="108"/>
      <c r="R402" s="108"/>
      <c r="S402" s="108"/>
      <c r="T402" s="108"/>
      <c r="U402" s="108"/>
      <c r="V402" s="108"/>
      <c r="W402" s="108"/>
      <c r="X402" s="108"/>
      <c r="Y402" s="108"/>
      <c r="Z402" s="108"/>
      <c r="AA402" s="108"/>
      <c r="AB402" s="108"/>
      <c r="AC402" s="108"/>
      <c r="AD402" s="108"/>
      <c r="AE402" s="108"/>
      <c r="AF402" s="108"/>
      <c r="AG402" s="108"/>
      <c r="AH402" s="108"/>
      <c r="AI402" s="108"/>
      <c r="AJ402" s="108"/>
      <c r="AK402" s="108"/>
      <c r="AL402" s="108"/>
      <c r="AM402" s="108"/>
      <c r="AN402" s="108"/>
      <c r="AO402" s="108"/>
      <c r="AP402" s="108"/>
      <c r="AQ402" s="108"/>
      <c r="AR402" s="108"/>
      <c r="AS402" s="108"/>
      <c r="AT402" s="108"/>
      <c r="AU402" s="108"/>
      <c r="AV402" s="108"/>
      <c r="AW402" s="108"/>
      <c r="AX402" s="108"/>
      <c r="AY402" s="108"/>
      <c r="AZ402" s="108"/>
      <c r="BA402" s="108"/>
      <c r="BB402" s="108"/>
    </row>
    <row r="403" spans="3:54" ht="12.75" customHeight="1" x14ac:dyDescent="0.25">
      <c r="C403" s="108"/>
      <c r="D403" s="108"/>
      <c r="E403" s="108"/>
      <c r="F403" s="108"/>
      <c r="G403" s="108"/>
      <c r="H403" s="108"/>
      <c r="I403" s="108"/>
      <c r="J403" s="108"/>
      <c r="K403" s="108"/>
      <c r="L403" s="108"/>
      <c r="M403" s="108"/>
      <c r="N403" s="108"/>
      <c r="O403" s="108"/>
      <c r="P403" s="108"/>
      <c r="Q403" s="108"/>
      <c r="R403" s="108"/>
      <c r="S403" s="108"/>
      <c r="T403" s="108"/>
      <c r="U403" s="108"/>
      <c r="V403" s="108"/>
      <c r="W403" s="108"/>
      <c r="X403" s="108"/>
      <c r="Y403" s="108"/>
      <c r="Z403" s="108"/>
      <c r="AA403" s="108"/>
      <c r="AB403" s="108"/>
      <c r="AC403" s="108"/>
      <c r="AD403" s="108"/>
      <c r="AE403" s="108"/>
      <c r="AF403" s="108"/>
      <c r="AG403" s="108"/>
      <c r="AH403" s="108"/>
      <c r="AI403" s="108"/>
      <c r="AJ403" s="108"/>
      <c r="AK403" s="108"/>
      <c r="AL403" s="108"/>
      <c r="AM403" s="108"/>
      <c r="AN403" s="108"/>
      <c r="AO403" s="108"/>
      <c r="AP403" s="108"/>
      <c r="AQ403" s="108"/>
      <c r="AR403" s="108"/>
      <c r="AS403" s="108"/>
      <c r="AT403" s="108"/>
      <c r="AU403" s="108"/>
      <c r="AV403" s="108"/>
      <c r="AW403" s="108"/>
      <c r="AX403" s="108"/>
      <c r="AY403" s="108"/>
      <c r="AZ403" s="108"/>
      <c r="BA403" s="108"/>
      <c r="BB403" s="108"/>
    </row>
    <row r="404" spans="3:54" ht="12.75" customHeight="1" x14ac:dyDescent="0.25">
      <c r="C404" s="108"/>
      <c r="D404" s="108"/>
      <c r="E404" s="108"/>
      <c r="F404" s="108"/>
      <c r="G404" s="108"/>
      <c r="H404" s="108"/>
      <c r="I404" s="108"/>
      <c r="J404" s="108"/>
      <c r="K404" s="108"/>
      <c r="L404" s="108"/>
      <c r="M404" s="108"/>
      <c r="N404" s="108"/>
      <c r="O404" s="108"/>
      <c r="P404" s="108"/>
      <c r="Q404" s="108"/>
      <c r="R404" s="108"/>
      <c r="S404" s="108"/>
      <c r="T404" s="108"/>
      <c r="U404" s="108"/>
      <c r="V404" s="108"/>
      <c r="W404" s="108"/>
      <c r="X404" s="108"/>
      <c r="Y404" s="108"/>
      <c r="Z404" s="108"/>
      <c r="AA404" s="108"/>
      <c r="AB404" s="108"/>
      <c r="AC404" s="108"/>
      <c r="AD404" s="108"/>
      <c r="AE404" s="108"/>
      <c r="AF404" s="108"/>
      <c r="AG404" s="108"/>
      <c r="AH404" s="108"/>
      <c r="AI404" s="108"/>
      <c r="AJ404" s="108"/>
      <c r="AK404" s="108"/>
      <c r="AL404" s="108"/>
      <c r="AM404" s="108"/>
      <c r="AN404" s="108"/>
      <c r="AO404" s="108"/>
      <c r="AP404" s="108"/>
      <c r="AQ404" s="108"/>
      <c r="AR404" s="108"/>
      <c r="AS404" s="108"/>
      <c r="AT404" s="108"/>
      <c r="AU404" s="108"/>
      <c r="AV404" s="108"/>
      <c r="AW404" s="108"/>
      <c r="AX404" s="108"/>
      <c r="AY404" s="108"/>
      <c r="AZ404" s="108"/>
      <c r="BA404" s="108"/>
      <c r="BB404" s="108"/>
    </row>
    <row r="405" spans="3:54" ht="12.75" customHeight="1" x14ac:dyDescent="0.25">
      <c r="C405" s="108"/>
      <c r="D405" s="108"/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108"/>
      <c r="P405" s="108"/>
      <c r="Q405" s="108"/>
      <c r="R405" s="108"/>
      <c r="S405" s="108"/>
      <c r="T405" s="108"/>
      <c r="U405" s="108"/>
      <c r="V405" s="108"/>
      <c r="W405" s="108"/>
      <c r="X405" s="108"/>
      <c r="Y405" s="108"/>
      <c r="Z405" s="108"/>
      <c r="AA405" s="108"/>
      <c r="AB405" s="108"/>
      <c r="AC405" s="108"/>
      <c r="AD405" s="108"/>
      <c r="AE405" s="108"/>
      <c r="AF405" s="108"/>
      <c r="AG405" s="108"/>
      <c r="AH405" s="108"/>
      <c r="AI405" s="108"/>
      <c r="AJ405" s="108"/>
      <c r="AK405" s="108"/>
      <c r="AL405" s="108"/>
      <c r="AM405" s="108"/>
      <c r="AN405" s="108"/>
      <c r="AO405" s="108"/>
      <c r="AP405" s="108"/>
      <c r="AQ405" s="108"/>
      <c r="AR405" s="108"/>
      <c r="AS405" s="108"/>
      <c r="AT405" s="108"/>
      <c r="AU405" s="108"/>
      <c r="AV405" s="108"/>
      <c r="AW405" s="108"/>
      <c r="AX405" s="108"/>
      <c r="AY405" s="108"/>
      <c r="AZ405" s="108"/>
      <c r="BA405" s="108"/>
      <c r="BB405" s="108"/>
    </row>
    <row r="406" spans="3:54" ht="12.75" customHeight="1" x14ac:dyDescent="0.25">
      <c r="C406" s="108"/>
      <c r="D406" s="108"/>
      <c r="E406" s="108"/>
      <c r="F406" s="108"/>
      <c r="G406" s="108"/>
      <c r="H406" s="108"/>
      <c r="I406" s="108"/>
      <c r="J406" s="108"/>
      <c r="K406" s="108"/>
      <c r="L406" s="108"/>
      <c r="M406" s="108"/>
      <c r="N406" s="108"/>
      <c r="O406" s="108"/>
      <c r="P406" s="108"/>
      <c r="Q406" s="108"/>
      <c r="R406" s="108"/>
      <c r="S406" s="108"/>
      <c r="T406" s="108"/>
      <c r="U406" s="108"/>
      <c r="V406" s="108"/>
      <c r="W406" s="108"/>
      <c r="X406" s="108"/>
      <c r="Y406" s="108"/>
      <c r="Z406" s="108"/>
      <c r="AA406" s="108"/>
      <c r="AB406" s="108"/>
      <c r="AC406" s="108"/>
      <c r="AD406" s="108"/>
      <c r="AE406" s="108"/>
      <c r="AF406" s="108"/>
      <c r="AG406" s="108"/>
      <c r="AH406" s="108"/>
      <c r="AI406" s="108"/>
      <c r="AJ406" s="108"/>
      <c r="AK406" s="108"/>
      <c r="AL406" s="108"/>
      <c r="AM406" s="108"/>
      <c r="AN406" s="108"/>
      <c r="AO406" s="108"/>
      <c r="AP406" s="108"/>
      <c r="AQ406" s="108"/>
      <c r="AR406" s="108"/>
      <c r="AS406" s="108"/>
      <c r="AT406" s="108"/>
      <c r="AU406" s="108"/>
      <c r="AV406" s="108"/>
      <c r="AW406" s="108"/>
      <c r="AX406" s="108"/>
      <c r="AY406" s="108"/>
      <c r="AZ406" s="108"/>
      <c r="BA406" s="108"/>
      <c r="BB406" s="108"/>
    </row>
    <row r="407" spans="3:54" ht="12.75" customHeight="1" x14ac:dyDescent="0.25">
      <c r="C407" s="108"/>
      <c r="D407" s="108"/>
      <c r="E407" s="108"/>
      <c r="F407" s="108"/>
      <c r="G407" s="108"/>
      <c r="H407" s="108"/>
      <c r="I407" s="108"/>
      <c r="J407" s="108"/>
      <c r="K407" s="108"/>
      <c r="L407" s="108"/>
      <c r="M407" s="108"/>
      <c r="N407" s="108"/>
      <c r="O407" s="108"/>
      <c r="P407" s="108"/>
      <c r="Q407" s="108"/>
      <c r="R407" s="108"/>
      <c r="S407" s="108"/>
      <c r="T407" s="108"/>
      <c r="U407" s="108"/>
      <c r="V407" s="108"/>
      <c r="W407" s="108"/>
      <c r="X407" s="108"/>
      <c r="Y407" s="108"/>
      <c r="Z407" s="108"/>
      <c r="AA407" s="108"/>
      <c r="AB407" s="108"/>
      <c r="AC407" s="108"/>
      <c r="AD407" s="108"/>
      <c r="AE407" s="108"/>
      <c r="AF407" s="108"/>
      <c r="AG407" s="108"/>
      <c r="AH407" s="108"/>
      <c r="AI407" s="108"/>
      <c r="AJ407" s="108"/>
      <c r="AK407" s="108"/>
      <c r="AL407" s="108"/>
      <c r="AM407" s="108"/>
      <c r="AN407" s="108"/>
      <c r="AO407" s="108"/>
      <c r="AP407" s="108"/>
      <c r="AQ407" s="108"/>
      <c r="AR407" s="108"/>
      <c r="AS407" s="108"/>
      <c r="AT407" s="108"/>
      <c r="AU407" s="108"/>
      <c r="AV407" s="108"/>
      <c r="AW407" s="108"/>
      <c r="AX407" s="108"/>
      <c r="AY407" s="108"/>
      <c r="AZ407" s="108"/>
      <c r="BA407" s="108"/>
      <c r="BB407" s="108"/>
    </row>
    <row r="408" spans="3:54" ht="12.75" customHeight="1" x14ac:dyDescent="0.25">
      <c r="C408" s="108"/>
      <c r="D408" s="108"/>
      <c r="E408" s="108"/>
      <c r="F408" s="108"/>
      <c r="G408" s="108"/>
      <c r="H408" s="108"/>
      <c r="I408" s="108"/>
      <c r="J408" s="108"/>
      <c r="K408" s="108"/>
      <c r="L408" s="108"/>
      <c r="M408" s="108"/>
      <c r="N408" s="108"/>
      <c r="O408" s="108"/>
      <c r="P408" s="108"/>
      <c r="Q408" s="108"/>
      <c r="R408" s="108"/>
      <c r="S408" s="108"/>
      <c r="T408" s="108"/>
      <c r="U408" s="108"/>
      <c r="V408" s="108"/>
      <c r="W408" s="108"/>
      <c r="X408" s="108"/>
      <c r="Y408" s="108"/>
      <c r="Z408" s="108"/>
      <c r="AA408" s="108"/>
      <c r="AB408" s="108"/>
      <c r="AC408" s="108"/>
      <c r="AD408" s="108"/>
      <c r="AE408" s="108"/>
      <c r="AF408" s="108"/>
      <c r="AG408" s="108"/>
      <c r="AH408" s="108"/>
      <c r="AI408" s="108"/>
      <c r="AJ408" s="108"/>
      <c r="AK408" s="108"/>
      <c r="AL408" s="108"/>
      <c r="AM408" s="108"/>
      <c r="AN408" s="108"/>
      <c r="AO408" s="108"/>
      <c r="AP408" s="108"/>
      <c r="AQ408" s="108"/>
      <c r="AR408" s="108"/>
      <c r="AS408" s="108"/>
      <c r="AT408" s="108"/>
      <c r="AU408" s="108"/>
      <c r="AV408" s="108"/>
      <c r="AW408" s="108"/>
      <c r="AX408" s="108"/>
      <c r="AY408" s="108"/>
      <c r="AZ408" s="108"/>
      <c r="BA408" s="108"/>
      <c r="BB408" s="108"/>
    </row>
    <row r="409" spans="3:54" ht="12.75" customHeight="1" x14ac:dyDescent="0.25">
      <c r="C409" s="108"/>
      <c r="D409" s="108"/>
      <c r="E409" s="108"/>
      <c r="F409" s="108"/>
      <c r="G409" s="108"/>
      <c r="H409" s="108"/>
      <c r="I409" s="108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  <c r="Z409" s="108"/>
      <c r="AA409" s="108"/>
      <c r="AB409" s="108"/>
      <c r="AC409" s="108"/>
      <c r="AD409" s="108"/>
      <c r="AE409" s="108"/>
      <c r="AF409" s="108"/>
      <c r="AG409" s="108"/>
      <c r="AH409" s="108"/>
      <c r="AI409" s="108"/>
      <c r="AJ409" s="108"/>
      <c r="AK409" s="108"/>
      <c r="AL409" s="108"/>
      <c r="AM409" s="108"/>
      <c r="AN409" s="108"/>
      <c r="AO409" s="108"/>
      <c r="AP409" s="108"/>
      <c r="AQ409" s="108"/>
      <c r="AR409" s="108"/>
      <c r="AS409" s="108"/>
      <c r="AT409" s="108"/>
      <c r="AU409" s="108"/>
      <c r="AV409" s="108"/>
      <c r="AW409" s="108"/>
      <c r="AX409" s="108"/>
      <c r="AY409" s="108"/>
      <c r="AZ409" s="108"/>
      <c r="BA409" s="108"/>
      <c r="BB409" s="108"/>
    </row>
    <row r="410" spans="3:54" ht="12.75" customHeight="1" x14ac:dyDescent="0.25">
      <c r="C410" s="108"/>
      <c r="D410" s="108"/>
      <c r="E410" s="108"/>
      <c r="F410" s="108"/>
      <c r="G410" s="108"/>
      <c r="H410" s="108"/>
      <c r="I410" s="108"/>
      <c r="J410" s="108"/>
      <c r="K410" s="108"/>
      <c r="L410" s="108"/>
      <c r="M410" s="108"/>
      <c r="N410" s="108"/>
      <c r="O410" s="108"/>
      <c r="P410" s="108"/>
      <c r="Q410" s="108"/>
      <c r="R410" s="108"/>
      <c r="S410" s="108"/>
      <c r="T410" s="108"/>
      <c r="U410" s="108"/>
      <c r="V410" s="108"/>
      <c r="W410" s="108"/>
      <c r="X410" s="108"/>
      <c r="Y410" s="108"/>
      <c r="Z410" s="108"/>
      <c r="AA410" s="108"/>
      <c r="AB410" s="108"/>
      <c r="AC410" s="108"/>
      <c r="AD410" s="108"/>
      <c r="AE410" s="108"/>
      <c r="AF410" s="108"/>
      <c r="AG410" s="108"/>
      <c r="AH410" s="108"/>
      <c r="AI410" s="108"/>
      <c r="AJ410" s="108"/>
      <c r="AK410" s="108"/>
      <c r="AL410" s="108"/>
      <c r="AM410" s="108"/>
      <c r="AN410" s="108"/>
      <c r="AO410" s="108"/>
      <c r="AP410" s="108"/>
      <c r="AQ410" s="108"/>
      <c r="AR410" s="108"/>
      <c r="AS410" s="108"/>
      <c r="AT410" s="108"/>
      <c r="AU410" s="108"/>
      <c r="AV410" s="108"/>
      <c r="AW410" s="108"/>
      <c r="AX410" s="108"/>
      <c r="AY410" s="108"/>
      <c r="AZ410" s="108"/>
      <c r="BA410" s="108"/>
      <c r="BB410" s="108"/>
    </row>
    <row r="411" spans="3:54" ht="12.75" customHeight="1" x14ac:dyDescent="0.25">
      <c r="C411" s="108"/>
      <c r="D411" s="108"/>
      <c r="E411" s="108"/>
      <c r="F411" s="108"/>
      <c r="G411" s="108"/>
      <c r="H411" s="108"/>
      <c r="I411" s="108"/>
      <c r="J411" s="108"/>
      <c r="K411" s="108"/>
      <c r="L411" s="108"/>
      <c r="M411" s="108"/>
      <c r="N411" s="108"/>
      <c r="O411" s="108"/>
      <c r="P411" s="108"/>
      <c r="Q411" s="108"/>
      <c r="R411" s="108"/>
      <c r="S411" s="108"/>
      <c r="T411" s="108"/>
      <c r="U411" s="108"/>
      <c r="V411" s="108"/>
      <c r="W411" s="108"/>
      <c r="X411" s="108"/>
      <c r="Y411" s="108"/>
      <c r="Z411" s="108"/>
      <c r="AA411" s="108"/>
      <c r="AB411" s="108"/>
      <c r="AC411" s="108"/>
      <c r="AD411" s="108"/>
      <c r="AE411" s="108"/>
      <c r="AF411" s="108"/>
      <c r="AG411" s="108"/>
      <c r="AH411" s="108"/>
      <c r="AI411" s="108"/>
      <c r="AJ411" s="108"/>
      <c r="AK411" s="108"/>
      <c r="AL411" s="108"/>
      <c r="AM411" s="108"/>
      <c r="AN411" s="108"/>
      <c r="AO411" s="108"/>
      <c r="AP411" s="108"/>
      <c r="AQ411" s="108"/>
      <c r="AR411" s="108"/>
      <c r="AS411" s="108"/>
      <c r="AT411" s="108"/>
      <c r="AU411" s="108"/>
      <c r="AV411" s="108"/>
      <c r="AW411" s="108"/>
      <c r="AX411" s="108"/>
      <c r="AY411" s="108"/>
      <c r="AZ411" s="108"/>
      <c r="BA411" s="108"/>
      <c r="BB411" s="108"/>
    </row>
    <row r="412" spans="3:54" ht="12.75" customHeight="1" x14ac:dyDescent="0.25">
      <c r="C412" s="108"/>
      <c r="D412" s="108"/>
      <c r="E412" s="108"/>
      <c r="F412" s="108"/>
      <c r="G412" s="108"/>
      <c r="H412" s="108"/>
      <c r="I412" s="108"/>
      <c r="J412" s="108"/>
      <c r="K412" s="108"/>
      <c r="L412" s="108"/>
      <c r="M412" s="108"/>
      <c r="N412" s="108"/>
      <c r="O412" s="108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  <c r="Z412" s="108"/>
      <c r="AA412" s="108"/>
      <c r="AB412" s="108"/>
      <c r="AC412" s="108"/>
      <c r="AD412" s="108"/>
      <c r="AE412" s="108"/>
      <c r="AF412" s="108"/>
      <c r="AG412" s="108"/>
      <c r="AH412" s="108"/>
      <c r="AI412" s="108"/>
      <c r="AJ412" s="108"/>
      <c r="AK412" s="108"/>
      <c r="AL412" s="108"/>
      <c r="AM412" s="108"/>
      <c r="AN412" s="108"/>
      <c r="AO412" s="108"/>
      <c r="AP412" s="108"/>
      <c r="AQ412" s="108"/>
      <c r="AR412" s="108"/>
      <c r="AS412" s="108"/>
      <c r="AT412" s="108"/>
      <c r="AU412" s="108"/>
      <c r="AV412" s="108"/>
      <c r="AW412" s="108"/>
      <c r="AX412" s="108"/>
      <c r="AY412" s="108"/>
      <c r="AZ412" s="108"/>
      <c r="BA412" s="108"/>
      <c r="BB412" s="108"/>
    </row>
    <row r="413" spans="3:54" ht="12.75" customHeight="1" x14ac:dyDescent="0.25">
      <c r="C413" s="108"/>
      <c r="D413" s="108"/>
      <c r="E413" s="108"/>
      <c r="F413" s="108"/>
      <c r="G413" s="108"/>
      <c r="H413" s="108"/>
      <c r="I413" s="108"/>
      <c r="J413" s="108"/>
      <c r="K413" s="108"/>
      <c r="L413" s="108"/>
      <c r="M413" s="108"/>
      <c r="N413" s="108"/>
      <c r="O413" s="108"/>
      <c r="P413" s="108"/>
      <c r="Q413" s="108"/>
      <c r="R413" s="108"/>
      <c r="S413" s="108"/>
      <c r="T413" s="108"/>
      <c r="U413" s="108"/>
      <c r="V413" s="108"/>
      <c r="W413" s="108"/>
      <c r="X413" s="108"/>
      <c r="Y413" s="108"/>
      <c r="Z413" s="108"/>
      <c r="AA413" s="108"/>
      <c r="AB413" s="108"/>
      <c r="AC413" s="108"/>
      <c r="AD413" s="108"/>
      <c r="AE413" s="108"/>
      <c r="AF413" s="108"/>
      <c r="AG413" s="108"/>
      <c r="AH413" s="108"/>
      <c r="AI413" s="108"/>
      <c r="AJ413" s="108"/>
      <c r="AK413" s="108"/>
      <c r="AL413" s="108"/>
      <c r="AM413" s="108"/>
      <c r="AN413" s="108"/>
      <c r="AO413" s="108"/>
      <c r="AP413" s="108"/>
      <c r="AQ413" s="108"/>
      <c r="AR413" s="108"/>
      <c r="AS413" s="108"/>
      <c r="AT413" s="108"/>
      <c r="AU413" s="108"/>
      <c r="AV413" s="108"/>
      <c r="AW413" s="108"/>
      <c r="AX413" s="108"/>
      <c r="AY413" s="108"/>
      <c r="AZ413" s="108"/>
      <c r="BA413" s="108"/>
      <c r="BB413" s="108"/>
    </row>
    <row r="414" spans="3:54" ht="12.75" customHeight="1" x14ac:dyDescent="0.25">
      <c r="C414" s="108"/>
      <c r="D414" s="108"/>
      <c r="E414" s="108"/>
      <c r="F414" s="108"/>
      <c r="G414" s="108"/>
      <c r="H414" s="108"/>
      <c r="I414" s="108"/>
      <c r="J414" s="108"/>
      <c r="K414" s="108"/>
      <c r="L414" s="108"/>
      <c r="M414" s="108"/>
      <c r="N414" s="108"/>
      <c r="O414" s="108"/>
      <c r="P414" s="108"/>
      <c r="Q414" s="108"/>
      <c r="R414" s="108"/>
      <c r="S414" s="108"/>
      <c r="T414" s="108"/>
      <c r="U414" s="108"/>
      <c r="V414" s="108"/>
      <c r="W414" s="108"/>
      <c r="X414" s="108"/>
      <c r="Y414" s="108"/>
      <c r="Z414" s="108"/>
      <c r="AA414" s="108"/>
      <c r="AB414" s="108"/>
      <c r="AC414" s="108"/>
      <c r="AD414" s="108"/>
      <c r="AE414" s="108"/>
      <c r="AF414" s="108"/>
      <c r="AG414" s="108"/>
      <c r="AH414" s="108"/>
      <c r="AI414" s="108"/>
      <c r="AJ414" s="108"/>
      <c r="AK414" s="108"/>
      <c r="AL414" s="108"/>
      <c r="AM414" s="108"/>
      <c r="AN414" s="108"/>
      <c r="AO414" s="108"/>
      <c r="AP414" s="108"/>
      <c r="AQ414" s="108"/>
      <c r="AR414" s="108"/>
      <c r="AS414" s="108"/>
      <c r="AT414" s="108"/>
      <c r="AU414" s="108"/>
      <c r="AV414" s="108"/>
      <c r="AW414" s="108"/>
      <c r="AX414" s="108"/>
      <c r="AY414" s="108"/>
      <c r="AZ414" s="108"/>
      <c r="BA414" s="108"/>
      <c r="BB414" s="108"/>
    </row>
    <row r="415" spans="3:54" ht="12.75" customHeight="1" x14ac:dyDescent="0.25">
      <c r="C415" s="108"/>
      <c r="D415" s="108"/>
      <c r="E415" s="108"/>
      <c r="F415" s="108"/>
      <c r="G415" s="108"/>
      <c r="H415" s="108"/>
      <c r="I415" s="108"/>
      <c r="J415" s="108"/>
      <c r="K415" s="108"/>
      <c r="L415" s="108"/>
      <c r="M415" s="108"/>
      <c r="N415" s="108"/>
      <c r="O415" s="108"/>
      <c r="P415" s="108"/>
      <c r="Q415" s="108"/>
      <c r="R415" s="108"/>
      <c r="S415" s="108"/>
      <c r="T415" s="108"/>
      <c r="U415" s="108"/>
      <c r="V415" s="108"/>
      <c r="W415" s="108"/>
      <c r="X415" s="108"/>
      <c r="Y415" s="108"/>
      <c r="Z415" s="108"/>
      <c r="AA415" s="108"/>
      <c r="AB415" s="108"/>
      <c r="AC415" s="108"/>
      <c r="AD415" s="108"/>
      <c r="AE415" s="108"/>
      <c r="AF415" s="108"/>
      <c r="AG415" s="108"/>
      <c r="AH415" s="108"/>
      <c r="AI415" s="108"/>
      <c r="AJ415" s="108"/>
      <c r="AK415" s="108"/>
      <c r="AL415" s="108"/>
      <c r="AM415" s="108"/>
      <c r="AN415" s="108"/>
      <c r="AO415" s="108"/>
      <c r="AP415" s="108"/>
      <c r="AQ415" s="108"/>
      <c r="AR415" s="108"/>
      <c r="AS415" s="108"/>
      <c r="AT415" s="108"/>
      <c r="AU415" s="108"/>
      <c r="AV415" s="108"/>
      <c r="AW415" s="108"/>
      <c r="AX415" s="108"/>
      <c r="AY415" s="108"/>
      <c r="AZ415" s="108"/>
      <c r="BA415" s="108"/>
      <c r="BB415" s="108"/>
    </row>
    <row r="416" spans="3:54" ht="12.75" customHeight="1" x14ac:dyDescent="0.25">
      <c r="C416" s="108"/>
      <c r="D416" s="108"/>
      <c r="E416" s="108"/>
      <c r="F416" s="108"/>
      <c r="G416" s="108"/>
      <c r="H416" s="108"/>
      <c r="I416" s="108"/>
      <c r="J416" s="108"/>
      <c r="K416" s="108"/>
      <c r="L416" s="108"/>
      <c r="M416" s="108"/>
      <c r="N416" s="108"/>
      <c r="O416" s="108"/>
      <c r="P416" s="108"/>
      <c r="Q416" s="108"/>
      <c r="R416" s="108"/>
      <c r="S416" s="108"/>
      <c r="T416" s="108"/>
      <c r="U416" s="108"/>
      <c r="V416" s="108"/>
      <c r="W416" s="108"/>
      <c r="X416" s="108"/>
      <c r="Y416" s="108"/>
      <c r="Z416" s="108"/>
      <c r="AA416" s="108"/>
      <c r="AB416" s="108"/>
      <c r="AC416" s="108"/>
      <c r="AD416" s="108"/>
      <c r="AE416" s="108"/>
      <c r="AF416" s="108"/>
      <c r="AG416" s="108"/>
      <c r="AH416" s="108"/>
      <c r="AI416" s="108"/>
      <c r="AJ416" s="108"/>
      <c r="AK416" s="108"/>
      <c r="AL416" s="108"/>
      <c r="AM416" s="108"/>
      <c r="AN416" s="108"/>
      <c r="AO416" s="108"/>
      <c r="AP416" s="108"/>
      <c r="AQ416" s="108"/>
      <c r="AR416" s="108"/>
      <c r="AS416" s="108"/>
      <c r="AT416" s="108"/>
      <c r="AU416" s="108"/>
      <c r="AV416" s="108"/>
      <c r="AW416" s="108"/>
      <c r="AX416" s="108"/>
      <c r="AY416" s="108"/>
      <c r="AZ416" s="108"/>
      <c r="BA416" s="108"/>
      <c r="BB416" s="108"/>
    </row>
    <row r="417" spans="3:54" ht="12.75" customHeight="1" x14ac:dyDescent="0.25">
      <c r="C417" s="108"/>
      <c r="D417" s="108"/>
      <c r="E417" s="108"/>
      <c r="F417" s="108"/>
      <c r="G417" s="108"/>
      <c r="H417" s="108"/>
      <c r="I417" s="108"/>
      <c r="J417" s="108"/>
      <c r="K417" s="108"/>
      <c r="L417" s="108"/>
      <c r="M417" s="108"/>
      <c r="N417" s="108"/>
      <c r="O417" s="108"/>
      <c r="P417" s="108"/>
      <c r="Q417" s="108"/>
      <c r="R417" s="108"/>
      <c r="S417" s="108"/>
      <c r="T417" s="108"/>
      <c r="U417" s="108"/>
      <c r="V417" s="108"/>
      <c r="W417" s="108"/>
      <c r="X417" s="108"/>
      <c r="Y417" s="108"/>
      <c r="Z417" s="108"/>
      <c r="AA417" s="108"/>
      <c r="AB417" s="108"/>
      <c r="AC417" s="108"/>
      <c r="AD417" s="108"/>
      <c r="AE417" s="108"/>
      <c r="AF417" s="108"/>
      <c r="AG417" s="108"/>
      <c r="AH417" s="108"/>
      <c r="AI417" s="108"/>
      <c r="AJ417" s="108"/>
      <c r="AK417" s="108"/>
      <c r="AL417" s="108"/>
      <c r="AM417" s="108"/>
      <c r="AN417" s="108"/>
      <c r="AO417" s="108"/>
      <c r="AP417" s="108"/>
      <c r="AQ417" s="108"/>
      <c r="AR417" s="108"/>
      <c r="AS417" s="108"/>
      <c r="AT417" s="108"/>
      <c r="AU417" s="108"/>
      <c r="AV417" s="108"/>
      <c r="AW417" s="108"/>
      <c r="AX417" s="108"/>
      <c r="AY417" s="108"/>
      <c r="AZ417" s="108"/>
      <c r="BA417" s="108"/>
      <c r="BB417" s="108"/>
    </row>
    <row r="418" spans="3:54" ht="12.75" customHeight="1" x14ac:dyDescent="0.25">
      <c r="C418" s="108"/>
      <c r="D418" s="108"/>
      <c r="E418" s="108"/>
      <c r="F418" s="108"/>
      <c r="G418" s="108"/>
      <c r="H418" s="108"/>
      <c r="I418" s="108"/>
      <c r="J418" s="108"/>
      <c r="K418" s="108"/>
      <c r="L418" s="108"/>
      <c r="M418" s="108"/>
      <c r="N418" s="108"/>
      <c r="O418" s="108"/>
      <c r="P418" s="108"/>
      <c r="Q418" s="108"/>
      <c r="R418" s="108"/>
      <c r="S418" s="108"/>
      <c r="T418" s="108"/>
      <c r="U418" s="108"/>
      <c r="V418" s="108"/>
      <c r="W418" s="108"/>
      <c r="X418" s="108"/>
      <c r="Y418" s="108"/>
      <c r="Z418" s="108"/>
      <c r="AA418" s="108"/>
      <c r="AB418" s="108"/>
      <c r="AC418" s="108"/>
      <c r="AD418" s="108"/>
      <c r="AE418" s="108"/>
      <c r="AF418" s="108"/>
      <c r="AG418" s="108"/>
      <c r="AH418" s="108"/>
      <c r="AI418" s="108"/>
      <c r="AJ418" s="108"/>
      <c r="AK418" s="108"/>
      <c r="AL418" s="108"/>
      <c r="AM418" s="108"/>
      <c r="AN418" s="108"/>
      <c r="AO418" s="108"/>
      <c r="AP418" s="108"/>
      <c r="AQ418" s="108"/>
      <c r="AR418" s="108"/>
      <c r="AS418" s="108"/>
      <c r="AT418" s="108"/>
      <c r="AU418" s="108"/>
      <c r="AV418" s="108"/>
      <c r="AW418" s="108"/>
      <c r="AX418" s="108"/>
      <c r="AY418" s="108"/>
      <c r="AZ418" s="108"/>
      <c r="BA418" s="108"/>
      <c r="BB418" s="108"/>
    </row>
    <row r="419" spans="3:54" ht="12.75" customHeight="1" x14ac:dyDescent="0.25">
      <c r="C419" s="108"/>
      <c r="D419" s="108"/>
      <c r="E419" s="108"/>
      <c r="F419" s="108"/>
      <c r="G419" s="108"/>
      <c r="H419" s="108"/>
      <c r="I419" s="108"/>
      <c r="J419" s="108"/>
      <c r="K419" s="108"/>
      <c r="L419" s="108"/>
      <c r="M419" s="108"/>
      <c r="N419" s="108"/>
      <c r="O419" s="108"/>
      <c r="P419" s="108"/>
      <c r="Q419" s="108"/>
      <c r="R419" s="108"/>
      <c r="S419" s="108"/>
      <c r="T419" s="108"/>
      <c r="U419" s="108"/>
      <c r="V419" s="108"/>
      <c r="W419" s="108"/>
      <c r="X419" s="108"/>
      <c r="Y419" s="108"/>
      <c r="Z419" s="108"/>
      <c r="AA419" s="108"/>
      <c r="AB419" s="108"/>
      <c r="AC419" s="108"/>
      <c r="AD419" s="108"/>
      <c r="AE419" s="108"/>
      <c r="AF419" s="108"/>
      <c r="AG419" s="108"/>
      <c r="AH419" s="108"/>
      <c r="AI419" s="108"/>
      <c r="AJ419" s="108"/>
      <c r="AK419" s="108"/>
      <c r="AL419" s="108"/>
      <c r="AM419" s="108"/>
      <c r="AN419" s="108"/>
      <c r="AO419" s="108"/>
      <c r="AP419" s="108"/>
      <c r="AQ419" s="108"/>
      <c r="AR419" s="108"/>
      <c r="AS419" s="108"/>
      <c r="AT419" s="108"/>
      <c r="AU419" s="108"/>
      <c r="AV419" s="108"/>
      <c r="AW419" s="108"/>
      <c r="AX419" s="108"/>
      <c r="AY419" s="108"/>
      <c r="AZ419" s="108"/>
      <c r="BA419" s="108"/>
      <c r="BB419" s="108"/>
    </row>
    <row r="420" spans="3:54" ht="12.75" customHeight="1" x14ac:dyDescent="0.25">
      <c r="C420" s="108"/>
      <c r="D420" s="108"/>
      <c r="E420" s="108"/>
      <c r="F420" s="108"/>
      <c r="G420" s="108"/>
      <c r="H420" s="108"/>
      <c r="I420" s="108"/>
      <c r="J420" s="108"/>
      <c r="K420" s="108"/>
      <c r="L420" s="108"/>
      <c r="M420" s="108"/>
      <c r="N420" s="108"/>
      <c r="O420" s="108"/>
      <c r="P420" s="108"/>
      <c r="Q420" s="108"/>
      <c r="R420" s="108"/>
      <c r="S420" s="108"/>
      <c r="T420" s="108"/>
      <c r="U420" s="108"/>
      <c r="V420" s="108"/>
      <c r="W420" s="108"/>
      <c r="X420" s="108"/>
      <c r="Y420" s="108"/>
      <c r="Z420" s="108"/>
      <c r="AA420" s="108"/>
      <c r="AB420" s="108"/>
      <c r="AC420" s="108"/>
      <c r="AD420" s="108"/>
      <c r="AE420" s="108"/>
      <c r="AF420" s="108"/>
      <c r="AG420" s="108"/>
      <c r="AH420" s="108"/>
      <c r="AI420" s="108"/>
      <c r="AJ420" s="108"/>
      <c r="AK420" s="108"/>
      <c r="AL420" s="108"/>
      <c r="AM420" s="108"/>
      <c r="AN420" s="108"/>
      <c r="AO420" s="108"/>
      <c r="AP420" s="108"/>
      <c r="AQ420" s="108"/>
      <c r="AR420" s="108"/>
      <c r="AS420" s="108"/>
      <c r="AT420" s="108"/>
      <c r="AU420" s="108"/>
      <c r="AV420" s="108"/>
      <c r="AW420" s="108"/>
      <c r="AX420" s="108"/>
      <c r="AY420" s="108"/>
      <c r="AZ420" s="108"/>
      <c r="BA420" s="108"/>
      <c r="BB420" s="108"/>
    </row>
    <row r="421" spans="3:54" ht="12.75" customHeight="1" x14ac:dyDescent="0.25">
      <c r="C421" s="108"/>
      <c r="D421" s="108"/>
      <c r="E421" s="108"/>
      <c r="F421" s="108"/>
      <c r="G421" s="108"/>
      <c r="H421" s="108"/>
      <c r="I421" s="108"/>
      <c r="J421" s="108"/>
      <c r="K421" s="108"/>
      <c r="L421" s="108"/>
      <c r="M421" s="108"/>
      <c r="N421" s="108"/>
      <c r="O421" s="108"/>
      <c r="P421" s="108"/>
      <c r="Q421" s="108"/>
      <c r="R421" s="108"/>
      <c r="S421" s="108"/>
      <c r="T421" s="108"/>
      <c r="U421" s="108"/>
      <c r="V421" s="108"/>
      <c r="W421" s="108"/>
      <c r="X421" s="108"/>
      <c r="Y421" s="108"/>
      <c r="Z421" s="108"/>
      <c r="AA421" s="108"/>
      <c r="AB421" s="108"/>
      <c r="AC421" s="108"/>
      <c r="AD421" s="108"/>
      <c r="AE421" s="108"/>
      <c r="AF421" s="108"/>
      <c r="AG421" s="108"/>
      <c r="AH421" s="108"/>
      <c r="AI421" s="108"/>
      <c r="AJ421" s="108"/>
      <c r="AK421" s="108"/>
      <c r="AL421" s="108"/>
      <c r="AM421" s="108"/>
      <c r="AN421" s="108"/>
      <c r="AO421" s="108"/>
      <c r="AP421" s="108"/>
      <c r="AQ421" s="108"/>
      <c r="AR421" s="108"/>
      <c r="AS421" s="108"/>
      <c r="AT421" s="108"/>
      <c r="AU421" s="108"/>
      <c r="AV421" s="108"/>
      <c r="AW421" s="108"/>
      <c r="AX421" s="108"/>
      <c r="AY421" s="108"/>
      <c r="AZ421" s="108"/>
      <c r="BA421" s="108"/>
      <c r="BB421" s="108"/>
    </row>
    <row r="422" spans="3:54" ht="12.75" customHeight="1" x14ac:dyDescent="0.25">
      <c r="C422" s="108"/>
      <c r="D422" s="108"/>
      <c r="E422" s="108"/>
      <c r="F422" s="108"/>
      <c r="G422" s="108"/>
      <c r="H422" s="108"/>
      <c r="I422" s="108"/>
      <c r="J422" s="108"/>
      <c r="K422" s="108"/>
      <c r="L422" s="108"/>
      <c r="M422" s="108"/>
      <c r="N422" s="108"/>
      <c r="O422" s="108"/>
      <c r="P422" s="108"/>
      <c r="Q422" s="108"/>
      <c r="R422" s="108"/>
      <c r="S422" s="108"/>
      <c r="T422" s="108"/>
      <c r="U422" s="108"/>
      <c r="V422" s="108"/>
      <c r="W422" s="108"/>
      <c r="X422" s="108"/>
      <c r="Y422" s="108"/>
      <c r="Z422" s="108"/>
      <c r="AA422" s="108"/>
      <c r="AB422" s="108"/>
      <c r="AC422" s="108"/>
      <c r="AD422" s="108"/>
      <c r="AE422" s="108"/>
      <c r="AF422" s="108"/>
      <c r="AG422" s="108"/>
      <c r="AH422" s="108"/>
      <c r="AI422" s="108"/>
      <c r="AJ422" s="108"/>
      <c r="AK422" s="108"/>
      <c r="AL422" s="108"/>
      <c r="AM422" s="108"/>
      <c r="AN422" s="108"/>
      <c r="AO422" s="108"/>
      <c r="AP422" s="108"/>
      <c r="AQ422" s="108"/>
      <c r="AR422" s="108"/>
      <c r="AS422" s="108"/>
      <c r="AT422" s="108"/>
      <c r="AU422" s="108"/>
      <c r="AV422" s="108"/>
      <c r="AW422" s="108"/>
      <c r="AX422" s="108"/>
      <c r="AY422" s="108"/>
      <c r="AZ422" s="108"/>
      <c r="BA422" s="108"/>
      <c r="BB422" s="108"/>
    </row>
    <row r="423" spans="3:54" ht="12.75" customHeight="1" x14ac:dyDescent="0.25">
      <c r="C423" s="108"/>
      <c r="D423" s="108"/>
      <c r="E423" s="108"/>
      <c r="F423" s="108"/>
      <c r="G423" s="108"/>
      <c r="H423" s="108"/>
      <c r="I423" s="108"/>
      <c r="J423" s="108"/>
      <c r="K423" s="108"/>
      <c r="L423" s="108"/>
      <c r="M423" s="108"/>
      <c r="N423" s="108"/>
      <c r="O423" s="108"/>
      <c r="P423" s="108"/>
      <c r="Q423" s="108"/>
      <c r="R423" s="108"/>
      <c r="S423" s="108"/>
      <c r="T423" s="108"/>
      <c r="U423" s="108"/>
      <c r="V423" s="108"/>
      <c r="W423" s="108"/>
      <c r="X423" s="108"/>
      <c r="Y423" s="108"/>
      <c r="Z423" s="108"/>
      <c r="AA423" s="108"/>
      <c r="AB423" s="108"/>
      <c r="AC423" s="108"/>
      <c r="AD423" s="108"/>
      <c r="AE423" s="108"/>
      <c r="AF423" s="108"/>
      <c r="AG423" s="108"/>
      <c r="AH423" s="108"/>
      <c r="AI423" s="108"/>
      <c r="AJ423" s="108"/>
      <c r="AK423" s="108"/>
      <c r="AL423" s="108"/>
      <c r="AM423" s="108"/>
      <c r="AN423" s="108"/>
      <c r="AO423" s="108"/>
      <c r="AP423" s="108"/>
      <c r="AQ423" s="108"/>
      <c r="AR423" s="108"/>
      <c r="AS423" s="108"/>
      <c r="AT423" s="108"/>
      <c r="AU423" s="108"/>
      <c r="AV423" s="108"/>
      <c r="AW423" s="108"/>
      <c r="AX423" s="108"/>
      <c r="AY423" s="108"/>
      <c r="AZ423" s="108"/>
      <c r="BA423" s="108"/>
      <c r="BB423" s="108"/>
    </row>
    <row r="424" spans="3:54" ht="12.75" customHeight="1" x14ac:dyDescent="0.25">
      <c r="C424" s="108"/>
      <c r="D424" s="108"/>
      <c r="E424" s="108"/>
      <c r="F424" s="108"/>
      <c r="G424" s="108"/>
      <c r="H424" s="108"/>
      <c r="I424" s="108"/>
      <c r="J424" s="108"/>
      <c r="K424" s="108"/>
      <c r="L424" s="108"/>
      <c r="M424" s="108"/>
      <c r="N424" s="108"/>
      <c r="O424" s="108"/>
      <c r="P424" s="108"/>
      <c r="Q424" s="108"/>
      <c r="R424" s="108"/>
      <c r="S424" s="108"/>
      <c r="T424" s="108"/>
      <c r="U424" s="108"/>
      <c r="V424" s="108"/>
      <c r="W424" s="108"/>
      <c r="X424" s="108"/>
      <c r="Y424" s="108"/>
      <c r="Z424" s="108"/>
      <c r="AA424" s="108"/>
      <c r="AB424" s="108"/>
      <c r="AC424" s="108"/>
      <c r="AD424" s="108"/>
      <c r="AE424" s="108"/>
      <c r="AF424" s="108"/>
      <c r="AG424" s="108"/>
      <c r="AH424" s="108"/>
      <c r="AI424" s="108"/>
      <c r="AJ424" s="108"/>
      <c r="AK424" s="108"/>
      <c r="AL424" s="108"/>
      <c r="AM424" s="108"/>
      <c r="AN424" s="108"/>
      <c r="AO424" s="108"/>
      <c r="AP424" s="108"/>
      <c r="AQ424" s="108"/>
      <c r="AR424" s="108"/>
      <c r="AS424" s="108"/>
      <c r="AT424" s="108"/>
      <c r="AU424" s="108"/>
      <c r="AV424" s="108"/>
      <c r="AW424" s="108"/>
      <c r="AX424" s="108"/>
      <c r="AY424" s="108"/>
      <c r="AZ424" s="108"/>
      <c r="BA424" s="108"/>
      <c r="BB424" s="108"/>
    </row>
    <row r="425" spans="3:54" ht="12.75" customHeight="1" x14ac:dyDescent="0.25">
      <c r="C425" s="108"/>
      <c r="D425" s="108"/>
      <c r="E425" s="108"/>
      <c r="F425" s="108"/>
      <c r="G425" s="108"/>
      <c r="H425" s="108"/>
      <c r="I425" s="108"/>
      <c r="J425" s="108"/>
      <c r="K425" s="108"/>
      <c r="L425" s="108"/>
      <c r="M425" s="108"/>
      <c r="N425" s="108"/>
      <c r="O425" s="108"/>
      <c r="P425" s="108"/>
      <c r="Q425" s="108"/>
      <c r="R425" s="108"/>
      <c r="S425" s="108"/>
      <c r="T425" s="108"/>
      <c r="U425" s="108"/>
      <c r="V425" s="108"/>
      <c r="W425" s="108"/>
      <c r="X425" s="108"/>
      <c r="Y425" s="108"/>
      <c r="Z425" s="108"/>
      <c r="AA425" s="108"/>
      <c r="AB425" s="108"/>
      <c r="AC425" s="108"/>
      <c r="AD425" s="108"/>
      <c r="AE425" s="108"/>
      <c r="AF425" s="108"/>
      <c r="AG425" s="108"/>
      <c r="AH425" s="108"/>
      <c r="AI425" s="108"/>
      <c r="AJ425" s="108"/>
      <c r="AK425" s="108"/>
      <c r="AL425" s="108"/>
      <c r="AM425" s="108"/>
      <c r="AN425" s="108"/>
      <c r="AO425" s="108"/>
      <c r="AP425" s="108"/>
      <c r="AQ425" s="108"/>
      <c r="AR425" s="108"/>
      <c r="AS425" s="108"/>
      <c r="AT425" s="108"/>
      <c r="AU425" s="108"/>
      <c r="AV425" s="108"/>
      <c r="AW425" s="108"/>
      <c r="AX425" s="108"/>
      <c r="AY425" s="108"/>
      <c r="AZ425" s="108"/>
      <c r="BA425" s="108"/>
      <c r="BB425" s="108"/>
    </row>
    <row r="426" spans="3:54" ht="12.75" customHeight="1" x14ac:dyDescent="0.25">
      <c r="C426" s="108"/>
      <c r="D426" s="108"/>
      <c r="E426" s="108"/>
      <c r="F426" s="108"/>
      <c r="G426" s="108"/>
      <c r="H426" s="108"/>
      <c r="I426" s="108"/>
      <c r="J426" s="108"/>
      <c r="K426" s="108"/>
      <c r="L426" s="108"/>
      <c r="M426" s="108"/>
      <c r="N426" s="108"/>
      <c r="O426" s="108"/>
      <c r="P426" s="108"/>
      <c r="Q426" s="108"/>
      <c r="R426" s="108"/>
      <c r="S426" s="108"/>
      <c r="T426" s="108"/>
      <c r="U426" s="108"/>
      <c r="V426" s="108"/>
      <c r="W426" s="108"/>
      <c r="X426" s="108"/>
      <c r="Y426" s="108"/>
      <c r="Z426" s="108"/>
      <c r="AA426" s="108"/>
      <c r="AB426" s="108"/>
      <c r="AC426" s="108"/>
      <c r="AD426" s="108"/>
      <c r="AE426" s="108"/>
      <c r="AF426" s="108"/>
      <c r="AG426" s="108"/>
      <c r="AH426" s="108"/>
      <c r="AI426" s="108"/>
      <c r="AJ426" s="108"/>
      <c r="AK426" s="108"/>
      <c r="AL426" s="108"/>
      <c r="AM426" s="108"/>
      <c r="AN426" s="108"/>
      <c r="AO426" s="108"/>
      <c r="AP426" s="108"/>
      <c r="AQ426" s="108"/>
      <c r="AR426" s="108"/>
      <c r="AS426" s="108"/>
      <c r="AT426" s="108"/>
      <c r="AU426" s="108"/>
      <c r="AV426" s="108"/>
      <c r="AW426" s="108"/>
      <c r="AX426" s="108"/>
      <c r="AY426" s="108"/>
      <c r="AZ426" s="108"/>
      <c r="BA426" s="108"/>
      <c r="BB426" s="108"/>
    </row>
    <row r="427" spans="3:54" ht="12.75" customHeight="1" x14ac:dyDescent="0.25">
      <c r="C427" s="108"/>
      <c r="D427" s="108"/>
      <c r="E427" s="108"/>
      <c r="F427" s="108"/>
      <c r="G427" s="108"/>
      <c r="H427" s="108"/>
      <c r="I427" s="108"/>
      <c r="J427" s="108"/>
      <c r="K427" s="108"/>
      <c r="L427" s="108"/>
      <c r="M427" s="108"/>
      <c r="N427" s="108"/>
      <c r="O427" s="108"/>
      <c r="P427" s="108"/>
      <c r="Q427" s="108"/>
      <c r="R427" s="108"/>
      <c r="S427" s="108"/>
      <c r="T427" s="108"/>
      <c r="U427" s="108"/>
      <c r="V427" s="108"/>
      <c r="W427" s="108"/>
      <c r="X427" s="108"/>
      <c r="Y427" s="108"/>
      <c r="Z427" s="108"/>
      <c r="AA427" s="108"/>
      <c r="AB427" s="108"/>
      <c r="AC427" s="108"/>
      <c r="AD427" s="108"/>
      <c r="AE427" s="108"/>
      <c r="AF427" s="108"/>
      <c r="AG427" s="108"/>
      <c r="AH427" s="108"/>
      <c r="AI427" s="108"/>
      <c r="AJ427" s="108"/>
      <c r="AK427" s="108"/>
      <c r="AL427" s="108"/>
      <c r="AM427" s="108"/>
      <c r="AN427" s="108"/>
      <c r="AO427" s="108"/>
      <c r="AP427" s="108"/>
      <c r="AQ427" s="108"/>
      <c r="AR427" s="108"/>
      <c r="AS427" s="108"/>
      <c r="AT427" s="108"/>
      <c r="AU427" s="108"/>
      <c r="AV427" s="108"/>
      <c r="AW427" s="108"/>
      <c r="AX427" s="108"/>
      <c r="AY427" s="108"/>
      <c r="AZ427" s="108"/>
      <c r="BA427" s="108"/>
      <c r="BB427" s="108"/>
    </row>
    <row r="428" spans="3:54" ht="12.75" customHeight="1" x14ac:dyDescent="0.25">
      <c r="C428" s="108"/>
      <c r="D428" s="108"/>
      <c r="E428" s="108"/>
      <c r="F428" s="108"/>
      <c r="G428" s="108"/>
      <c r="H428" s="108"/>
      <c r="I428" s="108"/>
      <c r="J428" s="108"/>
      <c r="K428" s="108"/>
      <c r="L428" s="108"/>
      <c r="M428" s="108"/>
      <c r="N428" s="108"/>
      <c r="O428" s="108"/>
      <c r="P428" s="108"/>
      <c r="Q428" s="108"/>
      <c r="R428" s="108"/>
      <c r="S428" s="108"/>
      <c r="T428" s="108"/>
      <c r="U428" s="108"/>
      <c r="V428" s="108"/>
      <c r="W428" s="108"/>
      <c r="X428" s="108"/>
      <c r="Y428" s="108"/>
      <c r="Z428" s="108"/>
      <c r="AA428" s="108"/>
      <c r="AB428" s="108"/>
      <c r="AC428" s="108"/>
      <c r="AD428" s="108"/>
      <c r="AE428" s="108"/>
      <c r="AF428" s="108"/>
      <c r="AG428" s="108"/>
      <c r="AH428" s="108"/>
      <c r="AI428" s="108"/>
      <c r="AJ428" s="108"/>
      <c r="AK428" s="108"/>
      <c r="AL428" s="108"/>
      <c r="AM428" s="108"/>
      <c r="AN428" s="108"/>
      <c r="AO428" s="108"/>
      <c r="AP428" s="108"/>
      <c r="AQ428" s="108"/>
      <c r="AR428" s="108"/>
      <c r="AS428" s="108"/>
      <c r="AT428" s="108"/>
      <c r="AU428" s="108"/>
      <c r="AV428" s="108"/>
      <c r="AW428" s="108"/>
      <c r="AX428" s="108"/>
      <c r="AY428" s="108"/>
      <c r="AZ428" s="108"/>
      <c r="BA428" s="108"/>
      <c r="BB428" s="108"/>
    </row>
    <row r="429" spans="3:54" ht="12.75" customHeight="1" x14ac:dyDescent="0.25">
      <c r="C429" s="108"/>
      <c r="D429" s="108"/>
      <c r="E429" s="108"/>
      <c r="F429" s="108"/>
      <c r="G429" s="108"/>
      <c r="H429" s="108"/>
      <c r="I429" s="108"/>
      <c r="J429" s="108"/>
      <c r="K429" s="108"/>
      <c r="L429" s="108"/>
      <c r="M429" s="108"/>
      <c r="N429" s="108"/>
      <c r="O429" s="108"/>
      <c r="P429" s="108"/>
      <c r="Q429" s="108"/>
      <c r="R429" s="108"/>
      <c r="S429" s="108"/>
      <c r="T429" s="108"/>
      <c r="U429" s="108"/>
      <c r="V429" s="108"/>
      <c r="W429" s="108"/>
      <c r="X429" s="108"/>
      <c r="Y429" s="108"/>
      <c r="Z429" s="108"/>
      <c r="AA429" s="108"/>
      <c r="AB429" s="108"/>
      <c r="AC429" s="108"/>
      <c r="AD429" s="108"/>
      <c r="AE429" s="108"/>
      <c r="AF429" s="108"/>
      <c r="AG429" s="108"/>
      <c r="AH429" s="108"/>
      <c r="AI429" s="108"/>
      <c r="AJ429" s="108"/>
      <c r="AK429" s="108"/>
      <c r="AL429" s="108"/>
      <c r="AM429" s="108"/>
      <c r="AN429" s="108"/>
      <c r="AO429" s="108"/>
      <c r="AP429" s="108"/>
      <c r="AQ429" s="108"/>
      <c r="AR429" s="108"/>
      <c r="AS429" s="108"/>
      <c r="AT429" s="108"/>
      <c r="AU429" s="108"/>
      <c r="AV429" s="108"/>
      <c r="AW429" s="108"/>
      <c r="AX429" s="108"/>
      <c r="AY429" s="108"/>
      <c r="AZ429" s="108"/>
      <c r="BA429" s="108"/>
      <c r="BB429" s="108"/>
    </row>
    <row r="430" spans="3:54" ht="12.75" customHeight="1" x14ac:dyDescent="0.25">
      <c r="C430" s="108"/>
      <c r="D430" s="108"/>
      <c r="E430" s="108"/>
      <c r="F430" s="108"/>
      <c r="G430" s="108"/>
      <c r="H430" s="108"/>
      <c r="I430" s="108"/>
      <c r="J430" s="108"/>
      <c r="K430" s="108"/>
      <c r="L430" s="108"/>
      <c r="M430" s="108"/>
      <c r="N430" s="108"/>
      <c r="O430" s="108"/>
      <c r="P430" s="108"/>
      <c r="Q430" s="108"/>
      <c r="R430" s="108"/>
      <c r="S430" s="108"/>
      <c r="T430" s="108"/>
      <c r="U430" s="108"/>
      <c r="V430" s="108"/>
      <c r="W430" s="108"/>
      <c r="X430" s="108"/>
      <c r="Y430" s="108"/>
      <c r="Z430" s="108"/>
      <c r="AA430" s="108"/>
      <c r="AB430" s="108"/>
      <c r="AC430" s="108"/>
      <c r="AD430" s="108"/>
      <c r="AE430" s="108"/>
      <c r="AF430" s="108"/>
      <c r="AG430" s="108"/>
      <c r="AH430" s="108"/>
      <c r="AI430" s="108"/>
      <c r="AJ430" s="108"/>
      <c r="AK430" s="108"/>
      <c r="AL430" s="108"/>
      <c r="AM430" s="108"/>
      <c r="AN430" s="108"/>
      <c r="AO430" s="108"/>
      <c r="AP430" s="108"/>
      <c r="AQ430" s="108"/>
      <c r="AR430" s="108"/>
      <c r="AS430" s="108"/>
      <c r="AT430" s="108"/>
      <c r="AU430" s="108"/>
      <c r="AV430" s="108"/>
      <c r="AW430" s="108"/>
      <c r="AX430" s="108"/>
      <c r="AY430" s="108"/>
      <c r="AZ430" s="108"/>
      <c r="BA430" s="108"/>
      <c r="BB430" s="108"/>
    </row>
    <row r="431" spans="3:54" ht="12.75" customHeight="1" x14ac:dyDescent="0.25">
      <c r="C431" s="108"/>
      <c r="D431" s="108"/>
      <c r="E431" s="108"/>
      <c r="F431" s="108"/>
      <c r="G431" s="108"/>
      <c r="H431" s="108"/>
      <c r="I431" s="108"/>
      <c r="J431" s="108"/>
      <c r="K431" s="108"/>
      <c r="L431" s="108"/>
      <c r="M431" s="108"/>
      <c r="N431" s="108"/>
      <c r="O431" s="108"/>
      <c r="P431" s="108"/>
      <c r="Q431" s="108"/>
      <c r="R431" s="108"/>
      <c r="S431" s="108"/>
      <c r="T431" s="108"/>
      <c r="U431" s="108"/>
      <c r="V431" s="108"/>
      <c r="W431" s="108"/>
      <c r="X431" s="108"/>
      <c r="Y431" s="108"/>
      <c r="Z431" s="108"/>
      <c r="AA431" s="108"/>
      <c r="AB431" s="108"/>
      <c r="AC431" s="108"/>
      <c r="AD431" s="108"/>
      <c r="AE431" s="108"/>
      <c r="AF431" s="108"/>
      <c r="AG431" s="108"/>
      <c r="AH431" s="108"/>
      <c r="AI431" s="108"/>
      <c r="AJ431" s="108"/>
      <c r="AK431" s="108"/>
      <c r="AL431" s="108"/>
      <c r="AM431" s="108"/>
      <c r="AN431" s="108"/>
      <c r="AO431" s="108"/>
      <c r="AP431" s="108"/>
      <c r="AQ431" s="108"/>
      <c r="AR431" s="108"/>
      <c r="AS431" s="108"/>
      <c r="AT431" s="108"/>
      <c r="AU431" s="108"/>
      <c r="AV431" s="108"/>
      <c r="AW431" s="108"/>
      <c r="AX431" s="108"/>
      <c r="AY431" s="108"/>
      <c r="AZ431" s="108"/>
      <c r="BA431" s="108"/>
      <c r="BB431" s="108"/>
    </row>
    <row r="432" spans="3:54" ht="12.75" customHeight="1" x14ac:dyDescent="0.25">
      <c r="C432" s="108"/>
      <c r="D432" s="108"/>
      <c r="E432" s="108"/>
      <c r="F432" s="108"/>
      <c r="G432" s="108"/>
      <c r="H432" s="108"/>
      <c r="I432" s="108"/>
      <c r="J432" s="108"/>
      <c r="K432" s="108"/>
      <c r="L432" s="108"/>
      <c r="M432" s="108"/>
      <c r="N432" s="108"/>
      <c r="O432" s="108"/>
      <c r="P432" s="108"/>
      <c r="Q432" s="108"/>
      <c r="R432" s="108"/>
      <c r="S432" s="108"/>
      <c r="T432" s="108"/>
      <c r="U432" s="108"/>
      <c r="V432" s="108"/>
      <c r="W432" s="108"/>
      <c r="X432" s="108"/>
      <c r="Y432" s="108"/>
      <c r="Z432" s="108"/>
      <c r="AA432" s="108"/>
      <c r="AB432" s="108"/>
      <c r="AC432" s="108"/>
      <c r="AD432" s="108"/>
      <c r="AE432" s="108"/>
      <c r="AF432" s="108"/>
      <c r="AG432" s="108"/>
      <c r="AH432" s="108"/>
      <c r="AI432" s="108"/>
      <c r="AJ432" s="108"/>
      <c r="AK432" s="108"/>
      <c r="AL432" s="108"/>
      <c r="AM432" s="108"/>
      <c r="AN432" s="108"/>
      <c r="AO432" s="108"/>
      <c r="AP432" s="108"/>
      <c r="AQ432" s="108"/>
      <c r="AR432" s="108"/>
      <c r="AS432" s="108"/>
      <c r="AT432" s="108"/>
      <c r="AU432" s="108"/>
      <c r="AV432" s="108"/>
      <c r="AW432" s="108"/>
      <c r="AX432" s="108"/>
      <c r="AY432" s="108"/>
      <c r="AZ432" s="108"/>
      <c r="BA432" s="108"/>
      <c r="BB432" s="108"/>
    </row>
    <row r="433" spans="3:54" ht="12.75" customHeight="1" x14ac:dyDescent="0.25">
      <c r="C433" s="108"/>
      <c r="D433" s="108"/>
      <c r="E433" s="108"/>
      <c r="F433" s="108"/>
      <c r="G433" s="108"/>
      <c r="H433" s="108"/>
      <c r="I433" s="108"/>
      <c r="J433" s="108"/>
      <c r="K433" s="108"/>
      <c r="L433" s="108"/>
      <c r="M433" s="108"/>
      <c r="N433" s="108"/>
      <c r="O433" s="108"/>
      <c r="P433" s="108"/>
      <c r="Q433" s="108"/>
      <c r="R433" s="108"/>
      <c r="S433" s="108"/>
      <c r="T433" s="108"/>
      <c r="U433" s="108"/>
      <c r="V433" s="108"/>
      <c r="W433" s="108"/>
      <c r="X433" s="108"/>
      <c r="Y433" s="108"/>
      <c r="Z433" s="108"/>
      <c r="AA433" s="108"/>
      <c r="AB433" s="108"/>
      <c r="AC433" s="108"/>
      <c r="AD433" s="108"/>
      <c r="AE433" s="108"/>
      <c r="AF433" s="108"/>
      <c r="AG433" s="108"/>
      <c r="AH433" s="108"/>
      <c r="AI433" s="108"/>
      <c r="AJ433" s="108"/>
      <c r="AK433" s="108"/>
      <c r="AL433" s="108"/>
      <c r="AM433" s="108"/>
      <c r="AN433" s="108"/>
      <c r="AO433" s="108"/>
      <c r="AP433" s="108"/>
      <c r="AQ433" s="108"/>
      <c r="AR433" s="108"/>
      <c r="AS433" s="108"/>
      <c r="AT433" s="108"/>
      <c r="AU433" s="108"/>
      <c r="AV433" s="108"/>
      <c r="AW433" s="108"/>
      <c r="AX433" s="108"/>
      <c r="AY433" s="108"/>
      <c r="AZ433" s="108"/>
      <c r="BA433" s="108"/>
      <c r="BB433" s="108"/>
    </row>
    <row r="434" spans="3:54" ht="12.75" customHeight="1" x14ac:dyDescent="0.25">
      <c r="C434" s="108"/>
      <c r="D434" s="108"/>
      <c r="E434" s="108"/>
      <c r="F434" s="108"/>
      <c r="G434" s="108"/>
      <c r="H434" s="108"/>
      <c r="I434" s="108"/>
      <c r="J434" s="108"/>
      <c r="K434" s="108"/>
      <c r="L434" s="108"/>
      <c r="M434" s="108"/>
      <c r="N434" s="108"/>
      <c r="O434" s="108"/>
      <c r="P434" s="108"/>
      <c r="Q434" s="108"/>
      <c r="R434" s="108"/>
      <c r="S434" s="108"/>
      <c r="T434" s="108"/>
      <c r="U434" s="108"/>
      <c r="V434" s="108"/>
      <c r="W434" s="108"/>
      <c r="X434" s="108"/>
      <c r="Y434" s="108"/>
      <c r="Z434" s="108"/>
      <c r="AA434" s="108"/>
      <c r="AB434" s="108"/>
      <c r="AC434" s="108"/>
      <c r="AD434" s="108"/>
      <c r="AE434" s="108"/>
      <c r="AF434" s="108"/>
      <c r="AG434" s="108"/>
      <c r="AH434" s="108"/>
      <c r="AI434" s="108"/>
      <c r="AJ434" s="108"/>
      <c r="AK434" s="108"/>
      <c r="AL434" s="108"/>
      <c r="AM434" s="108"/>
      <c r="AN434" s="108"/>
      <c r="AO434" s="108"/>
      <c r="AP434" s="108"/>
      <c r="AQ434" s="108"/>
      <c r="AR434" s="108"/>
      <c r="AS434" s="108"/>
      <c r="AT434" s="108"/>
      <c r="AU434" s="108"/>
      <c r="AV434" s="108"/>
      <c r="AW434" s="108"/>
      <c r="AX434" s="108"/>
      <c r="AY434" s="108"/>
      <c r="AZ434" s="108"/>
      <c r="BA434" s="108"/>
      <c r="BB434" s="108"/>
    </row>
    <row r="435" spans="3:54" ht="12.75" customHeight="1" x14ac:dyDescent="0.25">
      <c r="C435" s="108"/>
      <c r="D435" s="108"/>
      <c r="E435" s="108"/>
      <c r="F435" s="108"/>
      <c r="G435" s="108"/>
      <c r="H435" s="108"/>
      <c r="I435" s="108"/>
      <c r="J435" s="108"/>
      <c r="K435" s="108"/>
      <c r="L435" s="108"/>
      <c r="M435" s="108"/>
      <c r="N435" s="108"/>
      <c r="O435" s="108"/>
      <c r="P435" s="108"/>
      <c r="Q435" s="108"/>
      <c r="R435" s="108"/>
      <c r="S435" s="108"/>
      <c r="T435" s="108"/>
      <c r="U435" s="108"/>
      <c r="V435" s="108"/>
      <c r="W435" s="108"/>
      <c r="X435" s="108"/>
      <c r="Y435" s="108"/>
      <c r="Z435" s="108"/>
      <c r="AA435" s="108"/>
      <c r="AB435" s="108"/>
      <c r="AC435" s="108"/>
      <c r="AD435" s="108"/>
      <c r="AE435" s="108"/>
      <c r="AF435" s="108"/>
      <c r="AG435" s="108"/>
      <c r="AH435" s="108"/>
      <c r="AI435" s="108"/>
      <c r="AJ435" s="108"/>
      <c r="AK435" s="108"/>
      <c r="AL435" s="108"/>
      <c r="AM435" s="108"/>
      <c r="AN435" s="108"/>
      <c r="AO435" s="108"/>
      <c r="AP435" s="108"/>
      <c r="AQ435" s="108"/>
      <c r="AR435" s="108"/>
      <c r="AS435" s="108"/>
      <c r="AT435" s="108"/>
      <c r="AU435" s="108"/>
      <c r="AV435" s="108"/>
      <c r="AW435" s="108"/>
      <c r="AX435" s="108"/>
      <c r="AY435" s="108"/>
      <c r="AZ435" s="108"/>
      <c r="BA435" s="108"/>
      <c r="BB435" s="108"/>
    </row>
    <row r="436" spans="3:54" ht="12.75" customHeight="1" x14ac:dyDescent="0.25">
      <c r="C436" s="108"/>
      <c r="D436" s="108"/>
      <c r="E436" s="108"/>
      <c r="F436" s="108"/>
      <c r="G436" s="108"/>
      <c r="H436" s="108"/>
      <c r="I436" s="108"/>
      <c r="J436" s="108"/>
      <c r="K436" s="108"/>
      <c r="L436" s="108"/>
      <c r="M436" s="108"/>
      <c r="N436" s="108"/>
      <c r="O436" s="108"/>
      <c r="P436" s="108"/>
      <c r="Q436" s="108"/>
      <c r="R436" s="108"/>
      <c r="S436" s="108"/>
      <c r="T436" s="108"/>
      <c r="U436" s="108"/>
      <c r="V436" s="108"/>
      <c r="W436" s="108"/>
      <c r="X436" s="108"/>
      <c r="Y436" s="108"/>
      <c r="Z436" s="108"/>
      <c r="AA436" s="108"/>
      <c r="AB436" s="108"/>
      <c r="AC436" s="108"/>
      <c r="AD436" s="108"/>
      <c r="AE436" s="108"/>
      <c r="AF436" s="108"/>
      <c r="AG436" s="108"/>
      <c r="AH436" s="108"/>
      <c r="AI436" s="108"/>
      <c r="AJ436" s="108"/>
      <c r="AK436" s="108"/>
      <c r="AL436" s="108"/>
      <c r="AM436" s="108"/>
      <c r="AN436" s="108"/>
      <c r="AO436" s="108"/>
      <c r="AP436" s="108"/>
      <c r="AQ436" s="108"/>
      <c r="AR436" s="108"/>
      <c r="AS436" s="108"/>
      <c r="AT436" s="108"/>
      <c r="AU436" s="108"/>
      <c r="AV436" s="108"/>
      <c r="AW436" s="108"/>
      <c r="AX436" s="108"/>
      <c r="AY436" s="108"/>
      <c r="AZ436" s="108"/>
      <c r="BA436" s="108"/>
      <c r="BB436" s="108"/>
    </row>
    <row r="437" spans="3:54" ht="12.75" customHeight="1" x14ac:dyDescent="0.25">
      <c r="C437" s="108"/>
      <c r="D437" s="108"/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08"/>
      <c r="P437" s="108"/>
      <c r="Q437" s="108"/>
      <c r="R437" s="108"/>
      <c r="S437" s="108"/>
      <c r="T437" s="108"/>
      <c r="U437" s="108"/>
      <c r="V437" s="108"/>
      <c r="W437" s="108"/>
      <c r="X437" s="108"/>
      <c r="Y437" s="108"/>
      <c r="Z437" s="108"/>
      <c r="AA437" s="108"/>
      <c r="AB437" s="108"/>
      <c r="AC437" s="108"/>
      <c r="AD437" s="108"/>
      <c r="AE437" s="108"/>
      <c r="AF437" s="108"/>
      <c r="AG437" s="108"/>
      <c r="AH437" s="108"/>
      <c r="AI437" s="108"/>
      <c r="AJ437" s="108"/>
      <c r="AK437" s="108"/>
      <c r="AL437" s="108"/>
      <c r="AM437" s="108"/>
      <c r="AN437" s="108"/>
      <c r="AO437" s="108"/>
      <c r="AP437" s="108"/>
      <c r="AQ437" s="108"/>
      <c r="AR437" s="108"/>
      <c r="AS437" s="108"/>
      <c r="AT437" s="108"/>
      <c r="AU437" s="108"/>
      <c r="AV437" s="108"/>
      <c r="AW437" s="108"/>
      <c r="AX437" s="108"/>
      <c r="AY437" s="108"/>
      <c r="AZ437" s="108"/>
      <c r="BA437" s="108"/>
      <c r="BB437" s="108"/>
    </row>
    <row r="438" spans="3:54" ht="12.75" customHeight="1" x14ac:dyDescent="0.25">
      <c r="C438" s="108"/>
      <c r="D438" s="108"/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08"/>
      <c r="P438" s="108"/>
      <c r="Q438" s="108"/>
      <c r="R438" s="108"/>
      <c r="S438" s="108"/>
      <c r="T438" s="108"/>
      <c r="U438" s="108"/>
      <c r="V438" s="108"/>
      <c r="W438" s="108"/>
      <c r="X438" s="108"/>
      <c r="Y438" s="108"/>
      <c r="Z438" s="108"/>
      <c r="AA438" s="108"/>
      <c r="AB438" s="108"/>
      <c r="AC438" s="108"/>
      <c r="AD438" s="108"/>
      <c r="AE438" s="108"/>
      <c r="AF438" s="108"/>
      <c r="AG438" s="108"/>
      <c r="AH438" s="108"/>
      <c r="AI438" s="108"/>
      <c r="AJ438" s="108"/>
      <c r="AK438" s="108"/>
      <c r="AL438" s="108"/>
      <c r="AM438" s="108"/>
      <c r="AN438" s="108"/>
      <c r="AO438" s="108"/>
      <c r="AP438" s="108"/>
      <c r="AQ438" s="108"/>
      <c r="AR438" s="108"/>
      <c r="AS438" s="108"/>
      <c r="AT438" s="108"/>
      <c r="AU438" s="108"/>
      <c r="AV438" s="108"/>
      <c r="AW438" s="108"/>
      <c r="AX438" s="108"/>
      <c r="AY438" s="108"/>
      <c r="AZ438" s="108"/>
      <c r="BA438" s="108"/>
      <c r="BB438" s="108"/>
    </row>
    <row r="439" spans="3:54" ht="12.75" customHeight="1" x14ac:dyDescent="0.25">
      <c r="C439" s="108"/>
      <c r="D439" s="108"/>
      <c r="E439" s="108"/>
      <c r="F439" s="108"/>
      <c r="G439" s="108"/>
      <c r="H439" s="108"/>
      <c r="I439" s="108"/>
      <c r="J439" s="108"/>
      <c r="K439" s="108"/>
      <c r="L439" s="108"/>
      <c r="M439" s="108"/>
      <c r="N439" s="108"/>
      <c r="O439" s="108"/>
      <c r="P439" s="108"/>
      <c r="Q439" s="108"/>
      <c r="R439" s="108"/>
      <c r="S439" s="108"/>
      <c r="T439" s="108"/>
      <c r="U439" s="108"/>
      <c r="V439" s="108"/>
      <c r="W439" s="108"/>
      <c r="X439" s="108"/>
      <c r="Y439" s="108"/>
      <c r="Z439" s="108"/>
      <c r="AA439" s="108"/>
      <c r="AB439" s="108"/>
      <c r="AC439" s="108"/>
      <c r="AD439" s="108"/>
      <c r="AE439" s="108"/>
      <c r="AF439" s="108"/>
      <c r="AG439" s="108"/>
      <c r="AH439" s="108"/>
      <c r="AI439" s="108"/>
      <c r="AJ439" s="108"/>
      <c r="AK439" s="108"/>
      <c r="AL439" s="108"/>
      <c r="AM439" s="108"/>
      <c r="AN439" s="108"/>
      <c r="AO439" s="108"/>
      <c r="AP439" s="108"/>
      <c r="AQ439" s="108"/>
      <c r="AR439" s="108"/>
      <c r="AS439" s="108"/>
      <c r="AT439" s="108"/>
      <c r="AU439" s="108"/>
      <c r="AV439" s="108"/>
      <c r="AW439" s="108"/>
      <c r="AX439" s="108"/>
      <c r="AY439" s="108"/>
      <c r="AZ439" s="108"/>
      <c r="BA439" s="108"/>
      <c r="BB439" s="108"/>
    </row>
    <row r="440" spans="3:54" ht="12.75" customHeight="1" x14ac:dyDescent="0.25">
      <c r="C440" s="108"/>
      <c r="D440" s="108"/>
      <c r="E440" s="108"/>
      <c r="F440" s="108"/>
      <c r="G440" s="108"/>
      <c r="H440" s="108"/>
      <c r="I440" s="108"/>
      <c r="J440" s="108"/>
      <c r="K440" s="108"/>
      <c r="L440" s="108"/>
      <c r="M440" s="108"/>
      <c r="N440" s="108"/>
      <c r="O440" s="108"/>
      <c r="P440" s="108"/>
      <c r="Q440" s="108"/>
      <c r="R440" s="108"/>
      <c r="S440" s="108"/>
      <c r="T440" s="108"/>
      <c r="U440" s="108"/>
      <c r="V440" s="108"/>
      <c r="W440" s="108"/>
      <c r="X440" s="108"/>
      <c r="Y440" s="108"/>
      <c r="Z440" s="108"/>
      <c r="AA440" s="108"/>
      <c r="AB440" s="108"/>
      <c r="AC440" s="108"/>
      <c r="AD440" s="108"/>
      <c r="AE440" s="108"/>
      <c r="AF440" s="108"/>
      <c r="AG440" s="108"/>
      <c r="AH440" s="108"/>
      <c r="AI440" s="108"/>
      <c r="AJ440" s="108"/>
      <c r="AK440" s="108"/>
      <c r="AL440" s="108"/>
      <c r="AM440" s="108"/>
      <c r="AN440" s="108"/>
      <c r="AO440" s="108"/>
      <c r="AP440" s="108"/>
      <c r="AQ440" s="108"/>
      <c r="AR440" s="108"/>
      <c r="AS440" s="108"/>
      <c r="AT440" s="108"/>
      <c r="AU440" s="108"/>
      <c r="AV440" s="108"/>
      <c r="AW440" s="108"/>
      <c r="AX440" s="108"/>
      <c r="AY440" s="108"/>
      <c r="AZ440" s="108"/>
      <c r="BA440" s="108"/>
      <c r="BB440" s="108"/>
    </row>
    <row r="441" spans="3:54" ht="12.75" customHeight="1" x14ac:dyDescent="0.25">
      <c r="C441" s="108"/>
      <c r="D441" s="108"/>
      <c r="E441" s="108"/>
      <c r="F441" s="108"/>
      <c r="G441" s="108"/>
      <c r="H441" s="108"/>
      <c r="I441" s="108"/>
      <c r="J441" s="108"/>
      <c r="K441" s="108"/>
      <c r="L441" s="108"/>
      <c r="M441" s="108"/>
      <c r="N441" s="108"/>
      <c r="O441" s="108"/>
      <c r="P441" s="108"/>
      <c r="Q441" s="108"/>
      <c r="R441" s="108"/>
      <c r="S441" s="108"/>
      <c r="T441" s="108"/>
      <c r="U441" s="108"/>
      <c r="V441" s="108"/>
      <c r="W441" s="108"/>
      <c r="X441" s="108"/>
      <c r="Y441" s="108"/>
      <c r="Z441" s="108"/>
      <c r="AA441" s="108"/>
      <c r="AB441" s="108"/>
      <c r="AC441" s="108"/>
      <c r="AD441" s="108"/>
      <c r="AE441" s="108"/>
      <c r="AF441" s="108"/>
      <c r="AG441" s="108"/>
      <c r="AH441" s="108"/>
      <c r="AI441" s="108"/>
      <c r="AJ441" s="108"/>
      <c r="AK441" s="108"/>
      <c r="AL441" s="108"/>
      <c r="AM441" s="108"/>
      <c r="AN441" s="108"/>
      <c r="AO441" s="108"/>
      <c r="AP441" s="108"/>
      <c r="AQ441" s="108"/>
      <c r="AR441" s="108"/>
      <c r="AS441" s="108"/>
      <c r="AT441" s="108"/>
      <c r="AU441" s="108"/>
      <c r="AV441" s="108"/>
      <c r="AW441" s="108"/>
      <c r="AX441" s="108"/>
      <c r="AY441" s="108"/>
      <c r="AZ441" s="108"/>
      <c r="BA441" s="108"/>
      <c r="BB441" s="108"/>
    </row>
    <row r="442" spans="3:54" ht="12.75" customHeight="1" x14ac:dyDescent="0.25">
      <c r="C442" s="108"/>
      <c r="D442" s="108"/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08"/>
      <c r="P442" s="108"/>
      <c r="Q442" s="108"/>
      <c r="R442" s="108"/>
      <c r="S442" s="108"/>
      <c r="T442" s="108"/>
      <c r="U442" s="108"/>
      <c r="V442" s="108"/>
      <c r="W442" s="108"/>
      <c r="X442" s="108"/>
      <c r="Y442" s="108"/>
      <c r="Z442" s="108"/>
      <c r="AA442" s="108"/>
      <c r="AB442" s="108"/>
      <c r="AC442" s="108"/>
      <c r="AD442" s="108"/>
      <c r="AE442" s="108"/>
      <c r="AF442" s="108"/>
      <c r="AG442" s="108"/>
      <c r="AH442" s="108"/>
      <c r="AI442" s="108"/>
      <c r="AJ442" s="108"/>
      <c r="AK442" s="108"/>
      <c r="AL442" s="108"/>
      <c r="AM442" s="108"/>
      <c r="AN442" s="108"/>
      <c r="AO442" s="108"/>
      <c r="AP442" s="108"/>
      <c r="AQ442" s="108"/>
      <c r="AR442" s="108"/>
      <c r="AS442" s="108"/>
      <c r="AT442" s="108"/>
      <c r="AU442" s="108"/>
      <c r="AV442" s="108"/>
      <c r="AW442" s="108"/>
      <c r="AX442" s="108"/>
      <c r="AY442" s="108"/>
      <c r="AZ442" s="108"/>
      <c r="BA442" s="108"/>
      <c r="BB442" s="108"/>
    </row>
    <row r="443" spans="3:54" ht="12.75" customHeight="1" x14ac:dyDescent="0.25">
      <c r="C443" s="108"/>
      <c r="D443" s="108"/>
      <c r="E443" s="108"/>
      <c r="F443" s="108"/>
      <c r="G443" s="108"/>
      <c r="H443" s="108"/>
      <c r="I443" s="108"/>
      <c r="J443" s="108"/>
      <c r="K443" s="108"/>
      <c r="L443" s="108"/>
      <c r="M443" s="108"/>
      <c r="N443" s="108"/>
      <c r="O443" s="108"/>
      <c r="P443" s="108"/>
      <c r="Q443" s="108"/>
      <c r="R443" s="108"/>
      <c r="S443" s="108"/>
      <c r="T443" s="108"/>
      <c r="U443" s="108"/>
      <c r="V443" s="108"/>
      <c r="W443" s="108"/>
      <c r="X443" s="108"/>
      <c r="Y443" s="108"/>
      <c r="Z443" s="108"/>
      <c r="AA443" s="108"/>
      <c r="AB443" s="108"/>
      <c r="AC443" s="108"/>
      <c r="AD443" s="108"/>
      <c r="AE443" s="108"/>
      <c r="AF443" s="108"/>
      <c r="AG443" s="108"/>
      <c r="AH443" s="108"/>
      <c r="AI443" s="108"/>
      <c r="AJ443" s="108"/>
      <c r="AK443" s="108"/>
      <c r="AL443" s="108"/>
      <c r="AM443" s="108"/>
      <c r="AN443" s="108"/>
      <c r="AO443" s="108"/>
      <c r="AP443" s="108"/>
      <c r="AQ443" s="108"/>
      <c r="AR443" s="108"/>
      <c r="AS443" s="108"/>
      <c r="AT443" s="108"/>
      <c r="AU443" s="108"/>
      <c r="AV443" s="108"/>
      <c r="AW443" s="108"/>
      <c r="AX443" s="108"/>
      <c r="AY443" s="108"/>
      <c r="AZ443" s="108"/>
      <c r="BA443" s="108"/>
      <c r="BB443" s="108"/>
    </row>
    <row r="444" spans="3:54" ht="12.75" customHeight="1" x14ac:dyDescent="0.25">
      <c r="C444" s="108"/>
      <c r="D444" s="108"/>
      <c r="E444" s="108"/>
      <c r="F444" s="108"/>
      <c r="G444" s="108"/>
      <c r="H444" s="108"/>
      <c r="I444" s="108"/>
      <c r="J444" s="108"/>
      <c r="K444" s="108"/>
      <c r="L444" s="108"/>
      <c r="M444" s="108"/>
      <c r="N444" s="108"/>
      <c r="O444" s="108"/>
      <c r="P444" s="108"/>
      <c r="Q444" s="108"/>
      <c r="R444" s="108"/>
      <c r="S444" s="108"/>
      <c r="T444" s="108"/>
      <c r="U444" s="108"/>
      <c r="V444" s="108"/>
      <c r="W444" s="108"/>
      <c r="X444" s="108"/>
      <c r="Y444" s="108"/>
      <c r="Z444" s="108"/>
      <c r="AA444" s="108"/>
      <c r="AB444" s="108"/>
      <c r="AC444" s="108"/>
      <c r="AD444" s="108"/>
      <c r="AE444" s="108"/>
      <c r="AF444" s="108"/>
      <c r="AG444" s="108"/>
      <c r="AH444" s="108"/>
      <c r="AI444" s="108"/>
      <c r="AJ444" s="108"/>
      <c r="AK444" s="108"/>
      <c r="AL444" s="108"/>
      <c r="AM444" s="108"/>
      <c r="AN444" s="108"/>
      <c r="AO444" s="108"/>
      <c r="AP444" s="108"/>
      <c r="AQ444" s="108"/>
      <c r="AR444" s="108"/>
      <c r="AS444" s="108"/>
      <c r="AT444" s="108"/>
      <c r="AU444" s="108"/>
      <c r="AV444" s="108"/>
      <c r="AW444" s="108"/>
      <c r="AX444" s="108"/>
      <c r="AY444" s="108"/>
      <c r="AZ444" s="108"/>
      <c r="BA444" s="108"/>
      <c r="BB444" s="108"/>
    </row>
    <row r="445" spans="3:54" ht="12.75" customHeight="1" x14ac:dyDescent="0.25">
      <c r="C445" s="108"/>
      <c r="D445" s="108"/>
      <c r="E445" s="108"/>
      <c r="F445" s="108"/>
      <c r="G445" s="108"/>
      <c r="H445" s="108"/>
      <c r="I445" s="108"/>
      <c r="J445" s="108"/>
      <c r="K445" s="108"/>
      <c r="L445" s="108"/>
      <c r="M445" s="108"/>
      <c r="N445" s="108"/>
      <c r="O445" s="108"/>
      <c r="P445" s="108"/>
      <c r="Q445" s="108"/>
      <c r="R445" s="108"/>
      <c r="S445" s="108"/>
      <c r="T445" s="108"/>
      <c r="U445" s="108"/>
      <c r="V445" s="108"/>
      <c r="W445" s="108"/>
      <c r="X445" s="108"/>
      <c r="Y445" s="108"/>
      <c r="Z445" s="108"/>
      <c r="AA445" s="108"/>
      <c r="AB445" s="108"/>
      <c r="AC445" s="108"/>
      <c r="AD445" s="108"/>
      <c r="AE445" s="108"/>
      <c r="AF445" s="108"/>
      <c r="AG445" s="108"/>
      <c r="AH445" s="108"/>
      <c r="AI445" s="108"/>
      <c r="AJ445" s="108"/>
      <c r="AK445" s="108"/>
      <c r="AL445" s="108"/>
      <c r="AM445" s="108"/>
      <c r="AN445" s="108"/>
      <c r="AO445" s="108"/>
      <c r="AP445" s="108"/>
      <c r="AQ445" s="108"/>
      <c r="AR445" s="108"/>
      <c r="AS445" s="108"/>
      <c r="AT445" s="108"/>
      <c r="AU445" s="108"/>
      <c r="AV445" s="108"/>
      <c r="AW445" s="108"/>
      <c r="AX445" s="108"/>
      <c r="AY445" s="108"/>
      <c r="AZ445" s="108"/>
      <c r="BA445" s="108"/>
      <c r="BB445" s="108"/>
    </row>
    <row r="446" spans="3:54" ht="12.75" customHeight="1" x14ac:dyDescent="0.25"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108"/>
      <c r="P446" s="108"/>
      <c r="Q446" s="108"/>
      <c r="R446" s="108"/>
      <c r="S446" s="108"/>
      <c r="T446" s="108"/>
      <c r="U446" s="108"/>
      <c r="V446" s="108"/>
      <c r="W446" s="108"/>
      <c r="X446" s="108"/>
      <c r="Y446" s="108"/>
      <c r="Z446" s="108"/>
      <c r="AA446" s="108"/>
      <c r="AB446" s="108"/>
      <c r="AC446" s="108"/>
      <c r="AD446" s="108"/>
      <c r="AE446" s="108"/>
      <c r="AF446" s="108"/>
      <c r="AG446" s="108"/>
      <c r="AH446" s="108"/>
      <c r="AI446" s="108"/>
      <c r="AJ446" s="108"/>
      <c r="AK446" s="108"/>
      <c r="AL446" s="108"/>
      <c r="AM446" s="108"/>
      <c r="AN446" s="108"/>
      <c r="AO446" s="108"/>
      <c r="AP446" s="108"/>
      <c r="AQ446" s="108"/>
      <c r="AR446" s="108"/>
      <c r="AS446" s="108"/>
      <c r="AT446" s="108"/>
      <c r="AU446" s="108"/>
      <c r="AV446" s="108"/>
      <c r="AW446" s="108"/>
      <c r="AX446" s="108"/>
      <c r="AY446" s="108"/>
      <c r="AZ446" s="108"/>
      <c r="BA446" s="108"/>
      <c r="BB446" s="108"/>
    </row>
    <row r="447" spans="3:54" ht="12.75" customHeight="1" x14ac:dyDescent="0.25">
      <c r="C447" s="108"/>
      <c r="D447" s="108"/>
      <c r="E447" s="108"/>
      <c r="F447" s="108"/>
      <c r="G447" s="108"/>
      <c r="H447" s="108"/>
      <c r="I447" s="108"/>
      <c r="J447" s="108"/>
      <c r="K447" s="108"/>
      <c r="L447" s="108"/>
      <c r="M447" s="108"/>
      <c r="N447" s="108"/>
      <c r="O447" s="108"/>
      <c r="P447" s="108"/>
      <c r="Q447" s="108"/>
      <c r="R447" s="108"/>
      <c r="S447" s="108"/>
      <c r="T447" s="108"/>
      <c r="U447" s="108"/>
      <c r="V447" s="108"/>
      <c r="W447" s="108"/>
      <c r="X447" s="108"/>
      <c r="Y447" s="108"/>
      <c r="Z447" s="108"/>
      <c r="AA447" s="108"/>
      <c r="AB447" s="108"/>
      <c r="AC447" s="108"/>
      <c r="AD447" s="108"/>
      <c r="AE447" s="108"/>
      <c r="AF447" s="108"/>
      <c r="AG447" s="108"/>
      <c r="AH447" s="108"/>
      <c r="AI447" s="108"/>
      <c r="AJ447" s="108"/>
      <c r="AK447" s="108"/>
      <c r="AL447" s="108"/>
      <c r="AM447" s="108"/>
      <c r="AN447" s="108"/>
      <c r="AO447" s="108"/>
      <c r="AP447" s="108"/>
      <c r="AQ447" s="108"/>
      <c r="AR447" s="108"/>
      <c r="AS447" s="108"/>
      <c r="AT447" s="108"/>
      <c r="AU447" s="108"/>
      <c r="AV447" s="108"/>
      <c r="AW447" s="108"/>
      <c r="AX447" s="108"/>
      <c r="AY447" s="108"/>
      <c r="AZ447" s="108"/>
      <c r="BA447" s="108"/>
      <c r="BB447" s="108"/>
    </row>
    <row r="448" spans="3:54" ht="12.75" customHeight="1" x14ac:dyDescent="0.25">
      <c r="C448" s="108"/>
      <c r="D448" s="108"/>
      <c r="E448" s="108"/>
      <c r="F448" s="108"/>
      <c r="G448" s="108"/>
      <c r="H448" s="108"/>
      <c r="I448" s="108"/>
      <c r="J448" s="108"/>
      <c r="K448" s="108"/>
      <c r="L448" s="108"/>
      <c r="M448" s="108"/>
      <c r="N448" s="108"/>
      <c r="O448" s="108"/>
      <c r="P448" s="108"/>
      <c r="Q448" s="108"/>
      <c r="R448" s="108"/>
      <c r="S448" s="108"/>
      <c r="T448" s="108"/>
      <c r="U448" s="108"/>
      <c r="V448" s="108"/>
      <c r="W448" s="108"/>
      <c r="X448" s="108"/>
      <c r="Y448" s="108"/>
      <c r="Z448" s="108"/>
      <c r="AA448" s="108"/>
      <c r="AB448" s="108"/>
      <c r="AC448" s="108"/>
      <c r="AD448" s="108"/>
      <c r="AE448" s="108"/>
      <c r="AF448" s="108"/>
      <c r="AG448" s="108"/>
      <c r="AH448" s="108"/>
      <c r="AI448" s="108"/>
      <c r="AJ448" s="108"/>
      <c r="AK448" s="108"/>
      <c r="AL448" s="108"/>
      <c r="AM448" s="108"/>
      <c r="AN448" s="108"/>
      <c r="AO448" s="108"/>
      <c r="AP448" s="108"/>
      <c r="AQ448" s="108"/>
      <c r="AR448" s="108"/>
      <c r="AS448" s="108"/>
      <c r="AT448" s="108"/>
      <c r="AU448" s="108"/>
      <c r="AV448" s="108"/>
      <c r="AW448" s="108"/>
      <c r="AX448" s="108"/>
      <c r="AY448" s="108"/>
      <c r="AZ448" s="108"/>
      <c r="BA448" s="108"/>
      <c r="BB448" s="108"/>
    </row>
    <row r="449" spans="3:54" ht="12.75" customHeight="1" x14ac:dyDescent="0.25">
      <c r="C449" s="108"/>
      <c r="D449" s="108"/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08"/>
      <c r="P449" s="108"/>
      <c r="Q449" s="108"/>
      <c r="R449" s="108"/>
      <c r="S449" s="108"/>
      <c r="T449" s="108"/>
      <c r="U449" s="108"/>
      <c r="V449" s="108"/>
      <c r="W449" s="108"/>
      <c r="X449" s="108"/>
      <c r="Y449" s="108"/>
      <c r="Z449" s="108"/>
      <c r="AA449" s="108"/>
      <c r="AB449" s="108"/>
      <c r="AC449" s="108"/>
      <c r="AD449" s="108"/>
      <c r="AE449" s="108"/>
      <c r="AF449" s="108"/>
      <c r="AG449" s="108"/>
      <c r="AH449" s="108"/>
      <c r="AI449" s="108"/>
      <c r="AJ449" s="108"/>
      <c r="AK449" s="108"/>
      <c r="AL449" s="108"/>
      <c r="AM449" s="108"/>
      <c r="AN449" s="108"/>
      <c r="AO449" s="108"/>
      <c r="AP449" s="108"/>
      <c r="AQ449" s="108"/>
      <c r="AR449" s="108"/>
      <c r="AS449" s="108"/>
      <c r="AT449" s="108"/>
      <c r="AU449" s="108"/>
      <c r="AV449" s="108"/>
      <c r="AW449" s="108"/>
      <c r="AX449" s="108"/>
      <c r="AY449" s="108"/>
      <c r="AZ449" s="108"/>
      <c r="BA449" s="108"/>
      <c r="BB449" s="108"/>
    </row>
    <row r="450" spans="3:54" ht="12.75" customHeight="1" x14ac:dyDescent="0.25">
      <c r="C450" s="108"/>
      <c r="D450" s="108"/>
      <c r="E450" s="108"/>
      <c r="F450" s="108"/>
      <c r="G450" s="108"/>
      <c r="H450" s="108"/>
      <c r="I450" s="108"/>
      <c r="J450" s="108"/>
      <c r="K450" s="108"/>
      <c r="L450" s="108"/>
      <c r="M450" s="108"/>
      <c r="N450" s="108"/>
      <c r="O450" s="108"/>
      <c r="P450" s="108"/>
      <c r="Q450" s="108"/>
      <c r="R450" s="108"/>
      <c r="S450" s="108"/>
      <c r="T450" s="108"/>
      <c r="U450" s="108"/>
      <c r="V450" s="108"/>
      <c r="W450" s="108"/>
      <c r="X450" s="108"/>
      <c r="Y450" s="108"/>
      <c r="Z450" s="108"/>
      <c r="AA450" s="108"/>
      <c r="AB450" s="108"/>
      <c r="AC450" s="108"/>
      <c r="AD450" s="108"/>
      <c r="AE450" s="108"/>
      <c r="AF450" s="108"/>
      <c r="AG450" s="108"/>
      <c r="AH450" s="108"/>
      <c r="AI450" s="108"/>
      <c r="AJ450" s="108"/>
      <c r="AK450" s="108"/>
      <c r="AL450" s="108"/>
      <c r="AM450" s="108"/>
      <c r="AN450" s="108"/>
      <c r="AO450" s="108"/>
      <c r="AP450" s="108"/>
      <c r="AQ450" s="108"/>
      <c r="AR450" s="108"/>
      <c r="AS450" s="108"/>
      <c r="AT450" s="108"/>
      <c r="AU450" s="108"/>
      <c r="AV450" s="108"/>
      <c r="AW450" s="108"/>
      <c r="AX450" s="108"/>
      <c r="AY450" s="108"/>
      <c r="AZ450" s="108"/>
      <c r="BA450" s="108"/>
      <c r="BB450" s="108"/>
    </row>
    <row r="451" spans="3:54" ht="12.75" customHeight="1" x14ac:dyDescent="0.25">
      <c r="C451" s="108"/>
      <c r="D451" s="108"/>
      <c r="E451" s="108"/>
      <c r="F451" s="108"/>
      <c r="G451" s="108"/>
      <c r="H451" s="108"/>
      <c r="I451" s="108"/>
      <c r="J451" s="108"/>
      <c r="K451" s="108"/>
      <c r="L451" s="108"/>
      <c r="M451" s="108"/>
      <c r="N451" s="108"/>
      <c r="O451" s="108"/>
      <c r="P451" s="108"/>
      <c r="Q451" s="108"/>
      <c r="R451" s="108"/>
      <c r="S451" s="108"/>
      <c r="T451" s="108"/>
      <c r="U451" s="108"/>
      <c r="V451" s="108"/>
      <c r="W451" s="108"/>
      <c r="X451" s="108"/>
      <c r="Y451" s="108"/>
      <c r="Z451" s="108"/>
      <c r="AA451" s="108"/>
      <c r="AB451" s="108"/>
      <c r="AC451" s="108"/>
      <c r="AD451" s="108"/>
      <c r="AE451" s="108"/>
      <c r="AF451" s="108"/>
      <c r="AG451" s="108"/>
      <c r="AH451" s="108"/>
      <c r="AI451" s="108"/>
      <c r="AJ451" s="108"/>
      <c r="AK451" s="108"/>
      <c r="AL451" s="108"/>
      <c r="AM451" s="108"/>
      <c r="AN451" s="108"/>
      <c r="AO451" s="108"/>
      <c r="AP451" s="108"/>
      <c r="AQ451" s="108"/>
      <c r="AR451" s="108"/>
      <c r="AS451" s="108"/>
      <c r="AT451" s="108"/>
      <c r="AU451" s="108"/>
      <c r="AV451" s="108"/>
      <c r="AW451" s="108"/>
      <c r="AX451" s="108"/>
      <c r="AY451" s="108"/>
      <c r="AZ451" s="108"/>
      <c r="BA451" s="108"/>
      <c r="BB451" s="108"/>
    </row>
    <row r="452" spans="3:54" ht="12.75" customHeight="1" x14ac:dyDescent="0.25">
      <c r="C452" s="108"/>
      <c r="D452" s="108"/>
      <c r="E452" s="108"/>
      <c r="F452" s="108"/>
      <c r="G452" s="108"/>
      <c r="H452" s="108"/>
      <c r="I452" s="108"/>
      <c r="J452" s="108"/>
      <c r="K452" s="108"/>
      <c r="L452" s="108"/>
      <c r="M452" s="108"/>
      <c r="N452" s="108"/>
      <c r="O452" s="108"/>
      <c r="P452" s="108"/>
      <c r="Q452" s="108"/>
      <c r="R452" s="108"/>
      <c r="S452" s="108"/>
      <c r="T452" s="108"/>
      <c r="U452" s="108"/>
      <c r="V452" s="108"/>
      <c r="W452" s="108"/>
      <c r="X452" s="108"/>
      <c r="Y452" s="108"/>
      <c r="Z452" s="108"/>
      <c r="AA452" s="108"/>
      <c r="AB452" s="108"/>
      <c r="AC452" s="108"/>
      <c r="AD452" s="108"/>
      <c r="AE452" s="108"/>
      <c r="AF452" s="108"/>
      <c r="AG452" s="108"/>
      <c r="AH452" s="108"/>
      <c r="AI452" s="108"/>
      <c r="AJ452" s="108"/>
      <c r="AK452" s="108"/>
      <c r="AL452" s="108"/>
      <c r="AM452" s="108"/>
      <c r="AN452" s="108"/>
      <c r="AO452" s="108"/>
      <c r="AP452" s="108"/>
      <c r="AQ452" s="108"/>
      <c r="AR452" s="108"/>
      <c r="AS452" s="108"/>
      <c r="AT452" s="108"/>
      <c r="AU452" s="108"/>
      <c r="AV452" s="108"/>
      <c r="AW452" s="108"/>
      <c r="AX452" s="108"/>
      <c r="AY452" s="108"/>
      <c r="AZ452" s="108"/>
      <c r="BA452" s="108"/>
      <c r="BB452" s="108"/>
    </row>
    <row r="453" spans="3:54" ht="12.75" customHeight="1" x14ac:dyDescent="0.25">
      <c r="C453" s="108"/>
      <c r="D453" s="108"/>
      <c r="E453" s="108"/>
      <c r="F453" s="108"/>
      <c r="G453" s="108"/>
      <c r="H453" s="108"/>
      <c r="I453" s="108"/>
      <c r="J453" s="108"/>
      <c r="K453" s="108"/>
      <c r="L453" s="108"/>
      <c r="M453" s="108"/>
      <c r="N453" s="108"/>
      <c r="O453" s="108"/>
      <c r="P453" s="108"/>
      <c r="Q453" s="108"/>
      <c r="R453" s="108"/>
      <c r="S453" s="108"/>
      <c r="T453" s="108"/>
      <c r="U453" s="108"/>
      <c r="V453" s="108"/>
      <c r="W453" s="108"/>
      <c r="X453" s="108"/>
      <c r="Y453" s="108"/>
      <c r="Z453" s="108"/>
      <c r="AA453" s="108"/>
      <c r="AB453" s="108"/>
      <c r="AC453" s="108"/>
      <c r="AD453" s="108"/>
      <c r="AE453" s="108"/>
      <c r="AF453" s="108"/>
      <c r="AG453" s="108"/>
      <c r="AH453" s="108"/>
      <c r="AI453" s="108"/>
      <c r="AJ453" s="108"/>
      <c r="AK453" s="108"/>
      <c r="AL453" s="108"/>
      <c r="AM453" s="108"/>
      <c r="AN453" s="108"/>
      <c r="AO453" s="108"/>
      <c r="AP453" s="108"/>
      <c r="AQ453" s="108"/>
      <c r="AR453" s="108"/>
      <c r="AS453" s="108"/>
      <c r="AT453" s="108"/>
      <c r="AU453" s="108"/>
      <c r="AV453" s="108"/>
      <c r="AW453" s="108"/>
      <c r="AX453" s="108"/>
      <c r="AY453" s="108"/>
      <c r="AZ453" s="108"/>
      <c r="BA453" s="108"/>
      <c r="BB453" s="108"/>
    </row>
    <row r="454" spans="3:54" ht="12.75" customHeight="1" x14ac:dyDescent="0.25">
      <c r="C454" s="108"/>
      <c r="D454" s="108"/>
      <c r="E454" s="108"/>
      <c r="F454" s="108"/>
      <c r="G454" s="108"/>
      <c r="H454" s="108"/>
      <c r="I454" s="108"/>
      <c r="J454" s="108"/>
      <c r="K454" s="108"/>
      <c r="L454" s="108"/>
      <c r="M454" s="108"/>
      <c r="N454" s="108"/>
      <c r="O454" s="108"/>
      <c r="P454" s="108"/>
      <c r="Q454" s="108"/>
      <c r="R454" s="108"/>
      <c r="S454" s="108"/>
      <c r="T454" s="108"/>
      <c r="U454" s="108"/>
      <c r="V454" s="108"/>
      <c r="W454" s="108"/>
      <c r="X454" s="108"/>
      <c r="Y454" s="108"/>
      <c r="Z454" s="108"/>
      <c r="AA454" s="108"/>
      <c r="AB454" s="108"/>
      <c r="AC454" s="108"/>
      <c r="AD454" s="108"/>
      <c r="AE454" s="108"/>
      <c r="AF454" s="108"/>
      <c r="AG454" s="108"/>
      <c r="AH454" s="108"/>
      <c r="AI454" s="108"/>
      <c r="AJ454" s="108"/>
      <c r="AK454" s="108"/>
      <c r="AL454" s="108"/>
      <c r="AM454" s="108"/>
      <c r="AN454" s="108"/>
      <c r="AO454" s="108"/>
      <c r="AP454" s="108"/>
      <c r="AQ454" s="108"/>
      <c r="AR454" s="108"/>
      <c r="AS454" s="108"/>
      <c r="AT454" s="108"/>
      <c r="AU454" s="108"/>
      <c r="AV454" s="108"/>
      <c r="AW454" s="108"/>
      <c r="AX454" s="108"/>
      <c r="AY454" s="108"/>
      <c r="AZ454" s="108"/>
      <c r="BA454" s="108"/>
      <c r="BB454" s="108"/>
    </row>
    <row r="455" spans="3:54" ht="12.75" customHeight="1" x14ac:dyDescent="0.25">
      <c r="C455" s="108"/>
      <c r="D455" s="108"/>
      <c r="E455" s="108"/>
      <c r="F455" s="108"/>
      <c r="G455" s="108"/>
      <c r="H455" s="108"/>
      <c r="I455" s="108"/>
      <c r="J455" s="108"/>
      <c r="K455" s="108"/>
      <c r="L455" s="108"/>
      <c r="M455" s="108"/>
      <c r="N455" s="108"/>
      <c r="O455" s="108"/>
      <c r="P455" s="108"/>
      <c r="Q455" s="108"/>
      <c r="R455" s="108"/>
      <c r="S455" s="108"/>
      <c r="T455" s="108"/>
      <c r="U455" s="108"/>
      <c r="V455" s="108"/>
      <c r="W455" s="108"/>
      <c r="X455" s="108"/>
      <c r="Y455" s="108"/>
      <c r="Z455" s="108"/>
      <c r="AA455" s="108"/>
      <c r="AB455" s="108"/>
      <c r="AC455" s="108"/>
      <c r="AD455" s="108"/>
      <c r="AE455" s="108"/>
      <c r="AF455" s="108"/>
      <c r="AG455" s="108"/>
      <c r="AH455" s="108"/>
      <c r="AI455" s="108"/>
      <c r="AJ455" s="108"/>
      <c r="AK455" s="108"/>
      <c r="AL455" s="108"/>
      <c r="AM455" s="108"/>
      <c r="AN455" s="108"/>
      <c r="AO455" s="108"/>
      <c r="AP455" s="108"/>
      <c r="AQ455" s="108"/>
      <c r="AR455" s="108"/>
      <c r="AS455" s="108"/>
      <c r="AT455" s="108"/>
      <c r="AU455" s="108"/>
      <c r="AV455" s="108"/>
      <c r="AW455" s="108"/>
      <c r="AX455" s="108"/>
      <c r="AY455" s="108"/>
      <c r="AZ455" s="108"/>
      <c r="BA455" s="108"/>
      <c r="BB455" s="108"/>
    </row>
    <row r="456" spans="3:54" ht="12.75" customHeight="1" x14ac:dyDescent="0.25">
      <c r="C456" s="108"/>
      <c r="D456" s="108"/>
      <c r="E456" s="108"/>
      <c r="F456" s="108"/>
      <c r="G456" s="108"/>
      <c r="H456" s="108"/>
      <c r="I456" s="108"/>
      <c r="J456" s="108"/>
      <c r="K456" s="108"/>
      <c r="L456" s="108"/>
      <c r="M456" s="108"/>
      <c r="N456" s="108"/>
      <c r="O456" s="108"/>
      <c r="P456" s="108"/>
      <c r="Q456" s="108"/>
      <c r="R456" s="108"/>
      <c r="S456" s="108"/>
      <c r="T456" s="108"/>
      <c r="U456" s="108"/>
      <c r="V456" s="108"/>
      <c r="W456" s="108"/>
      <c r="X456" s="108"/>
      <c r="Y456" s="108"/>
      <c r="Z456" s="108"/>
      <c r="AA456" s="108"/>
      <c r="AB456" s="108"/>
      <c r="AC456" s="108"/>
      <c r="AD456" s="108"/>
      <c r="AE456" s="108"/>
      <c r="AF456" s="108"/>
      <c r="AG456" s="108"/>
      <c r="AH456" s="108"/>
      <c r="AI456" s="108"/>
      <c r="AJ456" s="108"/>
      <c r="AK456" s="108"/>
      <c r="AL456" s="108"/>
      <c r="AM456" s="108"/>
      <c r="AN456" s="108"/>
      <c r="AO456" s="108"/>
      <c r="AP456" s="108"/>
      <c r="AQ456" s="108"/>
      <c r="AR456" s="108"/>
      <c r="AS456" s="108"/>
      <c r="AT456" s="108"/>
      <c r="AU456" s="108"/>
      <c r="AV456" s="108"/>
      <c r="AW456" s="108"/>
      <c r="AX456" s="108"/>
      <c r="AY456" s="108"/>
      <c r="AZ456" s="108"/>
      <c r="BA456" s="108"/>
      <c r="BB456" s="108"/>
    </row>
    <row r="457" spans="3:54" ht="12.75" customHeight="1" x14ac:dyDescent="0.25">
      <c r="C457" s="108"/>
      <c r="D457" s="108"/>
      <c r="E457" s="108"/>
      <c r="F457" s="108"/>
      <c r="G457" s="108"/>
      <c r="H457" s="108"/>
      <c r="I457" s="108"/>
      <c r="J457" s="108"/>
      <c r="K457" s="108"/>
      <c r="L457" s="108"/>
      <c r="M457" s="108"/>
      <c r="N457" s="108"/>
      <c r="O457" s="108"/>
      <c r="P457" s="108"/>
      <c r="Q457" s="108"/>
      <c r="R457" s="108"/>
      <c r="S457" s="108"/>
      <c r="T457" s="108"/>
      <c r="U457" s="108"/>
      <c r="V457" s="108"/>
      <c r="W457" s="108"/>
      <c r="X457" s="108"/>
      <c r="Y457" s="108"/>
      <c r="Z457" s="108"/>
      <c r="AA457" s="108"/>
      <c r="AB457" s="108"/>
      <c r="AC457" s="108"/>
      <c r="AD457" s="108"/>
      <c r="AE457" s="108"/>
      <c r="AF457" s="108"/>
      <c r="AG457" s="108"/>
      <c r="AH457" s="108"/>
      <c r="AI457" s="108"/>
      <c r="AJ457" s="108"/>
      <c r="AK457" s="108"/>
      <c r="AL457" s="108"/>
      <c r="AM457" s="108"/>
      <c r="AN457" s="108"/>
      <c r="AO457" s="108"/>
      <c r="AP457" s="108"/>
      <c r="AQ457" s="108"/>
      <c r="AR457" s="108"/>
      <c r="AS457" s="108"/>
      <c r="AT457" s="108"/>
      <c r="AU457" s="108"/>
      <c r="AV457" s="108"/>
      <c r="AW457" s="108"/>
      <c r="AX457" s="108"/>
      <c r="AY457" s="108"/>
      <c r="AZ457" s="108"/>
      <c r="BA457" s="108"/>
      <c r="BB457" s="108"/>
    </row>
    <row r="458" spans="3:54" ht="12.75" customHeight="1" x14ac:dyDescent="0.25">
      <c r="C458" s="108"/>
      <c r="D458" s="108"/>
      <c r="E458" s="108"/>
      <c r="F458" s="108"/>
      <c r="G458" s="108"/>
      <c r="H458" s="108"/>
      <c r="I458" s="108"/>
      <c r="J458" s="108"/>
      <c r="K458" s="108"/>
      <c r="L458" s="108"/>
      <c r="M458" s="108"/>
      <c r="N458" s="108"/>
      <c r="O458" s="108"/>
      <c r="P458" s="108"/>
      <c r="Q458" s="108"/>
      <c r="R458" s="108"/>
      <c r="S458" s="108"/>
      <c r="T458" s="108"/>
      <c r="U458" s="108"/>
      <c r="V458" s="108"/>
      <c r="W458" s="108"/>
      <c r="X458" s="108"/>
      <c r="Y458" s="108"/>
      <c r="Z458" s="108"/>
      <c r="AA458" s="108"/>
      <c r="AB458" s="108"/>
      <c r="AC458" s="108"/>
      <c r="AD458" s="108"/>
      <c r="AE458" s="108"/>
      <c r="AF458" s="108"/>
      <c r="AG458" s="108"/>
      <c r="AH458" s="108"/>
      <c r="AI458" s="108"/>
      <c r="AJ458" s="108"/>
      <c r="AK458" s="108"/>
      <c r="AL458" s="108"/>
      <c r="AM458" s="108"/>
      <c r="AN458" s="108"/>
      <c r="AO458" s="108"/>
      <c r="AP458" s="108"/>
      <c r="AQ458" s="108"/>
      <c r="AR458" s="108"/>
      <c r="AS458" s="108"/>
      <c r="AT458" s="108"/>
      <c r="AU458" s="108"/>
      <c r="AV458" s="108"/>
      <c r="AW458" s="108"/>
      <c r="AX458" s="108"/>
      <c r="AY458" s="108"/>
      <c r="AZ458" s="108"/>
      <c r="BA458" s="108"/>
      <c r="BB458" s="108"/>
    </row>
    <row r="459" spans="3:54" ht="12.75" customHeight="1" x14ac:dyDescent="0.25">
      <c r="C459" s="108"/>
      <c r="D459" s="108"/>
      <c r="E459" s="108"/>
      <c r="F459" s="108"/>
      <c r="G459" s="108"/>
      <c r="H459" s="108"/>
      <c r="I459" s="108"/>
      <c r="J459" s="108"/>
      <c r="K459" s="108"/>
      <c r="L459" s="108"/>
      <c r="M459" s="108"/>
      <c r="N459" s="108"/>
      <c r="O459" s="108"/>
      <c r="P459" s="108"/>
      <c r="Q459" s="108"/>
      <c r="R459" s="108"/>
      <c r="S459" s="108"/>
      <c r="T459" s="108"/>
      <c r="U459" s="108"/>
      <c r="V459" s="108"/>
      <c r="W459" s="108"/>
      <c r="X459" s="108"/>
      <c r="Y459" s="108"/>
      <c r="Z459" s="108"/>
      <c r="AA459" s="108"/>
      <c r="AB459" s="108"/>
      <c r="AC459" s="108"/>
      <c r="AD459" s="108"/>
      <c r="AE459" s="108"/>
      <c r="AF459" s="108"/>
      <c r="AG459" s="108"/>
      <c r="AH459" s="108"/>
      <c r="AI459" s="108"/>
      <c r="AJ459" s="108"/>
      <c r="AK459" s="108"/>
      <c r="AL459" s="108"/>
      <c r="AM459" s="108"/>
      <c r="AN459" s="108"/>
      <c r="AO459" s="108"/>
      <c r="AP459" s="108"/>
      <c r="AQ459" s="108"/>
      <c r="AR459" s="108"/>
      <c r="AS459" s="108"/>
      <c r="AT459" s="108"/>
      <c r="AU459" s="108"/>
      <c r="AV459" s="108"/>
      <c r="AW459" s="108"/>
      <c r="AX459" s="108"/>
      <c r="AY459" s="108"/>
      <c r="AZ459" s="108"/>
      <c r="BA459" s="108"/>
      <c r="BB459" s="108"/>
    </row>
    <row r="460" spans="3:54" ht="12.75" customHeight="1" x14ac:dyDescent="0.25">
      <c r="C460" s="108"/>
      <c r="D460" s="108"/>
      <c r="E460" s="108"/>
      <c r="F460" s="108"/>
      <c r="G460" s="108"/>
      <c r="H460" s="108"/>
      <c r="I460" s="108"/>
      <c r="J460" s="108"/>
      <c r="K460" s="108"/>
      <c r="L460" s="108"/>
      <c r="M460" s="108"/>
      <c r="N460" s="108"/>
      <c r="O460" s="108"/>
      <c r="P460" s="108"/>
      <c r="Q460" s="108"/>
      <c r="R460" s="108"/>
      <c r="S460" s="108"/>
      <c r="T460" s="108"/>
      <c r="U460" s="108"/>
      <c r="V460" s="108"/>
      <c r="W460" s="108"/>
      <c r="X460" s="108"/>
      <c r="Y460" s="108"/>
      <c r="Z460" s="108"/>
      <c r="AA460" s="108"/>
      <c r="AB460" s="108"/>
      <c r="AC460" s="108"/>
      <c r="AD460" s="108"/>
      <c r="AE460" s="108"/>
      <c r="AF460" s="108"/>
      <c r="AG460" s="108"/>
      <c r="AH460" s="108"/>
      <c r="AI460" s="108"/>
      <c r="AJ460" s="108"/>
      <c r="AK460" s="108"/>
      <c r="AL460" s="108"/>
      <c r="AM460" s="108"/>
      <c r="AN460" s="108"/>
      <c r="AO460" s="108"/>
      <c r="AP460" s="108"/>
      <c r="AQ460" s="108"/>
      <c r="AR460" s="108"/>
      <c r="AS460" s="108"/>
      <c r="AT460" s="108"/>
      <c r="AU460" s="108"/>
      <c r="AV460" s="108"/>
      <c r="AW460" s="108"/>
      <c r="AX460" s="108"/>
      <c r="AY460" s="108"/>
      <c r="AZ460" s="108"/>
      <c r="BA460" s="108"/>
      <c r="BB460" s="108"/>
    </row>
    <row r="461" spans="3:54" ht="12.75" customHeight="1" x14ac:dyDescent="0.25">
      <c r="C461" s="108"/>
      <c r="D461" s="108"/>
      <c r="E461" s="108"/>
      <c r="F461" s="108"/>
      <c r="G461" s="108"/>
      <c r="H461" s="108"/>
      <c r="I461" s="108"/>
      <c r="J461" s="108"/>
      <c r="K461" s="108"/>
      <c r="L461" s="108"/>
      <c r="M461" s="108"/>
      <c r="N461" s="108"/>
      <c r="O461" s="108"/>
      <c r="P461" s="108"/>
      <c r="Q461" s="108"/>
      <c r="R461" s="108"/>
      <c r="S461" s="108"/>
      <c r="T461" s="108"/>
      <c r="U461" s="108"/>
      <c r="V461" s="108"/>
      <c r="W461" s="108"/>
      <c r="X461" s="108"/>
      <c r="Y461" s="108"/>
      <c r="Z461" s="108"/>
      <c r="AA461" s="108"/>
      <c r="AB461" s="108"/>
      <c r="AC461" s="108"/>
      <c r="AD461" s="108"/>
      <c r="AE461" s="108"/>
      <c r="AF461" s="108"/>
      <c r="AG461" s="108"/>
      <c r="AH461" s="108"/>
      <c r="AI461" s="108"/>
      <c r="AJ461" s="108"/>
      <c r="AK461" s="108"/>
      <c r="AL461" s="108"/>
      <c r="AM461" s="108"/>
      <c r="AN461" s="108"/>
      <c r="AO461" s="108"/>
      <c r="AP461" s="108"/>
      <c r="AQ461" s="108"/>
      <c r="AR461" s="108"/>
      <c r="AS461" s="108"/>
      <c r="AT461" s="108"/>
      <c r="AU461" s="108"/>
      <c r="AV461" s="108"/>
      <c r="AW461" s="108"/>
      <c r="AX461" s="108"/>
      <c r="AY461" s="108"/>
      <c r="AZ461" s="108"/>
      <c r="BA461" s="108"/>
      <c r="BB461" s="108"/>
    </row>
    <row r="462" spans="3:54" ht="12.75" customHeight="1" x14ac:dyDescent="0.25">
      <c r="C462" s="108"/>
      <c r="D462" s="108"/>
      <c r="E462" s="108"/>
      <c r="F462" s="108"/>
      <c r="G462" s="108"/>
      <c r="H462" s="108"/>
      <c r="I462" s="108"/>
      <c r="J462" s="108"/>
      <c r="K462" s="108"/>
      <c r="L462" s="108"/>
      <c r="M462" s="108"/>
      <c r="N462" s="108"/>
      <c r="O462" s="108"/>
      <c r="P462" s="108"/>
      <c r="Q462" s="108"/>
      <c r="R462" s="108"/>
      <c r="S462" s="108"/>
      <c r="T462" s="108"/>
      <c r="U462" s="108"/>
      <c r="V462" s="108"/>
      <c r="W462" s="108"/>
      <c r="X462" s="108"/>
      <c r="Y462" s="108"/>
      <c r="Z462" s="108"/>
      <c r="AA462" s="108"/>
      <c r="AB462" s="108"/>
      <c r="AC462" s="108"/>
      <c r="AD462" s="108"/>
      <c r="AE462" s="108"/>
      <c r="AF462" s="108"/>
      <c r="AG462" s="108"/>
      <c r="AH462" s="108"/>
      <c r="AI462" s="108"/>
      <c r="AJ462" s="108"/>
      <c r="AK462" s="108"/>
      <c r="AL462" s="108"/>
      <c r="AM462" s="108"/>
      <c r="AN462" s="108"/>
      <c r="AO462" s="108"/>
      <c r="AP462" s="108"/>
      <c r="AQ462" s="108"/>
      <c r="AR462" s="108"/>
      <c r="AS462" s="108"/>
      <c r="AT462" s="108"/>
      <c r="AU462" s="108"/>
      <c r="AV462" s="108"/>
      <c r="AW462" s="108"/>
      <c r="AX462" s="108"/>
      <c r="AY462" s="108"/>
      <c r="AZ462" s="108"/>
      <c r="BA462" s="108"/>
      <c r="BB462" s="108"/>
    </row>
    <row r="463" spans="3:54" ht="12.75" customHeight="1" x14ac:dyDescent="0.25">
      <c r="C463" s="108"/>
      <c r="D463" s="108"/>
      <c r="E463" s="108"/>
      <c r="F463" s="108"/>
      <c r="G463" s="108"/>
      <c r="H463" s="108"/>
      <c r="I463" s="108"/>
      <c r="J463" s="108"/>
      <c r="K463" s="108"/>
      <c r="L463" s="108"/>
      <c r="M463" s="108"/>
      <c r="N463" s="108"/>
      <c r="O463" s="108"/>
      <c r="P463" s="108"/>
      <c r="Q463" s="108"/>
      <c r="R463" s="108"/>
      <c r="S463" s="108"/>
      <c r="T463" s="108"/>
      <c r="U463" s="108"/>
      <c r="V463" s="108"/>
      <c r="W463" s="108"/>
      <c r="X463" s="108"/>
      <c r="Y463" s="108"/>
      <c r="Z463" s="108"/>
      <c r="AA463" s="108"/>
      <c r="AB463" s="108"/>
      <c r="AC463" s="108"/>
      <c r="AD463" s="108"/>
      <c r="AE463" s="108"/>
      <c r="AF463" s="108"/>
      <c r="AG463" s="108"/>
      <c r="AH463" s="108"/>
      <c r="AI463" s="108"/>
      <c r="AJ463" s="108"/>
      <c r="AK463" s="108"/>
      <c r="AL463" s="108"/>
      <c r="AM463" s="108"/>
      <c r="AN463" s="108"/>
      <c r="AO463" s="108"/>
      <c r="AP463" s="108"/>
      <c r="AQ463" s="108"/>
      <c r="AR463" s="108"/>
      <c r="AS463" s="108"/>
      <c r="AT463" s="108"/>
      <c r="AU463" s="108"/>
      <c r="AV463" s="108"/>
      <c r="AW463" s="108"/>
      <c r="AX463" s="108"/>
      <c r="AY463" s="108"/>
      <c r="AZ463" s="108"/>
      <c r="BA463" s="108"/>
      <c r="BB463" s="108"/>
    </row>
    <row r="464" spans="3:54" ht="12.75" customHeight="1" x14ac:dyDescent="0.25">
      <c r="C464" s="108"/>
      <c r="D464" s="108"/>
      <c r="E464" s="108"/>
      <c r="F464" s="108"/>
      <c r="G464" s="108"/>
      <c r="H464" s="108"/>
      <c r="I464" s="108"/>
      <c r="J464" s="108"/>
      <c r="K464" s="108"/>
      <c r="L464" s="108"/>
      <c r="M464" s="108"/>
      <c r="N464" s="108"/>
      <c r="O464" s="108"/>
      <c r="P464" s="108"/>
      <c r="Q464" s="108"/>
      <c r="R464" s="108"/>
      <c r="S464" s="108"/>
      <c r="T464" s="108"/>
      <c r="U464" s="108"/>
      <c r="V464" s="108"/>
      <c r="W464" s="108"/>
      <c r="X464" s="108"/>
      <c r="Y464" s="108"/>
      <c r="Z464" s="108"/>
      <c r="AA464" s="108"/>
      <c r="AB464" s="108"/>
      <c r="AC464" s="108"/>
      <c r="AD464" s="108"/>
      <c r="AE464" s="108"/>
      <c r="AF464" s="108"/>
      <c r="AG464" s="108"/>
      <c r="AH464" s="108"/>
      <c r="AI464" s="108"/>
      <c r="AJ464" s="108"/>
      <c r="AK464" s="108"/>
      <c r="AL464" s="108"/>
      <c r="AM464" s="108"/>
      <c r="AN464" s="108"/>
      <c r="AO464" s="108"/>
      <c r="AP464" s="108"/>
      <c r="AQ464" s="108"/>
      <c r="AR464" s="108"/>
      <c r="AS464" s="108"/>
      <c r="AT464" s="108"/>
      <c r="AU464" s="108"/>
      <c r="AV464" s="108"/>
      <c r="AW464" s="108"/>
      <c r="AX464" s="108"/>
      <c r="AY464" s="108"/>
      <c r="AZ464" s="108"/>
      <c r="BA464" s="108"/>
      <c r="BB464" s="108"/>
    </row>
    <row r="465" spans="3:54" ht="12.75" customHeight="1" x14ac:dyDescent="0.25">
      <c r="C465" s="108"/>
      <c r="D465" s="108"/>
      <c r="E465" s="108"/>
      <c r="F465" s="108"/>
      <c r="G465" s="108"/>
      <c r="H465" s="108"/>
      <c r="I465" s="108"/>
      <c r="J465" s="108"/>
      <c r="K465" s="108"/>
      <c r="L465" s="108"/>
      <c r="M465" s="108"/>
      <c r="N465" s="108"/>
      <c r="O465" s="108"/>
      <c r="P465" s="108"/>
      <c r="Q465" s="108"/>
      <c r="R465" s="108"/>
      <c r="S465" s="108"/>
      <c r="T465" s="108"/>
      <c r="U465" s="108"/>
      <c r="V465" s="108"/>
      <c r="W465" s="108"/>
      <c r="X465" s="108"/>
      <c r="Y465" s="108"/>
      <c r="Z465" s="108"/>
      <c r="AA465" s="108"/>
      <c r="AB465" s="108"/>
      <c r="AC465" s="108"/>
      <c r="AD465" s="108"/>
      <c r="AE465" s="108"/>
      <c r="AF465" s="108"/>
      <c r="AG465" s="108"/>
      <c r="AH465" s="108"/>
      <c r="AI465" s="108"/>
      <c r="AJ465" s="108"/>
      <c r="AK465" s="108"/>
      <c r="AL465" s="108"/>
      <c r="AM465" s="108"/>
      <c r="AN465" s="108"/>
      <c r="AO465" s="108"/>
      <c r="AP465" s="108"/>
      <c r="AQ465" s="108"/>
      <c r="AR465" s="108"/>
      <c r="AS465" s="108"/>
      <c r="AT465" s="108"/>
      <c r="AU465" s="108"/>
      <c r="AV465" s="108"/>
      <c r="AW465" s="108"/>
      <c r="AX465" s="108"/>
      <c r="AY465" s="108"/>
      <c r="AZ465" s="108"/>
      <c r="BA465" s="108"/>
      <c r="BB465" s="108"/>
    </row>
    <row r="466" spans="3:54" ht="12.75" customHeight="1" x14ac:dyDescent="0.25">
      <c r="C466" s="108"/>
      <c r="D466" s="108"/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08"/>
      <c r="P466" s="108"/>
      <c r="Q466" s="108"/>
      <c r="R466" s="108"/>
      <c r="S466" s="108"/>
      <c r="T466" s="108"/>
      <c r="U466" s="108"/>
      <c r="V466" s="108"/>
      <c r="W466" s="108"/>
      <c r="X466" s="108"/>
      <c r="Y466" s="108"/>
      <c r="Z466" s="108"/>
      <c r="AA466" s="108"/>
      <c r="AB466" s="108"/>
      <c r="AC466" s="108"/>
      <c r="AD466" s="108"/>
      <c r="AE466" s="108"/>
      <c r="AF466" s="108"/>
      <c r="AG466" s="108"/>
      <c r="AH466" s="108"/>
      <c r="AI466" s="108"/>
      <c r="AJ466" s="108"/>
      <c r="AK466" s="108"/>
      <c r="AL466" s="108"/>
      <c r="AM466" s="108"/>
      <c r="AN466" s="108"/>
      <c r="AO466" s="108"/>
      <c r="AP466" s="108"/>
      <c r="AQ466" s="108"/>
      <c r="AR466" s="108"/>
      <c r="AS466" s="108"/>
      <c r="AT466" s="108"/>
      <c r="AU466" s="108"/>
      <c r="AV466" s="108"/>
      <c r="AW466" s="108"/>
      <c r="AX466" s="108"/>
      <c r="AY466" s="108"/>
      <c r="AZ466" s="108"/>
      <c r="BA466" s="108"/>
      <c r="BB466" s="108"/>
    </row>
    <row r="467" spans="3:54" ht="12.75" customHeight="1" x14ac:dyDescent="0.25">
      <c r="C467" s="108"/>
      <c r="D467" s="108"/>
      <c r="E467" s="108"/>
      <c r="F467" s="108"/>
      <c r="G467" s="108"/>
      <c r="H467" s="108"/>
      <c r="I467" s="108"/>
      <c r="J467" s="108"/>
      <c r="K467" s="108"/>
      <c r="L467" s="108"/>
      <c r="M467" s="108"/>
      <c r="N467" s="108"/>
      <c r="O467" s="108"/>
      <c r="P467" s="108"/>
      <c r="Q467" s="108"/>
      <c r="R467" s="108"/>
      <c r="S467" s="108"/>
      <c r="T467" s="108"/>
      <c r="U467" s="108"/>
      <c r="V467" s="108"/>
      <c r="W467" s="108"/>
      <c r="X467" s="108"/>
      <c r="Y467" s="108"/>
      <c r="Z467" s="108"/>
      <c r="AA467" s="108"/>
      <c r="AB467" s="108"/>
      <c r="AC467" s="108"/>
      <c r="AD467" s="108"/>
      <c r="AE467" s="108"/>
      <c r="AF467" s="108"/>
      <c r="AG467" s="108"/>
      <c r="AH467" s="108"/>
      <c r="AI467" s="108"/>
      <c r="AJ467" s="108"/>
      <c r="AK467" s="108"/>
      <c r="AL467" s="108"/>
      <c r="AM467" s="108"/>
      <c r="AN467" s="108"/>
      <c r="AO467" s="108"/>
      <c r="AP467" s="108"/>
      <c r="AQ467" s="108"/>
      <c r="AR467" s="108"/>
      <c r="AS467" s="108"/>
      <c r="AT467" s="108"/>
      <c r="AU467" s="108"/>
      <c r="AV467" s="108"/>
      <c r="AW467" s="108"/>
      <c r="AX467" s="108"/>
      <c r="AY467" s="108"/>
      <c r="AZ467" s="108"/>
      <c r="BA467" s="108"/>
      <c r="BB467" s="108"/>
    </row>
    <row r="468" spans="3:54" ht="12.75" customHeight="1" x14ac:dyDescent="0.25">
      <c r="C468" s="108"/>
      <c r="D468" s="108"/>
      <c r="E468" s="108"/>
      <c r="F468" s="108"/>
      <c r="G468" s="108"/>
      <c r="H468" s="108"/>
      <c r="I468" s="108"/>
      <c r="J468" s="108"/>
      <c r="K468" s="108"/>
      <c r="L468" s="108"/>
      <c r="M468" s="108"/>
      <c r="N468" s="108"/>
      <c r="O468" s="108"/>
      <c r="P468" s="108"/>
      <c r="Q468" s="108"/>
      <c r="R468" s="108"/>
      <c r="S468" s="108"/>
      <c r="T468" s="108"/>
      <c r="U468" s="108"/>
      <c r="V468" s="108"/>
      <c r="W468" s="108"/>
      <c r="X468" s="108"/>
      <c r="Y468" s="108"/>
      <c r="Z468" s="108"/>
      <c r="AA468" s="108"/>
      <c r="AB468" s="108"/>
      <c r="AC468" s="108"/>
      <c r="AD468" s="108"/>
      <c r="AE468" s="108"/>
      <c r="AF468" s="108"/>
      <c r="AG468" s="108"/>
      <c r="AH468" s="108"/>
      <c r="AI468" s="108"/>
      <c r="AJ468" s="108"/>
      <c r="AK468" s="108"/>
      <c r="AL468" s="108"/>
      <c r="AM468" s="108"/>
      <c r="AN468" s="108"/>
      <c r="AO468" s="108"/>
      <c r="AP468" s="108"/>
      <c r="AQ468" s="108"/>
      <c r="AR468" s="108"/>
      <c r="AS468" s="108"/>
      <c r="AT468" s="108"/>
      <c r="AU468" s="108"/>
      <c r="AV468" s="108"/>
      <c r="AW468" s="108"/>
      <c r="AX468" s="108"/>
      <c r="AY468" s="108"/>
      <c r="AZ468" s="108"/>
      <c r="BA468" s="108"/>
      <c r="BB468" s="108"/>
    </row>
    <row r="469" spans="3:54" ht="12.75" customHeight="1" x14ac:dyDescent="0.25">
      <c r="C469" s="108"/>
      <c r="D469" s="108"/>
      <c r="E469" s="108"/>
      <c r="F469" s="108"/>
      <c r="G469" s="108"/>
      <c r="H469" s="108"/>
      <c r="I469" s="108"/>
      <c r="J469" s="108"/>
      <c r="K469" s="108"/>
      <c r="L469" s="108"/>
      <c r="M469" s="108"/>
      <c r="N469" s="108"/>
      <c r="O469" s="108"/>
      <c r="P469" s="108"/>
      <c r="Q469" s="108"/>
      <c r="R469" s="108"/>
      <c r="S469" s="108"/>
      <c r="T469" s="108"/>
      <c r="U469" s="108"/>
      <c r="V469" s="108"/>
      <c r="W469" s="108"/>
      <c r="X469" s="108"/>
      <c r="Y469" s="108"/>
      <c r="Z469" s="108"/>
      <c r="AA469" s="108"/>
      <c r="AB469" s="108"/>
      <c r="AC469" s="108"/>
      <c r="AD469" s="108"/>
      <c r="AE469" s="108"/>
      <c r="AF469" s="108"/>
      <c r="AG469" s="108"/>
      <c r="AH469" s="108"/>
      <c r="AI469" s="108"/>
      <c r="AJ469" s="108"/>
      <c r="AK469" s="108"/>
      <c r="AL469" s="108"/>
      <c r="AM469" s="108"/>
      <c r="AN469" s="108"/>
      <c r="AO469" s="108"/>
      <c r="AP469" s="108"/>
      <c r="AQ469" s="108"/>
      <c r="AR469" s="108"/>
      <c r="AS469" s="108"/>
      <c r="AT469" s="108"/>
      <c r="AU469" s="108"/>
      <c r="AV469" s="108"/>
      <c r="AW469" s="108"/>
      <c r="AX469" s="108"/>
      <c r="AY469" s="108"/>
      <c r="AZ469" s="108"/>
      <c r="BA469" s="108"/>
      <c r="BB469" s="108"/>
    </row>
    <row r="470" spans="3:54" ht="12.75" customHeight="1" x14ac:dyDescent="0.25">
      <c r="C470" s="108"/>
      <c r="D470" s="108"/>
      <c r="E470" s="108"/>
      <c r="F470" s="108"/>
      <c r="G470" s="108"/>
      <c r="H470" s="108"/>
      <c r="I470" s="108"/>
      <c r="J470" s="108"/>
      <c r="K470" s="108"/>
      <c r="L470" s="108"/>
      <c r="M470" s="108"/>
      <c r="N470" s="108"/>
      <c r="O470" s="108"/>
      <c r="P470" s="108"/>
      <c r="Q470" s="108"/>
      <c r="R470" s="108"/>
      <c r="S470" s="108"/>
      <c r="T470" s="108"/>
      <c r="U470" s="108"/>
      <c r="V470" s="108"/>
      <c r="W470" s="108"/>
      <c r="X470" s="108"/>
      <c r="Y470" s="108"/>
      <c r="Z470" s="108"/>
      <c r="AA470" s="108"/>
      <c r="AB470" s="108"/>
      <c r="AC470" s="108"/>
      <c r="AD470" s="108"/>
      <c r="AE470" s="108"/>
      <c r="AF470" s="108"/>
      <c r="AG470" s="108"/>
      <c r="AH470" s="108"/>
      <c r="AI470" s="108"/>
      <c r="AJ470" s="108"/>
      <c r="AK470" s="108"/>
      <c r="AL470" s="108"/>
      <c r="AM470" s="108"/>
      <c r="AN470" s="108"/>
      <c r="AO470" s="108"/>
      <c r="AP470" s="108"/>
      <c r="AQ470" s="108"/>
      <c r="AR470" s="108"/>
      <c r="AS470" s="108"/>
      <c r="AT470" s="108"/>
      <c r="AU470" s="108"/>
      <c r="AV470" s="108"/>
      <c r="AW470" s="108"/>
      <c r="AX470" s="108"/>
      <c r="AY470" s="108"/>
      <c r="AZ470" s="108"/>
      <c r="BA470" s="108"/>
      <c r="BB470" s="108"/>
    </row>
    <row r="471" spans="3:54" ht="12.75" customHeight="1" x14ac:dyDescent="0.25">
      <c r="C471" s="108"/>
      <c r="D471" s="108"/>
      <c r="E471" s="108"/>
      <c r="F471" s="108"/>
      <c r="G471" s="108"/>
      <c r="H471" s="108"/>
      <c r="I471" s="108"/>
      <c r="J471" s="108"/>
      <c r="K471" s="108"/>
      <c r="L471" s="108"/>
      <c r="M471" s="108"/>
      <c r="N471" s="108"/>
      <c r="O471" s="108"/>
      <c r="P471" s="108"/>
      <c r="Q471" s="108"/>
      <c r="R471" s="108"/>
      <c r="S471" s="108"/>
      <c r="T471" s="108"/>
      <c r="U471" s="108"/>
      <c r="V471" s="108"/>
      <c r="W471" s="108"/>
      <c r="X471" s="108"/>
      <c r="Y471" s="108"/>
      <c r="Z471" s="108"/>
      <c r="AA471" s="108"/>
      <c r="AB471" s="108"/>
      <c r="AC471" s="108"/>
      <c r="AD471" s="108"/>
      <c r="AE471" s="108"/>
      <c r="AF471" s="108"/>
      <c r="AG471" s="108"/>
      <c r="AH471" s="108"/>
      <c r="AI471" s="108"/>
      <c r="AJ471" s="108"/>
      <c r="AK471" s="108"/>
      <c r="AL471" s="108"/>
      <c r="AM471" s="108"/>
      <c r="AN471" s="108"/>
      <c r="AO471" s="108"/>
      <c r="AP471" s="108"/>
      <c r="AQ471" s="108"/>
      <c r="AR471" s="108"/>
      <c r="AS471" s="108"/>
      <c r="AT471" s="108"/>
      <c r="AU471" s="108"/>
      <c r="AV471" s="108"/>
      <c r="AW471" s="108"/>
      <c r="AX471" s="108"/>
      <c r="AY471" s="108"/>
      <c r="AZ471" s="108"/>
      <c r="BA471" s="108"/>
      <c r="BB471" s="108"/>
    </row>
    <row r="472" spans="3:54" ht="12.75" customHeight="1" x14ac:dyDescent="0.25">
      <c r="C472" s="108"/>
      <c r="D472" s="108"/>
      <c r="E472" s="108"/>
      <c r="F472" s="108"/>
      <c r="G472" s="108"/>
      <c r="H472" s="108"/>
      <c r="I472" s="108"/>
      <c r="J472" s="108"/>
      <c r="K472" s="108"/>
      <c r="L472" s="108"/>
      <c r="M472" s="108"/>
      <c r="N472" s="108"/>
      <c r="O472" s="108"/>
      <c r="P472" s="108"/>
      <c r="Q472" s="108"/>
      <c r="R472" s="108"/>
      <c r="S472" s="108"/>
      <c r="T472" s="108"/>
      <c r="U472" s="108"/>
      <c r="V472" s="108"/>
      <c r="W472" s="108"/>
      <c r="X472" s="108"/>
      <c r="Y472" s="108"/>
      <c r="Z472" s="108"/>
      <c r="AA472" s="108"/>
      <c r="AB472" s="108"/>
      <c r="AC472" s="108"/>
      <c r="AD472" s="108"/>
      <c r="AE472" s="108"/>
      <c r="AF472" s="108"/>
      <c r="AG472" s="108"/>
      <c r="AH472" s="108"/>
      <c r="AI472" s="108"/>
      <c r="AJ472" s="108"/>
      <c r="AK472" s="108"/>
      <c r="AL472" s="108"/>
      <c r="AM472" s="108"/>
      <c r="AN472" s="108"/>
      <c r="AO472" s="108"/>
      <c r="AP472" s="108"/>
      <c r="AQ472" s="108"/>
      <c r="AR472" s="108"/>
      <c r="AS472" s="108"/>
      <c r="AT472" s="108"/>
      <c r="AU472" s="108"/>
      <c r="AV472" s="108"/>
      <c r="AW472" s="108"/>
      <c r="AX472" s="108"/>
      <c r="AY472" s="108"/>
      <c r="AZ472" s="108"/>
      <c r="BA472" s="108"/>
      <c r="BB472" s="108"/>
    </row>
    <row r="473" spans="3:54" ht="12.75" customHeight="1" x14ac:dyDescent="0.25">
      <c r="C473" s="108"/>
      <c r="D473" s="108"/>
      <c r="E473" s="108"/>
      <c r="F473" s="108"/>
      <c r="G473" s="108"/>
      <c r="H473" s="108"/>
      <c r="I473" s="108"/>
      <c r="J473" s="108"/>
      <c r="K473" s="108"/>
      <c r="L473" s="108"/>
      <c r="M473" s="108"/>
      <c r="N473" s="108"/>
      <c r="O473" s="108"/>
      <c r="P473" s="108"/>
      <c r="Q473" s="108"/>
      <c r="R473" s="108"/>
      <c r="S473" s="108"/>
      <c r="T473" s="108"/>
      <c r="U473" s="108"/>
      <c r="V473" s="108"/>
      <c r="W473" s="108"/>
      <c r="X473" s="108"/>
      <c r="Y473" s="108"/>
      <c r="Z473" s="108"/>
      <c r="AA473" s="108"/>
      <c r="AB473" s="108"/>
      <c r="AC473" s="108"/>
      <c r="AD473" s="108"/>
      <c r="AE473" s="108"/>
      <c r="AF473" s="108"/>
      <c r="AG473" s="108"/>
      <c r="AH473" s="108"/>
      <c r="AI473" s="108"/>
      <c r="AJ473" s="108"/>
      <c r="AK473" s="108"/>
      <c r="AL473" s="108"/>
      <c r="AM473" s="108"/>
      <c r="AN473" s="108"/>
      <c r="AO473" s="108"/>
      <c r="AP473" s="108"/>
      <c r="AQ473" s="108"/>
      <c r="AR473" s="108"/>
      <c r="AS473" s="108"/>
      <c r="AT473" s="108"/>
      <c r="AU473" s="108"/>
      <c r="AV473" s="108"/>
      <c r="AW473" s="108"/>
      <c r="AX473" s="108"/>
      <c r="AY473" s="108"/>
      <c r="AZ473" s="108"/>
      <c r="BA473" s="108"/>
      <c r="BB473" s="108"/>
    </row>
    <row r="474" spans="3:54" ht="12.75" customHeight="1" x14ac:dyDescent="0.25">
      <c r="C474" s="108"/>
      <c r="D474" s="108"/>
      <c r="E474" s="108"/>
      <c r="F474" s="108"/>
      <c r="G474" s="108"/>
      <c r="H474" s="108"/>
      <c r="I474" s="108"/>
      <c r="J474" s="108"/>
      <c r="K474" s="108"/>
      <c r="L474" s="108"/>
      <c r="M474" s="108"/>
      <c r="N474" s="108"/>
      <c r="O474" s="108"/>
      <c r="P474" s="108"/>
      <c r="Q474" s="108"/>
      <c r="R474" s="108"/>
      <c r="S474" s="108"/>
      <c r="T474" s="108"/>
      <c r="U474" s="108"/>
      <c r="V474" s="108"/>
      <c r="W474" s="108"/>
      <c r="X474" s="108"/>
      <c r="Y474" s="108"/>
      <c r="Z474" s="108"/>
      <c r="AA474" s="108"/>
      <c r="AB474" s="108"/>
      <c r="AC474" s="108"/>
      <c r="AD474" s="108"/>
      <c r="AE474" s="108"/>
      <c r="AF474" s="108"/>
      <c r="AG474" s="108"/>
      <c r="AH474" s="108"/>
      <c r="AI474" s="108"/>
      <c r="AJ474" s="108"/>
      <c r="AK474" s="108"/>
      <c r="AL474" s="108"/>
      <c r="AM474" s="108"/>
      <c r="AN474" s="108"/>
      <c r="AO474" s="108"/>
      <c r="AP474" s="108"/>
      <c r="AQ474" s="108"/>
      <c r="AR474" s="108"/>
      <c r="AS474" s="108"/>
      <c r="AT474" s="108"/>
      <c r="AU474" s="108"/>
      <c r="AV474" s="108"/>
      <c r="AW474" s="108"/>
      <c r="AX474" s="108"/>
      <c r="AY474" s="108"/>
      <c r="AZ474" s="108"/>
      <c r="BA474" s="108"/>
      <c r="BB474" s="108"/>
    </row>
    <row r="475" spans="3:54" ht="12.75" customHeight="1" x14ac:dyDescent="0.25">
      <c r="C475" s="108"/>
      <c r="D475" s="108"/>
      <c r="E475" s="108"/>
      <c r="F475" s="108"/>
      <c r="G475" s="108"/>
      <c r="H475" s="108"/>
      <c r="I475" s="108"/>
      <c r="J475" s="108"/>
      <c r="K475" s="108"/>
      <c r="L475" s="108"/>
      <c r="M475" s="108"/>
      <c r="N475" s="108"/>
      <c r="O475" s="108"/>
      <c r="P475" s="108"/>
      <c r="Q475" s="108"/>
      <c r="R475" s="108"/>
      <c r="S475" s="108"/>
      <c r="T475" s="108"/>
      <c r="U475" s="108"/>
      <c r="V475" s="108"/>
      <c r="W475" s="108"/>
      <c r="X475" s="108"/>
      <c r="Y475" s="108"/>
      <c r="Z475" s="108"/>
      <c r="AA475" s="108"/>
      <c r="AB475" s="108"/>
      <c r="AC475" s="108"/>
      <c r="AD475" s="108"/>
      <c r="AE475" s="108"/>
      <c r="AF475" s="108"/>
      <c r="AG475" s="108"/>
      <c r="AH475" s="108"/>
      <c r="AI475" s="108"/>
      <c r="AJ475" s="108"/>
      <c r="AK475" s="108"/>
      <c r="AL475" s="108"/>
      <c r="AM475" s="108"/>
      <c r="AN475" s="108"/>
      <c r="AO475" s="108"/>
      <c r="AP475" s="108"/>
      <c r="AQ475" s="108"/>
      <c r="AR475" s="108"/>
      <c r="AS475" s="108"/>
      <c r="AT475" s="108"/>
      <c r="AU475" s="108"/>
      <c r="AV475" s="108"/>
      <c r="AW475" s="108"/>
      <c r="AX475" s="108"/>
      <c r="AY475" s="108"/>
      <c r="AZ475" s="108"/>
      <c r="BA475" s="108"/>
      <c r="BB475" s="108"/>
    </row>
    <row r="476" spans="3:54" ht="12.75" customHeight="1" x14ac:dyDescent="0.25">
      <c r="C476" s="108"/>
      <c r="D476" s="108"/>
      <c r="E476" s="108"/>
      <c r="F476" s="108"/>
      <c r="G476" s="108"/>
      <c r="H476" s="108"/>
      <c r="I476" s="108"/>
      <c r="J476" s="108"/>
      <c r="K476" s="108"/>
      <c r="L476" s="108"/>
      <c r="M476" s="108"/>
      <c r="N476" s="108"/>
      <c r="O476" s="108"/>
      <c r="P476" s="108"/>
      <c r="Q476" s="108"/>
      <c r="R476" s="108"/>
      <c r="S476" s="108"/>
      <c r="T476" s="108"/>
      <c r="U476" s="108"/>
      <c r="V476" s="108"/>
      <c r="W476" s="108"/>
      <c r="X476" s="108"/>
      <c r="Y476" s="108"/>
      <c r="Z476" s="108"/>
      <c r="AA476" s="108"/>
      <c r="AB476" s="108"/>
      <c r="AC476" s="108"/>
      <c r="AD476" s="108"/>
      <c r="AE476" s="108"/>
      <c r="AF476" s="108"/>
      <c r="AG476" s="108"/>
      <c r="AH476" s="108"/>
      <c r="AI476" s="108"/>
      <c r="AJ476" s="108"/>
      <c r="AK476" s="108"/>
      <c r="AL476" s="108"/>
      <c r="AM476" s="108"/>
      <c r="AN476" s="108"/>
      <c r="AO476" s="108"/>
      <c r="AP476" s="108"/>
      <c r="AQ476" s="108"/>
      <c r="AR476" s="108"/>
      <c r="AS476" s="108"/>
      <c r="AT476" s="108"/>
      <c r="AU476" s="108"/>
      <c r="AV476" s="108"/>
      <c r="AW476" s="108"/>
      <c r="AX476" s="108"/>
      <c r="AY476" s="108"/>
      <c r="AZ476" s="108"/>
      <c r="BA476" s="108"/>
      <c r="BB476" s="108"/>
    </row>
    <row r="477" spans="3:54" ht="12.75" customHeight="1" x14ac:dyDescent="0.25">
      <c r="C477" s="108"/>
      <c r="D477" s="108"/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08"/>
      <c r="P477" s="108"/>
      <c r="Q477" s="108"/>
      <c r="R477" s="108"/>
      <c r="S477" s="108"/>
      <c r="T477" s="108"/>
      <c r="U477" s="108"/>
      <c r="V477" s="108"/>
      <c r="W477" s="108"/>
      <c r="X477" s="108"/>
      <c r="Y477" s="108"/>
      <c r="Z477" s="108"/>
      <c r="AA477" s="108"/>
      <c r="AB477" s="108"/>
      <c r="AC477" s="108"/>
      <c r="AD477" s="108"/>
      <c r="AE477" s="108"/>
      <c r="AF477" s="108"/>
      <c r="AG477" s="108"/>
      <c r="AH477" s="108"/>
      <c r="AI477" s="108"/>
      <c r="AJ477" s="108"/>
      <c r="AK477" s="108"/>
      <c r="AL477" s="108"/>
      <c r="AM477" s="108"/>
      <c r="AN477" s="108"/>
      <c r="AO477" s="108"/>
      <c r="AP477" s="108"/>
      <c r="AQ477" s="108"/>
      <c r="AR477" s="108"/>
      <c r="AS477" s="108"/>
      <c r="AT477" s="108"/>
      <c r="AU477" s="108"/>
      <c r="AV477" s="108"/>
      <c r="AW477" s="108"/>
      <c r="AX477" s="108"/>
      <c r="AY477" s="108"/>
      <c r="AZ477" s="108"/>
      <c r="BA477" s="108"/>
      <c r="BB477" s="108"/>
    </row>
    <row r="478" spans="3:54" ht="12.75" customHeight="1" x14ac:dyDescent="0.25">
      <c r="C478" s="108"/>
      <c r="D478" s="108"/>
      <c r="E478" s="108"/>
      <c r="F478" s="108"/>
      <c r="G478" s="108"/>
      <c r="H478" s="108"/>
      <c r="I478" s="108"/>
      <c r="J478" s="108"/>
      <c r="K478" s="108"/>
      <c r="L478" s="108"/>
      <c r="M478" s="108"/>
      <c r="N478" s="108"/>
      <c r="O478" s="108"/>
      <c r="P478" s="108"/>
      <c r="Q478" s="108"/>
      <c r="R478" s="108"/>
      <c r="S478" s="108"/>
      <c r="T478" s="108"/>
      <c r="U478" s="108"/>
      <c r="V478" s="108"/>
      <c r="W478" s="108"/>
      <c r="X478" s="108"/>
      <c r="Y478" s="108"/>
      <c r="Z478" s="108"/>
      <c r="AA478" s="108"/>
      <c r="AB478" s="108"/>
      <c r="AC478" s="108"/>
      <c r="AD478" s="108"/>
      <c r="AE478" s="108"/>
      <c r="AF478" s="108"/>
      <c r="AG478" s="108"/>
      <c r="AH478" s="108"/>
      <c r="AI478" s="108"/>
      <c r="AJ478" s="108"/>
      <c r="AK478" s="108"/>
      <c r="AL478" s="108"/>
      <c r="AM478" s="108"/>
      <c r="AN478" s="108"/>
      <c r="AO478" s="108"/>
      <c r="AP478" s="108"/>
      <c r="AQ478" s="108"/>
      <c r="AR478" s="108"/>
      <c r="AS478" s="108"/>
      <c r="AT478" s="108"/>
      <c r="AU478" s="108"/>
      <c r="AV478" s="108"/>
      <c r="AW478" s="108"/>
      <c r="AX478" s="108"/>
      <c r="AY478" s="108"/>
      <c r="AZ478" s="108"/>
      <c r="BA478" s="108"/>
      <c r="BB478" s="108"/>
    </row>
    <row r="479" spans="3:54" ht="12.75" customHeight="1" x14ac:dyDescent="0.25">
      <c r="C479" s="108"/>
      <c r="D479" s="108"/>
      <c r="E479" s="108"/>
      <c r="F479" s="108"/>
      <c r="G479" s="108"/>
      <c r="H479" s="108"/>
      <c r="I479" s="108"/>
      <c r="J479" s="108"/>
      <c r="K479" s="108"/>
      <c r="L479" s="108"/>
      <c r="M479" s="108"/>
      <c r="N479" s="108"/>
      <c r="O479" s="108"/>
      <c r="P479" s="108"/>
      <c r="Q479" s="108"/>
      <c r="R479" s="108"/>
      <c r="S479" s="108"/>
      <c r="T479" s="108"/>
      <c r="U479" s="108"/>
      <c r="V479" s="108"/>
      <c r="W479" s="108"/>
      <c r="X479" s="108"/>
      <c r="Y479" s="108"/>
      <c r="Z479" s="108"/>
      <c r="AA479" s="108"/>
      <c r="AB479" s="108"/>
      <c r="AC479" s="108"/>
      <c r="AD479" s="108"/>
      <c r="AE479" s="108"/>
      <c r="AF479" s="108"/>
      <c r="AG479" s="108"/>
      <c r="AH479" s="108"/>
      <c r="AI479" s="108"/>
      <c r="AJ479" s="108"/>
      <c r="AK479" s="108"/>
      <c r="AL479" s="108"/>
      <c r="AM479" s="108"/>
      <c r="AN479" s="108"/>
      <c r="AO479" s="108"/>
      <c r="AP479" s="108"/>
      <c r="AQ479" s="108"/>
      <c r="AR479" s="108"/>
      <c r="AS479" s="108"/>
      <c r="AT479" s="108"/>
      <c r="AU479" s="108"/>
      <c r="AV479" s="108"/>
      <c r="AW479" s="108"/>
      <c r="AX479" s="108"/>
      <c r="AY479" s="108"/>
      <c r="AZ479" s="108"/>
      <c r="BA479" s="108"/>
      <c r="BB479" s="108"/>
    </row>
    <row r="480" spans="3:54" ht="12.75" customHeight="1" x14ac:dyDescent="0.25">
      <c r="C480" s="108"/>
      <c r="D480" s="108"/>
      <c r="E480" s="108"/>
      <c r="F480" s="108"/>
      <c r="G480" s="108"/>
      <c r="H480" s="108"/>
      <c r="I480" s="108"/>
      <c r="J480" s="108"/>
      <c r="K480" s="108"/>
      <c r="L480" s="108"/>
      <c r="M480" s="108"/>
      <c r="N480" s="108"/>
      <c r="O480" s="108"/>
      <c r="P480" s="108"/>
      <c r="Q480" s="108"/>
      <c r="R480" s="108"/>
      <c r="S480" s="108"/>
      <c r="T480" s="108"/>
      <c r="U480" s="108"/>
      <c r="V480" s="108"/>
      <c r="W480" s="108"/>
      <c r="X480" s="108"/>
      <c r="Y480" s="108"/>
      <c r="Z480" s="108"/>
      <c r="AA480" s="108"/>
      <c r="AB480" s="108"/>
      <c r="AC480" s="108"/>
      <c r="AD480" s="108"/>
      <c r="AE480" s="108"/>
      <c r="AF480" s="108"/>
      <c r="AG480" s="108"/>
      <c r="AH480" s="108"/>
      <c r="AI480" s="108"/>
      <c r="AJ480" s="108"/>
      <c r="AK480" s="108"/>
      <c r="AL480" s="108"/>
      <c r="AM480" s="108"/>
      <c r="AN480" s="108"/>
      <c r="AO480" s="108"/>
      <c r="AP480" s="108"/>
      <c r="AQ480" s="108"/>
      <c r="AR480" s="108"/>
      <c r="AS480" s="108"/>
      <c r="AT480" s="108"/>
      <c r="AU480" s="108"/>
      <c r="AV480" s="108"/>
      <c r="AW480" s="108"/>
      <c r="AX480" s="108"/>
      <c r="AY480" s="108"/>
      <c r="AZ480" s="108"/>
      <c r="BA480" s="108"/>
      <c r="BB480" s="108"/>
    </row>
    <row r="481" spans="3:54" ht="12.75" customHeight="1" x14ac:dyDescent="0.25">
      <c r="C481" s="108"/>
      <c r="D481" s="108"/>
      <c r="E481" s="108"/>
      <c r="F481" s="108"/>
      <c r="G481" s="108"/>
      <c r="H481" s="108"/>
      <c r="I481" s="108"/>
      <c r="J481" s="108"/>
      <c r="K481" s="108"/>
      <c r="L481" s="108"/>
      <c r="M481" s="108"/>
      <c r="N481" s="108"/>
      <c r="O481" s="108"/>
      <c r="P481" s="108"/>
      <c r="Q481" s="108"/>
      <c r="R481" s="108"/>
      <c r="S481" s="108"/>
      <c r="T481" s="108"/>
      <c r="U481" s="108"/>
      <c r="V481" s="108"/>
      <c r="W481" s="108"/>
      <c r="X481" s="108"/>
      <c r="Y481" s="108"/>
      <c r="Z481" s="108"/>
      <c r="AA481" s="108"/>
      <c r="AB481" s="108"/>
      <c r="AC481" s="108"/>
      <c r="AD481" s="108"/>
      <c r="AE481" s="108"/>
      <c r="AF481" s="108"/>
      <c r="AG481" s="108"/>
      <c r="AH481" s="108"/>
      <c r="AI481" s="108"/>
      <c r="AJ481" s="108"/>
      <c r="AK481" s="108"/>
      <c r="AL481" s="108"/>
      <c r="AM481" s="108"/>
      <c r="AN481" s="108"/>
      <c r="AO481" s="108"/>
      <c r="AP481" s="108"/>
      <c r="AQ481" s="108"/>
      <c r="AR481" s="108"/>
      <c r="AS481" s="108"/>
      <c r="AT481" s="108"/>
      <c r="AU481" s="108"/>
      <c r="AV481" s="108"/>
      <c r="AW481" s="108"/>
      <c r="AX481" s="108"/>
      <c r="AY481" s="108"/>
      <c r="AZ481" s="108"/>
      <c r="BA481" s="108"/>
      <c r="BB481" s="108"/>
    </row>
    <row r="482" spans="3:54" ht="12.75" customHeight="1" x14ac:dyDescent="0.25">
      <c r="C482" s="108"/>
      <c r="D482" s="108"/>
      <c r="E482" s="108"/>
      <c r="F482" s="108"/>
      <c r="G482" s="108"/>
      <c r="H482" s="108"/>
      <c r="I482" s="108"/>
      <c r="J482" s="108"/>
      <c r="K482" s="108"/>
      <c r="L482" s="108"/>
      <c r="M482" s="108"/>
      <c r="N482" s="108"/>
      <c r="O482" s="108"/>
      <c r="P482" s="108"/>
      <c r="Q482" s="108"/>
      <c r="R482" s="108"/>
      <c r="S482" s="108"/>
      <c r="T482" s="108"/>
      <c r="U482" s="108"/>
      <c r="V482" s="108"/>
      <c r="W482" s="108"/>
      <c r="X482" s="108"/>
      <c r="Y482" s="108"/>
      <c r="Z482" s="108"/>
      <c r="AA482" s="108"/>
      <c r="AB482" s="108"/>
      <c r="AC482" s="108"/>
      <c r="AD482" s="108"/>
      <c r="AE482" s="108"/>
      <c r="AF482" s="108"/>
      <c r="AG482" s="108"/>
      <c r="AH482" s="108"/>
      <c r="AI482" s="108"/>
      <c r="AJ482" s="108"/>
      <c r="AK482" s="108"/>
      <c r="AL482" s="108"/>
      <c r="AM482" s="108"/>
      <c r="AN482" s="108"/>
      <c r="AO482" s="108"/>
      <c r="AP482" s="108"/>
      <c r="AQ482" s="108"/>
      <c r="AR482" s="108"/>
      <c r="AS482" s="108"/>
      <c r="AT482" s="108"/>
      <c r="AU482" s="108"/>
      <c r="AV482" s="108"/>
      <c r="AW482" s="108"/>
      <c r="AX482" s="108"/>
      <c r="AY482" s="108"/>
      <c r="AZ482" s="108"/>
      <c r="BA482" s="108"/>
      <c r="BB482" s="108"/>
    </row>
    <row r="483" spans="3:54" ht="12.75" customHeight="1" x14ac:dyDescent="0.25">
      <c r="C483" s="108"/>
      <c r="D483" s="108"/>
      <c r="E483" s="108"/>
      <c r="F483" s="108"/>
      <c r="G483" s="108"/>
      <c r="H483" s="108"/>
      <c r="I483" s="108"/>
      <c r="J483" s="108"/>
      <c r="K483" s="108"/>
      <c r="L483" s="108"/>
      <c r="M483" s="108"/>
      <c r="N483" s="108"/>
      <c r="O483" s="108"/>
      <c r="P483" s="108"/>
      <c r="Q483" s="108"/>
      <c r="R483" s="108"/>
      <c r="S483" s="108"/>
      <c r="T483" s="108"/>
      <c r="U483" s="108"/>
      <c r="V483" s="108"/>
      <c r="W483" s="108"/>
      <c r="X483" s="108"/>
      <c r="Y483" s="108"/>
      <c r="Z483" s="108"/>
      <c r="AA483" s="108"/>
      <c r="AB483" s="108"/>
      <c r="AC483" s="108"/>
      <c r="AD483" s="108"/>
      <c r="AE483" s="108"/>
      <c r="AF483" s="108"/>
      <c r="AG483" s="108"/>
      <c r="AH483" s="108"/>
      <c r="AI483" s="108"/>
      <c r="AJ483" s="108"/>
      <c r="AK483" s="108"/>
      <c r="AL483" s="108"/>
      <c r="AM483" s="108"/>
      <c r="AN483" s="108"/>
      <c r="AO483" s="108"/>
      <c r="AP483" s="108"/>
      <c r="AQ483" s="108"/>
      <c r="AR483" s="108"/>
      <c r="AS483" s="108"/>
      <c r="AT483" s="108"/>
      <c r="AU483" s="108"/>
      <c r="AV483" s="108"/>
      <c r="AW483" s="108"/>
      <c r="AX483" s="108"/>
      <c r="AY483" s="108"/>
      <c r="AZ483" s="108"/>
      <c r="BA483" s="108"/>
      <c r="BB483" s="108"/>
    </row>
    <row r="484" spans="3:54" ht="12.75" customHeight="1" x14ac:dyDescent="0.25">
      <c r="C484" s="108"/>
      <c r="D484" s="108"/>
      <c r="E484" s="108"/>
      <c r="F484" s="108"/>
      <c r="G484" s="108"/>
      <c r="H484" s="108"/>
      <c r="I484" s="108"/>
      <c r="J484" s="108"/>
      <c r="K484" s="108"/>
      <c r="L484" s="108"/>
      <c r="M484" s="108"/>
      <c r="N484" s="108"/>
      <c r="O484" s="108"/>
      <c r="P484" s="108"/>
      <c r="Q484" s="108"/>
      <c r="R484" s="108"/>
      <c r="S484" s="108"/>
      <c r="T484" s="108"/>
      <c r="U484" s="108"/>
      <c r="V484" s="108"/>
      <c r="W484" s="108"/>
      <c r="X484" s="108"/>
      <c r="Y484" s="108"/>
      <c r="Z484" s="108"/>
      <c r="AA484" s="108"/>
      <c r="AB484" s="108"/>
      <c r="AC484" s="108"/>
      <c r="AD484" s="108"/>
      <c r="AE484" s="108"/>
      <c r="AF484" s="108"/>
      <c r="AG484" s="108"/>
      <c r="AH484" s="108"/>
      <c r="AI484" s="108"/>
      <c r="AJ484" s="108"/>
      <c r="AK484" s="108"/>
      <c r="AL484" s="108"/>
      <c r="AM484" s="108"/>
      <c r="AN484" s="108"/>
      <c r="AO484" s="108"/>
      <c r="AP484" s="108"/>
      <c r="AQ484" s="108"/>
      <c r="AR484" s="108"/>
      <c r="AS484" s="108"/>
      <c r="AT484" s="108"/>
      <c r="AU484" s="108"/>
      <c r="AV484" s="108"/>
      <c r="AW484" s="108"/>
      <c r="AX484" s="108"/>
      <c r="AY484" s="108"/>
      <c r="AZ484" s="108"/>
      <c r="BA484" s="108"/>
      <c r="BB484" s="108"/>
    </row>
    <row r="485" spans="3:54" ht="12.75" customHeight="1" x14ac:dyDescent="0.25">
      <c r="C485" s="108"/>
      <c r="D485" s="108"/>
      <c r="E485" s="108"/>
      <c r="F485" s="108"/>
      <c r="G485" s="108"/>
      <c r="H485" s="108"/>
      <c r="I485" s="108"/>
      <c r="J485" s="108"/>
      <c r="K485" s="108"/>
      <c r="L485" s="108"/>
      <c r="M485" s="108"/>
      <c r="N485" s="108"/>
      <c r="O485" s="108"/>
      <c r="P485" s="108"/>
      <c r="Q485" s="108"/>
      <c r="R485" s="108"/>
      <c r="S485" s="108"/>
      <c r="T485" s="108"/>
      <c r="U485" s="108"/>
      <c r="V485" s="108"/>
      <c r="W485" s="108"/>
      <c r="X485" s="108"/>
      <c r="Y485" s="108"/>
      <c r="Z485" s="108"/>
      <c r="AA485" s="108"/>
      <c r="AB485" s="108"/>
      <c r="AC485" s="108"/>
      <c r="AD485" s="108"/>
      <c r="AE485" s="108"/>
      <c r="AF485" s="108"/>
      <c r="AG485" s="108"/>
      <c r="AH485" s="108"/>
      <c r="AI485" s="108"/>
      <c r="AJ485" s="108"/>
      <c r="AK485" s="108"/>
      <c r="AL485" s="108"/>
      <c r="AM485" s="108"/>
      <c r="AN485" s="108"/>
      <c r="AO485" s="108"/>
      <c r="AP485" s="108"/>
      <c r="AQ485" s="108"/>
      <c r="AR485" s="108"/>
      <c r="AS485" s="108"/>
      <c r="AT485" s="108"/>
      <c r="AU485" s="108"/>
      <c r="AV485" s="108"/>
      <c r="AW485" s="108"/>
      <c r="AX485" s="108"/>
      <c r="AY485" s="108"/>
      <c r="AZ485" s="108"/>
      <c r="BA485" s="108"/>
      <c r="BB485" s="108"/>
    </row>
    <row r="486" spans="3:54" ht="12.75" customHeight="1" x14ac:dyDescent="0.25">
      <c r="C486" s="108"/>
      <c r="D486" s="108"/>
      <c r="E486" s="108"/>
      <c r="F486" s="108"/>
      <c r="G486" s="108"/>
      <c r="H486" s="108"/>
      <c r="I486" s="108"/>
      <c r="J486" s="108"/>
      <c r="K486" s="108"/>
      <c r="L486" s="108"/>
      <c r="M486" s="108"/>
      <c r="N486" s="108"/>
      <c r="O486" s="108"/>
      <c r="P486" s="108"/>
      <c r="Q486" s="108"/>
      <c r="R486" s="108"/>
      <c r="S486" s="108"/>
      <c r="T486" s="108"/>
      <c r="U486" s="108"/>
      <c r="V486" s="108"/>
      <c r="W486" s="108"/>
      <c r="X486" s="108"/>
      <c r="Y486" s="108"/>
      <c r="Z486" s="108"/>
      <c r="AA486" s="108"/>
      <c r="AB486" s="108"/>
      <c r="AC486" s="108"/>
      <c r="AD486" s="108"/>
      <c r="AE486" s="108"/>
      <c r="AF486" s="108"/>
      <c r="AG486" s="108"/>
      <c r="AH486" s="108"/>
      <c r="AI486" s="108"/>
      <c r="AJ486" s="108"/>
      <c r="AK486" s="108"/>
      <c r="AL486" s="108"/>
      <c r="AM486" s="108"/>
      <c r="AN486" s="108"/>
      <c r="AO486" s="108"/>
      <c r="AP486" s="108"/>
      <c r="AQ486" s="108"/>
      <c r="AR486" s="108"/>
      <c r="AS486" s="108"/>
      <c r="AT486" s="108"/>
      <c r="AU486" s="108"/>
      <c r="AV486" s="108"/>
      <c r="AW486" s="108"/>
      <c r="AX486" s="108"/>
      <c r="AY486" s="108"/>
      <c r="AZ486" s="108"/>
      <c r="BA486" s="108"/>
      <c r="BB486" s="108"/>
    </row>
    <row r="487" spans="3:54" ht="12.75" customHeight="1" x14ac:dyDescent="0.25">
      <c r="C487" s="108"/>
      <c r="D487" s="108"/>
      <c r="E487" s="108"/>
      <c r="F487" s="108"/>
      <c r="G487" s="108"/>
      <c r="H487" s="108"/>
      <c r="I487" s="108"/>
      <c r="J487" s="108"/>
      <c r="K487" s="108"/>
      <c r="L487" s="108"/>
      <c r="M487" s="108"/>
      <c r="N487" s="108"/>
      <c r="O487" s="108"/>
      <c r="P487" s="108"/>
      <c r="Q487" s="108"/>
      <c r="R487" s="108"/>
      <c r="S487" s="108"/>
      <c r="T487" s="108"/>
      <c r="U487" s="108"/>
      <c r="V487" s="108"/>
      <c r="W487" s="108"/>
      <c r="X487" s="108"/>
      <c r="Y487" s="108"/>
      <c r="Z487" s="108"/>
      <c r="AA487" s="108"/>
      <c r="AB487" s="108"/>
      <c r="AC487" s="108"/>
      <c r="AD487" s="108"/>
      <c r="AE487" s="108"/>
      <c r="AF487" s="108"/>
      <c r="AG487" s="108"/>
      <c r="AH487" s="108"/>
      <c r="AI487" s="108"/>
      <c r="AJ487" s="108"/>
      <c r="AK487" s="108"/>
      <c r="AL487" s="108"/>
      <c r="AM487" s="108"/>
      <c r="AN487" s="108"/>
      <c r="AO487" s="108"/>
      <c r="AP487" s="108"/>
      <c r="AQ487" s="108"/>
      <c r="AR487" s="108"/>
      <c r="AS487" s="108"/>
      <c r="AT487" s="108"/>
      <c r="AU487" s="108"/>
      <c r="AV487" s="108"/>
      <c r="AW487" s="108"/>
      <c r="AX487" s="108"/>
      <c r="AY487" s="108"/>
      <c r="AZ487" s="108"/>
      <c r="BA487" s="108"/>
      <c r="BB487" s="108"/>
    </row>
    <row r="488" spans="3:54" ht="12.75" customHeight="1" x14ac:dyDescent="0.25">
      <c r="C488" s="108"/>
      <c r="D488" s="108"/>
      <c r="E488" s="108"/>
      <c r="F488" s="108"/>
      <c r="G488" s="108"/>
      <c r="H488" s="108"/>
      <c r="I488" s="108"/>
      <c r="J488" s="108"/>
      <c r="K488" s="108"/>
      <c r="L488" s="108"/>
      <c r="M488" s="108"/>
      <c r="N488" s="108"/>
      <c r="O488" s="108"/>
      <c r="P488" s="108"/>
      <c r="Q488" s="108"/>
      <c r="R488" s="108"/>
      <c r="S488" s="108"/>
      <c r="T488" s="108"/>
      <c r="U488" s="108"/>
      <c r="V488" s="108"/>
      <c r="W488" s="108"/>
      <c r="X488" s="108"/>
      <c r="Y488" s="108"/>
      <c r="Z488" s="108"/>
      <c r="AA488" s="108"/>
      <c r="AB488" s="108"/>
      <c r="AC488" s="108"/>
      <c r="AD488" s="108"/>
      <c r="AE488" s="108"/>
      <c r="AF488" s="108"/>
      <c r="AG488" s="108"/>
      <c r="AH488" s="108"/>
      <c r="AI488" s="108"/>
      <c r="AJ488" s="108"/>
      <c r="AK488" s="108"/>
      <c r="AL488" s="108"/>
      <c r="AM488" s="108"/>
      <c r="AN488" s="108"/>
      <c r="AO488" s="108"/>
      <c r="AP488" s="108"/>
      <c r="AQ488" s="108"/>
      <c r="AR488" s="108"/>
      <c r="AS488" s="108"/>
      <c r="AT488" s="108"/>
      <c r="AU488" s="108"/>
      <c r="AV488" s="108"/>
      <c r="AW488" s="108"/>
      <c r="AX488" s="108"/>
      <c r="AY488" s="108"/>
      <c r="AZ488" s="108"/>
      <c r="BA488" s="108"/>
      <c r="BB488" s="108"/>
    </row>
    <row r="489" spans="3:54" ht="12.75" customHeight="1" x14ac:dyDescent="0.25">
      <c r="C489" s="108"/>
      <c r="D489" s="108"/>
      <c r="E489" s="108"/>
      <c r="F489" s="108"/>
      <c r="G489" s="108"/>
      <c r="H489" s="108"/>
      <c r="I489" s="108"/>
      <c r="J489" s="108"/>
      <c r="K489" s="108"/>
      <c r="L489" s="108"/>
      <c r="M489" s="108"/>
      <c r="N489" s="108"/>
      <c r="O489" s="108"/>
      <c r="P489" s="108"/>
      <c r="Q489" s="108"/>
      <c r="R489" s="108"/>
      <c r="S489" s="108"/>
      <c r="T489" s="108"/>
      <c r="U489" s="108"/>
      <c r="V489" s="108"/>
      <c r="W489" s="108"/>
      <c r="X489" s="108"/>
      <c r="Y489" s="108"/>
      <c r="Z489" s="108"/>
      <c r="AA489" s="108"/>
      <c r="AB489" s="108"/>
      <c r="AC489" s="108"/>
      <c r="AD489" s="108"/>
      <c r="AE489" s="108"/>
      <c r="AF489" s="108"/>
      <c r="AG489" s="108"/>
      <c r="AH489" s="108"/>
      <c r="AI489" s="108"/>
      <c r="AJ489" s="108"/>
      <c r="AK489" s="108"/>
      <c r="AL489" s="108"/>
      <c r="AM489" s="108"/>
      <c r="AN489" s="108"/>
      <c r="AO489" s="108"/>
      <c r="AP489" s="108"/>
      <c r="AQ489" s="108"/>
      <c r="AR489" s="108"/>
      <c r="AS489" s="108"/>
      <c r="AT489" s="108"/>
      <c r="AU489" s="108"/>
      <c r="AV489" s="108"/>
      <c r="AW489" s="108"/>
      <c r="AX489" s="108"/>
      <c r="AY489" s="108"/>
      <c r="AZ489" s="108"/>
      <c r="BA489" s="108"/>
      <c r="BB489" s="108"/>
    </row>
    <row r="490" spans="3:54" ht="12.75" customHeight="1" x14ac:dyDescent="0.25">
      <c r="C490" s="108"/>
      <c r="D490" s="108"/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08"/>
      <c r="P490" s="108"/>
      <c r="Q490" s="108"/>
      <c r="R490" s="108"/>
      <c r="S490" s="108"/>
      <c r="T490" s="108"/>
      <c r="U490" s="108"/>
      <c r="V490" s="108"/>
      <c r="W490" s="108"/>
      <c r="X490" s="108"/>
      <c r="Y490" s="108"/>
      <c r="Z490" s="108"/>
      <c r="AA490" s="108"/>
      <c r="AB490" s="108"/>
      <c r="AC490" s="108"/>
      <c r="AD490" s="108"/>
      <c r="AE490" s="108"/>
      <c r="AF490" s="108"/>
      <c r="AG490" s="108"/>
      <c r="AH490" s="108"/>
      <c r="AI490" s="108"/>
      <c r="AJ490" s="108"/>
      <c r="AK490" s="108"/>
      <c r="AL490" s="108"/>
      <c r="AM490" s="108"/>
      <c r="AN490" s="108"/>
      <c r="AO490" s="108"/>
      <c r="AP490" s="108"/>
      <c r="AQ490" s="108"/>
      <c r="AR490" s="108"/>
      <c r="AS490" s="108"/>
      <c r="AT490" s="108"/>
      <c r="AU490" s="108"/>
      <c r="AV490" s="108"/>
      <c r="AW490" s="108"/>
      <c r="AX490" s="108"/>
      <c r="AY490" s="108"/>
      <c r="AZ490" s="108"/>
      <c r="BA490" s="108"/>
      <c r="BB490" s="108"/>
    </row>
    <row r="491" spans="3:54" ht="12.75" customHeight="1" x14ac:dyDescent="0.25">
      <c r="C491" s="108"/>
      <c r="D491" s="108"/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08"/>
      <c r="P491" s="108"/>
      <c r="Q491" s="108"/>
      <c r="R491" s="108"/>
      <c r="S491" s="108"/>
      <c r="T491" s="108"/>
      <c r="U491" s="108"/>
      <c r="V491" s="108"/>
      <c r="W491" s="108"/>
      <c r="X491" s="108"/>
      <c r="Y491" s="108"/>
      <c r="Z491" s="108"/>
      <c r="AA491" s="108"/>
      <c r="AB491" s="108"/>
      <c r="AC491" s="108"/>
      <c r="AD491" s="108"/>
      <c r="AE491" s="108"/>
      <c r="AF491" s="108"/>
      <c r="AG491" s="108"/>
      <c r="AH491" s="108"/>
      <c r="AI491" s="108"/>
      <c r="AJ491" s="108"/>
      <c r="AK491" s="108"/>
      <c r="AL491" s="108"/>
      <c r="AM491" s="108"/>
      <c r="AN491" s="108"/>
      <c r="AO491" s="108"/>
      <c r="AP491" s="108"/>
      <c r="AQ491" s="108"/>
      <c r="AR491" s="108"/>
      <c r="AS491" s="108"/>
      <c r="AT491" s="108"/>
      <c r="AU491" s="108"/>
      <c r="AV491" s="108"/>
      <c r="AW491" s="108"/>
      <c r="AX491" s="108"/>
      <c r="AY491" s="108"/>
      <c r="AZ491" s="108"/>
      <c r="BA491" s="108"/>
      <c r="BB491" s="108"/>
    </row>
    <row r="492" spans="3:54" ht="12.75" customHeight="1" x14ac:dyDescent="0.25">
      <c r="C492" s="108"/>
      <c r="D492" s="108"/>
      <c r="E492" s="108"/>
      <c r="F492" s="108"/>
      <c r="G492" s="108"/>
      <c r="H492" s="108"/>
      <c r="I492" s="108"/>
      <c r="J492" s="108"/>
      <c r="K492" s="108"/>
      <c r="L492" s="108"/>
      <c r="M492" s="108"/>
      <c r="N492" s="108"/>
      <c r="O492" s="108"/>
      <c r="P492" s="108"/>
      <c r="Q492" s="108"/>
      <c r="R492" s="108"/>
      <c r="S492" s="108"/>
      <c r="T492" s="108"/>
      <c r="U492" s="108"/>
      <c r="V492" s="108"/>
      <c r="W492" s="108"/>
      <c r="X492" s="108"/>
      <c r="Y492" s="108"/>
      <c r="Z492" s="108"/>
      <c r="AA492" s="108"/>
      <c r="AB492" s="108"/>
      <c r="AC492" s="108"/>
      <c r="AD492" s="108"/>
      <c r="AE492" s="108"/>
      <c r="AF492" s="108"/>
      <c r="AG492" s="108"/>
      <c r="AH492" s="108"/>
      <c r="AI492" s="108"/>
      <c r="AJ492" s="108"/>
      <c r="AK492" s="108"/>
      <c r="AL492" s="108"/>
      <c r="AM492" s="108"/>
      <c r="AN492" s="108"/>
      <c r="AO492" s="108"/>
      <c r="AP492" s="108"/>
      <c r="AQ492" s="108"/>
      <c r="AR492" s="108"/>
      <c r="AS492" s="108"/>
      <c r="AT492" s="108"/>
      <c r="AU492" s="108"/>
      <c r="AV492" s="108"/>
      <c r="AW492" s="108"/>
      <c r="AX492" s="108"/>
      <c r="AY492" s="108"/>
      <c r="AZ492" s="108"/>
      <c r="BA492" s="108"/>
      <c r="BB492" s="108"/>
    </row>
    <row r="493" spans="3:54" ht="12.75" customHeight="1" x14ac:dyDescent="0.25">
      <c r="C493" s="108"/>
      <c r="D493" s="108"/>
      <c r="E493" s="108"/>
      <c r="F493" s="108"/>
      <c r="G493" s="108"/>
      <c r="H493" s="108"/>
      <c r="I493" s="108"/>
      <c r="J493" s="108"/>
      <c r="K493" s="108"/>
      <c r="L493" s="108"/>
      <c r="M493" s="108"/>
      <c r="N493" s="108"/>
      <c r="O493" s="108"/>
      <c r="P493" s="108"/>
      <c r="Q493" s="108"/>
      <c r="R493" s="108"/>
      <c r="S493" s="108"/>
      <c r="T493" s="108"/>
      <c r="U493" s="108"/>
      <c r="V493" s="108"/>
      <c r="W493" s="108"/>
      <c r="X493" s="108"/>
      <c r="Y493" s="108"/>
      <c r="Z493" s="108"/>
      <c r="AA493" s="108"/>
      <c r="AB493" s="108"/>
      <c r="AC493" s="108"/>
      <c r="AD493" s="108"/>
      <c r="AE493" s="108"/>
      <c r="AF493" s="108"/>
      <c r="AG493" s="108"/>
      <c r="AH493" s="108"/>
      <c r="AI493" s="108"/>
      <c r="AJ493" s="108"/>
      <c r="AK493" s="108"/>
      <c r="AL493" s="108"/>
      <c r="AM493" s="108"/>
      <c r="AN493" s="108"/>
      <c r="AO493" s="108"/>
      <c r="AP493" s="108"/>
      <c r="AQ493" s="108"/>
      <c r="AR493" s="108"/>
      <c r="AS493" s="108"/>
      <c r="AT493" s="108"/>
      <c r="AU493" s="108"/>
      <c r="AV493" s="108"/>
      <c r="AW493" s="108"/>
      <c r="AX493" s="108"/>
      <c r="AY493" s="108"/>
      <c r="AZ493" s="108"/>
      <c r="BA493" s="108"/>
      <c r="BB493" s="108"/>
    </row>
    <row r="494" spans="3:54" ht="12.75" customHeight="1" x14ac:dyDescent="0.25">
      <c r="C494" s="108"/>
      <c r="D494" s="108"/>
      <c r="E494" s="108"/>
      <c r="F494" s="108"/>
      <c r="G494" s="108"/>
      <c r="H494" s="108"/>
      <c r="I494" s="108"/>
      <c r="J494" s="108"/>
      <c r="K494" s="108"/>
      <c r="L494" s="108"/>
      <c r="M494" s="108"/>
      <c r="N494" s="108"/>
      <c r="O494" s="108"/>
      <c r="P494" s="108"/>
      <c r="Q494" s="108"/>
      <c r="R494" s="108"/>
      <c r="S494" s="108"/>
      <c r="T494" s="108"/>
      <c r="U494" s="108"/>
      <c r="V494" s="108"/>
      <c r="W494" s="108"/>
      <c r="X494" s="108"/>
      <c r="Y494" s="108"/>
      <c r="Z494" s="108"/>
      <c r="AA494" s="108"/>
      <c r="AB494" s="108"/>
      <c r="AC494" s="108"/>
      <c r="AD494" s="108"/>
      <c r="AE494" s="108"/>
      <c r="AF494" s="108"/>
      <c r="AG494" s="108"/>
      <c r="AH494" s="108"/>
      <c r="AI494" s="108"/>
      <c r="AJ494" s="108"/>
      <c r="AK494" s="108"/>
      <c r="AL494" s="108"/>
      <c r="AM494" s="108"/>
      <c r="AN494" s="108"/>
      <c r="AO494" s="108"/>
      <c r="AP494" s="108"/>
      <c r="AQ494" s="108"/>
      <c r="AR494" s="108"/>
      <c r="AS494" s="108"/>
      <c r="AT494" s="108"/>
      <c r="AU494" s="108"/>
      <c r="AV494" s="108"/>
      <c r="AW494" s="108"/>
      <c r="AX494" s="108"/>
      <c r="AY494" s="108"/>
      <c r="AZ494" s="108"/>
      <c r="BA494" s="108"/>
      <c r="BB494" s="108"/>
    </row>
    <row r="495" spans="3:54" ht="12.75" customHeight="1" x14ac:dyDescent="0.25">
      <c r="C495" s="108"/>
      <c r="D495" s="108"/>
      <c r="E495" s="108"/>
      <c r="F495" s="108"/>
      <c r="G495" s="108"/>
      <c r="H495" s="108"/>
      <c r="I495" s="108"/>
      <c r="J495" s="108"/>
      <c r="K495" s="108"/>
      <c r="L495" s="108"/>
      <c r="M495" s="108"/>
      <c r="N495" s="108"/>
      <c r="O495" s="108"/>
      <c r="P495" s="108"/>
      <c r="Q495" s="108"/>
      <c r="R495" s="108"/>
      <c r="S495" s="108"/>
      <c r="T495" s="108"/>
      <c r="U495" s="108"/>
      <c r="V495" s="108"/>
      <c r="W495" s="108"/>
      <c r="X495" s="108"/>
      <c r="Y495" s="108"/>
      <c r="Z495" s="108"/>
      <c r="AA495" s="108"/>
      <c r="AB495" s="108"/>
      <c r="AC495" s="108"/>
      <c r="AD495" s="108"/>
      <c r="AE495" s="108"/>
      <c r="AF495" s="108"/>
      <c r="AG495" s="108"/>
      <c r="AH495" s="108"/>
      <c r="AI495" s="108"/>
      <c r="AJ495" s="108"/>
      <c r="AK495" s="108"/>
      <c r="AL495" s="108"/>
      <c r="AM495" s="108"/>
      <c r="AN495" s="108"/>
      <c r="AO495" s="108"/>
      <c r="AP495" s="108"/>
      <c r="AQ495" s="108"/>
      <c r="AR495" s="108"/>
      <c r="AS495" s="108"/>
      <c r="AT495" s="108"/>
      <c r="AU495" s="108"/>
      <c r="AV495" s="108"/>
      <c r="AW495" s="108"/>
      <c r="AX495" s="108"/>
      <c r="AY495" s="108"/>
      <c r="AZ495" s="108"/>
      <c r="BA495" s="108"/>
      <c r="BB495" s="108"/>
    </row>
    <row r="496" spans="3:54" ht="12.75" customHeight="1" x14ac:dyDescent="0.25">
      <c r="C496" s="108"/>
      <c r="D496" s="108"/>
      <c r="E496" s="108"/>
      <c r="F496" s="108"/>
      <c r="G496" s="108"/>
      <c r="H496" s="108"/>
      <c r="I496" s="108"/>
      <c r="J496" s="108"/>
      <c r="K496" s="108"/>
      <c r="L496" s="108"/>
      <c r="M496" s="108"/>
      <c r="N496" s="108"/>
      <c r="O496" s="108"/>
      <c r="P496" s="108"/>
      <c r="Q496" s="108"/>
      <c r="R496" s="108"/>
      <c r="S496" s="108"/>
      <c r="T496" s="108"/>
      <c r="U496" s="108"/>
      <c r="V496" s="108"/>
      <c r="W496" s="108"/>
      <c r="X496" s="108"/>
      <c r="Y496" s="108"/>
      <c r="Z496" s="108"/>
      <c r="AA496" s="108"/>
      <c r="AB496" s="108"/>
      <c r="AC496" s="108"/>
      <c r="AD496" s="108"/>
      <c r="AE496" s="108"/>
      <c r="AF496" s="108"/>
      <c r="AG496" s="108"/>
      <c r="AH496" s="108"/>
      <c r="AI496" s="108"/>
      <c r="AJ496" s="108"/>
      <c r="AK496" s="108"/>
      <c r="AL496" s="108"/>
      <c r="AM496" s="108"/>
      <c r="AN496" s="108"/>
      <c r="AO496" s="108"/>
      <c r="AP496" s="108"/>
      <c r="AQ496" s="108"/>
      <c r="AR496" s="108"/>
      <c r="AS496" s="108"/>
      <c r="AT496" s="108"/>
      <c r="AU496" s="108"/>
      <c r="AV496" s="108"/>
      <c r="AW496" s="108"/>
      <c r="AX496" s="108"/>
      <c r="AY496" s="108"/>
      <c r="AZ496" s="108"/>
      <c r="BA496" s="108"/>
      <c r="BB496" s="108"/>
    </row>
    <row r="497" spans="3:54" ht="12.75" customHeight="1" x14ac:dyDescent="0.25">
      <c r="C497" s="108"/>
      <c r="D497" s="108"/>
      <c r="E497" s="108"/>
      <c r="F497" s="108"/>
      <c r="G497" s="108"/>
      <c r="H497" s="108"/>
      <c r="I497" s="108"/>
      <c r="J497" s="108"/>
      <c r="K497" s="108"/>
      <c r="L497" s="108"/>
      <c r="M497" s="108"/>
      <c r="N497" s="108"/>
      <c r="O497" s="108"/>
      <c r="P497" s="108"/>
      <c r="Q497" s="108"/>
      <c r="R497" s="108"/>
      <c r="S497" s="108"/>
      <c r="T497" s="108"/>
      <c r="U497" s="108"/>
      <c r="V497" s="108"/>
      <c r="W497" s="108"/>
      <c r="X497" s="108"/>
      <c r="Y497" s="108"/>
      <c r="Z497" s="108"/>
      <c r="AA497" s="108"/>
      <c r="AB497" s="108"/>
      <c r="AC497" s="108"/>
      <c r="AD497" s="108"/>
      <c r="AE497" s="108"/>
      <c r="AF497" s="108"/>
      <c r="AG497" s="108"/>
      <c r="AH497" s="108"/>
      <c r="AI497" s="108"/>
      <c r="AJ497" s="108"/>
      <c r="AK497" s="108"/>
      <c r="AL497" s="108"/>
      <c r="AM497" s="108"/>
      <c r="AN497" s="108"/>
      <c r="AO497" s="108"/>
      <c r="AP497" s="108"/>
      <c r="AQ497" s="108"/>
      <c r="AR497" s="108"/>
      <c r="AS497" s="108"/>
      <c r="AT497" s="108"/>
      <c r="AU497" s="108"/>
      <c r="AV497" s="108"/>
      <c r="AW497" s="108"/>
      <c r="AX497" s="108"/>
      <c r="AY497" s="108"/>
      <c r="AZ497" s="108"/>
      <c r="BA497" s="108"/>
      <c r="BB497" s="108"/>
    </row>
    <row r="498" spans="3:54" ht="12.75" customHeight="1" x14ac:dyDescent="0.25">
      <c r="C498" s="108"/>
      <c r="D498" s="108"/>
      <c r="E498" s="108"/>
      <c r="F498" s="108"/>
      <c r="G498" s="108"/>
      <c r="H498" s="108"/>
      <c r="I498" s="108"/>
      <c r="J498" s="108"/>
      <c r="K498" s="108"/>
      <c r="L498" s="108"/>
      <c r="M498" s="108"/>
      <c r="N498" s="108"/>
      <c r="O498" s="108"/>
      <c r="P498" s="108"/>
      <c r="Q498" s="108"/>
      <c r="R498" s="108"/>
      <c r="S498" s="108"/>
      <c r="T498" s="108"/>
      <c r="U498" s="108"/>
      <c r="V498" s="108"/>
      <c r="W498" s="108"/>
      <c r="X498" s="108"/>
      <c r="Y498" s="108"/>
      <c r="Z498" s="108"/>
      <c r="AA498" s="108"/>
      <c r="AB498" s="108"/>
      <c r="AC498" s="108"/>
      <c r="AD498" s="108"/>
      <c r="AE498" s="108"/>
      <c r="AF498" s="108"/>
      <c r="AG498" s="108"/>
      <c r="AH498" s="108"/>
      <c r="AI498" s="108"/>
      <c r="AJ498" s="108"/>
      <c r="AK498" s="108"/>
      <c r="AL498" s="108"/>
      <c r="AM498" s="108"/>
      <c r="AN498" s="108"/>
      <c r="AO498" s="108"/>
      <c r="AP498" s="108"/>
      <c r="AQ498" s="108"/>
      <c r="AR498" s="108"/>
      <c r="AS498" s="108"/>
      <c r="AT498" s="108"/>
      <c r="AU498" s="108"/>
      <c r="AV498" s="108"/>
      <c r="AW498" s="108"/>
      <c r="AX498" s="108"/>
      <c r="AY498" s="108"/>
      <c r="AZ498" s="108"/>
      <c r="BA498" s="108"/>
      <c r="BB498" s="108"/>
    </row>
    <row r="499" spans="3:54" ht="12.75" customHeight="1" x14ac:dyDescent="0.25">
      <c r="C499" s="108"/>
      <c r="D499" s="108"/>
      <c r="E499" s="108"/>
      <c r="F499" s="108"/>
      <c r="G499" s="108"/>
      <c r="H499" s="108"/>
      <c r="I499" s="108"/>
      <c r="J499" s="108"/>
      <c r="K499" s="108"/>
      <c r="L499" s="108"/>
      <c r="M499" s="108"/>
      <c r="N499" s="108"/>
      <c r="O499" s="108"/>
      <c r="P499" s="108"/>
      <c r="Q499" s="108"/>
      <c r="R499" s="108"/>
      <c r="S499" s="108"/>
      <c r="T499" s="108"/>
      <c r="U499" s="108"/>
      <c r="V499" s="108"/>
      <c r="W499" s="108"/>
      <c r="X499" s="108"/>
      <c r="Y499" s="108"/>
      <c r="Z499" s="108"/>
      <c r="AA499" s="108"/>
      <c r="AB499" s="108"/>
      <c r="AC499" s="108"/>
      <c r="AD499" s="108"/>
      <c r="AE499" s="108"/>
      <c r="AF499" s="108"/>
      <c r="AG499" s="108"/>
      <c r="AH499" s="108"/>
      <c r="AI499" s="108"/>
      <c r="AJ499" s="108"/>
      <c r="AK499" s="108"/>
      <c r="AL499" s="108"/>
      <c r="AM499" s="108"/>
      <c r="AN499" s="108"/>
      <c r="AO499" s="108"/>
      <c r="AP499" s="108"/>
      <c r="AQ499" s="108"/>
      <c r="AR499" s="108"/>
      <c r="AS499" s="108"/>
      <c r="AT499" s="108"/>
      <c r="AU499" s="108"/>
      <c r="AV499" s="108"/>
      <c r="AW499" s="108"/>
      <c r="AX499" s="108"/>
      <c r="AY499" s="108"/>
      <c r="AZ499" s="108"/>
      <c r="BA499" s="108"/>
      <c r="BB499" s="108"/>
    </row>
    <row r="500" spans="3:54" ht="12.75" customHeight="1" x14ac:dyDescent="0.25">
      <c r="C500" s="108"/>
      <c r="D500" s="108"/>
      <c r="E500" s="108"/>
      <c r="F500" s="108"/>
      <c r="G500" s="108"/>
      <c r="H500" s="108"/>
      <c r="I500" s="108"/>
      <c r="J500" s="108"/>
      <c r="K500" s="108"/>
      <c r="L500" s="108"/>
      <c r="M500" s="108"/>
      <c r="N500" s="108"/>
      <c r="O500" s="108"/>
      <c r="P500" s="108"/>
      <c r="Q500" s="108"/>
      <c r="R500" s="108"/>
      <c r="S500" s="108"/>
      <c r="T500" s="108"/>
      <c r="U500" s="108"/>
      <c r="V500" s="108"/>
      <c r="W500" s="108"/>
      <c r="X500" s="108"/>
      <c r="Y500" s="108"/>
      <c r="Z500" s="108"/>
      <c r="AA500" s="108"/>
      <c r="AB500" s="108"/>
      <c r="AC500" s="108"/>
      <c r="AD500" s="108"/>
      <c r="AE500" s="108"/>
      <c r="AF500" s="108"/>
      <c r="AG500" s="108"/>
      <c r="AH500" s="108"/>
      <c r="AI500" s="108"/>
      <c r="AJ500" s="108"/>
      <c r="AK500" s="108"/>
      <c r="AL500" s="108"/>
      <c r="AM500" s="108"/>
      <c r="AN500" s="108"/>
      <c r="AO500" s="108"/>
      <c r="AP500" s="108"/>
      <c r="AQ500" s="108"/>
      <c r="AR500" s="108"/>
      <c r="AS500" s="108"/>
      <c r="AT500" s="108"/>
      <c r="AU500" s="108"/>
      <c r="AV500" s="108"/>
      <c r="AW500" s="108"/>
      <c r="AX500" s="108"/>
      <c r="AY500" s="108"/>
      <c r="AZ500" s="108"/>
      <c r="BA500" s="108"/>
      <c r="BB500" s="108"/>
    </row>
    <row r="501" spans="3:54" ht="12.75" customHeight="1" x14ac:dyDescent="0.25">
      <c r="C501" s="108"/>
      <c r="D501" s="108"/>
      <c r="E501" s="108"/>
      <c r="F501" s="108"/>
      <c r="G501" s="108"/>
      <c r="H501" s="108"/>
      <c r="I501" s="108"/>
      <c r="J501" s="108"/>
      <c r="K501" s="108"/>
      <c r="L501" s="108"/>
      <c r="M501" s="108"/>
      <c r="N501" s="108"/>
      <c r="O501" s="108"/>
      <c r="P501" s="108"/>
      <c r="Q501" s="108"/>
      <c r="R501" s="108"/>
      <c r="S501" s="108"/>
      <c r="T501" s="108"/>
      <c r="U501" s="108"/>
      <c r="V501" s="108"/>
      <c r="W501" s="108"/>
      <c r="X501" s="108"/>
      <c r="Y501" s="108"/>
      <c r="Z501" s="108"/>
      <c r="AA501" s="108"/>
      <c r="AB501" s="108"/>
      <c r="AC501" s="108"/>
      <c r="AD501" s="108"/>
      <c r="AE501" s="108"/>
      <c r="AF501" s="108"/>
      <c r="AG501" s="108"/>
      <c r="AH501" s="108"/>
      <c r="AI501" s="108"/>
      <c r="AJ501" s="108"/>
      <c r="AK501" s="108"/>
      <c r="AL501" s="108"/>
      <c r="AM501" s="108"/>
      <c r="AN501" s="108"/>
      <c r="AO501" s="108"/>
      <c r="AP501" s="108"/>
      <c r="AQ501" s="108"/>
      <c r="AR501" s="108"/>
      <c r="AS501" s="108"/>
      <c r="AT501" s="108"/>
      <c r="AU501" s="108"/>
      <c r="AV501" s="108"/>
      <c r="AW501" s="108"/>
      <c r="AX501" s="108"/>
      <c r="AY501" s="108"/>
      <c r="AZ501" s="108"/>
      <c r="BA501" s="108"/>
      <c r="BB501" s="108"/>
    </row>
    <row r="502" spans="3:54" ht="12.75" customHeight="1" x14ac:dyDescent="0.25">
      <c r="C502" s="108"/>
      <c r="D502" s="108"/>
      <c r="E502" s="108"/>
      <c r="F502" s="108"/>
      <c r="G502" s="108"/>
      <c r="H502" s="108"/>
      <c r="I502" s="108"/>
      <c r="J502" s="108"/>
      <c r="K502" s="108"/>
      <c r="L502" s="108"/>
      <c r="M502" s="108"/>
      <c r="N502" s="108"/>
      <c r="O502" s="108"/>
      <c r="P502" s="108"/>
      <c r="Q502" s="108"/>
      <c r="R502" s="108"/>
      <c r="S502" s="108"/>
      <c r="T502" s="108"/>
      <c r="U502" s="108"/>
      <c r="V502" s="108"/>
      <c r="W502" s="108"/>
      <c r="X502" s="108"/>
      <c r="Y502" s="108"/>
      <c r="Z502" s="108"/>
      <c r="AA502" s="108"/>
      <c r="AB502" s="108"/>
      <c r="AC502" s="108"/>
      <c r="AD502" s="108"/>
      <c r="AE502" s="108"/>
      <c r="AF502" s="108"/>
      <c r="AG502" s="108"/>
      <c r="AH502" s="108"/>
      <c r="AI502" s="108"/>
      <c r="AJ502" s="108"/>
      <c r="AK502" s="108"/>
      <c r="AL502" s="108"/>
      <c r="AM502" s="108"/>
      <c r="AN502" s="108"/>
      <c r="AO502" s="108"/>
      <c r="AP502" s="108"/>
      <c r="AQ502" s="108"/>
      <c r="AR502" s="108"/>
      <c r="AS502" s="108"/>
      <c r="AT502" s="108"/>
      <c r="AU502" s="108"/>
      <c r="AV502" s="108"/>
      <c r="AW502" s="108"/>
      <c r="AX502" s="108"/>
      <c r="AY502" s="108"/>
      <c r="AZ502" s="108"/>
      <c r="BA502" s="108"/>
      <c r="BB502" s="108"/>
    </row>
    <row r="503" spans="3:54" ht="12.75" customHeight="1" x14ac:dyDescent="0.25">
      <c r="C503" s="108"/>
      <c r="D503" s="108"/>
      <c r="E503" s="108"/>
      <c r="F503" s="108"/>
      <c r="G503" s="108"/>
      <c r="H503" s="108"/>
      <c r="I503" s="108"/>
      <c r="J503" s="108"/>
      <c r="K503" s="108"/>
      <c r="L503" s="108"/>
      <c r="M503" s="108"/>
      <c r="N503" s="108"/>
      <c r="O503" s="108"/>
      <c r="P503" s="108"/>
      <c r="Q503" s="108"/>
      <c r="R503" s="108"/>
      <c r="S503" s="108"/>
      <c r="T503" s="108"/>
      <c r="U503" s="108"/>
      <c r="V503" s="108"/>
      <c r="W503" s="108"/>
      <c r="X503" s="108"/>
      <c r="Y503" s="108"/>
      <c r="Z503" s="108"/>
      <c r="AA503" s="108"/>
      <c r="AB503" s="108"/>
      <c r="AC503" s="108"/>
      <c r="AD503" s="108"/>
      <c r="AE503" s="108"/>
      <c r="AF503" s="108"/>
      <c r="AG503" s="108"/>
      <c r="AH503" s="108"/>
      <c r="AI503" s="108"/>
      <c r="AJ503" s="108"/>
      <c r="AK503" s="108"/>
      <c r="AL503" s="108"/>
      <c r="AM503" s="108"/>
      <c r="AN503" s="108"/>
      <c r="AO503" s="108"/>
      <c r="AP503" s="108"/>
      <c r="AQ503" s="108"/>
      <c r="AR503" s="108"/>
      <c r="AS503" s="108"/>
      <c r="AT503" s="108"/>
      <c r="AU503" s="108"/>
      <c r="AV503" s="108"/>
      <c r="AW503" s="108"/>
      <c r="AX503" s="108"/>
      <c r="AY503" s="108"/>
      <c r="AZ503" s="108"/>
      <c r="BA503" s="108"/>
      <c r="BB503" s="108"/>
    </row>
    <row r="504" spans="3:54" ht="12.75" customHeight="1" x14ac:dyDescent="0.25">
      <c r="C504" s="108"/>
      <c r="D504" s="108"/>
      <c r="E504" s="108"/>
      <c r="F504" s="108"/>
      <c r="G504" s="108"/>
      <c r="H504" s="108"/>
      <c r="I504" s="108"/>
      <c r="J504" s="108"/>
      <c r="K504" s="108"/>
      <c r="L504" s="108"/>
      <c r="M504" s="108"/>
      <c r="N504" s="108"/>
      <c r="O504" s="108"/>
      <c r="P504" s="108"/>
      <c r="Q504" s="108"/>
      <c r="R504" s="108"/>
      <c r="S504" s="108"/>
      <c r="T504" s="108"/>
      <c r="U504" s="108"/>
      <c r="V504" s="108"/>
      <c r="W504" s="108"/>
      <c r="X504" s="108"/>
      <c r="Y504" s="108"/>
      <c r="Z504" s="108"/>
      <c r="AA504" s="108"/>
      <c r="AB504" s="108"/>
      <c r="AC504" s="108"/>
      <c r="AD504" s="108"/>
      <c r="AE504" s="108"/>
      <c r="AF504" s="108"/>
      <c r="AG504" s="108"/>
      <c r="AH504" s="108"/>
      <c r="AI504" s="108"/>
      <c r="AJ504" s="108"/>
      <c r="AK504" s="108"/>
      <c r="AL504" s="108"/>
      <c r="AM504" s="108"/>
      <c r="AN504" s="108"/>
      <c r="AO504" s="108"/>
      <c r="AP504" s="108"/>
      <c r="AQ504" s="108"/>
      <c r="AR504" s="108"/>
      <c r="AS504" s="108"/>
      <c r="AT504" s="108"/>
      <c r="AU504" s="108"/>
      <c r="AV504" s="108"/>
      <c r="AW504" s="108"/>
      <c r="AX504" s="108"/>
      <c r="AY504" s="108"/>
      <c r="AZ504" s="108"/>
      <c r="BA504" s="108"/>
      <c r="BB504" s="108"/>
    </row>
    <row r="505" spans="3:54" ht="12.75" customHeight="1" x14ac:dyDescent="0.25">
      <c r="C505" s="108"/>
      <c r="D505" s="108"/>
      <c r="E505" s="108"/>
      <c r="F505" s="108"/>
      <c r="G505" s="108"/>
      <c r="H505" s="108"/>
      <c r="I505" s="108"/>
      <c r="J505" s="108"/>
      <c r="K505" s="108"/>
      <c r="L505" s="108"/>
      <c r="M505" s="108"/>
      <c r="N505" s="108"/>
      <c r="O505" s="108"/>
      <c r="P505" s="108"/>
      <c r="Q505" s="108"/>
      <c r="R505" s="108"/>
      <c r="S505" s="108"/>
      <c r="T505" s="108"/>
      <c r="U505" s="108"/>
      <c r="V505" s="108"/>
      <c r="W505" s="108"/>
      <c r="X505" s="108"/>
      <c r="Y505" s="108"/>
      <c r="Z505" s="108"/>
      <c r="AA505" s="108"/>
      <c r="AB505" s="108"/>
      <c r="AC505" s="108"/>
      <c r="AD505" s="108"/>
      <c r="AE505" s="108"/>
      <c r="AF505" s="108"/>
      <c r="AG505" s="108"/>
      <c r="AH505" s="108"/>
      <c r="AI505" s="108"/>
      <c r="AJ505" s="108"/>
      <c r="AK505" s="108"/>
      <c r="AL505" s="108"/>
      <c r="AM505" s="108"/>
      <c r="AN505" s="108"/>
      <c r="AO505" s="108"/>
      <c r="AP505" s="108"/>
      <c r="AQ505" s="108"/>
      <c r="AR505" s="108"/>
      <c r="AS505" s="108"/>
      <c r="AT505" s="108"/>
      <c r="AU505" s="108"/>
      <c r="AV505" s="108"/>
      <c r="AW505" s="108"/>
      <c r="AX505" s="108"/>
      <c r="AY505" s="108"/>
      <c r="AZ505" s="108"/>
      <c r="BA505" s="108"/>
      <c r="BB505" s="108"/>
    </row>
    <row r="506" spans="3:54" ht="12.75" customHeight="1" x14ac:dyDescent="0.25">
      <c r="C506" s="108"/>
      <c r="D506" s="108"/>
      <c r="E506" s="108"/>
      <c r="F506" s="108"/>
      <c r="G506" s="108"/>
      <c r="H506" s="108"/>
      <c r="I506" s="108"/>
      <c r="J506" s="108"/>
      <c r="K506" s="108"/>
      <c r="L506" s="108"/>
      <c r="M506" s="108"/>
      <c r="N506" s="108"/>
      <c r="O506" s="108"/>
      <c r="P506" s="108"/>
      <c r="Q506" s="108"/>
      <c r="R506" s="108"/>
      <c r="S506" s="108"/>
      <c r="T506" s="108"/>
      <c r="U506" s="108"/>
      <c r="V506" s="108"/>
      <c r="W506" s="108"/>
      <c r="X506" s="108"/>
      <c r="Y506" s="108"/>
      <c r="Z506" s="108"/>
      <c r="AA506" s="108"/>
      <c r="AB506" s="108"/>
      <c r="AC506" s="108"/>
      <c r="AD506" s="108"/>
      <c r="AE506" s="108"/>
      <c r="AF506" s="108"/>
      <c r="AG506" s="108"/>
      <c r="AH506" s="108"/>
      <c r="AI506" s="108"/>
      <c r="AJ506" s="108"/>
      <c r="AK506" s="108"/>
      <c r="AL506" s="108"/>
      <c r="AM506" s="108"/>
      <c r="AN506" s="108"/>
      <c r="AO506" s="108"/>
      <c r="AP506" s="108"/>
      <c r="AQ506" s="108"/>
      <c r="AR506" s="108"/>
      <c r="AS506" s="108"/>
      <c r="AT506" s="108"/>
      <c r="AU506" s="108"/>
      <c r="AV506" s="108"/>
      <c r="AW506" s="108"/>
      <c r="AX506" s="108"/>
      <c r="AY506" s="108"/>
      <c r="AZ506" s="108"/>
      <c r="BA506" s="108"/>
      <c r="BB506" s="108"/>
    </row>
    <row r="507" spans="3:54" ht="12.75" customHeight="1" x14ac:dyDescent="0.25">
      <c r="C507" s="108"/>
      <c r="D507" s="108"/>
      <c r="E507" s="108"/>
      <c r="F507" s="108"/>
      <c r="G507" s="108"/>
      <c r="H507" s="108"/>
      <c r="I507" s="108"/>
      <c r="J507" s="108"/>
      <c r="K507" s="108"/>
      <c r="L507" s="108"/>
      <c r="M507" s="108"/>
      <c r="N507" s="108"/>
      <c r="O507" s="108"/>
      <c r="P507" s="108"/>
      <c r="Q507" s="108"/>
      <c r="R507" s="108"/>
      <c r="S507" s="108"/>
      <c r="T507" s="108"/>
      <c r="U507" s="108"/>
      <c r="V507" s="108"/>
      <c r="W507" s="108"/>
      <c r="X507" s="108"/>
      <c r="Y507" s="108"/>
      <c r="Z507" s="108"/>
      <c r="AA507" s="108"/>
      <c r="AB507" s="108"/>
      <c r="AC507" s="108"/>
      <c r="AD507" s="108"/>
      <c r="AE507" s="108"/>
      <c r="AF507" s="108"/>
      <c r="AG507" s="108"/>
      <c r="AH507" s="108"/>
      <c r="AI507" s="108"/>
      <c r="AJ507" s="108"/>
      <c r="AK507" s="108"/>
      <c r="AL507" s="108"/>
      <c r="AM507" s="108"/>
      <c r="AN507" s="108"/>
      <c r="AO507" s="108"/>
      <c r="AP507" s="108"/>
      <c r="AQ507" s="108"/>
      <c r="AR507" s="108"/>
      <c r="AS507" s="108"/>
      <c r="AT507" s="108"/>
      <c r="AU507" s="108"/>
      <c r="AV507" s="108"/>
      <c r="AW507" s="108"/>
      <c r="AX507" s="108"/>
      <c r="AY507" s="108"/>
      <c r="AZ507" s="108"/>
      <c r="BA507" s="108"/>
      <c r="BB507" s="108"/>
    </row>
    <row r="508" spans="3:54" ht="12.75" customHeight="1" x14ac:dyDescent="0.25">
      <c r="C508" s="108"/>
      <c r="D508" s="108"/>
      <c r="E508" s="108"/>
      <c r="F508" s="108"/>
      <c r="G508" s="108"/>
      <c r="H508" s="108"/>
      <c r="I508" s="108"/>
      <c r="J508" s="108"/>
      <c r="K508" s="108"/>
      <c r="L508" s="108"/>
      <c r="M508" s="108"/>
      <c r="N508" s="108"/>
      <c r="O508" s="108"/>
      <c r="P508" s="108"/>
      <c r="Q508" s="108"/>
      <c r="R508" s="108"/>
      <c r="S508" s="108"/>
      <c r="T508" s="108"/>
      <c r="U508" s="108"/>
      <c r="V508" s="108"/>
      <c r="W508" s="108"/>
      <c r="X508" s="108"/>
      <c r="Y508" s="108"/>
      <c r="Z508" s="108"/>
      <c r="AA508" s="108"/>
      <c r="AB508" s="108"/>
      <c r="AC508" s="108"/>
      <c r="AD508" s="108"/>
      <c r="AE508" s="108"/>
      <c r="AF508" s="108"/>
      <c r="AG508" s="108"/>
      <c r="AH508" s="108"/>
      <c r="AI508" s="108"/>
      <c r="AJ508" s="108"/>
      <c r="AK508" s="108"/>
      <c r="AL508" s="108"/>
      <c r="AM508" s="108"/>
      <c r="AN508" s="108"/>
      <c r="AO508" s="108"/>
      <c r="AP508" s="108"/>
      <c r="AQ508" s="108"/>
      <c r="AR508" s="108"/>
      <c r="AS508" s="108"/>
      <c r="AT508" s="108"/>
      <c r="AU508" s="108"/>
      <c r="AV508" s="108"/>
      <c r="AW508" s="108"/>
      <c r="AX508" s="108"/>
      <c r="AY508" s="108"/>
      <c r="AZ508" s="108"/>
      <c r="BA508" s="108"/>
      <c r="BB508" s="108"/>
    </row>
    <row r="509" spans="3:54" ht="12.75" customHeight="1" x14ac:dyDescent="0.25">
      <c r="C509" s="108"/>
      <c r="D509" s="108"/>
      <c r="E509" s="108"/>
      <c r="F509" s="108"/>
      <c r="G509" s="108"/>
      <c r="H509" s="108"/>
      <c r="I509" s="108"/>
      <c r="J509" s="108"/>
      <c r="K509" s="108"/>
      <c r="L509" s="108"/>
      <c r="M509" s="108"/>
      <c r="N509" s="108"/>
      <c r="O509" s="108"/>
      <c r="P509" s="108"/>
      <c r="Q509" s="108"/>
      <c r="R509" s="108"/>
      <c r="S509" s="108"/>
      <c r="T509" s="108"/>
      <c r="U509" s="108"/>
      <c r="V509" s="108"/>
      <c r="W509" s="108"/>
      <c r="X509" s="108"/>
      <c r="Y509" s="108"/>
      <c r="Z509" s="108"/>
      <c r="AA509" s="108"/>
      <c r="AB509" s="108"/>
      <c r="AC509" s="108"/>
      <c r="AD509" s="108"/>
      <c r="AE509" s="108"/>
      <c r="AF509" s="108"/>
      <c r="AG509" s="108"/>
      <c r="AH509" s="108"/>
      <c r="AI509" s="108"/>
      <c r="AJ509" s="108"/>
      <c r="AK509" s="108"/>
      <c r="AL509" s="108"/>
      <c r="AM509" s="108"/>
      <c r="AN509" s="108"/>
      <c r="AO509" s="108"/>
      <c r="AP509" s="108"/>
      <c r="AQ509" s="108"/>
      <c r="AR509" s="108"/>
      <c r="AS509" s="108"/>
      <c r="AT509" s="108"/>
      <c r="AU509" s="108"/>
      <c r="AV509" s="108"/>
      <c r="AW509" s="108"/>
      <c r="AX509" s="108"/>
      <c r="AY509" s="108"/>
      <c r="AZ509" s="108"/>
      <c r="BA509" s="108"/>
      <c r="BB509" s="108"/>
    </row>
    <row r="510" spans="3:54" ht="12.75" customHeight="1" x14ac:dyDescent="0.25">
      <c r="C510" s="108"/>
      <c r="D510" s="108"/>
      <c r="E510" s="108"/>
      <c r="F510" s="108"/>
      <c r="G510" s="108"/>
      <c r="H510" s="108"/>
      <c r="I510" s="108"/>
      <c r="J510" s="108"/>
      <c r="K510" s="108"/>
      <c r="L510" s="108"/>
      <c r="M510" s="108"/>
      <c r="N510" s="108"/>
      <c r="O510" s="108"/>
      <c r="P510" s="108"/>
      <c r="Q510" s="108"/>
      <c r="R510" s="108"/>
      <c r="S510" s="108"/>
      <c r="T510" s="108"/>
      <c r="U510" s="108"/>
      <c r="V510" s="108"/>
      <c r="W510" s="108"/>
      <c r="X510" s="108"/>
      <c r="Y510" s="108"/>
      <c r="Z510" s="108"/>
      <c r="AA510" s="108"/>
      <c r="AB510" s="108"/>
      <c r="AC510" s="108"/>
      <c r="AD510" s="108"/>
      <c r="AE510" s="108"/>
      <c r="AF510" s="108"/>
      <c r="AG510" s="108"/>
      <c r="AH510" s="108"/>
      <c r="AI510" s="108"/>
      <c r="AJ510" s="108"/>
      <c r="AK510" s="108"/>
      <c r="AL510" s="108"/>
      <c r="AM510" s="108"/>
      <c r="AN510" s="108"/>
      <c r="AO510" s="108"/>
      <c r="AP510" s="108"/>
      <c r="AQ510" s="108"/>
      <c r="AR510" s="108"/>
      <c r="AS510" s="108"/>
      <c r="AT510" s="108"/>
      <c r="AU510" s="108"/>
      <c r="AV510" s="108"/>
      <c r="AW510" s="108"/>
      <c r="AX510" s="108"/>
      <c r="AY510" s="108"/>
      <c r="AZ510" s="108"/>
      <c r="BA510" s="108"/>
      <c r="BB510" s="108"/>
    </row>
    <row r="511" spans="3:54" ht="12.75" customHeight="1" x14ac:dyDescent="0.25">
      <c r="C511" s="108"/>
      <c r="D511" s="108"/>
      <c r="E511" s="108"/>
      <c r="F511" s="108"/>
      <c r="G511" s="108"/>
      <c r="H511" s="108"/>
      <c r="I511" s="108"/>
      <c r="J511" s="108"/>
      <c r="K511" s="108"/>
      <c r="L511" s="108"/>
      <c r="M511" s="108"/>
      <c r="N511" s="108"/>
      <c r="O511" s="108"/>
      <c r="P511" s="108"/>
      <c r="Q511" s="108"/>
      <c r="R511" s="108"/>
      <c r="S511" s="108"/>
      <c r="T511" s="108"/>
      <c r="U511" s="108"/>
      <c r="V511" s="108"/>
      <c r="W511" s="108"/>
      <c r="X511" s="108"/>
      <c r="Y511" s="108"/>
      <c r="Z511" s="108"/>
      <c r="AA511" s="108"/>
      <c r="AB511" s="108"/>
      <c r="AC511" s="108"/>
      <c r="AD511" s="108"/>
      <c r="AE511" s="108"/>
      <c r="AF511" s="108"/>
      <c r="AG511" s="108"/>
      <c r="AH511" s="108"/>
      <c r="AI511" s="108"/>
      <c r="AJ511" s="108"/>
      <c r="AK511" s="108"/>
      <c r="AL511" s="108"/>
      <c r="AM511" s="108"/>
      <c r="AN511" s="108"/>
      <c r="AO511" s="108"/>
      <c r="AP511" s="108"/>
      <c r="AQ511" s="108"/>
      <c r="AR511" s="108"/>
      <c r="AS511" s="108"/>
      <c r="AT511" s="108"/>
      <c r="AU511" s="108"/>
      <c r="AV511" s="108"/>
      <c r="AW511" s="108"/>
      <c r="AX511" s="108"/>
      <c r="AY511" s="108"/>
      <c r="AZ511" s="108"/>
      <c r="BA511" s="108"/>
      <c r="BB511" s="108"/>
    </row>
    <row r="512" spans="3:54" ht="12.75" customHeight="1" x14ac:dyDescent="0.25">
      <c r="C512" s="108"/>
      <c r="D512" s="108"/>
      <c r="E512" s="108"/>
      <c r="F512" s="108"/>
      <c r="G512" s="108"/>
      <c r="H512" s="108"/>
      <c r="I512" s="108"/>
      <c r="J512" s="108"/>
      <c r="K512" s="108"/>
      <c r="L512" s="108"/>
      <c r="M512" s="108"/>
      <c r="N512" s="108"/>
      <c r="O512" s="108"/>
      <c r="P512" s="108"/>
      <c r="Q512" s="108"/>
      <c r="R512" s="108"/>
      <c r="S512" s="108"/>
      <c r="T512" s="108"/>
      <c r="U512" s="108"/>
      <c r="V512" s="108"/>
      <c r="W512" s="108"/>
      <c r="X512" s="108"/>
      <c r="Y512" s="108"/>
      <c r="Z512" s="108"/>
      <c r="AA512" s="108"/>
      <c r="AB512" s="108"/>
      <c r="AC512" s="108"/>
      <c r="AD512" s="108"/>
      <c r="AE512" s="108"/>
      <c r="AF512" s="108"/>
      <c r="AG512" s="108"/>
      <c r="AH512" s="108"/>
      <c r="AI512" s="108"/>
      <c r="AJ512" s="108"/>
      <c r="AK512" s="108"/>
      <c r="AL512" s="108"/>
      <c r="AM512" s="108"/>
      <c r="AN512" s="108"/>
      <c r="AO512" s="108"/>
      <c r="AP512" s="108"/>
      <c r="AQ512" s="108"/>
      <c r="AR512" s="108"/>
      <c r="AS512" s="108"/>
      <c r="AT512" s="108"/>
      <c r="AU512" s="108"/>
      <c r="AV512" s="108"/>
      <c r="AW512" s="108"/>
      <c r="AX512" s="108"/>
      <c r="AY512" s="108"/>
      <c r="AZ512" s="108"/>
      <c r="BA512" s="108"/>
      <c r="BB512" s="108"/>
    </row>
    <row r="513" spans="3:54" ht="12.75" customHeight="1" x14ac:dyDescent="0.25">
      <c r="C513" s="108"/>
      <c r="D513" s="108"/>
      <c r="E513" s="108"/>
      <c r="F513" s="108"/>
      <c r="G513" s="108"/>
      <c r="H513" s="108"/>
      <c r="I513" s="108"/>
      <c r="J513" s="108"/>
      <c r="K513" s="108"/>
      <c r="L513" s="108"/>
      <c r="M513" s="108"/>
      <c r="N513" s="108"/>
      <c r="O513" s="108"/>
      <c r="P513" s="108"/>
      <c r="Q513" s="108"/>
      <c r="R513" s="108"/>
      <c r="S513" s="108"/>
      <c r="T513" s="108"/>
      <c r="U513" s="108"/>
      <c r="V513" s="108"/>
      <c r="W513" s="108"/>
      <c r="X513" s="108"/>
      <c r="Y513" s="108"/>
      <c r="Z513" s="108"/>
      <c r="AA513" s="108"/>
      <c r="AB513" s="108"/>
      <c r="AC513" s="108"/>
      <c r="AD513" s="108"/>
      <c r="AE513" s="108"/>
      <c r="AF513" s="108"/>
      <c r="AG513" s="108"/>
      <c r="AH513" s="108"/>
      <c r="AI513" s="108"/>
      <c r="AJ513" s="108"/>
      <c r="AK513" s="108"/>
      <c r="AL513" s="108"/>
      <c r="AM513" s="108"/>
      <c r="AN513" s="108"/>
      <c r="AO513" s="108"/>
      <c r="AP513" s="108"/>
      <c r="AQ513" s="108"/>
      <c r="AR513" s="108"/>
      <c r="AS513" s="108"/>
      <c r="AT513" s="108"/>
      <c r="AU513" s="108"/>
      <c r="AV513" s="108"/>
      <c r="AW513" s="108"/>
      <c r="AX513" s="108"/>
      <c r="AY513" s="108"/>
      <c r="AZ513" s="108"/>
      <c r="BA513" s="108"/>
      <c r="BB513" s="108"/>
    </row>
    <row r="514" spans="3:54" ht="12.75" customHeight="1" x14ac:dyDescent="0.25">
      <c r="C514" s="108"/>
      <c r="D514" s="108"/>
      <c r="E514" s="108"/>
      <c r="F514" s="108"/>
      <c r="G514" s="108"/>
      <c r="H514" s="108"/>
      <c r="I514" s="108"/>
      <c r="J514" s="108"/>
      <c r="K514" s="108"/>
      <c r="L514" s="108"/>
      <c r="M514" s="108"/>
      <c r="N514" s="108"/>
      <c r="O514" s="108"/>
      <c r="P514" s="108"/>
      <c r="Q514" s="108"/>
      <c r="R514" s="108"/>
      <c r="S514" s="108"/>
      <c r="T514" s="108"/>
      <c r="U514" s="108"/>
      <c r="V514" s="108"/>
      <c r="W514" s="108"/>
      <c r="X514" s="108"/>
      <c r="Y514" s="108"/>
      <c r="Z514" s="108"/>
      <c r="AA514" s="108"/>
      <c r="AB514" s="108"/>
      <c r="AC514" s="108"/>
      <c r="AD514" s="108"/>
      <c r="AE514" s="108"/>
      <c r="AF514" s="108"/>
      <c r="AG514" s="108"/>
      <c r="AH514" s="108"/>
      <c r="AI514" s="108"/>
      <c r="AJ514" s="108"/>
      <c r="AK514" s="108"/>
      <c r="AL514" s="108"/>
      <c r="AM514" s="108"/>
      <c r="AN514" s="108"/>
      <c r="AO514" s="108"/>
      <c r="AP514" s="108"/>
      <c r="AQ514" s="108"/>
      <c r="AR514" s="108"/>
      <c r="AS514" s="108"/>
      <c r="AT514" s="108"/>
      <c r="AU514" s="108"/>
      <c r="AV514" s="108"/>
      <c r="AW514" s="108"/>
      <c r="AX514" s="108"/>
      <c r="AY514" s="108"/>
      <c r="AZ514" s="108"/>
      <c r="BA514" s="108"/>
      <c r="BB514" s="108"/>
    </row>
    <row r="515" spans="3:54" ht="12.75" customHeight="1" x14ac:dyDescent="0.25">
      <c r="C515" s="108"/>
      <c r="D515" s="108"/>
      <c r="E515" s="108"/>
      <c r="F515" s="108"/>
      <c r="G515" s="108"/>
      <c r="H515" s="108"/>
      <c r="I515" s="108"/>
      <c r="J515" s="108"/>
      <c r="K515" s="108"/>
      <c r="L515" s="108"/>
      <c r="M515" s="108"/>
      <c r="N515" s="108"/>
      <c r="O515" s="108"/>
      <c r="P515" s="108"/>
      <c r="Q515" s="108"/>
      <c r="R515" s="108"/>
      <c r="S515" s="108"/>
      <c r="T515" s="108"/>
      <c r="U515" s="108"/>
      <c r="V515" s="108"/>
      <c r="W515" s="108"/>
      <c r="X515" s="108"/>
      <c r="Y515" s="108"/>
      <c r="Z515" s="108"/>
      <c r="AA515" s="108"/>
      <c r="AB515" s="108"/>
      <c r="AC515" s="108"/>
      <c r="AD515" s="108"/>
      <c r="AE515" s="108"/>
      <c r="AF515" s="108"/>
      <c r="AG515" s="108"/>
      <c r="AH515" s="108"/>
      <c r="AI515" s="108"/>
      <c r="AJ515" s="108"/>
      <c r="AK515" s="108"/>
      <c r="AL515" s="108"/>
      <c r="AM515" s="108"/>
      <c r="AN515" s="108"/>
      <c r="AO515" s="108"/>
      <c r="AP515" s="108"/>
      <c r="AQ515" s="108"/>
      <c r="AR515" s="108"/>
      <c r="AS515" s="108"/>
      <c r="AT515" s="108"/>
      <c r="AU515" s="108"/>
      <c r="AV515" s="108"/>
      <c r="AW515" s="108"/>
      <c r="AX515" s="108"/>
      <c r="AY515" s="108"/>
      <c r="AZ515" s="108"/>
      <c r="BA515" s="108"/>
      <c r="BB515" s="108"/>
    </row>
    <row r="516" spans="3:54" ht="12.75" customHeight="1" x14ac:dyDescent="0.25">
      <c r="C516" s="108"/>
      <c r="D516" s="108"/>
      <c r="E516" s="108"/>
      <c r="F516" s="108"/>
      <c r="G516" s="108"/>
      <c r="H516" s="108"/>
      <c r="I516" s="108"/>
      <c r="J516" s="108"/>
      <c r="K516" s="108"/>
      <c r="L516" s="108"/>
      <c r="M516" s="108"/>
      <c r="N516" s="108"/>
      <c r="O516" s="108"/>
      <c r="P516" s="108"/>
      <c r="Q516" s="108"/>
      <c r="R516" s="108"/>
      <c r="S516" s="108"/>
      <c r="T516" s="108"/>
      <c r="U516" s="108"/>
      <c r="V516" s="108"/>
      <c r="W516" s="108"/>
      <c r="X516" s="108"/>
      <c r="Y516" s="108"/>
      <c r="Z516" s="108"/>
      <c r="AA516" s="108"/>
      <c r="AB516" s="108"/>
      <c r="AC516" s="108"/>
      <c r="AD516" s="108"/>
      <c r="AE516" s="108"/>
      <c r="AF516" s="108"/>
      <c r="AG516" s="108"/>
      <c r="AH516" s="108"/>
      <c r="AI516" s="108"/>
      <c r="AJ516" s="108"/>
      <c r="AK516" s="108"/>
      <c r="AL516" s="108"/>
      <c r="AM516" s="108"/>
      <c r="AN516" s="108"/>
      <c r="AO516" s="108"/>
      <c r="AP516" s="108"/>
      <c r="AQ516" s="108"/>
      <c r="AR516" s="108"/>
      <c r="AS516" s="108"/>
      <c r="AT516" s="108"/>
      <c r="AU516" s="108"/>
      <c r="AV516" s="108"/>
      <c r="AW516" s="108"/>
      <c r="AX516" s="108"/>
      <c r="AY516" s="108"/>
      <c r="AZ516" s="108"/>
      <c r="BA516" s="108"/>
      <c r="BB516" s="108"/>
    </row>
    <row r="517" spans="3:54" ht="12.75" customHeight="1" x14ac:dyDescent="0.25">
      <c r="C517" s="108"/>
      <c r="D517" s="108"/>
      <c r="E517" s="108"/>
      <c r="F517" s="108"/>
      <c r="G517" s="108"/>
      <c r="H517" s="108"/>
      <c r="I517" s="108"/>
      <c r="J517" s="108"/>
      <c r="K517" s="108"/>
      <c r="L517" s="108"/>
      <c r="M517" s="108"/>
      <c r="N517" s="108"/>
      <c r="O517" s="108"/>
      <c r="P517" s="108"/>
      <c r="Q517" s="108"/>
      <c r="R517" s="108"/>
      <c r="S517" s="108"/>
      <c r="T517" s="108"/>
      <c r="U517" s="108"/>
      <c r="V517" s="108"/>
      <c r="W517" s="108"/>
      <c r="X517" s="108"/>
      <c r="Y517" s="108"/>
      <c r="Z517" s="108"/>
      <c r="AA517" s="108"/>
      <c r="AB517" s="108"/>
      <c r="AC517" s="108"/>
      <c r="AD517" s="108"/>
      <c r="AE517" s="108"/>
      <c r="AF517" s="108"/>
      <c r="AG517" s="108"/>
      <c r="AH517" s="108"/>
      <c r="AI517" s="108"/>
      <c r="AJ517" s="108"/>
      <c r="AK517" s="108"/>
      <c r="AL517" s="108"/>
      <c r="AM517" s="108"/>
      <c r="AN517" s="108"/>
      <c r="AO517" s="108"/>
      <c r="AP517" s="108"/>
      <c r="AQ517" s="108"/>
      <c r="AR517" s="108"/>
      <c r="AS517" s="108"/>
      <c r="AT517" s="108"/>
      <c r="AU517" s="108"/>
      <c r="AV517" s="108"/>
      <c r="AW517" s="108"/>
      <c r="AX517" s="108"/>
      <c r="AY517" s="108"/>
      <c r="AZ517" s="108"/>
      <c r="BA517" s="108"/>
      <c r="BB517" s="108"/>
    </row>
    <row r="518" spans="3:54" ht="12.75" customHeight="1" x14ac:dyDescent="0.25">
      <c r="C518" s="108"/>
      <c r="D518" s="108"/>
      <c r="E518" s="108"/>
      <c r="F518" s="108"/>
      <c r="G518" s="108"/>
      <c r="H518" s="108"/>
      <c r="I518" s="108"/>
      <c r="J518" s="108"/>
      <c r="K518" s="108"/>
      <c r="L518" s="108"/>
      <c r="M518" s="108"/>
      <c r="N518" s="108"/>
      <c r="O518" s="108"/>
      <c r="P518" s="108"/>
      <c r="Q518" s="108"/>
      <c r="R518" s="108"/>
      <c r="S518" s="108"/>
      <c r="T518" s="108"/>
      <c r="U518" s="108"/>
      <c r="V518" s="108"/>
      <c r="W518" s="108"/>
      <c r="X518" s="108"/>
      <c r="Y518" s="108"/>
      <c r="Z518" s="108"/>
      <c r="AA518" s="108"/>
      <c r="AB518" s="108"/>
      <c r="AC518" s="108"/>
      <c r="AD518" s="108"/>
      <c r="AE518" s="108"/>
      <c r="AF518" s="108"/>
      <c r="AG518" s="108"/>
      <c r="AH518" s="108"/>
      <c r="AI518" s="108"/>
      <c r="AJ518" s="108"/>
      <c r="AK518" s="108"/>
      <c r="AL518" s="108"/>
      <c r="AM518" s="108"/>
      <c r="AN518" s="108"/>
      <c r="AO518" s="108"/>
      <c r="AP518" s="108"/>
      <c r="AQ518" s="108"/>
      <c r="AR518" s="108"/>
      <c r="AS518" s="108"/>
      <c r="AT518" s="108"/>
      <c r="AU518" s="108"/>
      <c r="AV518" s="108"/>
      <c r="AW518" s="108"/>
      <c r="AX518" s="108"/>
      <c r="AY518" s="108"/>
      <c r="AZ518" s="108"/>
      <c r="BA518" s="108"/>
      <c r="BB518" s="108"/>
    </row>
    <row r="519" spans="3:54" ht="12.75" customHeight="1" x14ac:dyDescent="0.25">
      <c r="C519" s="108"/>
      <c r="D519" s="108"/>
      <c r="E519" s="108"/>
      <c r="F519" s="108"/>
      <c r="G519" s="108"/>
      <c r="H519" s="108"/>
      <c r="I519" s="108"/>
      <c r="J519" s="108"/>
      <c r="K519" s="108"/>
      <c r="L519" s="108"/>
      <c r="M519" s="108"/>
      <c r="N519" s="108"/>
      <c r="O519" s="108"/>
      <c r="P519" s="108"/>
      <c r="Q519" s="108"/>
      <c r="R519" s="108"/>
      <c r="S519" s="108"/>
      <c r="T519" s="108"/>
      <c r="U519" s="108"/>
      <c r="V519" s="108"/>
      <c r="W519" s="108"/>
      <c r="X519" s="108"/>
      <c r="Y519" s="108"/>
      <c r="Z519" s="108"/>
      <c r="AA519" s="108"/>
      <c r="AB519" s="108"/>
      <c r="AC519" s="108"/>
      <c r="AD519" s="108"/>
      <c r="AE519" s="108"/>
      <c r="AF519" s="108"/>
      <c r="AG519" s="108"/>
      <c r="AH519" s="108"/>
      <c r="AI519" s="108"/>
      <c r="AJ519" s="108"/>
      <c r="AK519" s="108"/>
      <c r="AL519" s="108"/>
      <c r="AM519" s="108"/>
      <c r="AN519" s="108"/>
      <c r="AO519" s="108"/>
      <c r="AP519" s="108"/>
      <c r="AQ519" s="108"/>
      <c r="AR519" s="108"/>
      <c r="AS519" s="108"/>
      <c r="AT519" s="108"/>
      <c r="AU519" s="108"/>
      <c r="AV519" s="108"/>
      <c r="AW519" s="108"/>
      <c r="AX519" s="108"/>
      <c r="AY519" s="108"/>
      <c r="AZ519" s="108"/>
      <c r="BA519" s="108"/>
      <c r="BB519" s="108"/>
    </row>
    <row r="520" spans="3:54" ht="12.75" customHeight="1" x14ac:dyDescent="0.25">
      <c r="C520" s="108"/>
      <c r="D520" s="108"/>
      <c r="E520" s="108"/>
      <c r="F520" s="108"/>
      <c r="G520" s="108"/>
      <c r="H520" s="108"/>
      <c r="I520" s="108"/>
      <c r="J520" s="108"/>
      <c r="K520" s="108"/>
      <c r="L520" s="108"/>
      <c r="M520" s="108"/>
      <c r="N520" s="108"/>
      <c r="O520" s="108"/>
      <c r="P520" s="108"/>
      <c r="Q520" s="108"/>
      <c r="R520" s="108"/>
      <c r="S520" s="108"/>
      <c r="T520" s="108"/>
      <c r="U520" s="108"/>
      <c r="V520" s="108"/>
      <c r="W520" s="108"/>
      <c r="X520" s="108"/>
      <c r="Y520" s="108"/>
      <c r="Z520" s="108"/>
      <c r="AA520" s="108"/>
      <c r="AB520" s="108"/>
      <c r="AC520" s="108"/>
      <c r="AD520" s="108"/>
      <c r="AE520" s="108"/>
      <c r="AF520" s="108"/>
      <c r="AG520" s="108"/>
      <c r="AH520" s="108"/>
      <c r="AI520" s="108"/>
      <c r="AJ520" s="108"/>
      <c r="AK520" s="108"/>
      <c r="AL520" s="108"/>
      <c r="AM520" s="108"/>
      <c r="AN520" s="108"/>
      <c r="AO520" s="108"/>
      <c r="AP520" s="108"/>
      <c r="AQ520" s="108"/>
      <c r="AR520" s="108"/>
      <c r="AS520" s="108"/>
      <c r="AT520" s="108"/>
      <c r="AU520" s="108"/>
      <c r="AV520" s="108"/>
      <c r="AW520" s="108"/>
      <c r="AX520" s="108"/>
      <c r="AY520" s="108"/>
      <c r="AZ520" s="108"/>
      <c r="BA520" s="108"/>
      <c r="BB520" s="108"/>
    </row>
    <row r="521" spans="3:54" ht="12.75" customHeight="1" x14ac:dyDescent="0.25">
      <c r="C521" s="108"/>
      <c r="D521" s="108"/>
      <c r="E521" s="108"/>
      <c r="F521" s="108"/>
      <c r="G521" s="108"/>
      <c r="H521" s="108"/>
      <c r="I521" s="108"/>
      <c r="J521" s="108"/>
      <c r="K521" s="108"/>
      <c r="L521" s="108"/>
      <c r="M521" s="108"/>
      <c r="N521" s="108"/>
      <c r="O521" s="108"/>
      <c r="P521" s="108"/>
      <c r="Q521" s="108"/>
      <c r="R521" s="108"/>
      <c r="S521" s="108"/>
      <c r="T521" s="108"/>
      <c r="U521" s="108"/>
      <c r="V521" s="108"/>
      <c r="W521" s="108"/>
      <c r="X521" s="108"/>
      <c r="Y521" s="108"/>
      <c r="Z521" s="108"/>
      <c r="AA521" s="108"/>
      <c r="AB521" s="108"/>
      <c r="AC521" s="108"/>
      <c r="AD521" s="108"/>
      <c r="AE521" s="108"/>
      <c r="AF521" s="108"/>
      <c r="AG521" s="108"/>
      <c r="AH521" s="108"/>
      <c r="AI521" s="108"/>
      <c r="AJ521" s="108"/>
      <c r="AK521" s="108"/>
      <c r="AL521" s="108"/>
      <c r="AM521" s="108"/>
      <c r="AN521" s="108"/>
      <c r="AO521" s="108"/>
      <c r="AP521" s="108"/>
      <c r="AQ521" s="108"/>
      <c r="AR521" s="108"/>
      <c r="AS521" s="108"/>
      <c r="AT521" s="108"/>
      <c r="AU521" s="108"/>
      <c r="AV521" s="108"/>
      <c r="AW521" s="108"/>
      <c r="AX521" s="108"/>
      <c r="AY521" s="108"/>
      <c r="AZ521" s="108"/>
      <c r="BA521" s="108"/>
      <c r="BB521" s="108"/>
    </row>
    <row r="522" spans="3:54" ht="12.75" customHeight="1" x14ac:dyDescent="0.25">
      <c r="C522" s="108"/>
      <c r="D522" s="108"/>
      <c r="E522" s="108"/>
      <c r="F522" s="108"/>
      <c r="G522" s="108"/>
      <c r="H522" s="108"/>
      <c r="I522" s="108"/>
      <c r="J522" s="108"/>
      <c r="K522" s="108"/>
      <c r="L522" s="108"/>
      <c r="M522" s="108"/>
      <c r="N522" s="108"/>
      <c r="O522" s="108"/>
      <c r="P522" s="108"/>
      <c r="Q522" s="108"/>
      <c r="R522" s="108"/>
      <c r="S522" s="108"/>
      <c r="T522" s="108"/>
      <c r="U522" s="108"/>
      <c r="V522" s="108"/>
      <c r="W522" s="108"/>
      <c r="X522" s="108"/>
      <c r="Y522" s="108"/>
      <c r="Z522" s="108"/>
      <c r="AA522" s="108"/>
      <c r="AB522" s="108"/>
      <c r="AC522" s="108"/>
      <c r="AD522" s="108"/>
      <c r="AE522" s="108"/>
      <c r="AF522" s="108"/>
      <c r="AG522" s="108"/>
      <c r="AH522" s="108"/>
      <c r="AI522" s="108"/>
      <c r="AJ522" s="108"/>
      <c r="AK522" s="108"/>
      <c r="AL522" s="108"/>
      <c r="AM522" s="108"/>
      <c r="AN522" s="108"/>
      <c r="AO522" s="108"/>
      <c r="AP522" s="108"/>
      <c r="AQ522" s="108"/>
      <c r="AR522" s="108"/>
      <c r="AS522" s="108"/>
      <c r="AT522" s="108"/>
      <c r="AU522" s="108"/>
      <c r="AV522" s="108"/>
      <c r="AW522" s="108"/>
      <c r="AX522" s="108"/>
      <c r="AY522" s="108"/>
      <c r="AZ522" s="108"/>
      <c r="BA522" s="108"/>
      <c r="BB522" s="108"/>
    </row>
    <row r="523" spans="3:54" ht="12.75" customHeight="1" x14ac:dyDescent="0.25">
      <c r="C523" s="108"/>
      <c r="D523" s="108"/>
      <c r="E523" s="108"/>
      <c r="F523" s="108"/>
      <c r="G523" s="108"/>
      <c r="H523" s="108"/>
      <c r="I523" s="108"/>
      <c r="J523" s="108"/>
      <c r="K523" s="108"/>
      <c r="L523" s="108"/>
      <c r="M523" s="108"/>
      <c r="N523" s="108"/>
      <c r="O523" s="108"/>
      <c r="P523" s="108"/>
      <c r="Q523" s="108"/>
      <c r="R523" s="108"/>
      <c r="S523" s="108"/>
      <c r="T523" s="108"/>
      <c r="U523" s="108"/>
      <c r="V523" s="108"/>
      <c r="W523" s="108"/>
      <c r="X523" s="108"/>
      <c r="Y523" s="108"/>
      <c r="Z523" s="108"/>
      <c r="AA523" s="108"/>
      <c r="AB523" s="108"/>
      <c r="AC523" s="108"/>
      <c r="AD523" s="108"/>
      <c r="AE523" s="108"/>
      <c r="AF523" s="108"/>
      <c r="AG523" s="108"/>
      <c r="AH523" s="108"/>
      <c r="AI523" s="108"/>
      <c r="AJ523" s="108"/>
      <c r="AK523" s="108"/>
      <c r="AL523" s="108"/>
      <c r="AM523" s="108"/>
      <c r="AN523" s="108"/>
      <c r="AO523" s="108"/>
      <c r="AP523" s="108"/>
      <c r="AQ523" s="108"/>
      <c r="AR523" s="108"/>
      <c r="AS523" s="108"/>
      <c r="AT523" s="108"/>
      <c r="AU523" s="108"/>
      <c r="AV523" s="108"/>
      <c r="AW523" s="108"/>
      <c r="AX523" s="108"/>
      <c r="AY523" s="108"/>
      <c r="AZ523" s="108"/>
      <c r="BA523" s="108"/>
      <c r="BB523" s="108"/>
    </row>
    <row r="524" spans="3:54" ht="12.75" customHeight="1" x14ac:dyDescent="0.25">
      <c r="C524" s="108"/>
      <c r="D524" s="108"/>
      <c r="E524" s="108"/>
      <c r="F524" s="108"/>
      <c r="G524" s="108"/>
      <c r="H524" s="108"/>
      <c r="I524" s="108"/>
      <c r="J524" s="108"/>
      <c r="K524" s="108"/>
      <c r="L524" s="108"/>
      <c r="M524" s="108"/>
      <c r="N524" s="108"/>
      <c r="O524" s="108"/>
      <c r="P524" s="108"/>
      <c r="Q524" s="108"/>
      <c r="R524" s="108"/>
      <c r="S524" s="108"/>
      <c r="T524" s="108"/>
      <c r="U524" s="108"/>
      <c r="V524" s="108"/>
      <c r="W524" s="108"/>
      <c r="X524" s="108"/>
      <c r="Y524" s="108"/>
      <c r="Z524" s="108"/>
      <c r="AA524" s="108"/>
      <c r="AB524" s="108"/>
      <c r="AC524" s="108"/>
      <c r="AD524" s="108"/>
      <c r="AE524" s="108"/>
      <c r="AF524" s="108"/>
      <c r="AG524" s="108"/>
      <c r="AH524" s="108"/>
      <c r="AI524" s="108"/>
      <c r="AJ524" s="108"/>
      <c r="AK524" s="108"/>
      <c r="AL524" s="108"/>
      <c r="AM524" s="108"/>
      <c r="AN524" s="108"/>
      <c r="AO524" s="108"/>
      <c r="AP524" s="108"/>
      <c r="AQ524" s="108"/>
      <c r="AR524" s="108"/>
      <c r="AS524" s="108"/>
      <c r="AT524" s="108"/>
      <c r="AU524" s="108"/>
      <c r="AV524" s="108"/>
      <c r="AW524" s="108"/>
      <c r="AX524" s="108"/>
      <c r="AY524" s="108"/>
      <c r="AZ524" s="108"/>
      <c r="BA524" s="108"/>
      <c r="BB524" s="108"/>
    </row>
    <row r="525" spans="3:54" ht="12.75" customHeight="1" x14ac:dyDescent="0.25">
      <c r="C525" s="108"/>
      <c r="D525" s="108"/>
      <c r="E525" s="108"/>
      <c r="F525" s="108"/>
      <c r="G525" s="108"/>
      <c r="H525" s="108"/>
      <c r="I525" s="108"/>
      <c r="J525" s="108"/>
      <c r="K525" s="108"/>
      <c r="L525" s="108"/>
      <c r="M525" s="108"/>
      <c r="N525" s="108"/>
      <c r="O525" s="108"/>
      <c r="P525" s="108"/>
      <c r="Q525" s="108"/>
      <c r="R525" s="108"/>
      <c r="S525" s="108"/>
      <c r="T525" s="108"/>
      <c r="U525" s="108"/>
      <c r="V525" s="108"/>
      <c r="W525" s="108"/>
      <c r="X525" s="108"/>
      <c r="Y525" s="108"/>
      <c r="Z525" s="108"/>
      <c r="AA525" s="108"/>
      <c r="AB525" s="108"/>
      <c r="AC525" s="108"/>
      <c r="AD525" s="108"/>
      <c r="AE525" s="108"/>
      <c r="AF525" s="108"/>
      <c r="AG525" s="108"/>
      <c r="AH525" s="108"/>
      <c r="AI525" s="108"/>
      <c r="AJ525" s="108"/>
      <c r="AK525" s="108"/>
      <c r="AL525" s="108"/>
      <c r="AM525" s="108"/>
      <c r="AN525" s="108"/>
      <c r="AO525" s="108"/>
      <c r="AP525" s="108"/>
      <c r="AQ525" s="108"/>
      <c r="AR525" s="108"/>
      <c r="AS525" s="108"/>
      <c r="AT525" s="108"/>
      <c r="AU525" s="108"/>
      <c r="AV525" s="108"/>
      <c r="AW525" s="108"/>
      <c r="AX525" s="108"/>
      <c r="AY525" s="108"/>
      <c r="AZ525" s="108"/>
      <c r="BA525" s="108"/>
      <c r="BB525" s="108"/>
    </row>
    <row r="526" spans="3:54" ht="12.75" customHeight="1" x14ac:dyDescent="0.25">
      <c r="C526" s="108"/>
      <c r="D526" s="108"/>
      <c r="E526" s="108"/>
      <c r="F526" s="108"/>
      <c r="G526" s="108"/>
      <c r="H526" s="108"/>
      <c r="I526" s="108"/>
      <c r="J526" s="108"/>
      <c r="K526" s="108"/>
      <c r="L526" s="108"/>
      <c r="M526" s="108"/>
      <c r="N526" s="108"/>
      <c r="O526" s="108"/>
      <c r="P526" s="108"/>
      <c r="Q526" s="108"/>
      <c r="R526" s="108"/>
      <c r="S526" s="108"/>
      <c r="T526" s="108"/>
      <c r="U526" s="108"/>
      <c r="V526" s="108"/>
      <c r="W526" s="108"/>
      <c r="X526" s="108"/>
      <c r="Y526" s="108"/>
      <c r="Z526" s="108"/>
      <c r="AA526" s="108"/>
      <c r="AB526" s="108"/>
      <c r="AC526" s="108"/>
      <c r="AD526" s="108"/>
      <c r="AE526" s="108"/>
      <c r="AF526" s="108"/>
      <c r="AG526" s="108"/>
      <c r="AH526" s="108"/>
      <c r="AI526" s="108"/>
      <c r="AJ526" s="108"/>
      <c r="AK526" s="108"/>
      <c r="AL526" s="108"/>
      <c r="AM526" s="108"/>
      <c r="AN526" s="108"/>
      <c r="AO526" s="108"/>
      <c r="AP526" s="108"/>
      <c r="AQ526" s="108"/>
      <c r="AR526" s="108"/>
      <c r="AS526" s="108"/>
      <c r="AT526" s="108"/>
      <c r="AU526" s="108"/>
      <c r="AV526" s="108"/>
      <c r="AW526" s="108"/>
      <c r="AX526" s="108"/>
      <c r="AY526" s="108"/>
      <c r="AZ526" s="108"/>
      <c r="BA526" s="108"/>
      <c r="BB526" s="108"/>
    </row>
    <row r="527" spans="3:54" ht="12.75" customHeight="1" x14ac:dyDescent="0.25">
      <c r="C527" s="108"/>
      <c r="D527" s="108"/>
      <c r="E527" s="108"/>
      <c r="F527" s="108"/>
      <c r="G527" s="108"/>
      <c r="H527" s="108"/>
      <c r="I527" s="108"/>
      <c r="J527" s="108"/>
      <c r="K527" s="108"/>
      <c r="L527" s="108"/>
      <c r="M527" s="108"/>
      <c r="N527" s="108"/>
      <c r="O527" s="108"/>
      <c r="P527" s="108"/>
      <c r="Q527" s="108"/>
      <c r="R527" s="108"/>
      <c r="S527" s="108"/>
      <c r="T527" s="108"/>
      <c r="U527" s="108"/>
      <c r="V527" s="108"/>
      <c r="W527" s="108"/>
      <c r="X527" s="108"/>
      <c r="Y527" s="108"/>
      <c r="Z527" s="108"/>
      <c r="AA527" s="108"/>
      <c r="AB527" s="108"/>
      <c r="AC527" s="108"/>
      <c r="AD527" s="108"/>
      <c r="AE527" s="108"/>
      <c r="AF527" s="108"/>
      <c r="AG527" s="108"/>
      <c r="AH527" s="108"/>
      <c r="AI527" s="108"/>
      <c r="AJ527" s="108"/>
      <c r="AK527" s="108"/>
      <c r="AL527" s="108"/>
      <c r="AM527" s="108"/>
      <c r="AN527" s="108"/>
      <c r="AO527" s="108"/>
      <c r="AP527" s="108"/>
      <c r="AQ527" s="108"/>
      <c r="AR527" s="108"/>
      <c r="AS527" s="108"/>
      <c r="AT527" s="108"/>
      <c r="AU527" s="108"/>
      <c r="AV527" s="108"/>
      <c r="AW527" s="108"/>
      <c r="AX527" s="108"/>
      <c r="AY527" s="108"/>
      <c r="AZ527" s="108"/>
      <c r="BA527" s="108"/>
      <c r="BB527" s="108"/>
    </row>
    <row r="528" spans="3:54" ht="12.75" customHeight="1" x14ac:dyDescent="0.25">
      <c r="C528" s="108"/>
      <c r="D528" s="108"/>
      <c r="E528" s="108"/>
      <c r="F528" s="108"/>
      <c r="G528" s="108"/>
      <c r="H528" s="108"/>
      <c r="I528" s="108"/>
      <c r="J528" s="108"/>
      <c r="K528" s="108"/>
      <c r="L528" s="108"/>
      <c r="M528" s="108"/>
      <c r="N528" s="108"/>
      <c r="O528" s="108"/>
      <c r="P528" s="108"/>
      <c r="Q528" s="108"/>
      <c r="R528" s="108"/>
      <c r="S528" s="108"/>
      <c r="T528" s="108"/>
      <c r="U528" s="108"/>
      <c r="V528" s="108"/>
      <c r="W528" s="108"/>
      <c r="X528" s="108"/>
      <c r="Y528" s="108"/>
      <c r="Z528" s="108"/>
      <c r="AA528" s="108"/>
      <c r="AB528" s="108"/>
      <c r="AC528" s="108"/>
      <c r="AD528" s="108"/>
      <c r="AE528" s="108"/>
      <c r="AF528" s="108"/>
      <c r="AG528" s="108"/>
      <c r="AH528" s="108"/>
      <c r="AI528" s="108"/>
      <c r="AJ528" s="108"/>
      <c r="AK528" s="108"/>
      <c r="AL528" s="108"/>
      <c r="AM528" s="108"/>
      <c r="AN528" s="108"/>
      <c r="AO528" s="108"/>
      <c r="AP528" s="108"/>
      <c r="AQ528" s="108"/>
      <c r="AR528" s="108"/>
      <c r="AS528" s="108"/>
      <c r="AT528" s="108"/>
      <c r="AU528" s="108"/>
      <c r="AV528" s="108"/>
      <c r="AW528" s="108"/>
      <c r="AX528" s="108"/>
      <c r="AY528" s="108"/>
      <c r="AZ528" s="108"/>
      <c r="BA528" s="108"/>
      <c r="BB528" s="108"/>
    </row>
    <row r="529" spans="3:54" ht="12.75" customHeight="1" x14ac:dyDescent="0.25">
      <c r="C529" s="108"/>
      <c r="D529" s="108"/>
      <c r="E529" s="108"/>
      <c r="F529" s="108"/>
      <c r="G529" s="108"/>
      <c r="H529" s="108"/>
      <c r="I529" s="108"/>
      <c r="J529" s="108"/>
      <c r="K529" s="108"/>
      <c r="L529" s="108"/>
      <c r="M529" s="108"/>
      <c r="N529" s="108"/>
      <c r="O529" s="108"/>
      <c r="P529" s="108"/>
      <c r="Q529" s="108"/>
      <c r="R529" s="108"/>
      <c r="S529" s="108"/>
      <c r="T529" s="108"/>
      <c r="U529" s="108"/>
      <c r="V529" s="108"/>
      <c r="W529" s="108"/>
      <c r="X529" s="108"/>
      <c r="Y529" s="108"/>
      <c r="Z529" s="108"/>
      <c r="AA529" s="108"/>
      <c r="AB529" s="108"/>
      <c r="AC529" s="108"/>
      <c r="AD529" s="108"/>
      <c r="AE529" s="108"/>
      <c r="AF529" s="108"/>
      <c r="AG529" s="108"/>
      <c r="AH529" s="108"/>
      <c r="AI529" s="108"/>
      <c r="AJ529" s="108"/>
      <c r="AK529" s="108"/>
      <c r="AL529" s="108"/>
      <c r="AM529" s="108"/>
      <c r="AN529" s="108"/>
      <c r="AO529" s="108"/>
      <c r="AP529" s="108"/>
      <c r="AQ529" s="108"/>
      <c r="AR529" s="108"/>
      <c r="AS529" s="108"/>
      <c r="AT529" s="108"/>
      <c r="AU529" s="108"/>
      <c r="AV529" s="108"/>
      <c r="AW529" s="108"/>
      <c r="AX529" s="108"/>
      <c r="AY529" s="108"/>
      <c r="AZ529" s="108"/>
      <c r="BA529" s="108"/>
      <c r="BB529" s="108"/>
    </row>
    <row r="530" spans="3:54" ht="12.75" customHeight="1" x14ac:dyDescent="0.25">
      <c r="C530" s="108"/>
      <c r="D530" s="108"/>
      <c r="E530" s="108"/>
      <c r="F530" s="108"/>
      <c r="G530" s="108"/>
      <c r="H530" s="108"/>
      <c r="I530" s="108"/>
      <c r="J530" s="108"/>
      <c r="K530" s="108"/>
      <c r="L530" s="108"/>
      <c r="M530" s="108"/>
      <c r="N530" s="108"/>
      <c r="O530" s="108"/>
      <c r="P530" s="108"/>
      <c r="Q530" s="108"/>
      <c r="R530" s="108"/>
      <c r="S530" s="108"/>
      <c r="T530" s="108"/>
      <c r="U530" s="108"/>
      <c r="V530" s="108"/>
      <c r="W530" s="108"/>
      <c r="X530" s="108"/>
      <c r="Y530" s="108"/>
      <c r="Z530" s="108"/>
      <c r="AA530" s="108"/>
      <c r="AB530" s="108"/>
      <c r="AC530" s="108"/>
      <c r="AD530" s="108"/>
      <c r="AE530" s="108"/>
      <c r="AF530" s="108"/>
      <c r="AG530" s="108"/>
      <c r="AH530" s="108"/>
      <c r="AI530" s="108"/>
      <c r="AJ530" s="108"/>
      <c r="AK530" s="108"/>
      <c r="AL530" s="108"/>
      <c r="AM530" s="108"/>
      <c r="AN530" s="108"/>
      <c r="AO530" s="108"/>
      <c r="AP530" s="108"/>
      <c r="AQ530" s="108"/>
      <c r="AR530" s="108"/>
      <c r="AS530" s="108"/>
      <c r="AT530" s="108"/>
      <c r="AU530" s="108"/>
      <c r="AV530" s="108"/>
      <c r="AW530" s="108"/>
      <c r="AX530" s="108"/>
      <c r="AY530" s="108"/>
      <c r="AZ530" s="108"/>
      <c r="BA530" s="108"/>
      <c r="BB530" s="108"/>
    </row>
    <row r="531" spans="3:54" ht="12.75" customHeight="1" x14ac:dyDescent="0.25">
      <c r="C531" s="108"/>
      <c r="D531" s="108"/>
      <c r="E531" s="108"/>
      <c r="F531" s="108"/>
      <c r="G531" s="108"/>
      <c r="H531" s="108"/>
      <c r="I531" s="108"/>
      <c r="J531" s="108"/>
      <c r="K531" s="108"/>
      <c r="L531" s="108"/>
      <c r="M531" s="108"/>
      <c r="N531" s="108"/>
      <c r="O531" s="108"/>
      <c r="P531" s="108"/>
      <c r="Q531" s="108"/>
      <c r="R531" s="108"/>
      <c r="S531" s="108"/>
      <c r="T531" s="108"/>
      <c r="U531" s="108"/>
      <c r="V531" s="108"/>
      <c r="W531" s="108"/>
      <c r="X531" s="108"/>
      <c r="Y531" s="108"/>
      <c r="Z531" s="108"/>
      <c r="AA531" s="108"/>
      <c r="AB531" s="108"/>
      <c r="AC531" s="108"/>
      <c r="AD531" s="108"/>
      <c r="AE531" s="108"/>
      <c r="AF531" s="108"/>
      <c r="AG531" s="108"/>
      <c r="AH531" s="108"/>
      <c r="AI531" s="108"/>
      <c r="AJ531" s="108"/>
      <c r="AK531" s="108"/>
      <c r="AL531" s="108"/>
      <c r="AM531" s="108"/>
      <c r="AN531" s="108"/>
      <c r="AO531" s="108"/>
      <c r="AP531" s="108"/>
      <c r="AQ531" s="108"/>
      <c r="AR531" s="108"/>
      <c r="AS531" s="108"/>
      <c r="AT531" s="108"/>
      <c r="AU531" s="108"/>
      <c r="AV531" s="108"/>
      <c r="AW531" s="108"/>
      <c r="AX531" s="108"/>
      <c r="AY531" s="108"/>
      <c r="AZ531" s="108"/>
      <c r="BA531" s="108"/>
      <c r="BB531" s="108"/>
    </row>
    <row r="532" spans="3:54" ht="12.75" customHeight="1" x14ac:dyDescent="0.25">
      <c r="C532" s="108"/>
      <c r="D532" s="108"/>
      <c r="E532" s="108"/>
      <c r="F532" s="108"/>
      <c r="G532" s="108"/>
      <c r="H532" s="108"/>
      <c r="I532" s="108"/>
      <c r="J532" s="108"/>
      <c r="K532" s="108"/>
      <c r="L532" s="108"/>
      <c r="M532" s="108"/>
      <c r="N532" s="108"/>
      <c r="O532" s="108"/>
      <c r="P532" s="108"/>
      <c r="Q532" s="108"/>
      <c r="R532" s="108"/>
      <c r="S532" s="108"/>
      <c r="T532" s="108"/>
      <c r="U532" s="108"/>
      <c r="V532" s="108"/>
      <c r="W532" s="108"/>
      <c r="X532" s="108"/>
      <c r="Y532" s="108"/>
      <c r="Z532" s="108"/>
      <c r="AA532" s="108"/>
      <c r="AB532" s="108"/>
      <c r="AC532" s="108"/>
      <c r="AD532" s="108"/>
      <c r="AE532" s="108"/>
      <c r="AF532" s="108"/>
      <c r="AG532" s="108"/>
      <c r="AH532" s="108"/>
      <c r="AI532" s="108"/>
      <c r="AJ532" s="108"/>
      <c r="AK532" s="108"/>
      <c r="AL532" s="108"/>
      <c r="AM532" s="108"/>
      <c r="AN532" s="108"/>
      <c r="AO532" s="108"/>
      <c r="AP532" s="108"/>
      <c r="AQ532" s="108"/>
      <c r="AR532" s="108"/>
      <c r="AS532" s="108"/>
      <c r="AT532" s="108"/>
      <c r="AU532" s="108"/>
      <c r="AV532" s="108"/>
      <c r="AW532" s="108"/>
      <c r="AX532" s="108"/>
      <c r="AY532" s="108"/>
      <c r="AZ532" s="108"/>
      <c r="BA532" s="108"/>
      <c r="BB532" s="108"/>
    </row>
    <row r="533" spans="3:54" ht="12.75" customHeight="1" x14ac:dyDescent="0.25">
      <c r="C533" s="108"/>
      <c r="D533" s="108"/>
      <c r="E533" s="108"/>
      <c r="F533" s="108"/>
      <c r="G533" s="108"/>
      <c r="H533" s="108"/>
      <c r="I533" s="108"/>
      <c r="J533" s="108"/>
      <c r="K533" s="108"/>
      <c r="L533" s="108"/>
      <c r="M533" s="108"/>
      <c r="N533" s="108"/>
      <c r="O533" s="108"/>
      <c r="P533" s="108"/>
      <c r="Q533" s="108"/>
      <c r="R533" s="108"/>
      <c r="S533" s="108"/>
      <c r="T533" s="108"/>
      <c r="U533" s="108"/>
      <c r="V533" s="108"/>
      <c r="W533" s="108"/>
      <c r="X533" s="108"/>
      <c r="Y533" s="108"/>
      <c r="Z533" s="108"/>
      <c r="AA533" s="108"/>
      <c r="AB533" s="108"/>
      <c r="AC533" s="108"/>
      <c r="AD533" s="108"/>
      <c r="AE533" s="108"/>
      <c r="AF533" s="108"/>
      <c r="AG533" s="108"/>
      <c r="AH533" s="108"/>
      <c r="AI533" s="108"/>
      <c r="AJ533" s="108"/>
      <c r="AK533" s="108"/>
      <c r="AL533" s="108"/>
      <c r="AM533" s="108"/>
      <c r="AN533" s="108"/>
      <c r="AO533" s="108"/>
      <c r="AP533" s="108"/>
      <c r="AQ533" s="108"/>
      <c r="AR533" s="108"/>
      <c r="AS533" s="108"/>
      <c r="AT533" s="108"/>
      <c r="AU533" s="108"/>
      <c r="AV533" s="108"/>
      <c r="AW533" s="108"/>
      <c r="AX533" s="108"/>
      <c r="AY533" s="108"/>
      <c r="AZ533" s="108"/>
      <c r="BA533" s="108"/>
      <c r="BB533" s="108"/>
    </row>
    <row r="534" spans="3:54" ht="12.75" customHeight="1" x14ac:dyDescent="0.25">
      <c r="C534" s="108"/>
      <c r="D534" s="108"/>
      <c r="E534" s="108"/>
      <c r="F534" s="108"/>
      <c r="G534" s="108"/>
      <c r="H534" s="108"/>
      <c r="I534" s="108"/>
      <c r="J534" s="108"/>
      <c r="K534" s="108"/>
      <c r="L534" s="108"/>
      <c r="M534" s="108"/>
      <c r="N534" s="108"/>
      <c r="O534" s="108"/>
      <c r="P534" s="108"/>
      <c r="Q534" s="108"/>
      <c r="R534" s="108"/>
      <c r="S534" s="108"/>
      <c r="T534" s="108"/>
      <c r="U534" s="108"/>
      <c r="V534" s="108"/>
      <c r="W534" s="108"/>
      <c r="X534" s="108"/>
      <c r="Y534" s="108"/>
      <c r="Z534" s="108"/>
      <c r="AA534" s="108"/>
      <c r="AB534" s="108"/>
      <c r="AC534" s="108"/>
      <c r="AD534" s="108"/>
      <c r="AE534" s="108"/>
      <c r="AF534" s="108"/>
      <c r="AG534" s="108"/>
      <c r="AH534" s="108"/>
      <c r="AI534" s="108"/>
      <c r="AJ534" s="108"/>
      <c r="AK534" s="108"/>
      <c r="AL534" s="108"/>
      <c r="AM534" s="108"/>
      <c r="AN534" s="108"/>
      <c r="AO534" s="108"/>
      <c r="AP534" s="108"/>
      <c r="AQ534" s="108"/>
      <c r="AR534" s="108"/>
      <c r="AS534" s="108"/>
      <c r="AT534" s="108"/>
      <c r="AU534" s="108"/>
      <c r="AV534" s="108"/>
      <c r="AW534" s="108"/>
      <c r="AX534" s="108"/>
      <c r="AY534" s="108"/>
      <c r="AZ534" s="108"/>
      <c r="BA534" s="108"/>
      <c r="BB534" s="108"/>
    </row>
    <row r="535" spans="3:54" ht="12.75" customHeight="1" x14ac:dyDescent="0.25">
      <c r="C535" s="108"/>
      <c r="D535" s="108"/>
      <c r="E535" s="108"/>
      <c r="F535" s="108"/>
      <c r="G535" s="108"/>
      <c r="H535" s="108"/>
      <c r="I535" s="108"/>
      <c r="J535" s="108"/>
      <c r="K535" s="108"/>
      <c r="L535" s="108"/>
      <c r="M535" s="108"/>
      <c r="N535" s="108"/>
      <c r="O535" s="108"/>
      <c r="P535" s="108"/>
      <c r="Q535" s="108"/>
      <c r="R535" s="108"/>
      <c r="S535" s="108"/>
      <c r="T535" s="108"/>
      <c r="U535" s="108"/>
      <c r="V535" s="108"/>
      <c r="W535" s="108"/>
      <c r="X535" s="108"/>
      <c r="Y535" s="108"/>
      <c r="Z535" s="108"/>
      <c r="AA535" s="108"/>
      <c r="AB535" s="108"/>
      <c r="AC535" s="108"/>
      <c r="AD535" s="108"/>
      <c r="AE535" s="108"/>
      <c r="AF535" s="108"/>
      <c r="AG535" s="108"/>
      <c r="AH535" s="108"/>
      <c r="AI535" s="108"/>
      <c r="AJ535" s="108"/>
      <c r="AK535" s="108"/>
      <c r="AL535" s="108"/>
      <c r="AM535" s="108"/>
      <c r="AN535" s="108"/>
      <c r="AO535" s="108"/>
      <c r="AP535" s="108"/>
      <c r="AQ535" s="108"/>
      <c r="AR535" s="108"/>
      <c r="AS535" s="108"/>
      <c r="AT535" s="108"/>
      <c r="AU535" s="108"/>
      <c r="AV535" s="108"/>
      <c r="AW535" s="108"/>
      <c r="AX535" s="108"/>
      <c r="AY535" s="108"/>
      <c r="AZ535" s="108"/>
      <c r="BA535" s="108"/>
      <c r="BB535" s="108"/>
    </row>
    <row r="536" spans="3:54" ht="12.75" customHeight="1" x14ac:dyDescent="0.25">
      <c r="C536" s="108"/>
      <c r="D536" s="108"/>
      <c r="E536" s="108"/>
      <c r="F536" s="108"/>
      <c r="G536" s="108"/>
      <c r="H536" s="108"/>
      <c r="I536" s="108"/>
      <c r="J536" s="108"/>
      <c r="K536" s="108"/>
      <c r="L536" s="108"/>
      <c r="M536" s="108"/>
      <c r="N536" s="108"/>
      <c r="O536" s="108"/>
      <c r="P536" s="108"/>
      <c r="Q536" s="108"/>
      <c r="R536" s="108"/>
      <c r="S536" s="108"/>
      <c r="T536" s="108"/>
      <c r="U536" s="108"/>
      <c r="V536" s="108"/>
      <c r="W536" s="108"/>
      <c r="X536" s="108"/>
      <c r="Y536" s="108"/>
      <c r="Z536" s="108"/>
      <c r="AA536" s="108"/>
      <c r="AB536" s="108"/>
      <c r="AC536" s="108"/>
      <c r="AD536" s="108"/>
      <c r="AE536" s="108"/>
      <c r="AF536" s="108"/>
      <c r="AG536" s="108"/>
      <c r="AH536" s="108"/>
      <c r="AI536" s="108"/>
      <c r="AJ536" s="108"/>
      <c r="AK536" s="108"/>
      <c r="AL536" s="108"/>
      <c r="AM536" s="108"/>
      <c r="AN536" s="108"/>
      <c r="AO536" s="108"/>
      <c r="AP536" s="108"/>
      <c r="AQ536" s="108"/>
      <c r="AR536" s="108"/>
      <c r="AS536" s="108"/>
      <c r="AT536" s="108"/>
      <c r="AU536" s="108"/>
      <c r="AV536" s="108"/>
      <c r="AW536" s="108"/>
      <c r="AX536" s="108"/>
      <c r="AY536" s="108"/>
      <c r="AZ536" s="108"/>
      <c r="BA536" s="108"/>
      <c r="BB536" s="108"/>
    </row>
    <row r="537" spans="3:54" ht="12.75" customHeight="1" x14ac:dyDescent="0.25">
      <c r="C537" s="108"/>
      <c r="D537" s="108"/>
      <c r="E537" s="108"/>
      <c r="F537" s="108"/>
      <c r="G537" s="108"/>
      <c r="H537" s="108"/>
      <c r="I537" s="108"/>
      <c r="J537" s="108"/>
      <c r="K537" s="108"/>
      <c r="L537" s="108"/>
      <c r="M537" s="108"/>
      <c r="N537" s="108"/>
      <c r="O537" s="108"/>
      <c r="P537" s="108"/>
      <c r="Q537" s="108"/>
      <c r="R537" s="108"/>
      <c r="S537" s="108"/>
      <c r="T537" s="108"/>
      <c r="U537" s="108"/>
      <c r="V537" s="108"/>
      <c r="W537" s="108"/>
      <c r="X537" s="108"/>
      <c r="Y537" s="108"/>
      <c r="Z537" s="108"/>
      <c r="AA537" s="108"/>
      <c r="AB537" s="108"/>
      <c r="AC537" s="108"/>
      <c r="AD537" s="108"/>
      <c r="AE537" s="108"/>
      <c r="AF537" s="108"/>
      <c r="AG537" s="108"/>
      <c r="AH537" s="108"/>
      <c r="AI537" s="108"/>
      <c r="AJ537" s="108"/>
      <c r="AK537" s="108"/>
      <c r="AL537" s="108"/>
      <c r="AM537" s="108"/>
      <c r="AN537" s="108"/>
      <c r="AO537" s="108"/>
      <c r="AP537" s="108"/>
      <c r="AQ537" s="108"/>
      <c r="AR537" s="108"/>
      <c r="AS537" s="108"/>
      <c r="AT537" s="108"/>
      <c r="AU537" s="108"/>
      <c r="AV537" s="108"/>
      <c r="AW537" s="108"/>
      <c r="AX537" s="108"/>
      <c r="AY537" s="108"/>
      <c r="AZ537" s="108"/>
      <c r="BA537" s="108"/>
      <c r="BB537" s="108"/>
    </row>
    <row r="538" spans="3:54" ht="12.75" customHeight="1" x14ac:dyDescent="0.25">
      <c r="C538" s="108"/>
      <c r="D538" s="108"/>
      <c r="E538" s="108"/>
      <c r="F538" s="108"/>
      <c r="G538" s="108"/>
      <c r="H538" s="108"/>
      <c r="I538" s="108"/>
      <c r="J538" s="108"/>
      <c r="K538" s="108"/>
      <c r="L538" s="108"/>
      <c r="M538" s="108"/>
      <c r="N538" s="108"/>
      <c r="O538" s="108"/>
      <c r="P538" s="108"/>
      <c r="Q538" s="108"/>
      <c r="R538" s="108"/>
      <c r="S538" s="108"/>
      <c r="T538" s="108"/>
      <c r="U538" s="108"/>
      <c r="V538" s="108"/>
      <c r="W538" s="108"/>
      <c r="X538" s="108"/>
      <c r="Y538" s="108"/>
      <c r="Z538" s="108"/>
      <c r="AA538" s="108"/>
      <c r="AB538" s="108"/>
      <c r="AC538" s="108"/>
      <c r="AD538" s="108"/>
      <c r="AE538" s="108"/>
      <c r="AF538" s="108"/>
      <c r="AG538" s="108"/>
      <c r="AH538" s="108"/>
      <c r="AI538" s="108"/>
      <c r="AJ538" s="108"/>
      <c r="AK538" s="108"/>
      <c r="AL538" s="108"/>
      <c r="AM538" s="108"/>
      <c r="AN538" s="108"/>
      <c r="AO538" s="108"/>
      <c r="AP538" s="108"/>
      <c r="AQ538" s="108"/>
      <c r="AR538" s="108"/>
      <c r="AS538" s="108"/>
      <c r="AT538" s="108"/>
      <c r="AU538" s="108"/>
      <c r="AV538" s="108"/>
      <c r="AW538" s="108"/>
      <c r="AX538" s="108"/>
      <c r="AY538" s="108"/>
      <c r="AZ538" s="108"/>
      <c r="BA538" s="108"/>
      <c r="BB538" s="108"/>
    </row>
    <row r="539" spans="3:54" ht="12.75" customHeight="1" x14ac:dyDescent="0.25">
      <c r="C539" s="108"/>
      <c r="D539" s="108"/>
      <c r="E539" s="108"/>
      <c r="F539" s="108"/>
      <c r="G539" s="108"/>
      <c r="H539" s="108"/>
      <c r="I539" s="108"/>
      <c r="J539" s="108"/>
      <c r="K539" s="108"/>
      <c r="L539" s="108"/>
      <c r="M539" s="108"/>
      <c r="N539" s="108"/>
      <c r="O539" s="108"/>
      <c r="P539" s="108"/>
      <c r="Q539" s="108"/>
      <c r="R539" s="108"/>
      <c r="S539" s="108"/>
      <c r="T539" s="108"/>
      <c r="U539" s="108"/>
      <c r="V539" s="108"/>
      <c r="W539" s="108"/>
      <c r="X539" s="108"/>
      <c r="Y539" s="108"/>
      <c r="Z539" s="108"/>
      <c r="AA539" s="108"/>
      <c r="AB539" s="108"/>
      <c r="AC539" s="108"/>
      <c r="AD539" s="108"/>
      <c r="AE539" s="108"/>
      <c r="AF539" s="108"/>
      <c r="AG539" s="108"/>
      <c r="AH539" s="108"/>
      <c r="AI539" s="108"/>
      <c r="AJ539" s="108"/>
      <c r="AK539" s="108"/>
      <c r="AL539" s="108"/>
      <c r="AM539" s="108"/>
      <c r="AN539" s="108"/>
      <c r="AO539" s="108"/>
      <c r="AP539" s="108"/>
      <c r="AQ539" s="108"/>
      <c r="AR539" s="108"/>
      <c r="AS539" s="108"/>
      <c r="AT539" s="108"/>
      <c r="AU539" s="108"/>
      <c r="AV539" s="108"/>
      <c r="AW539" s="108"/>
      <c r="AX539" s="108"/>
      <c r="AY539" s="108"/>
      <c r="AZ539" s="108"/>
      <c r="BA539" s="108"/>
      <c r="BB539" s="108"/>
    </row>
    <row r="540" spans="3:54" ht="12.75" customHeight="1" x14ac:dyDescent="0.25">
      <c r="C540" s="108"/>
      <c r="D540" s="108"/>
      <c r="E540" s="108"/>
      <c r="F540" s="108"/>
      <c r="G540" s="108"/>
      <c r="H540" s="108"/>
      <c r="I540" s="108"/>
      <c r="J540" s="108"/>
      <c r="K540" s="108"/>
      <c r="L540" s="108"/>
      <c r="M540" s="108"/>
      <c r="N540" s="108"/>
      <c r="O540" s="108"/>
      <c r="P540" s="108"/>
      <c r="Q540" s="108"/>
      <c r="R540" s="108"/>
      <c r="S540" s="108"/>
      <c r="T540" s="108"/>
      <c r="U540" s="108"/>
      <c r="V540" s="108"/>
      <c r="W540" s="108"/>
      <c r="X540" s="108"/>
      <c r="Y540" s="108"/>
      <c r="Z540" s="108"/>
      <c r="AA540" s="108"/>
      <c r="AB540" s="108"/>
      <c r="AC540" s="108"/>
      <c r="AD540" s="108"/>
      <c r="AE540" s="108"/>
      <c r="AF540" s="108"/>
      <c r="AG540" s="108"/>
      <c r="AH540" s="108"/>
      <c r="AI540" s="108"/>
      <c r="AJ540" s="108"/>
      <c r="AK540" s="108"/>
      <c r="AL540" s="108"/>
      <c r="AM540" s="108"/>
      <c r="AN540" s="108"/>
      <c r="AO540" s="108"/>
      <c r="AP540" s="108"/>
      <c r="AQ540" s="108"/>
      <c r="AR540" s="108"/>
      <c r="AS540" s="108"/>
      <c r="AT540" s="108"/>
      <c r="AU540" s="108"/>
      <c r="AV540" s="108"/>
      <c r="AW540" s="108"/>
      <c r="AX540" s="108"/>
      <c r="AY540" s="108"/>
      <c r="AZ540" s="108"/>
      <c r="BA540" s="108"/>
      <c r="BB540" s="108"/>
    </row>
    <row r="541" spans="3:54" ht="12.75" customHeight="1" x14ac:dyDescent="0.25">
      <c r="C541" s="108"/>
      <c r="D541" s="108"/>
      <c r="E541" s="108"/>
      <c r="F541" s="108"/>
      <c r="G541" s="108"/>
      <c r="H541" s="108"/>
      <c r="I541" s="108"/>
      <c r="J541" s="108"/>
      <c r="K541" s="108"/>
      <c r="L541" s="108"/>
      <c r="M541" s="108"/>
      <c r="N541" s="108"/>
      <c r="O541" s="108"/>
      <c r="P541" s="108"/>
      <c r="Q541" s="108"/>
      <c r="R541" s="108"/>
      <c r="S541" s="108"/>
      <c r="T541" s="108"/>
      <c r="U541" s="108"/>
      <c r="V541" s="108"/>
      <c r="W541" s="108"/>
      <c r="X541" s="108"/>
      <c r="Y541" s="108"/>
      <c r="Z541" s="108"/>
      <c r="AA541" s="108"/>
      <c r="AB541" s="108"/>
      <c r="AC541" s="108"/>
      <c r="AD541" s="108"/>
      <c r="AE541" s="108"/>
      <c r="AF541" s="108"/>
      <c r="AG541" s="108"/>
      <c r="AH541" s="108"/>
      <c r="AI541" s="108"/>
      <c r="AJ541" s="108"/>
      <c r="AK541" s="108"/>
      <c r="AL541" s="108"/>
      <c r="AM541" s="108"/>
      <c r="AN541" s="108"/>
      <c r="AO541" s="108"/>
      <c r="AP541" s="108"/>
      <c r="AQ541" s="108"/>
      <c r="AR541" s="108"/>
      <c r="AS541" s="108"/>
      <c r="AT541" s="108"/>
      <c r="AU541" s="108"/>
      <c r="AV541" s="108"/>
      <c r="AW541" s="108"/>
      <c r="AX541" s="108"/>
      <c r="AY541" s="108"/>
      <c r="AZ541" s="108"/>
      <c r="BA541" s="108"/>
      <c r="BB541" s="108"/>
    </row>
    <row r="542" spans="3:54" ht="12.75" customHeight="1" x14ac:dyDescent="0.25">
      <c r="C542" s="108"/>
      <c r="D542" s="108"/>
      <c r="E542" s="108"/>
      <c r="F542" s="108"/>
      <c r="G542" s="108"/>
      <c r="H542" s="108"/>
      <c r="I542" s="108"/>
      <c r="J542" s="108"/>
      <c r="K542" s="108"/>
      <c r="L542" s="108"/>
      <c r="M542" s="108"/>
      <c r="N542" s="108"/>
      <c r="O542" s="108"/>
      <c r="P542" s="108"/>
      <c r="Q542" s="108"/>
      <c r="R542" s="108"/>
      <c r="S542" s="108"/>
      <c r="T542" s="108"/>
      <c r="U542" s="108"/>
      <c r="V542" s="108"/>
      <c r="W542" s="108"/>
      <c r="X542" s="108"/>
      <c r="Y542" s="108"/>
      <c r="Z542" s="108"/>
      <c r="AA542" s="108"/>
      <c r="AB542" s="108"/>
      <c r="AC542" s="108"/>
      <c r="AD542" s="108"/>
      <c r="AE542" s="108"/>
      <c r="AF542" s="108"/>
      <c r="AG542" s="108"/>
      <c r="AH542" s="108"/>
      <c r="AI542" s="108"/>
      <c r="AJ542" s="108"/>
      <c r="AK542" s="108"/>
      <c r="AL542" s="108"/>
      <c r="AM542" s="108"/>
      <c r="AN542" s="108"/>
      <c r="AO542" s="108"/>
      <c r="AP542" s="108"/>
      <c r="AQ542" s="108"/>
      <c r="AR542" s="108"/>
      <c r="AS542" s="108"/>
      <c r="AT542" s="108"/>
      <c r="AU542" s="108"/>
      <c r="AV542" s="108"/>
      <c r="AW542" s="108"/>
      <c r="AX542" s="108"/>
      <c r="AY542" s="108"/>
      <c r="AZ542" s="108"/>
      <c r="BA542" s="108"/>
      <c r="BB542" s="108"/>
    </row>
    <row r="543" spans="3:54" ht="12.75" customHeight="1" x14ac:dyDescent="0.25">
      <c r="C543" s="108"/>
      <c r="D543" s="108"/>
      <c r="E543" s="108"/>
      <c r="F543" s="108"/>
      <c r="G543" s="108"/>
      <c r="H543" s="108"/>
      <c r="I543" s="108"/>
      <c r="J543" s="108"/>
      <c r="K543" s="108"/>
      <c r="L543" s="108"/>
      <c r="M543" s="108"/>
      <c r="N543" s="108"/>
      <c r="O543" s="108"/>
      <c r="P543" s="108"/>
      <c r="Q543" s="108"/>
      <c r="R543" s="108"/>
      <c r="S543" s="108"/>
      <c r="T543" s="108"/>
      <c r="U543" s="108"/>
      <c r="V543" s="108"/>
      <c r="W543" s="108"/>
      <c r="X543" s="108"/>
      <c r="Y543" s="108"/>
      <c r="Z543" s="108"/>
      <c r="AA543" s="108"/>
      <c r="AB543" s="108"/>
      <c r="AC543" s="108"/>
      <c r="AD543" s="108"/>
      <c r="AE543" s="108"/>
      <c r="AF543" s="108"/>
      <c r="AG543" s="108"/>
      <c r="AH543" s="108"/>
      <c r="AI543" s="108"/>
      <c r="AJ543" s="108"/>
      <c r="AK543" s="108"/>
      <c r="AL543" s="108"/>
      <c r="AM543" s="108"/>
      <c r="AN543" s="108"/>
      <c r="AO543" s="108"/>
      <c r="AP543" s="108"/>
      <c r="AQ543" s="108"/>
      <c r="AR543" s="108"/>
      <c r="AS543" s="108"/>
      <c r="AT543" s="108"/>
      <c r="AU543" s="108"/>
      <c r="AV543" s="108"/>
      <c r="AW543" s="108"/>
      <c r="AX543" s="108"/>
      <c r="AY543" s="108"/>
      <c r="AZ543" s="108"/>
      <c r="BA543" s="108"/>
      <c r="BB543" s="108"/>
    </row>
    <row r="544" spans="3:54" ht="12.75" customHeight="1" x14ac:dyDescent="0.25">
      <c r="C544" s="108"/>
      <c r="D544" s="108"/>
      <c r="E544" s="108"/>
      <c r="F544" s="108"/>
      <c r="G544" s="108"/>
      <c r="H544" s="108"/>
      <c r="I544" s="108"/>
      <c r="J544" s="108"/>
      <c r="K544" s="108"/>
      <c r="L544" s="108"/>
      <c r="M544" s="108"/>
      <c r="N544" s="108"/>
      <c r="O544" s="108"/>
      <c r="P544" s="108"/>
      <c r="Q544" s="108"/>
      <c r="R544" s="108"/>
      <c r="S544" s="108"/>
      <c r="T544" s="108"/>
      <c r="U544" s="108"/>
      <c r="V544" s="108"/>
      <c r="W544" s="108"/>
      <c r="X544" s="108"/>
      <c r="Y544" s="108"/>
      <c r="Z544" s="108"/>
      <c r="AA544" s="108"/>
      <c r="AB544" s="108"/>
      <c r="AC544" s="108"/>
      <c r="AD544" s="108"/>
      <c r="AE544" s="108"/>
      <c r="AF544" s="108"/>
      <c r="AG544" s="108"/>
      <c r="AH544" s="108"/>
      <c r="AI544" s="108"/>
      <c r="AJ544" s="108"/>
      <c r="AK544" s="108"/>
      <c r="AL544" s="108"/>
      <c r="AM544" s="108"/>
      <c r="AN544" s="108"/>
      <c r="AO544" s="108"/>
      <c r="AP544" s="108"/>
      <c r="AQ544" s="108"/>
      <c r="AR544" s="108"/>
      <c r="AS544" s="108"/>
      <c r="AT544" s="108"/>
      <c r="AU544" s="108"/>
      <c r="AV544" s="108"/>
      <c r="AW544" s="108"/>
      <c r="AX544" s="108"/>
      <c r="AY544" s="108"/>
      <c r="AZ544" s="108"/>
      <c r="BA544" s="108"/>
      <c r="BB544" s="108"/>
    </row>
    <row r="545" spans="3:54" ht="12.75" customHeight="1" x14ac:dyDescent="0.25">
      <c r="C545" s="108"/>
      <c r="D545" s="108"/>
      <c r="E545" s="108"/>
      <c r="F545" s="108"/>
      <c r="G545" s="108"/>
      <c r="H545" s="108"/>
      <c r="I545" s="108"/>
      <c r="J545" s="108"/>
      <c r="K545" s="108"/>
      <c r="L545" s="108"/>
      <c r="M545" s="108"/>
      <c r="N545" s="108"/>
      <c r="O545" s="108"/>
      <c r="P545" s="108"/>
      <c r="Q545" s="108"/>
      <c r="R545" s="108"/>
      <c r="S545" s="108"/>
      <c r="T545" s="108"/>
      <c r="U545" s="108"/>
      <c r="V545" s="108"/>
      <c r="W545" s="108"/>
      <c r="X545" s="108"/>
      <c r="Y545" s="108"/>
      <c r="Z545" s="108"/>
      <c r="AA545" s="108"/>
      <c r="AB545" s="108"/>
      <c r="AC545" s="108"/>
      <c r="AD545" s="108"/>
      <c r="AE545" s="108"/>
      <c r="AF545" s="108"/>
      <c r="AG545" s="108"/>
      <c r="AH545" s="108"/>
      <c r="AI545" s="108"/>
      <c r="AJ545" s="108"/>
      <c r="AK545" s="108"/>
      <c r="AL545" s="108"/>
      <c r="AM545" s="108"/>
      <c r="AN545" s="108"/>
      <c r="AO545" s="108"/>
      <c r="AP545" s="108"/>
      <c r="AQ545" s="108"/>
      <c r="AR545" s="108"/>
      <c r="AS545" s="108"/>
      <c r="AT545" s="108"/>
      <c r="AU545" s="108"/>
      <c r="AV545" s="108"/>
      <c r="AW545" s="108"/>
      <c r="AX545" s="108"/>
      <c r="AY545" s="108"/>
      <c r="AZ545" s="108"/>
      <c r="BA545" s="108"/>
      <c r="BB545" s="108"/>
    </row>
    <row r="546" spans="3:54" ht="12.75" customHeight="1" x14ac:dyDescent="0.25">
      <c r="C546" s="108"/>
      <c r="D546" s="108"/>
      <c r="E546" s="108"/>
      <c r="F546" s="108"/>
      <c r="G546" s="108"/>
      <c r="H546" s="108"/>
      <c r="I546" s="108"/>
      <c r="J546" s="108"/>
      <c r="K546" s="108"/>
      <c r="L546" s="108"/>
      <c r="M546" s="108"/>
      <c r="N546" s="108"/>
      <c r="O546" s="108"/>
      <c r="P546" s="108"/>
      <c r="Q546" s="108"/>
      <c r="R546" s="108"/>
      <c r="S546" s="108"/>
      <c r="T546" s="108"/>
      <c r="U546" s="108"/>
      <c r="V546" s="108"/>
      <c r="W546" s="108"/>
      <c r="X546" s="108"/>
      <c r="Y546" s="108"/>
      <c r="Z546" s="108"/>
      <c r="AA546" s="108"/>
      <c r="AB546" s="108"/>
      <c r="AC546" s="108"/>
      <c r="AD546" s="108"/>
      <c r="AE546" s="108"/>
      <c r="AF546" s="108"/>
      <c r="AG546" s="108"/>
      <c r="AH546" s="108"/>
      <c r="AI546" s="108"/>
      <c r="AJ546" s="108"/>
      <c r="AK546" s="108"/>
      <c r="AL546" s="108"/>
      <c r="AM546" s="108"/>
      <c r="AN546" s="108"/>
      <c r="AO546" s="108"/>
      <c r="AP546" s="108"/>
      <c r="AQ546" s="108"/>
      <c r="AR546" s="108"/>
      <c r="AS546" s="108"/>
      <c r="AT546" s="108"/>
      <c r="AU546" s="108"/>
      <c r="AV546" s="108"/>
      <c r="AW546" s="108"/>
      <c r="AX546" s="108"/>
      <c r="AY546" s="108"/>
      <c r="AZ546" s="108"/>
      <c r="BA546" s="108"/>
      <c r="BB546" s="108"/>
    </row>
    <row r="547" spans="3:54" ht="12.75" customHeight="1" x14ac:dyDescent="0.25">
      <c r="C547" s="108"/>
      <c r="D547" s="108"/>
      <c r="E547" s="108"/>
      <c r="F547" s="108"/>
      <c r="G547" s="108"/>
      <c r="H547" s="108"/>
      <c r="I547" s="108"/>
      <c r="J547" s="108"/>
      <c r="K547" s="108"/>
      <c r="L547" s="108"/>
      <c r="M547" s="108"/>
      <c r="N547" s="108"/>
      <c r="O547" s="108"/>
      <c r="P547" s="108"/>
      <c r="Q547" s="108"/>
      <c r="R547" s="108"/>
      <c r="S547" s="108"/>
      <c r="T547" s="108"/>
      <c r="U547" s="108"/>
      <c r="V547" s="108"/>
      <c r="W547" s="108"/>
      <c r="X547" s="108"/>
      <c r="Y547" s="108"/>
      <c r="Z547" s="108"/>
      <c r="AA547" s="108"/>
      <c r="AB547" s="108"/>
      <c r="AC547" s="108"/>
      <c r="AD547" s="108"/>
      <c r="AE547" s="108"/>
      <c r="AF547" s="108"/>
      <c r="AG547" s="108"/>
      <c r="AH547" s="108"/>
      <c r="AI547" s="108"/>
      <c r="AJ547" s="108"/>
      <c r="AK547" s="108"/>
      <c r="AL547" s="108"/>
      <c r="AM547" s="108"/>
      <c r="AN547" s="108"/>
      <c r="AO547" s="108"/>
      <c r="AP547" s="108"/>
      <c r="AQ547" s="108"/>
      <c r="AR547" s="108"/>
      <c r="AS547" s="108"/>
      <c r="AT547" s="108"/>
      <c r="AU547" s="108"/>
      <c r="AV547" s="108"/>
      <c r="AW547" s="108"/>
      <c r="AX547" s="108"/>
      <c r="AY547" s="108"/>
      <c r="AZ547" s="108"/>
      <c r="BA547" s="108"/>
      <c r="BB547" s="108"/>
    </row>
    <row r="548" spans="3:54" ht="12.75" customHeight="1" x14ac:dyDescent="0.25">
      <c r="C548" s="108"/>
      <c r="D548" s="108"/>
      <c r="E548" s="108"/>
      <c r="F548" s="108"/>
      <c r="G548" s="108"/>
      <c r="H548" s="108"/>
      <c r="I548" s="108"/>
      <c r="J548" s="108"/>
      <c r="K548" s="108"/>
      <c r="L548" s="108"/>
      <c r="M548" s="108"/>
      <c r="N548" s="108"/>
      <c r="O548" s="108"/>
      <c r="P548" s="108"/>
      <c r="Q548" s="108"/>
      <c r="R548" s="108"/>
      <c r="S548" s="108"/>
      <c r="T548" s="108"/>
      <c r="U548" s="108"/>
      <c r="V548" s="108"/>
      <c r="W548" s="108"/>
      <c r="X548" s="108"/>
      <c r="Y548" s="108"/>
      <c r="Z548" s="108"/>
      <c r="AA548" s="108"/>
      <c r="AB548" s="108"/>
      <c r="AC548" s="108"/>
      <c r="AD548" s="108"/>
      <c r="AE548" s="108"/>
      <c r="AF548" s="108"/>
      <c r="AG548" s="108"/>
      <c r="AH548" s="108"/>
      <c r="AI548" s="108"/>
      <c r="AJ548" s="108"/>
      <c r="AK548" s="108"/>
      <c r="AL548" s="108"/>
      <c r="AM548" s="108"/>
      <c r="AN548" s="108"/>
      <c r="AO548" s="108"/>
      <c r="AP548" s="108"/>
      <c r="AQ548" s="108"/>
      <c r="AR548" s="108"/>
      <c r="AS548" s="108"/>
      <c r="AT548" s="108"/>
      <c r="AU548" s="108"/>
      <c r="AV548" s="108"/>
      <c r="AW548" s="108"/>
      <c r="AX548" s="108"/>
      <c r="AY548" s="108"/>
      <c r="AZ548" s="108"/>
      <c r="BA548" s="108"/>
      <c r="BB548" s="108"/>
    </row>
    <row r="549" spans="3:54" ht="12.75" customHeight="1" x14ac:dyDescent="0.25">
      <c r="C549" s="108"/>
      <c r="D549" s="108"/>
      <c r="E549" s="108"/>
      <c r="F549" s="108"/>
      <c r="G549" s="108"/>
      <c r="H549" s="108"/>
      <c r="I549" s="108"/>
      <c r="J549" s="108"/>
      <c r="K549" s="108"/>
      <c r="L549" s="108"/>
      <c r="M549" s="108"/>
      <c r="N549" s="108"/>
      <c r="O549" s="108"/>
      <c r="P549" s="108"/>
      <c r="Q549" s="108"/>
      <c r="R549" s="108"/>
      <c r="S549" s="108"/>
      <c r="T549" s="108"/>
      <c r="U549" s="108"/>
      <c r="V549" s="108"/>
      <c r="W549" s="108"/>
      <c r="X549" s="108"/>
      <c r="Y549" s="108"/>
      <c r="Z549" s="108"/>
      <c r="AA549" s="108"/>
      <c r="AB549" s="108"/>
      <c r="AC549" s="108"/>
      <c r="AD549" s="108"/>
      <c r="AE549" s="108"/>
      <c r="AF549" s="108"/>
      <c r="AG549" s="108"/>
      <c r="AH549" s="108"/>
      <c r="AI549" s="108"/>
      <c r="AJ549" s="108"/>
      <c r="AK549" s="108"/>
      <c r="AL549" s="108"/>
      <c r="AM549" s="108"/>
      <c r="AN549" s="108"/>
      <c r="AO549" s="108"/>
      <c r="AP549" s="108"/>
      <c r="AQ549" s="108"/>
      <c r="AR549" s="108"/>
      <c r="AS549" s="108"/>
      <c r="AT549" s="108"/>
      <c r="AU549" s="108"/>
      <c r="AV549" s="108"/>
      <c r="AW549" s="108"/>
      <c r="AX549" s="108"/>
      <c r="AY549" s="108"/>
      <c r="AZ549" s="108"/>
      <c r="BA549" s="108"/>
      <c r="BB549" s="108"/>
    </row>
    <row r="550" spans="3:54" ht="12.75" customHeight="1" x14ac:dyDescent="0.25">
      <c r="C550" s="108"/>
      <c r="D550" s="108"/>
      <c r="E550" s="108"/>
      <c r="F550" s="108"/>
      <c r="G550" s="108"/>
      <c r="H550" s="108"/>
      <c r="I550" s="108"/>
      <c r="J550" s="108"/>
      <c r="K550" s="108"/>
      <c r="L550" s="108"/>
      <c r="M550" s="108"/>
      <c r="N550" s="108"/>
      <c r="O550" s="108"/>
      <c r="P550" s="108"/>
      <c r="Q550" s="108"/>
      <c r="R550" s="108"/>
      <c r="S550" s="108"/>
      <c r="T550" s="108"/>
      <c r="U550" s="108"/>
      <c r="V550" s="108"/>
      <c r="W550" s="108"/>
      <c r="X550" s="108"/>
      <c r="Y550" s="108"/>
      <c r="Z550" s="108"/>
      <c r="AA550" s="108"/>
      <c r="AB550" s="108"/>
      <c r="AC550" s="108"/>
      <c r="AD550" s="108"/>
      <c r="AE550" s="108"/>
      <c r="AF550" s="108"/>
      <c r="AG550" s="108"/>
      <c r="AH550" s="108"/>
      <c r="AI550" s="108"/>
      <c r="AJ550" s="108"/>
      <c r="AK550" s="108"/>
      <c r="AL550" s="108"/>
      <c r="AM550" s="108"/>
      <c r="AN550" s="108"/>
      <c r="AO550" s="108"/>
      <c r="AP550" s="108"/>
      <c r="AQ550" s="108"/>
      <c r="AR550" s="108"/>
      <c r="AS550" s="108"/>
      <c r="AT550" s="108"/>
      <c r="AU550" s="108"/>
      <c r="AV550" s="108"/>
      <c r="AW550" s="108"/>
      <c r="AX550" s="108"/>
      <c r="AY550" s="108"/>
      <c r="AZ550" s="108"/>
      <c r="BA550" s="108"/>
      <c r="BB550" s="108"/>
    </row>
    <row r="551" spans="3:54" ht="12.75" customHeight="1" x14ac:dyDescent="0.25">
      <c r="C551" s="108"/>
      <c r="D551" s="108"/>
      <c r="E551" s="108"/>
      <c r="F551" s="108"/>
      <c r="G551" s="108"/>
      <c r="H551" s="108"/>
      <c r="I551" s="108"/>
      <c r="J551" s="108"/>
      <c r="K551" s="108"/>
      <c r="L551" s="108"/>
      <c r="M551" s="108"/>
      <c r="N551" s="108"/>
      <c r="O551" s="108"/>
      <c r="P551" s="108"/>
      <c r="Q551" s="108"/>
      <c r="R551" s="108"/>
      <c r="S551" s="108"/>
      <c r="T551" s="108"/>
      <c r="U551" s="108"/>
      <c r="V551" s="108"/>
      <c r="W551" s="108"/>
      <c r="X551" s="108"/>
      <c r="Y551" s="108"/>
      <c r="Z551" s="108"/>
      <c r="AA551" s="108"/>
      <c r="AB551" s="108"/>
      <c r="AC551" s="108"/>
      <c r="AD551" s="108"/>
      <c r="AE551" s="108"/>
      <c r="AF551" s="108"/>
      <c r="AG551" s="108"/>
      <c r="AH551" s="108"/>
      <c r="AI551" s="108"/>
      <c r="AJ551" s="108"/>
      <c r="AK551" s="108"/>
      <c r="AL551" s="108"/>
      <c r="AM551" s="108"/>
      <c r="AN551" s="108"/>
      <c r="AO551" s="108"/>
      <c r="AP551" s="108"/>
      <c r="AQ551" s="108"/>
      <c r="AR551" s="108"/>
      <c r="AS551" s="108"/>
      <c r="AT551" s="108"/>
      <c r="AU551" s="108"/>
      <c r="AV551" s="108"/>
      <c r="AW551" s="108"/>
      <c r="AX551" s="108"/>
      <c r="AY551" s="108"/>
      <c r="AZ551" s="108"/>
      <c r="BA551" s="108"/>
      <c r="BB551" s="108"/>
    </row>
    <row r="552" spans="3:54" ht="12.75" customHeight="1" x14ac:dyDescent="0.25">
      <c r="C552" s="108"/>
      <c r="D552" s="108"/>
      <c r="E552" s="108"/>
      <c r="F552" s="108"/>
      <c r="G552" s="108"/>
      <c r="H552" s="108"/>
      <c r="I552" s="108"/>
      <c r="J552" s="108"/>
      <c r="K552" s="108"/>
      <c r="L552" s="108"/>
      <c r="M552" s="108"/>
      <c r="N552" s="108"/>
      <c r="O552" s="108"/>
      <c r="P552" s="108"/>
      <c r="Q552" s="108"/>
      <c r="R552" s="108"/>
      <c r="S552" s="108"/>
      <c r="T552" s="108"/>
      <c r="U552" s="108"/>
      <c r="V552" s="108"/>
      <c r="W552" s="108"/>
      <c r="X552" s="108"/>
      <c r="Y552" s="108"/>
      <c r="Z552" s="108"/>
      <c r="AA552" s="108"/>
      <c r="AB552" s="108"/>
      <c r="AC552" s="108"/>
      <c r="AD552" s="108"/>
      <c r="AE552" s="108"/>
      <c r="AF552" s="108"/>
      <c r="AG552" s="108"/>
      <c r="AH552" s="108"/>
      <c r="AI552" s="108"/>
      <c r="AJ552" s="108"/>
      <c r="AK552" s="108"/>
      <c r="AL552" s="108"/>
      <c r="AM552" s="108"/>
      <c r="AN552" s="108"/>
      <c r="AO552" s="108"/>
      <c r="AP552" s="108"/>
      <c r="AQ552" s="108"/>
      <c r="AR552" s="108"/>
      <c r="AS552" s="108"/>
      <c r="AT552" s="108"/>
      <c r="AU552" s="108"/>
      <c r="AV552" s="108"/>
      <c r="AW552" s="108"/>
      <c r="AX552" s="108"/>
      <c r="AY552" s="108"/>
      <c r="AZ552" s="108"/>
      <c r="BA552" s="108"/>
      <c r="BB552" s="108"/>
    </row>
    <row r="553" spans="3:54" ht="12.75" customHeight="1" x14ac:dyDescent="0.25">
      <c r="C553" s="108"/>
      <c r="D553" s="108"/>
      <c r="E553" s="108"/>
      <c r="F553" s="108"/>
      <c r="G553" s="108"/>
      <c r="H553" s="108"/>
      <c r="I553" s="108"/>
      <c r="J553" s="108"/>
      <c r="K553" s="108"/>
      <c r="L553" s="108"/>
      <c r="M553" s="108"/>
      <c r="N553" s="108"/>
      <c r="O553" s="108"/>
      <c r="P553" s="108"/>
      <c r="Q553" s="108"/>
      <c r="R553" s="108"/>
      <c r="S553" s="108"/>
      <c r="T553" s="108"/>
      <c r="U553" s="108"/>
      <c r="V553" s="108"/>
      <c r="W553" s="108"/>
      <c r="X553" s="108"/>
      <c r="Y553" s="108"/>
      <c r="Z553" s="108"/>
      <c r="AA553" s="108"/>
      <c r="AB553" s="108"/>
      <c r="AC553" s="108"/>
      <c r="AD553" s="108"/>
      <c r="AE553" s="108"/>
      <c r="AF553" s="108"/>
      <c r="AG553" s="108"/>
      <c r="AH553" s="108"/>
      <c r="AI553" s="108"/>
      <c r="AJ553" s="108"/>
      <c r="AK553" s="108"/>
      <c r="AL553" s="108"/>
      <c r="AM553" s="108"/>
      <c r="AN553" s="108"/>
      <c r="AO553" s="108"/>
      <c r="AP553" s="108"/>
      <c r="AQ553" s="108"/>
      <c r="AR553" s="108"/>
      <c r="AS553" s="108"/>
      <c r="AT553" s="108"/>
      <c r="AU553" s="108"/>
      <c r="AV553" s="108"/>
      <c r="AW553" s="108"/>
      <c r="AX553" s="108"/>
      <c r="AY553" s="108"/>
      <c r="AZ553" s="108"/>
      <c r="BA553" s="108"/>
      <c r="BB553" s="108"/>
    </row>
    <row r="554" spans="3:54" ht="12.75" customHeight="1" x14ac:dyDescent="0.25">
      <c r="C554" s="108"/>
      <c r="D554" s="108"/>
      <c r="E554" s="108"/>
      <c r="F554" s="108"/>
      <c r="G554" s="108"/>
      <c r="H554" s="108"/>
      <c r="I554" s="108"/>
      <c r="J554" s="108"/>
      <c r="K554" s="108"/>
      <c r="L554" s="108"/>
      <c r="M554" s="108"/>
      <c r="N554" s="108"/>
      <c r="O554" s="108"/>
      <c r="P554" s="108"/>
      <c r="Q554" s="108"/>
      <c r="R554" s="108"/>
      <c r="S554" s="108"/>
      <c r="T554" s="108"/>
      <c r="U554" s="108"/>
      <c r="V554" s="108"/>
      <c r="W554" s="108"/>
      <c r="X554" s="108"/>
      <c r="Y554" s="108"/>
      <c r="Z554" s="108"/>
      <c r="AA554" s="108"/>
      <c r="AB554" s="108"/>
      <c r="AC554" s="108"/>
      <c r="AD554" s="108"/>
      <c r="AE554" s="108"/>
      <c r="AF554" s="108"/>
      <c r="AG554" s="108"/>
      <c r="AH554" s="108"/>
      <c r="AI554" s="108"/>
      <c r="AJ554" s="108"/>
      <c r="AK554" s="108"/>
      <c r="AL554" s="108"/>
      <c r="AM554" s="108"/>
      <c r="AN554" s="108"/>
      <c r="AO554" s="108"/>
      <c r="AP554" s="108"/>
      <c r="AQ554" s="108"/>
      <c r="AR554" s="108"/>
      <c r="AS554" s="108"/>
      <c r="AT554" s="108"/>
      <c r="AU554" s="108"/>
      <c r="AV554" s="108"/>
      <c r="AW554" s="108"/>
      <c r="AX554" s="108"/>
      <c r="AY554" s="108"/>
      <c r="AZ554" s="108"/>
      <c r="BA554" s="108"/>
      <c r="BB554" s="108"/>
    </row>
    <row r="555" spans="3:54" ht="12.75" customHeight="1" x14ac:dyDescent="0.25">
      <c r="C555" s="108"/>
      <c r="D555" s="108"/>
      <c r="E555" s="108"/>
      <c r="F555" s="108"/>
      <c r="G555" s="108"/>
      <c r="H555" s="108"/>
      <c r="I555" s="108"/>
      <c r="J555" s="108"/>
      <c r="K555" s="108"/>
      <c r="L555" s="108"/>
      <c r="M555" s="108"/>
      <c r="N555" s="108"/>
      <c r="O555" s="108"/>
      <c r="P555" s="108"/>
      <c r="Q555" s="108"/>
      <c r="R555" s="108"/>
      <c r="S555" s="108"/>
      <c r="T555" s="108"/>
      <c r="U555" s="108"/>
      <c r="V555" s="108"/>
      <c r="W555" s="108"/>
      <c r="X555" s="108"/>
      <c r="Y555" s="108"/>
      <c r="Z555" s="108"/>
      <c r="AA555" s="108"/>
      <c r="AB555" s="108"/>
      <c r="AC555" s="108"/>
      <c r="AD555" s="108"/>
      <c r="AE555" s="108"/>
      <c r="AF555" s="108"/>
      <c r="AG555" s="108"/>
      <c r="AH555" s="108"/>
      <c r="AI555" s="108"/>
      <c r="AJ555" s="108"/>
      <c r="AK555" s="108"/>
      <c r="AL555" s="108"/>
      <c r="AM555" s="108"/>
      <c r="AN555" s="108"/>
      <c r="AO555" s="108"/>
      <c r="AP555" s="108"/>
      <c r="AQ555" s="108"/>
      <c r="AR555" s="108"/>
      <c r="AS555" s="108"/>
      <c r="AT555" s="108"/>
      <c r="AU555" s="108"/>
      <c r="AV555" s="108"/>
      <c r="AW555" s="108"/>
      <c r="AX555" s="108"/>
      <c r="AY555" s="108"/>
      <c r="AZ555" s="108"/>
      <c r="BA555" s="108"/>
      <c r="BB555" s="108"/>
    </row>
    <row r="556" spans="3:54" ht="12.75" customHeight="1" x14ac:dyDescent="0.25">
      <c r="C556" s="108"/>
      <c r="D556" s="108"/>
      <c r="E556" s="108"/>
      <c r="F556" s="108"/>
      <c r="G556" s="108"/>
      <c r="H556" s="108"/>
      <c r="I556" s="108"/>
      <c r="J556" s="108"/>
      <c r="K556" s="108"/>
      <c r="L556" s="108"/>
      <c r="M556" s="108"/>
      <c r="N556" s="108"/>
      <c r="O556" s="108"/>
      <c r="P556" s="108"/>
      <c r="Q556" s="108"/>
      <c r="R556" s="108"/>
      <c r="S556" s="108"/>
      <c r="T556" s="108"/>
      <c r="U556" s="108"/>
      <c r="V556" s="108"/>
      <c r="W556" s="108"/>
      <c r="X556" s="108"/>
      <c r="Y556" s="108"/>
      <c r="Z556" s="108"/>
      <c r="AA556" s="108"/>
      <c r="AB556" s="108"/>
      <c r="AC556" s="108"/>
      <c r="AD556" s="108"/>
      <c r="AE556" s="108"/>
      <c r="AF556" s="108"/>
      <c r="AG556" s="108"/>
      <c r="AH556" s="108"/>
      <c r="AI556" s="108"/>
      <c r="AJ556" s="108"/>
      <c r="AK556" s="108"/>
      <c r="AL556" s="108"/>
      <c r="AM556" s="108"/>
      <c r="AN556" s="108"/>
      <c r="AO556" s="108"/>
      <c r="AP556" s="108"/>
      <c r="AQ556" s="108"/>
      <c r="AR556" s="108"/>
      <c r="AS556" s="108"/>
      <c r="AT556" s="108"/>
      <c r="AU556" s="108"/>
      <c r="AV556" s="108"/>
      <c r="AW556" s="108"/>
      <c r="AX556" s="108"/>
      <c r="AY556" s="108"/>
      <c r="AZ556" s="108"/>
      <c r="BA556" s="108"/>
      <c r="BB556" s="108"/>
    </row>
    <row r="557" spans="3:54" ht="12.75" customHeight="1" x14ac:dyDescent="0.25">
      <c r="C557" s="108"/>
      <c r="D557" s="108"/>
      <c r="E557" s="108"/>
      <c r="F557" s="108"/>
      <c r="G557" s="108"/>
      <c r="H557" s="108"/>
      <c r="I557" s="108"/>
      <c r="J557" s="108"/>
      <c r="K557" s="108"/>
      <c r="L557" s="108"/>
      <c r="M557" s="108"/>
      <c r="N557" s="108"/>
      <c r="O557" s="108"/>
      <c r="P557" s="108"/>
      <c r="Q557" s="108"/>
      <c r="R557" s="108"/>
      <c r="S557" s="108"/>
      <c r="T557" s="108"/>
      <c r="U557" s="108"/>
      <c r="V557" s="108"/>
      <c r="W557" s="108"/>
      <c r="X557" s="108"/>
      <c r="Y557" s="108"/>
      <c r="Z557" s="108"/>
      <c r="AA557" s="108"/>
      <c r="AB557" s="108"/>
      <c r="AC557" s="108"/>
      <c r="AD557" s="108"/>
      <c r="AE557" s="108"/>
      <c r="AF557" s="108"/>
      <c r="AG557" s="108"/>
      <c r="AH557" s="108"/>
      <c r="AI557" s="108"/>
      <c r="AJ557" s="108"/>
      <c r="AK557" s="108"/>
      <c r="AL557" s="108"/>
      <c r="AM557" s="108"/>
      <c r="AN557" s="108"/>
      <c r="AO557" s="108"/>
      <c r="AP557" s="108"/>
      <c r="AQ557" s="108"/>
      <c r="AR557" s="108"/>
      <c r="AS557" s="108"/>
      <c r="AT557" s="108"/>
      <c r="AU557" s="108"/>
      <c r="AV557" s="108"/>
      <c r="AW557" s="108"/>
      <c r="AX557" s="108"/>
      <c r="AY557" s="108"/>
      <c r="AZ557" s="108"/>
      <c r="BA557" s="108"/>
      <c r="BB557" s="108"/>
    </row>
    <row r="558" spans="3:54" ht="12.75" customHeight="1" x14ac:dyDescent="0.25">
      <c r="C558" s="108"/>
      <c r="D558" s="108"/>
      <c r="E558" s="108"/>
      <c r="F558" s="108"/>
      <c r="G558" s="108"/>
      <c r="H558" s="108"/>
      <c r="I558" s="108"/>
      <c r="J558" s="108"/>
      <c r="K558" s="108"/>
      <c r="L558" s="108"/>
      <c r="M558" s="108"/>
      <c r="N558" s="108"/>
      <c r="O558" s="108"/>
      <c r="P558" s="108"/>
      <c r="Q558" s="108"/>
      <c r="R558" s="108"/>
      <c r="S558" s="108"/>
      <c r="T558" s="108"/>
      <c r="U558" s="108"/>
      <c r="V558" s="108"/>
      <c r="W558" s="108"/>
      <c r="X558" s="108"/>
      <c r="Y558" s="108"/>
      <c r="Z558" s="108"/>
      <c r="AA558" s="108"/>
      <c r="AB558" s="108"/>
      <c r="AC558" s="108"/>
      <c r="AD558" s="108"/>
      <c r="AE558" s="108"/>
      <c r="AF558" s="108"/>
      <c r="AG558" s="108"/>
      <c r="AH558" s="108"/>
      <c r="AI558" s="108"/>
      <c r="AJ558" s="108"/>
      <c r="AK558" s="108"/>
      <c r="AL558" s="108"/>
      <c r="AM558" s="108"/>
      <c r="AN558" s="108"/>
      <c r="AO558" s="108"/>
      <c r="AP558" s="108"/>
      <c r="AQ558" s="108"/>
      <c r="AR558" s="108"/>
      <c r="AS558" s="108"/>
      <c r="AT558" s="108"/>
      <c r="AU558" s="108"/>
      <c r="AV558" s="108"/>
      <c r="AW558" s="108"/>
      <c r="AX558" s="108"/>
      <c r="AY558" s="108"/>
      <c r="AZ558" s="108"/>
      <c r="BA558" s="108"/>
      <c r="BB558" s="108"/>
    </row>
    <row r="559" spans="3:54" ht="12.75" customHeight="1" x14ac:dyDescent="0.25">
      <c r="C559" s="108"/>
      <c r="D559" s="108"/>
      <c r="E559" s="108"/>
      <c r="F559" s="108"/>
      <c r="G559" s="108"/>
      <c r="H559" s="108"/>
      <c r="I559" s="108"/>
      <c r="J559" s="108"/>
      <c r="K559" s="108"/>
      <c r="L559" s="108"/>
      <c r="M559" s="108"/>
      <c r="N559" s="108"/>
      <c r="O559" s="108"/>
      <c r="P559" s="108"/>
      <c r="Q559" s="108"/>
      <c r="R559" s="108"/>
      <c r="S559" s="108"/>
      <c r="T559" s="108"/>
      <c r="U559" s="108"/>
      <c r="V559" s="108"/>
      <c r="W559" s="108"/>
      <c r="X559" s="108"/>
      <c r="Y559" s="108"/>
      <c r="Z559" s="108"/>
      <c r="AA559" s="108"/>
      <c r="AB559" s="108"/>
      <c r="AC559" s="108"/>
      <c r="AD559" s="108"/>
      <c r="AE559" s="108"/>
      <c r="AF559" s="108"/>
      <c r="AG559" s="108"/>
      <c r="AH559" s="108"/>
      <c r="AI559" s="108"/>
      <c r="AJ559" s="108"/>
      <c r="AK559" s="108"/>
      <c r="AL559" s="108"/>
      <c r="AM559" s="108"/>
      <c r="AN559" s="108"/>
      <c r="AO559" s="108"/>
      <c r="AP559" s="108"/>
      <c r="AQ559" s="108"/>
      <c r="AR559" s="108"/>
      <c r="AS559" s="108"/>
      <c r="AT559" s="108"/>
      <c r="AU559" s="108"/>
      <c r="AV559" s="108"/>
      <c r="AW559" s="108"/>
      <c r="AX559" s="108"/>
      <c r="AY559" s="108"/>
      <c r="AZ559" s="108"/>
      <c r="BA559" s="108"/>
      <c r="BB559" s="108"/>
    </row>
    <row r="560" spans="3:54" ht="12.75" customHeight="1" x14ac:dyDescent="0.25">
      <c r="C560" s="108"/>
      <c r="D560" s="108"/>
      <c r="E560" s="108"/>
      <c r="F560" s="108"/>
      <c r="G560" s="108"/>
      <c r="H560" s="108"/>
      <c r="I560" s="108"/>
      <c r="J560" s="108"/>
      <c r="K560" s="108"/>
      <c r="L560" s="108"/>
      <c r="M560" s="108"/>
      <c r="N560" s="108"/>
      <c r="O560" s="108"/>
      <c r="P560" s="108"/>
      <c r="Q560" s="108"/>
      <c r="R560" s="108"/>
      <c r="S560" s="108"/>
      <c r="T560" s="108"/>
      <c r="U560" s="108"/>
      <c r="V560" s="108"/>
      <c r="W560" s="108"/>
      <c r="X560" s="108"/>
      <c r="Y560" s="108"/>
      <c r="Z560" s="108"/>
      <c r="AA560" s="108"/>
      <c r="AB560" s="108"/>
      <c r="AC560" s="108"/>
      <c r="AD560" s="108"/>
      <c r="AE560" s="108"/>
      <c r="AF560" s="108"/>
      <c r="AG560" s="108"/>
      <c r="AH560" s="108"/>
      <c r="AI560" s="108"/>
      <c r="AJ560" s="108"/>
      <c r="AK560" s="108"/>
      <c r="AL560" s="108"/>
      <c r="AM560" s="108"/>
      <c r="AN560" s="108"/>
      <c r="AO560" s="108"/>
      <c r="AP560" s="108"/>
      <c r="AQ560" s="108"/>
      <c r="AR560" s="108"/>
      <c r="AS560" s="108"/>
      <c r="AT560" s="108"/>
      <c r="AU560" s="108"/>
      <c r="AV560" s="108"/>
      <c r="AW560" s="108"/>
      <c r="AX560" s="108"/>
      <c r="AY560" s="108"/>
      <c r="AZ560" s="108"/>
      <c r="BA560" s="108"/>
      <c r="BB560" s="108"/>
    </row>
    <row r="561" spans="3:54" ht="12.75" customHeight="1" x14ac:dyDescent="0.25">
      <c r="C561" s="108"/>
      <c r="D561" s="108"/>
      <c r="E561" s="108"/>
      <c r="F561" s="108"/>
      <c r="G561" s="108"/>
      <c r="H561" s="108"/>
      <c r="I561" s="108"/>
      <c r="J561" s="108"/>
      <c r="K561" s="108"/>
      <c r="L561" s="108"/>
      <c r="M561" s="108"/>
      <c r="N561" s="108"/>
      <c r="O561" s="108"/>
      <c r="P561" s="108"/>
      <c r="Q561" s="108"/>
      <c r="R561" s="108"/>
      <c r="S561" s="108"/>
      <c r="T561" s="108"/>
      <c r="U561" s="108"/>
      <c r="V561" s="108"/>
      <c r="W561" s="108"/>
      <c r="X561" s="108"/>
      <c r="Y561" s="108"/>
      <c r="Z561" s="108"/>
      <c r="AA561" s="108"/>
      <c r="AB561" s="108"/>
      <c r="AC561" s="108"/>
      <c r="AD561" s="108"/>
      <c r="AE561" s="108"/>
      <c r="AF561" s="108"/>
      <c r="AG561" s="108"/>
      <c r="AH561" s="108"/>
      <c r="AI561" s="108"/>
      <c r="AJ561" s="108"/>
      <c r="AK561" s="108"/>
      <c r="AL561" s="108"/>
      <c r="AM561" s="108"/>
      <c r="AN561" s="108"/>
      <c r="AO561" s="108"/>
      <c r="AP561" s="108"/>
      <c r="AQ561" s="108"/>
      <c r="AR561" s="108"/>
      <c r="AS561" s="108"/>
      <c r="AT561" s="108"/>
      <c r="AU561" s="108"/>
      <c r="AV561" s="108"/>
      <c r="AW561" s="108"/>
      <c r="AX561" s="108"/>
      <c r="AY561" s="108"/>
      <c r="AZ561" s="108"/>
      <c r="BA561" s="108"/>
      <c r="BB561" s="108"/>
    </row>
    <row r="562" spans="3:54" ht="12.75" customHeight="1" x14ac:dyDescent="0.25">
      <c r="C562" s="108"/>
      <c r="D562" s="108"/>
      <c r="E562" s="108"/>
      <c r="F562" s="108"/>
      <c r="G562" s="108"/>
      <c r="H562" s="108"/>
      <c r="I562" s="108"/>
      <c r="J562" s="108"/>
      <c r="K562" s="108"/>
      <c r="L562" s="108"/>
      <c r="M562" s="108"/>
      <c r="N562" s="108"/>
      <c r="O562" s="108"/>
      <c r="P562" s="108"/>
      <c r="Q562" s="108"/>
      <c r="R562" s="108"/>
      <c r="S562" s="108"/>
      <c r="T562" s="108"/>
      <c r="U562" s="108"/>
      <c r="V562" s="108"/>
      <c r="W562" s="108"/>
      <c r="X562" s="108"/>
      <c r="Y562" s="108"/>
      <c r="Z562" s="108"/>
      <c r="AA562" s="108"/>
      <c r="AB562" s="108"/>
      <c r="AC562" s="108"/>
      <c r="AD562" s="108"/>
      <c r="AE562" s="108"/>
      <c r="AF562" s="108"/>
      <c r="AG562" s="108"/>
      <c r="AH562" s="108"/>
      <c r="AI562" s="108"/>
      <c r="AJ562" s="108"/>
      <c r="AK562" s="108"/>
      <c r="AL562" s="108"/>
      <c r="AM562" s="108"/>
      <c r="AN562" s="108"/>
      <c r="AO562" s="108"/>
      <c r="AP562" s="108"/>
      <c r="AQ562" s="108"/>
      <c r="AR562" s="108"/>
      <c r="AS562" s="108"/>
      <c r="AT562" s="108"/>
      <c r="AU562" s="108"/>
      <c r="AV562" s="108"/>
      <c r="AW562" s="108"/>
      <c r="AX562" s="108"/>
      <c r="AY562" s="108"/>
      <c r="AZ562" s="108"/>
      <c r="BA562" s="108"/>
      <c r="BB562" s="108"/>
    </row>
    <row r="563" spans="3:54" ht="12.75" customHeight="1" x14ac:dyDescent="0.25">
      <c r="C563" s="108"/>
      <c r="D563" s="108"/>
      <c r="E563" s="108"/>
      <c r="F563" s="108"/>
      <c r="G563" s="108"/>
      <c r="H563" s="108"/>
      <c r="I563" s="108"/>
      <c r="J563" s="108"/>
      <c r="K563" s="108"/>
      <c r="L563" s="108"/>
      <c r="M563" s="108"/>
      <c r="N563" s="108"/>
      <c r="O563" s="108"/>
      <c r="P563" s="108"/>
      <c r="Q563" s="108"/>
      <c r="R563" s="108"/>
      <c r="S563" s="108"/>
      <c r="T563" s="108"/>
      <c r="U563" s="108"/>
      <c r="V563" s="108"/>
      <c r="W563" s="108"/>
      <c r="X563" s="108"/>
      <c r="Y563" s="108"/>
      <c r="Z563" s="108"/>
      <c r="AA563" s="108"/>
      <c r="AB563" s="108"/>
      <c r="AC563" s="108"/>
      <c r="AD563" s="108"/>
      <c r="AE563" s="108"/>
      <c r="AF563" s="108"/>
      <c r="AG563" s="108"/>
      <c r="AH563" s="108"/>
      <c r="AI563" s="108"/>
      <c r="AJ563" s="108"/>
      <c r="AK563" s="108"/>
      <c r="AL563" s="108"/>
      <c r="AM563" s="108"/>
      <c r="AN563" s="108"/>
      <c r="AO563" s="108"/>
      <c r="AP563" s="108"/>
      <c r="AQ563" s="108"/>
      <c r="AR563" s="108"/>
      <c r="AS563" s="108"/>
      <c r="AT563" s="108"/>
      <c r="AU563" s="108"/>
      <c r="AV563" s="108"/>
      <c r="AW563" s="108"/>
      <c r="AX563" s="108"/>
      <c r="AY563" s="108"/>
      <c r="AZ563" s="108"/>
      <c r="BA563" s="108"/>
      <c r="BB563" s="108"/>
    </row>
    <row r="564" spans="3:54" ht="12.75" customHeight="1" x14ac:dyDescent="0.25">
      <c r="C564" s="108"/>
      <c r="D564" s="108"/>
      <c r="E564" s="108"/>
      <c r="F564" s="108"/>
      <c r="G564" s="108"/>
      <c r="H564" s="108"/>
      <c r="I564" s="108"/>
      <c r="J564" s="108"/>
      <c r="K564" s="108"/>
      <c r="L564" s="108"/>
      <c r="M564" s="108"/>
      <c r="N564" s="108"/>
      <c r="O564" s="108"/>
      <c r="P564" s="108"/>
      <c r="Q564" s="108"/>
      <c r="R564" s="108"/>
      <c r="S564" s="108"/>
      <c r="T564" s="108"/>
      <c r="U564" s="108"/>
      <c r="V564" s="108"/>
      <c r="W564" s="108"/>
      <c r="X564" s="108"/>
      <c r="Y564" s="108"/>
      <c r="Z564" s="108"/>
      <c r="AA564" s="108"/>
      <c r="AB564" s="108"/>
      <c r="AC564" s="108"/>
      <c r="AD564" s="108"/>
      <c r="AE564" s="108"/>
      <c r="AF564" s="108"/>
      <c r="AG564" s="108"/>
      <c r="AH564" s="108"/>
      <c r="AI564" s="108"/>
      <c r="AJ564" s="108"/>
      <c r="AK564" s="108"/>
      <c r="AL564" s="108"/>
      <c r="AM564" s="108"/>
      <c r="AN564" s="108"/>
      <c r="AO564" s="108"/>
      <c r="AP564" s="108"/>
      <c r="AQ564" s="108"/>
      <c r="AR564" s="108"/>
      <c r="AS564" s="108"/>
      <c r="AT564" s="108"/>
      <c r="AU564" s="108"/>
      <c r="AV564" s="108"/>
      <c r="AW564" s="108"/>
      <c r="AX564" s="108"/>
      <c r="AY564" s="108"/>
      <c r="AZ564" s="108"/>
      <c r="BA564" s="108"/>
      <c r="BB564" s="108"/>
    </row>
    <row r="565" spans="3:54" ht="12.75" customHeight="1" x14ac:dyDescent="0.25">
      <c r="C565" s="108"/>
      <c r="D565" s="108"/>
      <c r="E565" s="108"/>
      <c r="F565" s="108"/>
      <c r="G565" s="108"/>
      <c r="H565" s="108"/>
      <c r="I565" s="108"/>
      <c r="J565" s="108"/>
      <c r="K565" s="108"/>
      <c r="L565" s="108"/>
      <c r="M565" s="108"/>
      <c r="N565" s="108"/>
      <c r="O565" s="108"/>
      <c r="P565" s="108"/>
      <c r="Q565" s="108"/>
      <c r="R565" s="108"/>
      <c r="S565" s="108"/>
      <c r="T565" s="108"/>
      <c r="U565" s="108"/>
      <c r="V565" s="108"/>
      <c r="W565" s="108"/>
      <c r="X565" s="108"/>
      <c r="Y565" s="108"/>
      <c r="Z565" s="108"/>
      <c r="AA565" s="108"/>
      <c r="AB565" s="108"/>
      <c r="AC565" s="108"/>
      <c r="AD565" s="108"/>
      <c r="AE565" s="108"/>
      <c r="AF565" s="108"/>
      <c r="AG565" s="108"/>
      <c r="AH565" s="108"/>
      <c r="AI565" s="108"/>
      <c r="AJ565" s="108"/>
      <c r="AK565" s="108"/>
      <c r="AL565" s="108"/>
      <c r="AM565" s="108"/>
      <c r="AN565" s="108"/>
      <c r="AO565" s="108"/>
      <c r="AP565" s="108"/>
      <c r="AQ565" s="108"/>
      <c r="AR565" s="108"/>
      <c r="AS565" s="108"/>
      <c r="AT565" s="108"/>
      <c r="AU565" s="108"/>
      <c r="AV565" s="108"/>
      <c r="AW565" s="108"/>
      <c r="AX565" s="108"/>
      <c r="AY565" s="108"/>
      <c r="AZ565" s="108"/>
      <c r="BA565" s="108"/>
      <c r="BB565" s="108"/>
    </row>
    <row r="566" spans="3:54" ht="12.75" customHeight="1" x14ac:dyDescent="0.25">
      <c r="C566" s="108"/>
      <c r="D566" s="108"/>
      <c r="E566" s="108"/>
      <c r="F566" s="108"/>
      <c r="G566" s="108"/>
      <c r="H566" s="108"/>
      <c r="I566" s="108"/>
      <c r="J566" s="108"/>
      <c r="K566" s="108"/>
      <c r="L566" s="108"/>
      <c r="M566" s="108"/>
      <c r="N566" s="108"/>
      <c r="O566" s="108"/>
      <c r="P566" s="108"/>
      <c r="Q566" s="108"/>
      <c r="R566" s="108"/>
      <c r="S566" s="108"/>
      <c r="T566" s="108"/>
      <c r="U566" s="108"/>
      <c r="V566" s="108"/>
      <c r="W566" s="108"/>
      <c r="X566" s="108"/>
      <c r="Y566" s="108"/>
      <c r="Z566" s="108"/>
      <c r="AA566" s="108"/>
      <c r="AB566" s="108"/>
      <c r="AC566" s="108"/>
      <c r="AD566" s="108"/>
      <c r="AE566" s="108"/>
      <c r="AF566" s="108"/>
      <c r="AG566" s="108"/>
      <c r="AH566" s="108"/>
      <c r="AI566" s="108"/>
      <c r="AJ566" s="108"/>
      <c r="AK566" s="108"/>
      <c r="AL566" s="108"/>
      <c r="AM566" s="108"/>
      <c r="AN566" s="108"/>
      <c r="AO566" s="108"/>
      <c r="AP566" s="108"/>
      <c r="AQ566" s="108"/>
      <c r="AR566" s="108"/>
      <c r="AS566" s="108"/>
      <c r="AT566" s="108"/>
      <c r="AU566" s="108"/>
      <c r="AV566" s="108"/>
      <c r="AW566" s="108"/>
      <c r="AX566" s="108"/>
      <c r="AY566" s="108"/>
      <c r="AZ566" s="108"/>
      <c r="BA566" s="108"/>
      <c r="BB566" s="108"/>
    </row>
    <row r="567" spans="3:54" ht="12.75" customHeight="1" x14ac:dyDescent="0.25">
      <c r="C567" s="108"/>
      <c r="D567" s="108"/>
      <c r="E567" s="108"/>
      <c r="F567" s="108"/>
      <c r="G567" s="108"/>
      <c r="H567" s="108"/>
      <c r="I567" s="108"/>
      <c r="J567" s="108"/>
      <c r="K567" s="108"/>
      <c r="L567" s="108"/>
      <c r="M567" s="108"/>
      <c r="N567" s="108"/>
      <c r="O567" s="108"/>
      <c r="P567" s="108"/>
      <c r="Q567" s="108"/>
      <c r="R567" s="108"/>
      <c r="S567" s="108"/>
      <c r="T567" s="108"/>
      <c r="U567" s="108"/>
      <c r="V567" s="108"/>
      <c r="W567" s="108"/>
      <c r="X567" s="108"/>
      <c r="Y567" s="108"/>
      <c r="Z567" s="108"/>
      <c r="AA567" s="108"/>
      <c r="AB567" s="108"/>
      <c r="AC567" s="108"/>
      <c r="AD567" s="108"/>
      <c r="AE567" s="108"/>
      <c r="AF567" s="108"/>
      <c r="AG567" s="108"/>
      <c r="AH567" s="108"/>
      <c r="AI567" s="108"/>
      <c r="AJ567" s="108"/>
      <c r="AK567" s="108"/>
      <c r="AL567" s="108"/>
      <c r="AM567" s="108"/>
      <c r="AN567" s="108"/>
      <c r="AO567" s="108"/>
      <c r="AP567" s="108"/>
      <c r="AQ567" s="108"/>
      <c r="AR567" s="108"/>
      <c r="AS567" s="108"/>
      <c r="AT567" s="108"/>
      <c r="AU567" s="108"/>
      <c r="AV567" s="108"/>
      <c r="AW567" s="108"/>
      <c r="AX567" s="108"/>
      <c r="AY567" s="108"/>
      <c r="AZ567" s="108"/>
      <c r="BA567" s="108"/>
      <c r="BB567" s="108"/>
    </row>
    <row r="568" spans="3:54" ht="12.75" customHeight="1" x14ac:dyDescent="0.25">
      <c r="C568" s="108"/>
      <c r="D568" s="108"/>
      <c r="E568" s="108"/>
      <c r="F568" s="108"/>
      <c r="G568" s="108"/>
      <c r="H568" s="108"/>
      <c r="I568" s="108"/>
      <c r="J568" s="108"/>
      <c r="K568" s="108"/>
      <c r="L568" s="108"/>
      <c r="M568" s="108"/>
      <c r="N568" s="108"/>
      <c r="O568" s="108"/>
      <c r="P568" s="108"/>
      <c r="Q568" s="108"/>
      <c r="R568" s="108"/>
      <c r="S568" s="108"/>
      <c r="T568" s="108"/>
      <c r="U568" s="108"/>
      <c r="V568" s="108"/>
      <c r="W568" s="108"/>
      <c r="X568" s="108"/>
      <c r="Y568" s="108"/>
      <c r="Z568" s="108"/>
      <c r="AA568" s="108"/>
      <c r="AB568" s="108"/>
      <c r="AC568" s="108"/>
      <c r="AD568" s="108"/>
      <c r="AE568" s="108"/>
      <c r="AF568" s="108"/>
      <c r="AG568" s="108"/>
      <c r="AH568" s="108"/>
      <c r="AI568" s="108"/>
      <c r="AJ568" s="108"/>
      <c r="AK568" s="108"/>
      <c r="AL568" s="108"/>
      <c r="AM568" s="108"/>
      <c r="AN568" s="108"/>
      <c r="AO568" s="108"/>
      <c r="AP568" s="108"/>
      <c r="AQ568" s="108"/>
      <c r="AR568" s="108"/>
      <c r="AS568" s="108"/>
      <c r="AT568" s="108"/>
      <c r="AU568" s="108"/>
      <c r="AV568" s="108"/>
      <c r="AW568" s="108"/>
      <c r="AX568" s="108"/>
      <c r="AY568" s="108"/>
      <c r="AZ568" s="108"/>
      <c r="BA568" s="108"/>
      <c r="BB568" s="108"/>
    </row>
    <row r="569" spans="3:54" ht="12.75" customHeight="1" x14ac:dyDescent="0.25">
      <c r="C569" s="108"/>
      <c r="D569" s="108"/>
      <c r="E569" s="108"/>
      <c r="F569" s="108"/>
      <c r="G569" s="108"/>
      <c r="H569" s="108"/>
      <c r="I569" s="108"/>
      <c r="J569" s="108"/>
      <c r="K569" s="108"/>
      <c r="L569" s="108"/>
      <c r="M569" s="108"/>
      <c r="N569" s="108"/>
      <c r="O569" s="108"/>
      <c r="P569" s="108"/>
      <c r="Q569" s="108"/>
      <c r="R569" s="108"/>
      <c r="S569" s="108"/>
      <c r="T569" s="108"/>
      <c r="U569" s="108"/>
      <c r="V569" s="108"/>
      <c r="W569" s="108"/>
      <c r="X569" s="108"/>
      <c r="Y569" s="108"/>
      <c r="Z569" s="108"/>
      <c r="AA569" s="108"/>
      <c r="AB569" s="108"/>
      <c r="AC569" s="108"/>
      <c r="AD569" s="108"/>
      <c r="AE569" s="108"/>
      <c r="AF569" s="108"/>
      <c r="AG569" s="108"/>
      <c r="AH569" s="108"/>
      <c r="AI569" s="108"/>
      <c r="AJ569" s="108"/>
      <c r="AK569" s="108"/>
      <c r="AL569" s="108"/>
      <c r="AM569" s="108"/>
      <c r="AN569" s="108"/>
      <c r="AO569" s="108"/>
      <c r="AP569" s="108"/>
      <c r="AQ569" s="108"/>
      <c r="AR569" s="108"/>
      <c r="AS569" s="108"/>
      <c r="AT569" s="108"/>
      <c r="AU569" s="108"/>
      <c r="AV569" s="108"/>
      <c r="AW569" s="108"/>
      <c r="AX569" s="108"/>
      <c r="AY569" s="108"/>
      <c r="AZ569" s="108"/>
      <c r="BA569" s="108"/>
      <c r="BB569" s="108"/>
    </row>
    <row r="570" spans="3:54" ht="12.75" customHeight="1" x14ac:dyDescent="0.25">
      <c r="C570" s="108"/>
      <c r="D570" s="108"/>
      <c r="E570" s="108"/>
      <c r="F570" s="108"/>
      <c r="G570" s="108"/>
      <c r="H570" s="108"/>
      <c r="I570" s="108"/>
      <c r="J570" s="108"/>
      <c r="K570" s="108"/>
      <c r="L570" s="108"/>
      <c r="M570" s="108"/>
      <c r="N570" s="108"/>
      <c r="O570" s="108"/>
      <c r="P570" s="108"/>
      <c r="Q570" s="108"/>
      <c r="R570" s="108"/>
      <c r="S570" s="108"/>
      <c r="T570" s="108"/>
      <c r="U570" s="108"/>
      <c r="V570" s="108"/>
      <c r="W570" s="108"/>
      <c r="X570" s="108"/>
      <c r="Y570" s="108"/>
      <c r="Z570" s="108"/>
      <c r="AA570" s="108"/>
      <c r="AB570" s="108"/>
      <c r="AC570" s="108"/>
      <c r="AD570" s="108"/>
      <c r="AE570" s="108"/>
      <c r="AF570" s="108"/>
      <c r="AG570" s="108"/>
      <c r="AH570" s="108"/>
      <c r="AI570" s="108"/>
      <c r="AJ570" s="108"/>
      <c r="AK570" s="108"/>
      <c r="AL570" s="108"/>
      <c r="AM570" s="108"/>
      <c r="AN570" s="108"/>
      <c r="AO570" s="108"/>
      <c r="AP570" s="108"/>
      <c r="AQ570" s="108"/>
      <c r="AR570" s="108"/>
      <c r="AS570" s="108"/>
      <c r="AT570" s="108"/>
      <c r="AU570" s="108"/>
      <c r="AV570" s="108"/>
      <c r="AW570" s="108"/>
      <c r="AX570" s="108"/>
      <c r="AY570" s="108"/>
      <c r="AZ570" s="108"/>
      <c r="BA570" s="108"/>
      <c r="BB570" s="108"/>
    </row>
    <row r="571" spans="3:54" ht="12.75" customHeight="1" x14ac:dyDescent="0.25">
      <c r="C571" s="108"/>
      <c r="D571" s="108"/>
      <c r="E571" s="108"/>
      <c r="F571" s="108"/>
      <c r="G571" s="108"/>
      <c r="H571" s="108"/>
      <c r="I571" s="108"/>
      <c r="J571" s="108"/>
      <c r="K571" s="108"/>
      <c r="L571" s="108"/>
      <c r="M571" s="108"/>
      <c r="N571" s="108"/>
      <c r="O571" s="108"/>
      <c r="P571" s="108"/>
      <c r="Q571" s="108"/>
      <c r="R571" s="108"/>
      <c r="S571" s="108"/>
      <c r="T571" s="108"/>
      <c r="U571" s="108"/>
      <c r="V571" s="108"/>
      <c r="W571" s="108"/>
      <c r="X571" s="108"/>
      <c r="Y571" s="108"/>
      <c r="Z571" s="108"/>
      <c r="AA571" s="108"/>
      <c r="AB571" s="108"/>
      <c r="AC571" s="108"/>
      <c r="AD571" s="108"/>
      <c r="AE571" s="108"/>
      <c r="AF571" s="108"/>
      <c r="AG571" s="108"/>
      <c r="AH571" s="108"/>
      <c r="AI571" s="108"/>
      <c r="AJ571" s="108"/>
      <c r="AK571" s="108"/>
      <c r="AL571" s="108"/>
      <c r="AM571" s="108"/>
      <c r="AN571" s="108"/>
      <c r="AO571" s="108"/>
      <c r="AP571" s="108"/>
      <c r="AQ571" s="108"/>
      <c r="AR571" s="108"/>
      <c r="AS571" s="108"/>
      <c r="AT571" s="108"/>
      <c r="AU571" s="108"/>
      <c r="AV571" s="108"/>
      <c r="AW571" s="108"/>
      <c r="AX571" s="108"/>
      <c r="AY571" s="108"/>
      <c r="AZ571" s="108"/>
      <c r="BA571" s="108"/>
      <c r="BB571" s="108"/>
    </row>
    <row r="572" spans="3:54" ht="12.75" customHeight="1" x14ac:dyDescent="0.25">
      <c r="C572" s="108"/>
      <c r="D572" s="108"/>
      <c r="E572" s="108"/>
      <c r="F572" s="108"/>
      <c r="G572" s="108"/>
      <c r="H572" s="108"/>
      <c r="I572" s="108"/>
      <c r="J572" s="108"/>
      <c r="K572" s="108"/>
      <c r="L572" s="108"/>
      <c r="M572" s="108"/>
      <c r="N572" s="108"/>
      <c r="O572" s="108"/>
      <c r="P572" s="108"/>
      <c r="Q572" s="108"/>
      <c r="R572" s="108"/>
      <c r="S572" s="108"/>
      <c r="T572" s="108"/>
      <c r="U572" s="108"/>
      <c r="V572" s="108"/>
      <c r="W572" s="108"/>
      <c r="X572" s="108"/>
      <c r="Y572" s="108"/>
      <c r="Z572" s="108"/>
      <c r="AA572" s="108"/>
      <c r="AB572" s="108"/>
      <c r="AC572" s="108"/>
      <c r="AD572" s="108"/>
      <c r="AE572" s="108"/>
      <c r="AF572" s="108"/>
      <c r="AG572" s="108"/>
      <c r="AH572" s="108"/>
      <c r="AI572" s="108"/>
      <c r="AJ572" s="108"/>
      <c r="AK572" s="108"/>
      <c r="AL572" s="108"/>
      <c r="AM572" s="108"/>
      <c r="AN572" s="108"/>
      <c r="AO572" s="108"/>
      <c r="AP572" s="108"/>
      <c r="AQ572" s="108"/>
      <c r="AR572" s="108"/>
      <c r="AS572" s="108"/>
      <c r="AT572" s="108"/>
      <c r="AU572" s="108"/>
      <c r="AV572" s="108"/>
      <c r="AW572" s="108"/>
      <c r="AX572" s="108"/>
      <c r="AY572" s="108"/>
      <c r="AZ572" s="108"/>
      <c r="BA572" s="108"/>
      <c r="BB572" s="108"/>
    </row>
    <row r="573" spans="3:54" ht="12.75" customHeight="1" x14ac:dyDescent="0.25">
      <c r="C573" s="108"/>
      <c r="D573" s="108"/>
      <c r="E573" s="108"/>
      <c r="F573" s="108"/>
      <c r="G573" s="108"/>
      <c r="H573" s="108"/>
      <c r="I573" s="108"/>
      <c r="J573" s="108"/>
      <c r="K573" s="108"/>
      <c r="L573" s="108"/>
      <c r="M573" s="108"/>
      <c r="N573" s="108"/>
      <c r="O573" s="108"/>
      <c r="P573" s="108"/>
      <c r="Q573" s="108"/>
      <c r="R573" s="108"/>
      <c r="S573" s="108"/>
      <c r="T573" s="108"/>
      <c r="U573" s="108"/>
      <c r="V573" s="108"/>
      <c r="W573" s="108"/>
      <c r="X573" s="108"/>
      <c r="Y573" s="108"/>
      <c r="Z573" s="108"/>
      <c r="AA573" s="108"/>
      <c r="AB573" s="108"/>
      <c r="AC573" s="108"/>
      <c r="AD573" s="108"/>
      <c r="AE573" s="108"/>
      <c r="AF573" s="108"/>
      <c r="AG573" s="108"/>
      <c r="AH573" s="108"/>
      <c r="AI573" s="108"/>
      <c r="AJ573" s="108"/>
      <c r="AK573" s="108"/>
      <c r="AL573" s="108"/>
      <c r="AM573" s="108"/>
      <c r="AN573" s="108"/>
      <c r="AO573" s="108"/>
      <c r="AP573" s="108"/>
      <c r="AQ573" s="108"/>
      <c r="AR573" s="108"/>
      <c r="AS573" s="108"/>
      <c r="AT573" s="108"/>
      <c r="AU573" s="108"/>
      <c r="AV573" s="108"/>
      <c r="AW573" s="108"/>
      <c r="AX573" s="108"/>
      <c r="AY573" s="108"/>
      <c r="AZ573" s="108"/>
      <c r="BA573" s="108"/>
      <c r="BB573" s="108"/>
    </row>
    <row r="574" spans="3:54" ht="12.75" customHeight="1" x14ac:dyDescent="0.25">
      <c r="C574" s="108"/>
      <c r="D574" s="108"/>
      <c r="E574" s="108"/>
      <c r="F574" s="108"/>
      <c r="G574" s="108"/>
      <c r="H574" s="108"/>
      <c r="I574" s="108"/>
      <c r="J574" s="108"/>
      <c r="K574" s="108"/>
      <c r="L574" s="108"/>
      <c r="M574" s="108"/>
      <c r="N574" s="108"/>
      <c r="O574" s="108"/>
      <c r="P574" s="108"/>
      <c r="Q574" s="108"/>
      <c r="R574" s="108"/>
      <c r="S574" s="108"/>
      <c r="T574" s="108"/>
      <c r="U574" s="108"/>
      <c r="V574" s="108"/>
      <c r="W574" s="108"/>
      <c r="X574" s="108"/>
      <c r="Y574" s="108"/>
      <c r="Z574" s="108"/>
      <c r="AA574" s="108"/>
      <c r="AB574" s="108"/>
      <c r="AC574" s="108"/>
      <c r="AD574" s="108"/>
      <c r="AE574" s="108"/>
      <c r="AF574" s="108"/>
      <c r="AG574" s="108"/>
      <c r="AH574" s="108"/>
      <c r="AI574" s="108"/>
      <c r="AJ574" s="108"/>
      <c r="AK574" s="108"/>
      <c r="AL574" s="108"/>
      <c r="AM574" s="108"/>
      <c r="AN574" s="108"/>
      <c r="AO574" s="108"/>
      <c r="AP574" s="108"/>
      <c r="AQ574" s="108"/>
      <c r="AR574" s="108"/>
      <c r="AS574" s="108"/>
      <c r="AT574" s="108"/>
      <c r="AU574" s="108"/>
      <c r="AV574" s="108"/>
      <c r="AW574" s="108"/>
      <c r="AX574" s="108"/>
      <c r="AY574" s="108"/>
      <c r="AZ574" s="108"/>
      <c r="BA574" s="108"/>
      <c r="BB574" s="108"/>
    </row>
    <row r="575" spans="3:54" ht="12.75" customHeight="1" x14ac:dyDescent="0.25">
      <c r="C575" s="108"/>
      <c r="D575" s="108"/>
      <c r="E575" s="108"/>
      <c r="F575" s="108"/>
      <c r="G575" s="108"/>
      <c r="H575" s="108"/>
      <c r="I575" s="108"/>
      <c r="J575" s="108"/>
      <c r="K575" s="108"/>
      <c r="L575" s="108"/>
      <c r="M575" s="108"/>
      <c r="N575" s="108"/>
      <c r="O575" s="108"/>
      <c r="P575" s="108"/>
      <c r="Q575" s="108"/>
      <c r="R575" s="108"/>
      <c r="S575" s="108"/>
      <c r="T575" s="108"/>
      <c r="U575" s="108"/>
      <c r="V575" s="108"/>
      <c r="W575" s="108"/>
      <c r="X575" s="108"/>
      <c r="Y575" s="108"/>
      <c r="Z575" s="108"/>
      <c r="AA575" s="108"/>
      <c r="AB575" s="108"/>
      <c r="AC575" s="108"/>
      <c r="AD575" s="108"/>
      <c r="AE575" s="108"/>
      <c r="AF575" s="108"/>
      <c r="AG575" s="108"/>
      <c r="AH575" s="108"/>
      <c r="AI575" s="108"/>
      <c r="AJ575" s="108"/>
      <c r="AK575" s="108"/>
      <c r="AL575" s="108"/>
      <c r="AM575" s="108"/>
      <c r="AN575" s="108"/>
      <c r="AO575" s="108"/>
      <c r="AP575" s="108"/>
      <c r="AQ575" s="108"/>
      <c r="AR575" s="108"/>
      <c r="AS575" s="108"/>
      <c r="AT575" s="108"/>
      <c r="AU575" s="108"/>
      <c r="AV575" s="108"/>
      <c r="AW575" s="108"/>
      <c r="AX575" s="108"/>
      <c r="AY575" s="108"/>
      <c r="AZ575" s="108"/>
      <c r="BA575" s="108"/>
      <c r="BB575" s="108"/>
    </row>
    <row r="576" spans="3:54" ht="12.75" customHeight="1" x14ac:dyDescent="0.25">
      <c r="C576" s="108"/>
      <c r="D576" s="108"/>
      <c r="E576" s="108"/>
      <c r="F576" s="108"/>
      <c r="G576" s="108"/>
      <c r="H576" s="108"/>
      <c r="I576" s="108"/>
      <c r="J576" s="108"/>
      <c r="K576" s="108"/>
      <c r="L576" s="108"/>
      <c r="M576" s="108"/>
      <c r="N576" s="108"/>
      <c r="O576" s="108"/>
      <c r="P576" s="108"/>
      <c r="Q576" s="108"/>
      <c r="R576" s="108"/>
      <c r="S576" s="108"/>
      <c r="T576" s="108"/>
      <c r="U576" s="108"/>
      <c r="V576" s="108"/>
      <c r="W576" s="108"/>
      <c r="X576" s="108"/>
      <c r="Y576" s="108"/>
      <c r="Z576" s="108"/>
      <c r="AA576" s="108"/>
      <c r="AB576" s="108"/>
      <c r="AC576" s="108"/>
      <c r="AD576" s="108"/>
      <c r="AE576" s="108"/>
      <c r="AF576" s="108"/>
      <c r="AG576" s="108"/>
      <c r="AH576" s="108"/>
      <c r="AI576" s="108"/>
      <c r="AJ576" s="108"/>
      <c r="AK576" s="108"/>
      <c r="AL576" s="108"/>
      <c r="AM576" s="108"/>
      <c r="AN576" s="108"/>
      <c r="AO576" s="108"/>
      <c r="AP576" s="108"/>
      <c r="AQ576" s="108"/>
      <c r="AR576" s="108"/>
      <c r="AS576" s="108"/>
      <c r="AT576" s="108"/>
      <c r="AU576" s="108"/>
      <c r="AV576" s="108"/>
      <c r="AW576" s="108"/>
      <c r="AX576" s="108"/>
      <c r="AY576" s="108"/>
      <c r="AZ576" s="108"/>
      <c r="BA576" s="108"/>
      <c r="BB576" s="108"/>
    </row>
    <row r="577" spans="3:54" ht="12.75" customHeight="1" x14ac:dyDescent="0.25">
      <c r="C577" s="108"/>
      <c r="D577" s="108"/>
      <c r="E577" s="108"/>
      <c r="F577" s="108"/>
      <c r="G577" s="108"/>
      <c r="H577" s="108"/>
      <c r="I577" s="108"/>
      <c r="J577" s="108"/>
      <c r="K577" s="108"/>
      <c r="L577" s="108"/>
      <c r="M577" s="108"/>
      <c r="N577" s="108"/>
      <c r="O577" s="108"/>
      <c r="P577" s="108"/>
      <c r="Q577" s="108"/>
      <c r="R577" s="108"/>
      <c r="S577" s="108"/>
      <c r="T577" s="108"/>
      <c r="U577" s="108"/>
      <c r="V577" s="108"/>
      <c r="W577" s="108"/>
      <c r="X577" s="108"/>
      <c r="Y577" s="108"/>
      <c r="Z577" s="108"/>
      <c r="AA577" s="108"/>
      <c r="AB577" s="108"/>
      <c r="AC577" s="108"/>
      <c r="AD577" s="108"/>
      <c r="AE577" s="108"/>
      <c r="AF577" s="108"/>
      <c r="AG577" s="108"/>
      <c r="AH577" s="108"/>
      <c r="AI577" s="108"/>
      <c r="AJ577" s="108"/>
      <c r="AK577" s="108"/>
      <c r="AL577" s="108"/>
      <c r="AM577" s="108"/>
      <c r="AN577" s="108"/>
      <c r="AO577" s="108"/>
      <c r="AP577" s="108"/>
      <c r="AQ577" s="108"/>
      <c r="AR577" s="108"/>
      <c r="AS577" s="108"/>
      <c r="AT577" s="108"/>
      <c r="AU577" s="108"/>
      <c r="AV577" s="108"/>
      <c r="AW577" s="108"/>
      <c r="AX577" s="108"/>
      <c r="AY577" s="108"/>
      <c r="AZ577" s="108"/>
      <c r="BA577" s="108"/>
      <c r="BB577" s="108"/>
    </row>
    <row r="578" spans="3:54" ht="12.75" customHeight="1" x14ac:dyDescent="0.25">
      <c r="C578" s="108"/>
      <c r="D578" s="108"/>
      <c r="E578" s="108"/>
      <c r="F578" s="108"/>
      <c r="G578" s="108"/>
      <c r="H578" s="108"/>
      <c r="I578" s="108"/>
      <c r="J578" s="108"/>
      <c r="K578" s="108"/>
      <c r="L578" s="108"/>
      <c r="M578" s="108"/>
      <c r="N578" s="108"/>
      <c r="O578" s="108"/>
      <c r="P578" s="108"/>
      <c r="Q578" s="108"/>
      <c r="R578" s="108"/>
      <c r="S578" s="108"/>
      <c r="T578" s="108"/>
      <c r="U578" s="108"/>
      <c r="V578" s="108"/>
      <c r="W578" s="108"/>
      <c r="X578" s="108"/>
      <c r="Y578" s="108"/>
      <c r="Z578" s="108"/>
      <c r="AA578" s="108"/>
      <c r="AB578" s="108"/>
      <c r="AC578" s="108"/>
      <c r="AD578" s="108"/>
      <c r="AE578" s="108"/>
      <c r="AF578" s="108"/>
      <c r="AG578" s="108"/>
      <c r="AH578" s="108"/>
      <c r="AI578" s="108"/>
      <c r="AJ578" s="108"/>
      <c r="AK578" s="108"/>
      <c r="AL578" s="108"/>
      <c r="AM578" s="108"/>
      <c r="AN578" s="108"/>
      <c r="AO578" s="108"/>
      <c r="AP578" s="108"/>
      <c r="AQ578" s="108"/>
      <c r="AR578" s="108"/>
      <c r="AS578" s="108"/>
      <c r="AT578" s="108"/>
      <c r="AU578" s="108"/>
      <c r="AV578" s="108"/>
      <c r="AW578" s="108"/>
      <c r="AX578" s="108"/>
      <c r="AY578" s="108"/>
      <c r="AZ578" s="108"/>
      <c r="BA578" s="108"/>
      <c r="BB578" s="108"/>
    </row>
    <row r="579" spans="3:54" ht="12.75" customHeight="1" x14ac:dyDescent="0.25">
      <c r="C579" s="108"/>
      <c r="D579" s="108"/>
      <c r="E579" s="108"/>
      <c r="F579" s="108"/>
      <c r="G579" s="108"/>
      <c r="H579" s="108"/>
      <c r="I579" s="108"/>
      <c r="J579" s="108"/>
      <c r="K579" s="108"/>
      <c r="L579" s="108"/>
      <c r="M579" s="108"/>
      <c r="N579" s="108"/>
      <c r="O579" s="108"/>
      <c r="P579" s="108"/>
      <c r="Q579" s="108"/>
      <c r="R579" s="108"/>
      <c r="S579" s="108"/>
      <c r="T579" s="108"/>
      <c r="U579" s="108"/>
      <c r="V579" s="108"/>
      <c r="W579" s="108"/>
      <c r="X579" s="108"/>
      <c r="Y579" s="108"/>
      <c r="Z579" s="108"/>
      <c r="AA579" s="108"/>
      <c r="AB579" s="108"/>
      <c r="AC579" s="108"/>
      <c r="AD579" s="108"/>
      <c r="AE579" s="108"/>
      <c r="AF579" s="108"/>
      <c r="AG579" s="108"/>
      <c r="AH579" s="108"/>
      <c r="AI579" s="108"/>
      <c r="AJ579" s="108"/>
      <c r="AK579" s="108"/>
      <c r="AL579" s="108"/>
      <c r="AM579" s="108"/>
      <c r="AN579" s="108"/>
      <c r="AO579" s="108"/>
      <c r="AP579" s="108"/>
      <c r="AQ579" s="108"/>
      <c r="AR579" s="108"/>
      <c r="AS579" s="108"/>
      <c r="AT579" s="108"/>
      <c r="AU579" s="108"/>
      <c r="AV579" s="108"/>
      <c r="AW579" s="108"/>
      <c r="AX579" s="108"/>
      <c r="AY579" s="108"/>
      <c r="AZ579" s="108"/>
      <c r="BA579" s="108"/>
      <c r="BB579" s="108"/>
    </row>
    <row r="580" spans="3:54" ht="12.75" customHeight="1" x14ac:dyDescent="0.25">
      <c r="C580" s="108"/>
      <c r="D580" s="108"/>
      <c r="E580" s="108"/>
      <c r="F580" s="108"/>
      <c r="G580" s="108"/>
      <c r="H580" s="108"/>
      <c r="I580" s="108"/>
      <c r="J580" s="108"/>
      <c r="K580" s="108"/>
      <c r="L580" s="108"/>
      <c r="M580" s="108"/>
      <c r="N580" s="108"/>
      <c r="O580" s="108"/>
      <c r="P580" s="108"/>
      <c r="Q580" s="108"/>
      <c r="R580" s="108"/>
      <c r="S580" s="108"/>
      <c r="T580" s="108"/>
      <c r="U580" s="108"/>
      <c r="V580" s="108"/>
      <c r="W580" s="108"/>
      <c r="X580" s="108"/>
      <c r="Y580" s="108"/>
      <c r="Z580" s="108"/>
      <c r="AA580" s="108"/>
      <c r="AB580" s="108"/>
      <c r="AC580" s="108"/>
      <c r="AD580" s="108"/>
      <c r="AE580" s="108"/>
      <c r="AF580" s="108"/>
      <c r="AG580" s="108"/>
      <c r="AH580" s="108"/>
      <c r="AI580" s="108"/>
      <c r="AJ580" s="108"/>
      <c r="AK580" s="108"/>
      <c r="AL580" s="108"/>
      <c r="AM580" s="108"/>
      <c r="AN580" s="108"/>
      <c r="AO580" s="108"/>
      <c r="AP580" s="108"/>
      <c r="AQ580" s="108"/>
      <c r="AR580" s="108"/>
      <c r="AS580" s="108"/>
      <c r="AT580" s="108"/>
      <c r="AU580" s="108"/>
      <c r="AV580" s="108"/>
      <c r="AW580" s="108"/>
      <c r="AX580" s="108"/>
      <c r="AY580" s="108"/>
      <c r="AZ580" s="108"/>
      <c r="BA580" s="108"/>
      <c r="BB580" s="108"/>
    </row>
    <row r="581" spans="3:54" ht="12.75" customHeight="1" x14ac:dyDescent="0.25">
      <c r="C581" s="108"/>
      <c r="D581" s="108"/>
      <c r="E581" s="108"/>
      <c r="F581" s="108"/>
      <c r="G581" s="108"/>
      <c r="H581" s="108"/>
      <c r="I581" s="108"/>
      <c r="J581" s="108"/>
      <c r="K581" s="108"/>
      <c r="L581" s="108"/>
      <c r="M581" s="108"/>
      <c r="N581" s="108"/>
      <c r="O581" s="108"/>
      <c r="P581" s="108"/>
      <c r="Q581" s="108"/>
      <c r="R581" s="108"/>
      <c r="S581" s="108"/>
      <c r="T581" s="108"/>
      <c r="U581" s="108"/>
      <c r="V581" s="108"/>
      <c r="W581" s="108"/>
      <c r="X581" s="108"/>
      <c r="Y581" s="108"/>
      <c r="Z581" s="108"/>
      <c r="AA581" s="108"/>
      <c r="AB581" s="108"/>
      <c r="AC581" s="108"/>
      <c r="AD581" s="108"/>
      <c r="AE581" s="108"/>
      <c r="AF581" s="108"/>
      <c r="AG581" s="108"/>
      <c r="AH581" s="108"/>
      <c r="AI581" s="108"/>
      <c r="AJ581" s="108"/>
      <c r="AK581" s="108"/>
      <c r="AL581" s="108"/>
      <c r="AM581" s="108"/>
      <c r="AN581" s="108"/>
      <c r="AO581" s="108"/>
      <c r="AP581" s="108"/>
      <c r="AQ581" s="108"/>
      <c r="AR581" s="108"/>
      <c r="AS581" s="108"/>
      <c r="AT581" s="108"/>
      <c r="AU581" s="108"/>
      <c r="AV581" s="108"/>
      <c r="AW581" s="108"/>
      <c r="AX581" s="108"/>
      <c r="AY581" s="108"/>
      <c r="AZ581" s="108"/>
      <c r="BA581" s="108"/>
      <c r="BB581" s="108"/>
    </row>
    <row r="582" spans="3:54" ht="12.75" customHeight="1" x14ac:dyDescent="0.25">
      <c r="C582" s="108"/>
      <c r="D582" s="108"/>
      <c r="E582" s="108"/>
      <c r="F582" s="108"/>
      <c r="G582" s="108"/>
      <c r="H582" s="108"/>
      <c r="I582" s="108"/>
      <c r="J582" s="108"/>
      <c r="K582" s="108"/>
      <c r="L582" s="108"/>
      <c r="M582" s="108"/>
      <c r="N582" s="108"/>
      <c r="O582" s="108"/>
      <c r="P582" s="108"/>
      <c r="Q582" s="108"/>
      <c r="R582" s="108"/>
      <c r="S582" s="108"/>
      <c r="T582" s="108"/>
      <c r="U582" s="108"/>
      <c r="V582" s="108"/>
      <c r="W582" s="108"/>
      <c r="X582" s="108"/>
      <c r="Y582" s="108"/>
      <c r="Z582" s="108"/>
      <c r="AA582" s="108"/>
      <c r="AB582" s="108"/>
      <c r="AC582" s="108"/>
      <c r="AD582" s="108"/>
      <c r="AE582" s="108"/>
      <c r="AF582" s="108"/>
      <c r="AG582" s="108"/>
      <c r="AH582" s="108"/>
      <c r="AI582" s="108"/>
      <c r="AJ582" s="108"/>
      <c r="AK582" s="108"/>
      <c r="AL582" s="108"/>
      <c r="AM582" s="108"/>
      <c r="AN582" s="108"/>
      <c r="AO582" s="108"/>
      <c r="AP582" s="108"/>
      <c r="AQ582" s="108"/>
      <c r="AR582" s="108"/>
      <c r="AS582" s="108"/>
      <c r="AT582" s="108"/>
      <c r="AU582" s="108"/>
      <c r="AV582" s="108"/>
      <c r="AW582" s="108"/>
      <c r="AX582" s="108"/>
      <c r="AY582" s="108"/>
      <c r="AZ582" s="108"/>
      <c r="BA582" s="108"/>
      <c r="BB582" s="108"/>
    </row>
    <row r="583" spans="3:54" ht="12.75" customHeight="1" x14ac:dyDescent="0.25">
      <c r="C583" s="108"/>
      <c r="D583" s="108"/>
      <c r="E583" s="108"/>
      <c r="F583" s="108"/>
      <c r="G583" s="108"/>
      <c r="H583" s="108"/>
      <c r="I583" s="108"/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  <c r="T583" s="108"/>
      <c r="U583" s="108"/>
      <c r="V583" s="108"/>
      <c r="W583" s="108"/>
      <c r="X583" s="108"/>
      <c r="Y583" s="108"/>
      <c r="Z583" s="108"/>
      <c r="AA583" s="108"/>
      <c r="AB583" s="108"/>
      <c r="AC583" s="108"/>
      <c r="AD583" s="108"/>
      <c r="AE583" s="108"/>
      <c r="AF583" s="108"/>
      <c r="AG583" s="108"/>
      <c r="AH583" s="108"/>
      <c r="AI583" s="108"/>
      <c r="AJ583" s="108"/>
      <c r="AK583" s="108"/>
      <c r="AL583" s="108"/>
      <c r="AM583" s="108"/>
      <c r="AN583" s="108"/>
      <c r="AO583" s="108"/>
      <c r="AP583" s="108"/>
      <c r="AQ583" s="108"/>
      <c r="AR583" s="108"/>
      <c r="AS583" s="108"/>
      <c r="AT583" s="108"/>
      <c r="AU583" s="108"/>
      <c r="AV583" s="108"/>
      <c r="AW583" s="108"/>
      <c r="AX583" s="108"/>
      <c r="AY583" s="108"/>
      <c r="AZ583" s="108"/>
      <c r="BA583" s="108"/>
      <c r="BB583" s="108"/>
    </row>
    <row r="584" spans="3:54" ht="12.75" customHeight="1" x14ac:dyDescent="0.25">
      <c r="C584" s="108"/>
      <c r="D584" s="108"/>
      <c r="E584" s="108"/>
      <c r="F584" s="108"/>
      <c r="G584" s="108"/>
      <c r="H584" s="108"/>
      <c r="I584" s="108"/>
      <c r="J584" s="108"/>
      <c r="K584" s="108"/>
      <c r="L584" s="108"/>
      <c r="M584" s="108"/>
      <c r="N584" s="108"/>
      <c r="O584" s="108"/>
      <c r="P584" s="108"/>
      <c r="Q584" s="108"/>
      <c r="R584" s="108"/>
      <c r="S584" s="108"/>
      <c r="T584" s="108"/>
      <c r="U584" s="108"/>
      <c r="V584" s="108"/>
      <c r="W584" s="108"/>
      <c r="X584" s="108"/>
      <c r="Y584" s="108"/>
      <c r="Z584" s="108"/>
      <c r="AA584" s="108"/>
      <c r="AB584" s="108"/>
      <c r="AC584" s="108"/>
      <c r="AD584" s="108"/>
      <c r="AE584" s="108"/>
      <c r="AF584" s="108"/>
      <c r="AG584" s="108"/>
      <c r="AH584" s="108"/>
      <c r="AI584" s="108"/>
      <c r="AJ584" s="108"/>
      <c r="AK584" s="108"/>
      <c r="AL584" s="108"/>
      <c r="AM584" s="108"/>
      <c r="AN584" s="108"/>
      <c r="AO584" s="108"/>
      <c r="AP584" s="108"/>
      <c r="AQ584" s="108"/>
      <c r="AR584" s="108"/>
      <c r="AS584" s="108"/>
      <c r="AT584" s="108"/>
      <c r="AU584" s="108"/>
      <c r="AV584" s="108"/>
      <c r="AW584" s="108"/>
      <c r="AX584" s="108"/>
      <c r="AY584" s="108"/>
      <c r="AZ584" s="108"/>
      <c r="BA584" s="108"/>
      <c r="BB584" s="108"/>
    </row>
    <row r="585" spans="3:54" ht="12.75" customHeight="1" x14ac:dyDescent="0.25">
      <c r="C585" s="108"/>
      <c r="D585" s="108"/>
      <c r="E585" s="108"/>
      <c r="F585" s="108"/>
      <c r="G585" s="108"/>
      <c r="H585" s="108"/>
      <c r="I585" s="108"/>
      <c r="J585" s="108"/>
      <c r="K585" s="108"/>
      <c r="L585" s="108"/>
      <c r="M585" s="108"/>
      <c r="N585" s="108"/>
      <c r="O585" s="108"/>
      <c r="P585" s="108"/>
      <c r="Q585" s="108"/>
      <c r="R585" s="108"/>
      <c r="S585" s="108"/>
      <c r="T585" s="108"/>
      <c r="U585" s="108"/>
      <c r="V585" s="108"/>
      <c r="W585" s="108"/>
      <c r="X585" s="108"/>
      <c r="Y585" s="108"/>
      <c r="Z585" s="108"/>
      <c r="AA585" s="108"/>
      <c r="AB585" s="108"/>
      <c r="AC585" s="108"/>
      <c r="AD585" s="108"/>
      <c r="AE585" s="108"/>
      <c r="AF585" s="108"/>
      <c r="AG585" s="108"/>
      <c r="AH585" s="108"/>
      <c r="AI585" s="108"/>
      <c r="AJ585" s="108"/>
      <c r="AK585" s="108"/>
      <c r="AL585" s="108"/>
      <c r="AM585" s="108"/>
      <c r="AN585" s="108"/>
      <c r="AO585" s="108"/>
      <c r="AP585" s="108"/>
      <c r="AQ585" s="108"/>
      <c r="AR585" s="108"/>
      <c r="AS585" s="108"/>
      <c r="AT585" s="108"/>
      <c r="AU585" s="108"/>
      <c r="AV585" s="108"/>
      <c r="AW585" s="108"/>
      <c r="AX585" s="108"/>
      <c r="AY585" s="108"/>
      <c r="AZ585" s="108"/>
      <c r="BA585" s="108"/>
      <c r="BB585" s="108"/>
    </row>
    <row r="586" spans="3:54" ht="12.75" customHeight="1" x14ac:dyDescent="0.25">
      <c r="C586" s="108"/>
      <c r="D586" s="108"/>
      <c r="E586" s="108"/>
      <c r="F586" s="108"/>
      <c r="G586" s="108"/>
      <c r="H586" s="108"/>
      <c r="I586" s="108"/>
      <c r="J586" s="108"/>
      <c r="K586" s="108"/>
      <c r="L586" s="108"/>
      <c r="M586" s="108"/>
      <c r="N586" s="108"/>
      <c r="O586" s="108"/>
      <c r="P586" s="108"/>
      <c r="Q586" s="108"/>
      <c r="R586" s="108"/>
      <c r="S586" s="108"/>
      <c r="T586" s="108"/>
      <c r="U586" s="108"/>
      <c r="V586" s="108"/>
      <c r="W586" s="108"/>
      <c r="X586" s="108"/>
      <c r="Y586" s="108"/>
      <c r="Z586" s="108"/>
      <c r="AA586" s="108"/>
      <c r="AB586" s="108"/>
      <c r="AC586" s="108"/>
      <c r="AD586" s="108"/>
      <c r="AE586" s="108"/>
      <c r="AF586" s="108"/>
      <c r="AG586" s="108"/>
      <c r="AH586" s="108"/>
      <c r="AI586" s="108"/>
      <c r="AJ586" s="108"/>
      <c r="AK586" s="108"/>
      <c r="AL586" s="108"/>
      <c r="AM586" s="108"/>
      <c r="AN586" s="108"/>
      <c r="AO586" s="108"/>
      <c r="AP586" s="108"/>
      <c r="AQ586" s="108"/>
      <c r="AR586" s="108"/>
      <c r="AS586" s="108"/>
      <c r="AT586" s="108"/>
      <c r="AU586" s="108"/>
      <c r="AV586" s="108"/>
      <c r="AW586" s="108"/>
      <c r="AX586" s="108"/>
      <c r="AY586" s="108"/>
      <c r="AZ586" s="108"/>
      <c r="BA586" s="108"/>
      <c r="BB586" s="108"/>
    </row>
    <row r="587" spans="3:54" ht="12.75" customHeight="1" x14ac:dyDescent="0.25">
      <c r="C587" s="108"/>
      <c r="D587" s="108"/>
      <c r="E587" s="108"/>
      <c r="F587" s="108"/>
      <c r="G587" s="108"/>
      <c r="H587" s="108"/>
      <c r="I587" s="108"/>
      <c r="J587" s="108"/>
      <c r="K587" s="108"/>
      <c r="L587" s="108"/>
      <c r="M587" s="108"/>
      <c r="N587" s="108"/>
      <c r="O587" s="108"/>
      <c r="P587" s="108"/>
      <c r="Q587" s="108"/>
      <c r="R587" s="108"/>
      <c r="S587" s="108"/>
      <c r="T587" s="108"/>
      <c r="U587" s="108"/>
      <c r="V587" s="108"/>
      <c r="W587" s="108"/>
      <c r="X587" s="108"/>
      <c r="Y587" s="108"/>
      <c r="Z587" s="108"/>
      <c r="AA587" s="108"/>
      <c r="AB587" s="108"/>
      <c r="AC587" s="108"/>
      <c r="AD587" s="108"/>
      <c r="AE587" s="108"/>
      <c r="AF587" s="108"/>
      <c r="AG587" s="108"/>
      <c r="AH587" s="108"/>
      <c r="AI587" s="108"/>
      <c r="AJ587" s="108"/>
      <c r="AK587" s="108"/>
      <c r="AL587" s="108"/>
      <c r="AM587" s="108"/>
      <c r="AN587" s="108"/>
      <c r="AO587" s="108"/>
      <c r="AP587" s="108"/>
      <c r="AQ587" s="108"/>
      <c r="AR587" s="108"/>
      <c r="AS587" s="108"/>
      <c r="AT587" s="108"/>
      <c r="AU587" s="108"/>
      <c r="AV587" s="108"/>
      <c r="AW587" s="108"/>
      <c r="AX587" s="108"/>
      <c r="AY587" s="108"/>
      <c r="AZ587" s="108"/>
      <c r="BA587" s="108"/>
      <c r="BB587" s="108"/>
    </row>
    <row r="588" spans="3:54" ht="12.75" customHeight="1" x14ac:dyDescent="0.25">
      <c r="C588" s="108"/>
      <c r="D588" s="108"/>
      <c r="E588" s="108"/>
      <c r="F588" s="108"/>
      <c r="G588" s="108"/>
      <c r="H588" s="108"/>
      <c r="I588" s="108"/>
      <c r="J588" s="108"/>
      <c r="K588" s="108"/>
      <c r="L588" s="108"/>
      <c r="M588" s="108"/>
      <c r="N588" s="108"/>
      <c r="O588" s="108"/>
      <c r="P588" s="108"/>
      <c r="Q588" s="108"/>
      <c r="R588" s="108"/>
      <c r="S588" s="108"/>
      <c r="T588" s="108"/>
      <c r="U588" s="108"/>
      <c r="V588" s="108"/>
      <c r="W588" s="108"/>
      <c r="X588" s="108"/>
      <c r="Y588" s="108"/>
      <c r="Z588" s="108"/>
      <c r="AA588" s="108"/>
      <c r="AB588" s="108"/>
      <c r="AC588" s="108"/>
      <c r="AD588" s="108"/>
      <c r="AE588" s="108"/>
      <c r="AF588" s="108"/>
      <c r="AG588" s="108"/>
      <c r="AH588" s="108"/>
      <c r="AI588" s="108"/>
      <c r="AJ588" s="108"/>
      <c r="AK588" s="108"/>
      <c r="AL588" s="108"/>
      <c r="AM588" s="108"/>
      <c r="AN588" s="108"/>
      <c r="AO588" s="108"/>
      <c r="AP588" s="108"/>
      <c r="AQ588" s="108"/>
      <c r="AR588" s="108"/>
      <c r="AS588" s="108"/>
      <c r="AT588" s="108"/>
      <c r="AU588" s="108"/>
      <c r="AV588" s="108"/>
      <c r="AW588" s="108"/>
      <c r="AX588" s="108"/>
      <c r="AY588" s="108"/>
      <c r="AZ588" s="108"/>
      <c r="BA588" s="108"/>
      <c r="BB588" s="108"/>
    </row>
    <row r="589" spans="3:54" ht="12.75" customHeight="1" x14ac:dyDescent="0.25">
      <c r="C589" s="108"/>
      <c r="D589" s="108"/>
      <c r="E589" s="108"/>
      <c r="F589" s="108"/>
      <c r="G589" s="108"/>
      <c r="H589" s="108"/>
      <c r="I589" s="108"/>
      <c r="J589" s="108"/>
      <c r="K589" s="108"/>
      <c r="L589" s="108"/>
      <c r="M589" s="108"/>
      <c r="N589" s="108"/>
      <c r="O589" s="108"/>
      <c r="P589" s="108"/>
      <c r="Q589" s="108"/>
      <c r="R589" s="108"/>
      <c r="S589" s="108"/>
      <c r="T589" s="108"/>
      <c r="U589" s="108"/>
      <c r="V589" s="108"/>
      <c r="W589" s="108"/>
      <c r="X589" s="108"/>
      <c r="Y589" s="108"/>
      <c r="Z589" s="108"/>
      <c r="AA589" s="108"/>
      <c r="AB589" s="108"/>
      <c r="AC589" s="108"/>
      <c r="AD589" s="108"/>
      <c r="AE589" s="108"/>
      <c r="AF589" s="108"/>
      <c r="AG589" s="108"/>
      <c r="AH589" s="108"/>
      <c r="AI589" s="108"/>
      <c r="AJ589" s="108"/>
      <c r="AK589" s="108"/>
      <c r="AL589" s="108"/>
      <c r="AM589" s="108"/>
      <c r="AN589" s="108"/>
      <c r="AO589" s="108"/>
      <c r="AP589" s="108"/>
      <c r="AQ589" s="108"/>
      <c r="AR589" s="108"/>
      <c r="AS589" s="108"/>
      <c r="AT589" s="108"/>
      <c r="AU589" s="108"/>
      <c r="AV589" s="108"/>
      <c r="AW589" s="108"/>
      <c r="AX589" s="108"/>
      <c r="AY589" s="108"/>
      <c r="AZ589" s="108"/>
      <c r="BA589" s="108"/>
      <c r="BB589" s="108"/>
    </row>
    <row r="590" spans="3:54" ht="12.75" customHeight="1" x14ac:dyDescent="0.25">
      <c r="C590" s="108"/>
      <c r="D590" s="108"/>
      <c r="E590" s="108"/>
      <c r="F590" s="108"/>
      <c r="G590" s="108"/>
      <c r="H590" s="108"/>
      <c r="I590" s="108"/>
      <c r="J590" s="108"/>
      <c r="K590" s="108"/>
      <c r="L590" s="108"/>
      <c r="M590" s="108"/>
      <c r="N590" s="108"/>
      <c r="O590" s="108"/>
      <c r="P590" s="108"/>
      <c r="Q590" s="108"/>
      <c r="R590" s="108"/>
      <c r="S590" s="108"/>
      <c r="T590" s="108"/>
      <c r="U590" s="108"/>
      <c r="V590" s="108"/>
      <c r="W590" s="108"/>
      <c r="X590" s="108"/>
      <c r="Y590" s="108"/>
      <c r="Z590" s="108"/>
      <c r="AA590" s="108"/>
      <c r="AB590" s="108"/>
      <c r="AC590" s="108"/>
      <c r="AD590" s="108"/>
      <c r="AE590" s="108"/>
      <c r="AF590" s="108"/>
      <c r="AG590" s="108"/>
      <c r="AH590" s="108"/>
      <c r="AI590" s="108"/>
      <c r="AJ590" s="108"/>
      <c r="AK590" s="108"/>
      <c r="AL590" s="108"/>
      <c r="AM590" s="108"/>
      <c r="AN590" s="108"/>
      <c r="AO590" s="108"/>
      <c r="AP590" s="108"/>
      <c r="AQ590" s="108"/>
      <c r="AR590" s="108"/>
      <c r="AS590" s="108"/>
      <c r="AT590" s="108"/>
      <c r="AU590" s="108"/>
      <c r="AV590" s="108"/>
      <c r="AW590" s="108"/>
      <c r="AX590" s="108"/>
      <c r="AY590" s="108"/>
      <c r="AZ590" s="108"/>
      <c r="BA590" s="108"/>
      <c r="BB590" s="108"/>
    </row>
    <row r="591" spans="3:54" ht="12.75" customHeight="1" x14ac:dyDescent="0.25">
      <c r="C591" s="108"/>
      <c r="D591" s="108"/>
      <c r="E591" s="108"/>
      <c r="F591" s="108"/>
      <c r="G591" s="108"/>
      <c r="H591" s="108"/>
      <c r="I591" s="108"/>
      <c r="J591" s="108"/>
      <c r="K591" s="108"/>
      <c r="L591" s="108"/>
      <c r="M591" s="108"/>
      <c r="N591" s="108"/>
      <c r="O591" s="108"/>
      <c r="P591" s="108"/>
      <c r="Q591" s="108"/>
      <c r="R591" s="108"/>
      <c r="S591" s="108"/>
      <c r="T591" s="108"/>
      <c r="U591" s="108"/>
      <c r="V591" s="108"/>
      <c r="W591" s="108"/>
      <c r="X591" s="108"/>
      <c r="Y591" s="108"/>
      <c r="Z591" s="108"/>
      <c r="AA591" s="108"/>
      <c r="AB591" s="108"/>
      <c r="AC591" s="108"/>
      <c r="AD591" s="108"/>
      <c r="AE591" s="108"/>
      <c r="AF591" s="108"/>
      <c r="AG591" s="108"/>
      <c r="AH591" s="108"/>
      <c r="AI591" s="108"/>
      <c r="AJ591" s="108"/>
      <c r="AK591" s="108"/>
      <c r="AL591" s="108"/>
      <c r="AM591" s="108"/>
      <c r="AN591" s="108"/>
      <c r="AO591" s="108"/>
      <c r="AP591" s="108"/>
      <c r="AQ591" s="108"/>
      <c r="AR591" s="108"/>
      <c r="AS591" s="108"/>
      <c r="AT591" s="108"/>
      <c r="AU591" s="108"/>
      <c r="AV591" s="108"/>
      <c r="AW591" s="108"/>
      <c r="AX591" s="108"/>
      <c r="AY591" s="108"/>
      <c r="AZ591" s="108"/>
      <c r="BA591" s="108"/>
      <c r="BB591" s="108"/>
    </row>
    <row r="592" spans="3:54" ht="12.75" customHeight="1" x14ac:dyDescent="0.25">
      <c r="C592" s="108"/>
      <c r="D592" s="108"/>
      <c r="E592" s="108"/>
      <c r="F592" s="108"/>
      <c r="G592" s="108"/>
      <c r="H592" s="108"/>
      <c r="I592" s="108"/>
      <c r="J592" s="108"/>
      <c r="K592" s="108"/>
      <c r="L592" s="108"/>
      <c r="M592" s="108"/>
      <c r="N592" s="108"/>
      <c r="O592" s="108"/>
      <c r="P592" s="108"/>
      <c r="Q592" s="108"/>
      <c r="R592" s="108"/>
      <c r="S592" s="108"/>
      <c r="T592" s="108"/>
      <c r="U592" s="108"/>
      <c r="V592" s="108"/>
      <c r="W592" s="108"/>
      <c r="X592" s="108"/>
      <c r="Y592" s="108"/>
      <c r="Z592" s="108"/>
      <c r="AA592" s="108"/>
      <c r="AB592" s="108"/>
      <c r="AC592" s="108"/>
      <c r="AD592" s="108"/>
      <c r="AE592" s="108"/>
      <c r="AF592" s="108"/>
      <c r="AG592" s="108"/>
      <c r="AH592" s="108"/>
      <c r="AI592" s="108"/>
      <c r="AJ592" s="108"/>
      <c r="AK592" s="108"/>
      <c r="AL592" s="108"/>
      <c r="AM592" s="108"/>
      <c r="AN592" s="108"/>
      <c r="AO592" s="108"/>
      <c r="AP592" s="108"/>
      <c r="AQ592" s="108"/>
      <c r="AR592" s="108"/>
      <c r="AS592" s="108"/>
      <c r="AT592" s="108"/>
      <c r="AU592" s="108"/>
      <c r="AV592" s="108"/>
      <c r="AW592" s="108"/>
      <c r="AX592" s="108"/>
      <c r="AY592" s="108"/>
      <c r="AZ592" s="108"/>
      <c r="BA592" s="108"/>
      <c r="BB592" s="108"/>
    </row>
    <row r="593" spans="3:54" ht="12.75" customHeight="1" x14ac:dyDescent="0.25">
      <c r="C593" s="108"/>
      <c r="D593" s="108"/>
      <c r="E593" s="108"/>
      <c r="F593" s="108"/>
      <c r="G593" s="108"/>
      <c r="H593" s="108"/>
      <c r="I593" s="108"/>
      <c r="J593" s="108"/>
      <c r="K593" s="108"/>
      <c r="L593" s="108"/>
      <c r="M593" s="108"/>
      <c r="N593" s="108"/>
      <c r="O593" s="108"/>
      <c r="P593" s="108"/>
      <c r="Q593" s="108"/>
      <c r="R593" s="108"/>
      <c r="S593" s="108"/>
      <c r="T593" s="108"/>
      <c r="U593" s="108"/>
      <c r="V593" s="108"/>
      <c r="W593" s="108"/>
      <c r="X593" s="108"/>
      <c r="Y593" s="108"/>
      <c r="Z593" s="108"/>
      <c r="AA593" s="108"/>
      <c r="AB593" s="108"/>
      <c r="AC593" s="108"/>
      <c r="AD593" s="108"/>
      <c r="AE593" s="108"/>
      <c r="AF593" s="108"/>
      <c r="AG593" s="108"/>
      <c r="AH593" s="108"/>
      <c r="AI593" s="108"/>
      <c r="AJ593" s="108"/>
      <c r="AK593" s="108"/>
      <c r="AL593" s="108"/>
      <c r="AM593" s="108"/>
      <c r="AN593" s="108"/>
      <c r="AO593" s="108"/>
      <c r="AP593" s="108"/>
      <c r="AQ593" s="108"/>
      <c r="AR593" s="108"/>
      <c r="AS593" s="108"/>
      <c r="AT593" s="108"/>
      <c r="AU593" s="108"/>
      <c r="AV593" s="108"/>
      <c r="AW593" s="108"/>
      <c r="AX593" s="108"/>
      <c r="AY593" s="108"/>
      <c r="AZ593" s="108"/>
      <c r="BA593" s="108"/>
      <c r="BB593" s="108"/>
    </row>
    <row r="594" spans="3:54" ht="12.75" customHeight="1" x14ac:dyDescent="0.25">
      <c r="C594" s="108"/>
      <c r="D594" s="108"/>
      <c r="E594" s="108"/>
      <c r="F594" s="108"/>
      <c r="G594" s="108"/>
      <c r="H594" s="108"/>
      <c r="I594" s="108"/>
      <c r="J594" s="108"/>
      <c r="K594" s="108"/>
      <c r="L594" s="108"/>
      <c r="M594" s="108"/>
      <c r="N594" s="108"/>
      <c r="O594" s="108"/>
      <c r="P594" s="108"/>
      <c r="Q594" s="108"/>
      <c r="R594" s="108"/>
      <c r="S594" s="108"/>
      <c r="T594" s="108"/>
      <c r="U594" s="108"/>
      <c r="V594" s="108"/>
      <c r="W594" s="108"/>
      <c r="X594" s="108"/>
      <c r="Y594" s="108"/>
      <c r="Z594" s="108"/>
      <c r="AA594" s="108"/>
      <c r="AB594" s="108"/>
      <c r="AC594" s="108"/>
      <c r="AD594" s="108"/>
      <c r="AE594" s="108"/>
      <c r="AF594" s="108"/>
      <c r="AG594" s="108"/>
      <c r="AH594" s="108"/>
      <c r="AI594" s="108"/>
      <c r="AJ594" s="108"/>
      <c r="AK594" s="108"/>
      <c r="AL594" s="108"/>
      <c r="AM594" s="108"/>
      <c r="AN594" s="108"/>
      <c r="AO594" s="108"/>
      <c r="AP594" s="108"/>
      <c r="AQ594" s="108"/>
      <c r="AR594" s="108"/>
      <c r="AS594" s="108"/>
      <c r="AT594" s="108"/>
      <c r="AU594" s="108"/>
      <c r="AV594" s="108"/>
      <c r="AW594" s="108"/>
      <c r="AX594" s="108"/>
      <c r="AY594" s="108"/>
      <c r="AZ594" s="108"/>
      <c r="BA594" s="108"/>
      <c r="BB594" s="108"/>
    </row>
    <row r="595" spans="3:54" ht="12.75" customHeight="1" x14ac:dyDescent="0.25">
      <c r="C595" s="108"/>
      <c r="D595" s="108"/>
      <c r="E595" s="108"/>
      <c r="F595" s="108"/>
      <c r="G595" s="108"/>
      <c r="H595" s="108"/>
      <c r="I595" s="108"/>
      <c r="J595" s="108"/>
      <c r="K595" s="108"/>
      <c r="L595" s="108"/>
      <c r="M595" s="108"/>
      <c r="N595" s="108"/>
      <c r="O595" s="108"/>
      <c r="P595" s="108"/>
      <c r="Q595" s="108"/>
      <c r="R595" s="108"/>
      <c r="S595" s="108"/>
      <c r="T595" s="108"/>
      <c r="U595" s="108"/>
      <c r="V595" s="108"/>
      <c r="W595" s="108"/>
      <c r="X595" s="108"/>
      <c r="Y595" s="108"/>
      <c r="Z595" s="108"/>
      <c r="AA595" s="108"/>
      <c r="AB595" s="108"/>
      <c r="AC595" s="108"/>
      <c r="AD595" s="108"/>
      <c r="AE595" s="108"/>
      <c r="AF595" s="108"/>
      <c r="AG595" s="108"/>
      <c r="AH595" s="108"/>
      <c r="AI595" s="108"/>
      <c r="AJ595" s="108"/>
      <c r="AK595" s="108"/>
      <c r="AL595" s="108"/>
      <c r="AM595" s="108"/>
      <c r="AN595" s="108"/>
      <c r="AO595" s="108"/>
      <c r="AP595" s="108"/>
      <c r="AQ595" s="108"/>
      <c r="AR595" s="108"/>
      <c r="AS595" s="108"/>
      <c r="AT595" s="108"/>
      <c r="AU595" s="108"/>
      <c r="AV595" s="108"/>
      <c r="AW595" s="108"/>
      <c r="AX595" s="108"/>
      <c r="AY595" s="108"/>
      <c r="AZ595" s="108"/>
      <c r="BA595" s="108"/>
      <c r="BB595" s="108"/>
    </row>
    <row r="596" spans="3:54" ht="12.75" customHeight="1" x14ac:dyDescent="0.25">
      <c r="C596" s="108"/>
      <c r="D596" s="108"/>
      <c r="E596" s="108"/>
      <c r="F596" s="108"/>
      <c r="G596" s="108"/>
      <c r="H596" s="108"/>
      <c r="I596" s="108"/>
      <c r="J596" s="108"/>
      <c r="K596" s="108"/>
      <c r="L596" s="108"/>
      <c r="M596" s="108"/>
      <c r="N596" s="108"/>
      <c r="O596" s="108"/>
      <c r="P596" s="108"/>
      <c r="Q596" s="108"/>
      <c r="R596" s="108"/>
      <c r="S596" s="108"/>
      <c r="T596" s="108"/>
      <c r="U596" s="108"/>
      <c r="V596" s="108"/>
      <c r="W596" s="108"/>
      <c r="X596" s="108"/>
      <c r="Y596" s="108"/>
      <c r="Z596" s="108"/>
      <c r="AA596" s="108"/>
      <c r="AB596" s="108"/>
      <c r="AC596" s="108"/>
      <c r="AD596" s="108"/>
      <c r="AE596" s="108"/>
      <c r="AF596" s="108"/>
      <c r="AG596" s="108"/>
      <c r="AH596" s="108"/>
      <c r="AI596" s="108"/>
      <c r="AJ596" s="108"/>
      <c r="AK596" s="108"/>
      <c r="AL596" s="108"/>
      <c r="AM596" s="108"/>
      <c r="AN596" s="108"/>
      <c r="AO596" s="108"/>
      <c r="AP596" s="108"/>
      <c r="AQ596" s="108"/>
      <c r="AR596" s="108"/>
      <c r="AS596" s="108"/>
      <c r="AT596" s="108"/>
      <c r="AU596" s="108"/>
      <c r="AV596" s="108"/>
      <c r="AW596" s="108"/>
      <c r="AX596" s="108"/>
      <c r="AY596" s="108"/>
      <c r="AZ596" s="108"/>
      <c r="BA596" s="108"/>
      <c r="BB596" s="108"/>
    </row>
    <row r="597" spans="3:54" ht="12.75" customHeight="1" x14ac:dyDescent="0.25">
      <c r="C597" s="108"/>
      <c r="D597" s="108"/>
      <c r="E597" s="108"/>
      <c r="F597" s="108"/>
      <c r="G597" s="108"/>
      <c r="H597" s="108"/>
      <c r="I597" s="108"/>
      <c r="J597" s="108"/>
      <c r="K597" s="108"/>
      <c r="L597" s="108"/>
      <c r="M597" s="108"/>
      <c r="N597" s="108"/>
      <c r="O597" s="108"/>
      <c r="P597" s="108"/>
      <c r="Q597" s="108"/>
      <c r="R597" s="108"/>
      <c r="S597" s="108"/>
      <c r="T597" s="108"/>
      <c r="U597" s="108"/>
      <c r="V597" s="108"/>
      <c r="W597" s="108"/>
      <c r="X597" s="108"/>
      <c r="Y597" s="108"/>
      <c r="Z597" s="108"/>
      <c r="AA597" s="108"/>
      <c r="AB597" s="108"/>
      <c r="AC597" s="108"/>
      <c r="AD597" s="108"/>
      <c r="AE597" s="108"/>
      <c r="AF597" s="108"/>
      <c r="AG597" s="108"/>
      <c r="AH597" s="108"/>
      <c r="AI597" s="108"/>
      <c r="AJ597" s="108"/>
      <c r="AK597" s="108"/>
      <c r="AL597" s="108"/>
      <c r="AM597" s="108"/>
      <c r="AN597" s="108"/>
      <c r="AO597" s="108"/>
      <c r="AP597" s="108"/>
      <c r="AQ597" s="108"/>
      <c r="AR597" s="108"/>
      <c r="AS597" s="108"/>
      <c r="AT597" s="108"/>
      <c r="AU597" s="108"/>
      <c r="AV597" s="108"/>
      <c r="AW597" s="108"/>
      <c r="AX597" s="108"/>
      <c r="AY597" s="108"/>
      <c r="AZ597" s="108"/>
      <c r="BA597" s="108"/>
      <c r="BB597" s="108"/>
    </row>
    <row r="598" spans="3:54" ht="12.75" customHeight="1" x14ac:dyDescent="0.25">
      <c r="C598" s="108"/>
      <c r="D598" s="108"/>
      <c r="E598" s="108"/>
      <c r="F598" s="108"/>
      <c r="G598" s="108"/>
      <c r="H598" s="108"/>
      <c r="I598" s="108"/>
      <c r="J598" s="108"/>
      <c r="K598" s="108"/>
      <c r="L598" s="108"/>
      <c r="M598" s="108"/>
      <c r="N598" s="108"/>
      <c r="O598" s="108"/>
      <c r="P598" s="108"/>
      <c r="Q598" s="108"/>
      <c r="R598" s="108"/>
      <c r="S598" s="108"/>
      <c r="T598" s="108"/>
      <c r="U598" s="108"/>
      <c r="V598" s="108"/>
      <c r="W598" s="108"/>
      <c r="X598" s="108"/>
      <c r="Y598" s="108"/>
      <c r="Z598" s="108"/>
      <c r="AA598" s="108"/>
      <c r="AB598" s="108"/>
      <c r="AC598" s="108"/>
      <c r="AD598" s="108"/>
      <c r="AE598" s="108"/>
      <c r="AF598" s="108"/>
      <c r="AG598" s="108"/>
      <c r="AH598" s="108"/>
      <c r="AI598" s="108"/>
      <c r="AJ598" s="108"/>
      <c r="AK598" s="108"/>
      <c r="AL598" s="108"/>
      <c r="AM598" s="108"/>
      <c r="AN598" s="108"/>
      <c r="AO598" s="108"/>
      <c r="AP598" s="108"/>
      <c r="AQ598" s="108"/>
      <c r="AR598" s="108"/>
      <c r="AS598" s="108"/>
      <c r="AT598" s="108"/>
      <c r="AU598" s="108"/>
      <c r="AV598" s="108"/>
      <c r="AW598" s="108"/>
      <c r="AX598" s="108"/>
      <c r="AY598" s="108"/>
      <c r="AZ598" s="108"/>
      <c r="BA598" s="108"/>
      <c r="BB598" s="108"/>
    </row>
    <row r="599" spans="3:54" ht="12.75" customHeight="1" x14ac:dyDescent="0.25">
      <c r="C599" s="108"/>
      <c r="D599" s="108"/>
      <c r="E599" s="108"/>
      <c r="F599" s="108"/>
      <c r="G599" s="108"/>
      <c r="H599" s="108"/>
      <c r="I599" s="108"/>
      <c r="J599" s="108"/>
      <c r="K599" s="108"/>
      <c r="L599" s="108"/>
      <c r="M599" s="108"/>
      <c r="N599" s="108"/>
      <c r="O599" s="108"/>
      <c r="P599" s="108"/>
      <c r="Q599" s="108"/>
      <c r="R599" s="108"/>
      <c r="S599" s="108"/>
      <c r="T599" s="108"/>
      <c r="U599" s="108"/>
      <c r="V599" s="108"/>
      <c r="W599" s="108"/>
      <c r="X599" s="108"/>
      <c r="Y599" s="108"/>
      <c r="Z599" s="108"/>
      <c r="AA599" s="108"/>
      <c r="AB599" s="108"/>
      <c r="AC599" s="108"/>
      <c r="AD599" s="108"/>
      <c r="AE599" s="108"/>
      <c r="AF599" s="108"/>
      <c r="AG599" s="108"/>
      <c r="AH599" s="108"/>
      <c r="AI599" s="108"/>
      <c r="AJ599" s="108"/>
      <c r="AK599" s="108"/>
      <c r="AL599" s="108"/>
      <c r="AM599" s="108"/>
      <c r="AN599" s="108"/>
      <c r="AO599" s="108"/>
      <c r="AP599" s="108"/>
      <c r="AQ599" s="108"/>
      <c r="AR599" s="108"/>
      <c r="AS599" s="108"/>
      <c r="AT599" s="108"/>
      <c r="AU599" s="108"/>
      <c r="AV599" s="108"/>
      <c r="AW599" s="108"/>
      <c r="AX599" s="108"/>
      <c r="AY599" s="108"/>
      <c r="AZ599" s="108"/>
      <c r="BA599" s="108"/>
      <c r="BB599" s="108"/>
    </row>
    <row r="600" spans="3:54" ht="12.75" customHeight="1" x14ac:dyDescent="0.25">
      <c r="C600" s="108"/>
      <c r="D600" s="108"/>
      <c r="E600" s="108"/>
      <c r="F600" s="108"/>
      <c r="G600" s="108"/>
      <c r="H600" s="108"/>
      <c r="I600" s="108"/>
      <c r="J600" s="108"/>
      <c r="K600" s="108"/>
      <c r="L600" s="108"/>
      <c r="M600" s="108"/>
      <c r="N600" s="108"/>
      <c r="O600" s="108"/>
      <c r="P600" s="108"/>
      <c r="Q600" s="108"/>
      <c r="R600" s="108"/>
      <c r="S600" s="108"/>
      <c r="T600" s="108"/>
      <c r="U600" s="108"/>
      <c r="V600" s="108"/>
      <c r="W600" s="108"/>
      <c r="X600" s="108"/>
      <c r="Y600" s="108"/>
      <c r="Z600" s="108"/>
      <c r="AA600" s="108"/>
      <c r="AB600" s="108"/>
      <c r="AC600" s="108"/>
      <c r="AD600" s="108"/>
      <c r="AE600" s="108"/>
      <c r="AF600" s="108"/>
      <c r="AG600" s="108"/>
      <c r="AH600" s="108"/>
      <c r="AI600" s="108"/>
      <c r="AJ600" s="108"/>
      <c r="AK600" s="108"/>
      <c r="AL600" s="108"/>
      <c r="AM600" s="108"/>
      <c r="AN600" s="108"/>
      <c r="AO600" s="108"/>
      <c r="AP600" s="108"/>
      <c r="AQ600" s="108"/>
      <c r="AR600" s="108"/>
      <c r="AS600" s="108"/>
      <c r="AT600" s="108"/>
      <c r="AU600" s="108"/>
      <c r="AV600" s="108"/>
      <c r="AW600" s="108"/>
      <c r="AX600" s="108"/>
      <c r="AY600" s="108"/>
      <c r="AZ600" s="108"/>
      <c r="BA600" s="108"/>
      <c r="BB600" s="108"/>
    </row>
    <row r="601" spans="3:54" ht="12.75" customHeight="1" x14ac:dyDescent="0.25">
      <c r="C601" s="108"/>
      <c r="D601" s="108"/>
      <c r="E601" s="108"/>
      <c r="F601" s="108"/>
      <c r="G601" s="108"/>
      <c r="H601" s="108"/>
      <c r="I601" s="108"/>
      <c r="J601" s="108"/>
      <c r="K601" s="108"/>
      <c r="L601" s="108"/>
      <c r="M601" s="108"/>
      <c r="N601" s="108"/>
      <c r="O601" s="108"/>
      <c r="P601" s="108"/>
      <c r="Q601" s="108"/>
      <c r="R601" s="108"/>
      <c r="S601" s="108"/>
      <c r="T601" s="108"/>
      <c r="U601" s="108"/>
      <c r="V601" s="108"/>
      <c r="W601" s="108"/>
      <c r="X601" s="108"/>
      <c r="Y601" s="108"/>
      <c r="Z601" s="108"/>
      <c r="AA601" s="108"/>
      <c r="AB601" s="108"/>
      <c r="AC601" s="108"/>
      <c r="AD601" s="108"/>
      <c r="AE601" s="108"/>
      <c r="AF601" s="108"/>
      <c r="AG601" s="108"/>
      <c r="AH601" s="108"/>
      <c r="AI601" s="108"/>
      <c r="AJ601" s="108"/>
      <c r="AK601" s="108"/>
      <c r="AL601" s="108"/>
      <c r="AM601" s="108"/>
      <c r="AN601" s="108"/>
      <c r="AO601" s="108"/>
      <c r="AP601" s="108"/>
      <c r="AQ601" s="108"/>
      <c r="AR601" s="108"/>
      <c r="AS601" s="108"/>
      <c r="AT601" s="108"/>
      <c r="AU601" s="108"/>
      <c r="AV601" s="108"/>
      <c r="AW601" s="108"/>
      <c r="AX601" s="108"/>
      <c r="AY601" s="108"/>
      <c r="AZ601" s="108"/>
      <c r="BA601" s="108"/>
      <c r="BB601" s="108"/>
    </row>
    <row r="602" spans="3:54" ht="12.75" customHeight="1" x14ac:dyDescent="0.25">
      <c r="C602" s="108"/>
      <c r="D602" s="108"/>
      <c r="E602" s="108"/>
      <c r="F602" s="108"/>
      <c r="G602" s="108"/>
      <c r="H602" s="108"/>
      <c r="I602" s="108"/>
      <c r="J602" s="108"/>
      <c r="K602" s="108"/>
      <c r="L602" s="108"/>
      <c r="M602" s="108"/>
      <c r="N602" s="108"/>
      <c r="O602" s="108"/>
      <c r="P602" s="108"/>
      <c r="Q602" s="108"/>
      <c r="R602" s="108"/>
      <c r="S602" s="108"/>
      <c r="T602" s="108"/>
      <c r="U602" s="108"/>
      <c r="V602" s="108"/>
      <c r="W602" s="108"/>
      <c r="X602" s="108"/>
      <c r="Y602" s="108"/>
      <c r="Z602" s="108"/>
      <c r="AA602" s="108"/>
      <c r="AB602" s="108"/>
      <c r="AC602" s="108"/>
      <c r="AD602" s="108"/>
      <c r="AE602" s="108"/>
      <c r="AF602" s="108"/>
      <c r="AG602" s="108"/>
      <c r="AH602" s="108"/>
      <c r="AI602" s="108"/>
      <c r="AJ602" s="108"/>
      <c r="AK602" s="108"/>
      <c r="AL602" s="108"/>
      <c r="AM602" s="108"/>
      <c r="AN602" s="108"/>
      <c r="AO602" s="108"/>
      <c r="AP602" s="108"/>
      <c r="AQ602" s="108"/>
      <c r="AR602" s="108"/>
      <c r="AS602" s="108"/>
      <c r="AT602" s="108"/>
      <c r="AU602" s="108"/>
      <c r="AV602" s="108"/>
      <c r="AW602" s="108"/>
      <c r="AX602" s="108"/>
      <c r="AY602" s="108"/>
      <c r="AZ602" s="108"/>
      <c r="BA602" s="108"/>
      <c r="BB602" s="108"/>
    </row>
    <row r="603" spans="3:54" ht="12.75" customHeight="1" x14ac:dyDescent="0.25">
      <c r="C603" s="108"/>
      <c r="D603" s="108"/>
      <c r="E603" s="108"/>
      <c r="F603" s="108"/>
      <c r="G603" s="108"/>
      <c r="H603" s="108"/>
      <c r="I603" s="108"/>
      <c r="J603" s="108"/>
      <c r="K603" s="108"/>
      <c r="L603" s="108"/>
      <c r="M603" s="108"/>
      <c r="N603" s="108"/>
      <c r="O603" s="108"/>
      <c r="P603" s="108"/>
      <c r="Q603" s="108"/>
      <c r="R603" s="108"/>
      <c r="S603" s="108"/>
      <c r="T603" s="108"/>
      <c r="U603" s="108"/>
      <c r="V603" s="108"/>
      <c r="W603" s="108"/>
      <c r="X603" s="108"/>
      <c r="Y603" s="108"/>
      <c r="Z603" s="108"/>
      <c r="AA603" s="108"/>
      <c r="AB603" s="108"/>
      <c r="AC603" s="108"/>
      <c r="AD603" s="108"/>
      <c r="AE603" s="108"/>
      <c r="AF603" s="108"/>
      <c r="AG603" s="108"/>
      <c r="AH603" s="108"/>
      <c r="AI603" s="108"/>
      <c r="AJ603" s="108"/>
      <c r="AK603" s="108"/>
      <c r="AL603" s="108"/>
      <c r="AM603" s="108"/>
      <c r="AN603" s="108"/>
      <c r="AO603" s="108"/>
      <c r="AP603" s="108"/>
      <c r="AQ603" s="108"/>
      <c r="AR603" s="108"/>
      <c r="AS603" s="108"/>
      <c r="AT603" s="108"/>
      <c r="AU603" s="108"/>
      <c r="AV603" s="108"/>
      <c r="AW603" s="108"/>
      <c r="AX603" s="108"/>
      <c r="AY603" s="108"/>
      <c r="AZ603" s="108"/>
      <c r="BA603" s="108"/>
      <c r="BB603" s="108"/>
    </row>
    <row r="604" spans="3:54" ht="12.75" customHeight="1" x14ac:dyDescent="0.25">
      <c r="C604" s="108"/>
      <c r="D604" s="108"/>
      <c r="E604" s="108"/>
      <c r="F604" s="108"/>
      <c r="G604" s="108"/>
      <c r="H604" s="108"/>
      <c r="I604" s="108"/>
      <c r="J604" s="108"/>
      <c r="K604" s="108"/>
      <c r="L604" s="108"/>
      <c r="M604" s="108"/>
      <c r="N604" s="108"/>
      <c r="O604" s="108"/>
      <c r="P604" s="108"/>
      <c r="Q604" s="108"/>
      <c r="R604" s="108"/>
      <c r="S604" s="108"/>
      <c r="T604" s="108"/>
      <c r="U604" s="108"/>
      <c r="V604" s="108"/>
      <c r="W604" s="108"/>
      <c r="X604" s="108"/>
      <c r="Y604" s="108"/>
      <c r="Z604" s="108"/>
      <c r="AA604" s="108"/>
      <c r="AB604" s="108"/>
      <c r="AC604" s="108"/>
      <c r="AD604" s="108"/>
      <c r="AE604" s="108"/>
      <c r="AF604" s="108"/>
      <c r="AG604" s="108"/>
      <c r="AH604" s="108"/>
      <c r="AI604" s="108"/>
      <c r="AJ604" s="108"/>
      <c r="AK604" s="108"/>
      <c r="AL604" s="108"/>
      <c r="AM604" s="108"/>
      <c r="AN604" s="108"/>
      <c r="AO604" s="108"/>
      <c r="AP604" s="108"/>
      <c r="AQ604" s="108"/>
      <c r="AR604" s="108"/>
      <c r="AS604" s="108"/>
      <c r="AT604" s="108"/>
      <c r="AU604" s="108"/>
      <c r="AV604" s="108"/>
      <c r="AW604" s="108"/>
      <c r="AX604" s="108"/>
      <c r="AY604" s="108"/>
      <c r="AZ604" s="108"/>
      <c r="BA604" s="108"/>
      <c r="BB604" s="108"/>
    </row>
    <row r="605" spans="3:54" ht="12.75" customHeight="1" x14ac:dyDescent="0.25">
      <c r="C605" s="108"/>
      <c r="D605" s="108"/>
      <c r="E605" s="108"/>
      <c r="F605" s="108"/>
      <c r="G605" s="108"/>
      <c r="H605" s="108"/>
      <c r="I605" s="108"/>
      <c r="J605" s="108"/>
      <c r="K605" s="108"/>
      <c r="L605" s="108"/>
      <c r="M605" s="108"/>
      <c r="N605" s="108"/>
      <c r="O605" s="108"/>
      <c r="P605" s="108"/>
      <c r="Q605" s="108"/>
      <c r="R605" s="108"/>
      <c r="S605" s="108"/>
      <c r="T605" s="108"/>
      <c r="U605" s="108"/>
      <c r="V605" s="108"/>
      <c r="W605" s="108"/>
      <c r="X605" s="108"/>
      <c r="Y605" s="108"/>
      <c r="Z605" s="108"/>
      <c r="AA605" s="108"/>
      <c r="AB605" s="108"/>
      <c r="AC605" s="108"/>
      <c r="AD605" s="108"/>
      <c r="AE605" s="108"/>
      <c r="AF605" s="108"/>
      <c r="AG605" s="108"/>
      <c r="AH605" s="108"/>
      <c r="AI605" s="108"/>
      <c r="AJ605" s="108"/>
      <c r="AK605" s="108"/>
      <c r="AL605" s="108"/>
      <c r="AM605" s="108"/>
      <c r="AN605" s="108"/>
      <c r="AO605" s="108"/>
      <c r="AP605" s="108"/>
      <c r="AQ605" s="108"/>
      <c r="AR605" s="108"/>
      <c r="AS605" s="108"/>
      <c r="AT605" s="108"/>
      <c r="AU605" s="108"/>
      <c r="AV605" s="108"/>
      <c r="AW605" s="108"/>
      <c r="AX605" s="108"/>
      <c r="AY605" s="108"/>
      <c r="AZ605" s="108"/>
      <c r="BA605" s="108"/>
      <c r="BB605" s="108"/>
    </row>
    <row r="606" spans="3:54" ht="12.75" customHeight="1" x14ac:dyDescent="0.25">
      <c r="C606" s="108"/>
      <c r="D606" s="108"/>
      <c r="E606" s="108"/>
      <c r="F606" s="108"/>
      <c r="G606" s="108"/>
      <c r="H606" s="108"/>
      <c r="I606" s="108"/>
      <c r="J606" s="108"/>
      <c r="K606" s="108"/>
      <c r="L606" s="108"/>
      <c r="M606" s="108"/>
      <c r="N606" s="108"/>
      <c r="O606" s="108"/>
      <c r="P606" s="108"/>
      <c r="Q606" s="108"/>
      <c r="R606" s="108"/>
      <c r="S606" s="108"/>
      <c r="T606" s="108"/>
      <c r="U606" s="108"/>
      <c r="V606" s="108"/>
      <c r="W606" s="108"/>
      <c r="X606" s="108"/>
      <c r="Y606" s="108"/>
      <c r="Z606" s="108"/>
      <c r="AA606" s="108"/>
      <c r="AB606" s="108"/>
      <c r="AC606" s="108"/>
      <c r="AD606" s="108"/>
      <c r="AE606" s="108"/>
      <c r="AF606" s="108"/>
      <c r="AG606" s="108"/>
      <c r="AH606" s="108"/>
      <c r="AI606" s="108"/>
      <c r="AJ606" s="108"/>
      <c r="AK606" s="108"/>
      <c r="AL606" s="108"/>
      <c r="AM606" s="108"/>
      <c r="AN606" s="108"/>
      <c r="AO606" s="108"/>
      <c r="AP606" s="108"/>
      <c r="AQ606" s="108"/>
      <c r="AR606" s="108"/>
      <c r="AS606" s="108"/>
      <c r="AT606" s="108"/>
      <c r="AU606" s="108"/>
      <c r="AV606" s="108"/>
      <c r="AW606" s="108"/>
      <c r="AX606" s="108"/>
      <c r="AY606" s="108"/>
      <c r="AZ606" s="108"/>
      <c r="BA606" s="108"/>
      <c r="BB606" s="108"/>
    </row>
    <row r="607" spans="3:54" ht="12.75" customHeight="1" x14ac:dyDescent="0.25">
      <c r="C607" s="108"/>
      <c r="D607" s="108"/>
      <c r="E607" s="108"/>
      <c r="F607" s="108"/>
      <c r="G607" s="108"/>
      <c r="H607" s="108"/>
      <c r="I607" s="108"/>
      <c r="J607" s="108"/>
      <c r="K607" s="108"/>
      <c r="L607" s="108"/>
      <c r="M607" s="108"/>
      <c r="N607" s="108"/>
      <c r="O607" s="108"/>
      <c r="P607" s="108"/>
      <c r="Q607" s="108"/>
      <c r="R607" s="108"/>
      <c r="S607" s="108"/>
      <c r="T607" s="108"/>
      <c r="U607" s="108"/>
      <c r="V607" s="108"/>
      <c r="W607" s="108"/>
      <c r="X607" s="108"/>
      <c r="Y607" s="108"/>
      <c r="Z607" s="108"/>
      <c r="AA607" s="108"/>
      <c r="AB607" s="108"/>
      <c r="AC607" s="108"/>
      <c r="AD607" s="108"/>
      <c r="AE607" s="108"/>
      <c r="AF607" s="108"/>
      <c r="AG607" s="108"/>
      <c r="AH607" s="108"/>
      <c r="AI607" s="108"/>
      <c r="AJ607" s="108"/>
      <c r="AK607" s="108"/>
      <c r="AL607" s="108"/>
      <c r="AM607" s="108"/>
      <c r="AN607" s="108"/>
      <c r="AO607" s="108"/>
      <c r="AP607" s="108"/>
      <c r="AQ607" s="108"/>
      <c r="AR607" s="108"/>
      <c r="AS607" s="108"/>
      <c r="AT607" s="108"/>
      <c r="AU607" s="108"/>
      <c r="AV607" s="108"/>
      <c r="AW607" s="108"/>
      <c r="AX607" s="108"/>
      <c r="AY607" s="108"/>
      <c r="AZ607" s="108"/>
      <c r="BA607" s="108"/>
      <c r="BB607" s="108"/>
    </row>
    <row r="608" spans="3:54" ht="12.75" customHeight="1" x14ac:dyDescent="0.25">
      <c r="C608" s="108"/>
      <c r="D608" s="108"/>
      <c r="E608" s="108"/>
      <c r="F608" s="108"/>
      <c r="G608" s="108"/>
      <c r="H608" s="108"/>
      <c r="I608" s="108"/>
      <c r="J608" s="108"/>
      <c r="K608" s="108"/>
      <c r="L608" s="108"/>
      <c r="M608" s="108"/>
      <c r="N608" s="108"/>
      <c r="O608" s="108"/>
      <c r="P608" s="108"/>
      <c r="Q608" s="108"/>
      <c r="R608" s="108"/>
      <c r="S608" s="108"/>
      <c r="T608" s="108"/>
      <c r="U608" s="108"/>
      <c r="V608" s="108"/>
      <c r="W608" s="108"/>
      <c r="X608" s="108"/>
      <c r="Y608" s="108"/>
      <c r="Z608" s="108"/>
      <c r="AA608" s="108"/>
      <c r="AB608" s="108"/>
      <c r="AC608" s="108"/>
      <c r="AD608" s="108"/>
      <c r="AE608" s="108"/>
      <c r="AF608" s="108"/>
      <c r="AG608" s="108"/>
      <c r="AH608" s="108"/>
      <c r="AI608" s="108"/>
      <c r="AJ608" s="108"/>
      <c r="AK608" s="108"/>
      <c r="AL608" s="108"/>
      <c r="AM608" s="108"/>
      <c r="AN608" s="108"/>
      <c r="AO608" s="108"/>
      <c r="AP608" s="108"/>
      <c r="AQ608" s="108"/>
      <c r="AR608" s="108"/>
      <c r="AS608" s="108"/>
      <c r="AT608" s="108"/>
      <c r="AU608" s="108"/>
      <c r="AV608" s="108"/>
      <c r="AW608" s="108"/>
      <c r="AX608" s="108"/>
      <c r="AY608" s="108"/>
      <c r="AZ608" s="108"/>
      <c r="BA608" s="108"/>
      <c r="BB608" s="108"/>
    </row>
    <row r="609" spans="3:54" ht="12.75" customHeight="1" x14ac:dyDescent="0.25">
      <c r="C609" s="108"/>
      <c r="D609" s="108"/>
      <c r="E609" s="108"/>
      <c r="F609" s="108"/>
      <c r="G609" s="108"/>
      <c r="H609" s="108"/>
      <c r="I609" s="108"/>
      <c r="J609" s="108"/>
      <c r="K609" s="108"/>
      <c r="L609" s="108"/>
      <c r="M609" s="108"/>
      <c r="N609" s="108"/>
      <c r="O609" s="108"/>
      <c r="P609" s="108"/>
      <c r="Q609" s="108"/>
      <c r="R609" s="108"/>
      <c r="S609" s="108"/>
      <c r="T609" s="108"/>
      <c r="U609" s="108"/>
      <c r="V609" s="108"/>
      <c r="W609" s="108"/>
      <c r="X609" s="108"/>
      <c r="Y609" s="108"/>
      <c r="Z609" s="108"/>
      <c r="AA609" s="108"/>
      <c r="AB609" s="108"/>
      <c r="AC609" s="108"/>
      <c r="AD609" s="108"/>
      <c r="AE609" s="108"/>
      <c r="AF609" s="108"/>
      <c r="AG609" s="108"/>
      <c r="AH609" s="108"/>
      <c r="AI609" s="108"/>
      <c r="AJ609" s="108"/>
      <c r="AK609" s="108"/>
      <c r="AL609" s="108"/>
      <c r="AM609" s="108"/>
      <c r="AN609" s="108"/>
      <c r="AO609" s="108"/>
      <c r="AP609" s="108"/>
      <c r="AQ609" s="108"/>
      <c r="AR609" s="108"/>
      <c r="AS609" s="108"/>
      <c r="AT609" s="108"/>
      <c r="AU609" s="108"/>
      <c r="AV609" s="108"/>
      <c r="AW609" s="108"/>
      <c r="AX609" s="108"/>
      <c r="AY609" s="108"/>
      <c r="AZ609" s="108"/>
      <c r="BA609" s="108"/>
      <c r="BB609" s="108"/>
    </row>
    <row r="610" spans="3:54" ht="12.75" customHeight="1" x14ac:dyDescent="0.25">
      <c r="C610" s="108"/>
      <c r="D610" s="108"/>
      <c r="E610" s="108"/>
      <c r="F610" s="108"/>
      <c r="G610" s="108"/>
      <c r="H610" s="108"/>
      <c r="I610" s="108"/>
      <c r="J610" s="108"/>
      <c r="K610" s="108"/>
      <c r="L610" s="108"/>
      <c r="M610" s="108"/>
      <c r="N610" s="108"/>
      <c r="O610" s="108"/>
      <c r="P610" s="108"/>
      <c r="Q610" s="108"/>
      <c r="R610" s="108"/>
      <c r="S610" s="108"/>
      <c r="T610" s="108"/>
      <c r="U610" s="108"/>
      <c r="V610" s="108"/>
      <c r="W610" s="108"/>
      <c r="X610" s="108"/>
      <c r="Y610" s="108"/>
      <c r="Z610" s="108"/>
      <c r="AA610" s="108"/>
      <c r="AB610" s="108"/>
      <c r="AC610" s="108"/>
      <c r="AD610" s="108"/>
      <c r="AE610" s="108"/>
      <c r="AF610" s="108"/>
      <c r="AG610" s="108"/>
      <c r="AH610" s="108"/>
      <c r="AI610" s="108"/>
      <c r="AJ610" s="108"/>
      <c r="AK610" s="108"/>
      <c r="AL610" s="108"/>
      <c r="AM610" s="108"/>
      <c r="AN610" s="108"/>
      <c r="AO610" s="108"/>
      <c r="AP610" s="108"/>
      <c r="AQ610" s="108"/>
      <c r="AR610" s="108"/>
      <c r="AS610" s="108"/>
      <c r="AT610" s="108"/>
      <c r="AU610" s="108"/>
      <c r="AV610" s="108"/>
      <c r="AW610" s="108"/>
      <c r="AX610" s="108"/>
      <c r="AY610" s="108"/>
      <c r="AZ610" s="108"/>
      <c r="BA610" s="108"/>
      <c r="BB610" s="108"/>
    </row>
    <row r="611" spans="3:54" ht="12.75" customHeight="1" x14ac:dyDescent="0.25">
      <c r="C611" s="108"/>
      <c r="D611" s="108"/>
      <c r="E611" s="108"/>
      <c r="F611" s="108"/>
      <c r="G611" s="108"/>
      <c r="H611" s="108"/>
      <c r="I611" s="108"/>
      <c r="J611" s="108"/>
      <c r="K611" s="108"/>
      <c r="L611" s="108"/>
      <c r="M611" s="108"/>
      <c r="N611" s="108"/>
      <c r="O611" s="108"/>
      <c r="P611" s="108"/>
      <c r="Q611" s="108"/>
      <c r="R611" s="108"/>
      <c r="S611" s="108"/>
      <c r="T611" s="108"/>
      <c r="U611" s="108"/>
      <c r="V611" s="108"/>
      <c r="W611" s="108"/>
      <c r="X611" s="108"/>
      <c r="Y611" s="108"/>
      <c r="Z611" s="108"/>
      <c r="AA611" s="108"/>
      <c r="AB611" s="108"/>
      <c r="AC611" s="108"/>
      <c r="AD611" s="108"/>
      <c r="AE611" s="108"/>
      <c r="AF611" s="108"/>
      <c r="AG611" s="108"/>
      <c r="AH611" s="108"/>
      <c r="AI611" s="108"/>
      <c r="AJ611" s="108"/>
      <c r="AK611" s="108"/>
      <c r="AL611" s="108"/>
      <c r="AM611" s="108"/>
      <c r="AN611" s="108"/>
      <c r="AO611" s="108"/>
      <c r="AP611" s="108"/>
      <c r="AQ611" s="108"/>
      <c r="AR611" s="108"/>
      <c r="AS611" s="108"/>
      <c r="AT611" s="108"/>
      <c r="AU611" s="108"/>
      <c r="AV611" s="108"/>
      <c r="AW611" s="108"/>
      <c r="AX611" s="108"/>
      <c r="AY611" s="108"/>
      <c r="AZ611" s="108"/>
      <c r="BA611" s="108"/>
      <c r="BB611" s="108"/>
    </row>
    <row r="612" spans="3:54" ht="12.75" customHeight="1" x14ac:dyDescent="0.25">
      <c r="C612" s="108"/>
      <c r="D612" s="108"/>
      <c r="E612" s="108"/>
      <c r="F612" s="108"/>
      <c r="G612" s="108"/>
      <c r="H612" s="108"/>
      <c r="I612" s="108"/>
      <c r="J612" s="108"/>
      <c r="K612" s="108"/>
      <c r="L612" s="108"/>
      <c r="M612" s="108"/>
      <c r="N612" s="108"/>
      <c r="O612" s="108"/>
      <c r="P612" s="108"/>
      <c r="Q612" s="108"/>
      <c r="R612" s="108"/>
      <c r="S612" s="108"/>
      <c r="T612" s="108"/>
      <c r="U612" s="108"/>
      <c r="V612" s="108"/>
      <c r="W612" s="108"/>
      <c r="X612" s="108"/>
      <c r="Y612" s="108"/>
      <c r="Z612" s="108"/>
      <c r="AA612" s="108"/>
      <c r="AB612" s="108"/>
      <c r="AC612" s="108"/>
      <c r="AD612" s="108"/>
      <c r="AE612" s="108"/>
      <c r="AF612" s="108"/>
      <c r="AG612" s="108"/>
      <c r="AH612" s="108"/>
      <c r="AI612" s="108"/>
      <c r="AJ612" s="108"/>
      <c r="AK612" s="108"/>
      <c r="AL612" s="108"/>
      <c r="AM612" s="108"/>
      <c r="AN612" s="108"/>
      <c r="AO612" s="108"/>
      <c r="AP612" s="108"/>
      <c r="AQ612" s="108"/>
      <c r="AR612" s="108"/>
      <c r="AS612" s="108"/>
      <c r="AT612" s="108"/>
      <c r="AU612" s="108"/>
      <c r="AV612" s="108"/>
      <c r="AW612" s="108"/>
      <c r="AX612" s="108"/>
      <c r="AY612" s="108"/>
      <c r="AZ612" s="108"/>
      <c r="BA612" s="108"/>
      <c r="BB612" s="108"/>
    </row>
    <row r="613" spans="3:54" ht="12.75" customHeight="1" x14ac:dyDescent="0.25">
      <c r="C613" s="108"/>
      <c r="D613" s="108"/>
      <c r="E613" s="108"/>
      <c r="F613" s="108"/>
      <c r="G613" s="108"/>
      <c r="H613" s="108"/>
      <c r="I613" s="108"/>
      <c r="J613" s="108"/>
      <c r="K613" s="108"/>
      <c r="L613" s="108"/>
      <c r="M613" s="108"/>
      <c r="N613" s="108"/>
      <c r="O613" s="108"/>
      <c r="P613" s="108"/>
      <c r="Q613" s="108"/>
      <c r="R613" s="108"/>
      <c r="S613" s="108"/>
      <c r="T613" s="108"/>
      <c r="U613" s="108"/>
      <c r="V613" s="108"/>
      <c r="W613" s="108"/>
      <c r="X613" s="108"/>
      <c r="Y613" s="108"/>
      <c r="Z613" s="108"/>
      <c r="AA613" s="108"/>
      <c r="AB613" s="108"/>
      <c r="AC613" s="108"/>
      <c r="AD613" s="108"/>
      <c r="AE613" s="108"/>
      <c r="AF613" s="108"/>
      <c r="AG613" s="108"/>
      <c r="AH613" s="108"/>
      <c r="AI613" s="108"/>
      <c r="AJ613" s="108"/>
      <c r="AK613" s="108"/>
      <c r="AL613" s="108"/>
      <c r="AM613" s="108"/>
      <c r="AN613" s="108"/>
      <c r="AO613" s="108"/>
      <c r="AP613" s="108"/>
      <c r="AQ613" s="108"/>
      <c r="AR613" s="108"/>
      <c r="AS613" s="108"/>
      <c r="AT613" s="108"/>
      <c r="AU613" s="108"/>
      <c r="AV613" s="108"/>
      <c r="AW613" s="108"/>
      <c r="AX613" s="108"/>
      <c r="AY613" s="108"/>
      <c r="AZ613" s="108"/>
      <c r="BA613" s="108"/>
      <c r="BB613" s="108"/>
    </row>
    <row r="614" spans="3:54" ht="12.75" customHeight="1" x14ac:dyDescent="0.25">
      <c r="C614" s="108"/>
      <c r="D614" s="108"/>
      <c r="E614" s="108"/>
      <c r="F614" s="108"/>
      <c r="G614" s="108"/>
      <c r="H614" s="108"/>
      <c r="I614" s="108"/>
      <c r="J614" s="108"/>
      <c r="K614" s="108"/>
      <c r="L614" s="108"/>
      <c r="M614" s="108"/>
      <c r="N614" s="108"/>
      <c r="O614" s="108"/>
      <c r="P614" s="108"/>
      <c r="Q614" s="108"/>
      <c r="R614" s="108"/>
      <c r="S614" s="108"/>
      <c r="T614" s="108"/>
      <c r="U614" s="108"/>
      <c r="V614" s="108"/>
      <c r="W614" s="108"/>
      <c r="X614" s="108"/>
      <c r="Y614" s="108"/>
      <c r="Z614" s="108"/>
      <c r="AA614" s="108"/>
      <c r="AB614" s="108"/>
      <c r="AC614" s="108"/>
      <c r="AD614" s="108"/>
      <c r="AE614" s="108"/>
      <c r="AF614" s="108"/>
      <c r="AG614" s="108"/>
      <c r="AH614" s="108"/>
      <c r="AI614" s="108"/>
      <c r="AJ614" s="108"/>
      <c r="AK614" s="108"/>
      <c r="AL614" s="108"/>
      <c r="AM614" s="108"/>
      <c r="AN614" s="108"/>
      <c r="AO614" s="108"/>
      <c r="AP614" s="108"/>
      <c r="AQ614" s="108"/>
      <c r="AR614" s="108"/>
      <c r="AS614" s="108"/>
      <c r="AT614" s="108"/>
      <c r="AU614" s="108"/>
      <c r="AV614" s="108"/>
      <c r="AW614" s="108"/>
      <c r="AX614" s="108"/>
      <c r="AY614" s="108"/>
      <c r="AZ614" s="108"/>
      <c r="BA614" s="108"/>
      <c r="BB614" s="108"/>
    </row>
    <row r="615" spans="3:54" ht="12.75" customHeight="1" x14ac:dyDescent="0.25">
      <c r="C615" s="108"/>
      <c r="D615" s="108"/>
      <c r="E615" s="108"/>
      <c r="F615" s="108"/>
      <c r="G615" s="108"/>
      <c r="H615" s="108"/>
      <c r="I615" s="108"/>
      <c r="J615" s="108"/>
      <c r="K615" s="108"/>
      <c r="L615" s="108"/>
      <c r="M615" s="108"/>
      <c r="N615" s="108"/>
      <c r="O615" s="108"/>
      <c r="P615" s="108"/>
      <c r="Q615" s="108"/>
      <c r="R615" s="108"/>
      <c r="S615" s="108"/>
      <c r="T615" s="108"/>
      <c r="U615" s="108"/>
      <c r="V615" s="108"/>
      <c r="W615" s="108"/>
      <c r="X615" s="108"/>
      <c r="Y615" s="108"/>
      <c r="Z615" s="108"/>
      <c r="AA615" s="108"/>
      <c r="AB615" s="108"/>
      <c r="AC615" s="108"/>
      <c r="AD615" s="108"/>
      <c r="AE615" s="108"/>
      <c r="AF615" s="108"/>
      <c r="AG615" s="108"/>
      <c r="AH615" s="108"/>
      <c r="AI615" s="108"/>
      <c r="AJ615" s="108"/>
      <c r="AK615" s="108"/>
      <c r="AL615" s="108"/>
      <c r="AM615" s="108"/>
      <c r="AN615" s="108"/>
      <c r="AO615" s="108"/>
      <c r="AP615" s="108"/>
      <c r="AQ615" s="108"/>
      <c r="AR615" s="108"/>
      <c r="AS615" s="108"/>
      <c r="AT615" s="108"/>
      <c r="AU615" s="108"/>
      <c r="AV615" s="108"/>
      <c r="AW615" s="108"/>
      <c r="AX615" s="108"/>
      <c r="AY615" s="108"/>
      <c r="AZ615" s="108"/>
      <c r="BA615" s="108"/>
      <c r="BB615" s="108"/>
    </row>
    <row r="616" spans="3:54" ht="12.75" customHeight="1" x14ac:dyDescent="0.25">
      <c r="C616" s="108"/>
      <c r="D616" s="108"/>
      <c r="E616" s="108"/>
      <c r="F616" s="108"/>
      <c r="G616" s="108"/>
      <c r="H616" s="108"/>
      <c r="I616" s="108"/>
      <c r="J616" s="108"/>
      <c r="K616" s="108"/>
      <c r="L616" s="108"/>
      <c r="M616" s="108"/>
      <c r="N616" s="108"/>
      <c r="O616" s="108"/>
      <c r="P616" s="108"/>
      <c r="Q616" s="108"/>
      <c r="R616" s="108"/>
      <c r="S616" s="108"/>
      <c r="T616" s="108"/>
      <c r="U616" s="108"/>
      <c r="V616" s="108"/>
      <c r="W616" s="108"/>
      <c r="X616" s="108"/>
      <c r="Y616" s="108"/>
      <c r="Z616" s="108"/>
      <c r="AA616" s="108"/>
      <c r="AB616" s="108"/>
      <c r="AC616" s="108"/>
      <c r="AD616" s="108"/>
      <c r="AE616" s="108"/>
      <c r="AF616" s="108"/>
      <c r="AG616" s="108"/>
      <c r="AH616" s="108"/>
      <c r="AI616" s="108"/>
      <c r="AJ616" s="108"/>
      <c r="AK616" s="108"/>
      <c r="AL616" s="108"/>
      <c r="AM616" s="108"/>
      <c r="AN616" s="108"/>
      <c r="AO616" s="108"/>
      <c r="AP616" s="108"/>
      <c r="AQ616" s="108"/>
      <c r="AR616" s="108"/>
      <c r="AS616" s="108"/>
      <c r="AT616" s="108"/>
      <c r="AU616" s="108"/>
      <c r="AV616" s="108"/>
      <c r="AW616" s="108"/>
      <c r="AX616" s="108"/>
      <c r="AY616" s="108"/>
      <c r="AZ616" s="108"/>
      <c r="BA616" s="108"/>
      <c r="BB616" s="108"/>
    </row>
    <row r="617" spans="3:54" ht="12.75" customHeight="1" x14ac:dyDescent="0.25">
      <c r="C617" s="108"/>
      <c r="D617" s="108"/>
      <c r="E617" s="108"/>
      <c r="F617" s="108"/>
      <c r="G617" s="108"/>
      <c r="H617" s="108"/>
      <c r="I617" s="108"/>
      <c r="J617" s="108"/>
      <c r="K617" s="108"/>
      <c r="L617" s="108"/>
      <c r="M617" s="108"/>
      <c r="N617" s="108"/>
      <c r="O617" s="108"/>
      <c r="P617" s="108"/>
      <c r="Q617" s="108"/>
      <c r="R617" s="108"/>
      <c r="S617" s="108"/>
      <c r="T617" s="108"/>
      <c r="U617" s="108"/>
      <c r="V617" s="108"/>
      <c r="W617" s="108"/>
      <c r="X617" s="108"/>
      <c r="Y617" s="108"/>
      <c r="Z617" s="108"/>
      <c r="AA617" s="108"/>
      <c r="AB617" s="108"/>
      <c r="AC617" s="108"/>
      <c r="AD617" s="108"/>
      <c r="AE617" s="108"/>
      <c r="AF617" s="108"/>
      <c r="AG617" s="108"/>
      <c r="AH617" s="108"/>
      <c r="AI617" s="108"/>
      <c r="AJ617" s="108"/>
      <c r="AK617" s="108"/>
      <c r="AL617" s="108"/>
      <c r="AM617" s="108"/>
      <c r="AN617" s="108"/>
      <c r="AO617" s="108"/>
      <c r="AP617" s="108"/>
      <c r="AQ617" s="108"/>
      <c r="AR617" s="108"/>
      <c r="AS617" s="108"/>
      <c r="AT617" s="108"/>
      <c r="AU617" s="108"/>
      <c r="AV617" s="108"/>
      <c r="AW617" s="108"/>
      <c r="AX617" s="108"/>
      <c r="AY617" s="108"/>
      <c r="AZ617" s="108"/>
      <c r="BA617" s="108"/>
      <c r="BB617" s="108"/>
    </row>
    <row r="618" spans="3:54" ht="12.75" customHeight="1" x14ac:dyDescent="0.25">
      <c r="C618" s="108"/>
      <c r="D618" s="108"/>
      <c r="E618" s="108"/>
      <c r="F618" s="108"/>
      <c r="G618" s="108"/>
      <c r="H618" s="108"/>
      <c r="I618" s="108"/>
      <c r="J618" s="108"/>
      <c r="K618" s="108"/>
      <c r="L618" s="108"/>
      <c r="M618" s="108"/>
      <c r="N618" s="108"/>
      <c r="O618" s="108"/>
      <c r="P618" s="108"/>
      <c r="Q618" s="108"/>
      <c r="R618" s="108"/>
      <c r="S618" s="108"/>
      <c r="T618" s="108"/>
      <c r="U618" s="108"/>
      <c r="V618" s="108"/>
      <c r="W618" s="108"/>
      <c r="X618" s="108"/>
      <c r="Y618" s="108"/>
      <c r="Z618" s="108"/>
      <c r="AA618" s="108"/>
      <c r="AB618" s="108"/>
      <c r="AC618" s="108"/>
      <c r="AD618" s="108"/>
      <c r="AE618" s="108"/>
      <c r="AF618" s="108"/>
      <c r="AG618" s="108"/>
      <c r="AH618" s="108"/>
      <c r="AI618" s="108"/>
      <c r="AJ618" s="108"/>
      <c r="AK618" s="108"/>
      <c r="AL618" s="108"/>
      <c r="AM618" s="108"/>
      <c r="AN618" s="108"/>
      <c r="AO618" s="108"/>
      <c r="AP618" s="108"/>
      <c r="AQ618" s="108"/>
      <c r="AR618" s="108"/>
      <c r="AS618" s="108"/>
      <c r="AT618" s="108"/>
      <c r="AU618" s="108"/>
      <c r="AV618" s="108"/>
      <c r="AW618" s="108"/>
      <c r="AX618" s="108"/>
      <c r="AY618" s="108"/>
      <c r="AZ618" s="108"/>
      <c r="BA618" s="108"/>
      <c r="BB618" s="108"/>
    </row>
    <row r="619" spans="3:54" ht="12.75" customHeight="1" x14ac:dyDescent="0.25">
      <c r="C619" s="108"/>
      <c r="D619" s="108"/>
      <c r="E619" s="108"/>
      <c r="F619" s="108"/>
      <c r="G619" s="108"/>
      <c r="H619" s="108"/>
      <c r="I619" s="108"/>
      <c r="J619" s="108"/>
      <c r="K619" s="108"/>
      <c r="L619" s="108"/>
      <c r="M619" s="108"/>
      <c r="N619" s="108"/>
      <c r="O619" s="108"/>
      <c r="P619" s="108"/>
      <c r="Q619" s="108"/>
      <c r="R619" s="108"/>
      <c r="S619" s="108"/>
      <c r="T619" s="108"/>
      <c r="U619" s="108"/>
      <c r="V619" s="108"/>
      <c r="W619" s="108"/>
      <c r="X619" s="108"/>
      <c r="Y619" s="108"/>
      <c r="Z619" s="108"/>
      <c r="AA619" s="108"/>
      <c r="AB619" s="108"/>
      <c r="AC619" s="108"/>
      <c r="AD619" s="108"/>
      <c r="AE619" s="108"/>
      <c r="AF619" s="108"/>
      <c r="AG619" s="108"/>
      <c r="AH619" s="108"/>
      <c r="AI619" s="108"/>
      <c r="AJ619" s="108"/>
      <c r="AK619" s="108"/>
      <c r="AL619" s="108"/>
      <c r="AM619" s="108"/>
      <c r="AN619" s="108"/>
      <c r="AO619" s="108"/>
      <c r="AP619" s="108"/>
      <c r="AQ619" s="108"/>
      <c r="AR619" s="108"/>
      <c r="AS619" s="108"/>
      <c r="AT619" s="108"/>
      <c r="AU619" s="108"/>
      <c r="AV619" s="108"/>
      <c r="AW619" s="108"/>
      <c r="AX619" s="108"/>
      <c r="AY619" s="108"/>
      <c r="AZ619" s="108"/>
      <c r="BA619" s="108"/>
      <c r="BB619" s="108"/>
    </row>
    <row r="620" spans="3:54" ht="12.75" customHeight="1" x14ac:dyDescent="0.25">
      <c r="C620" s="108"/>
      <c r="D620" s="108"/>
      <c r="E620" s="108"/>
      <c r="F620" s="108"/>
      <c r="G620" s="108"/>
      <c r="H620" s="108"/>
      <c r="I620" s="108"/>
      <c r="J620" s="108"/>
      <c r="K620" s="108"/>
      <c r="L620" s="108"/>
      <c r="M620" s="108"/>
      <c r="N620" s="108"/>
      <c r="O620" s="108"/>
      <c r="P620" s="108"/>
      <c r="Q620" s="108"/>
      <c r="R620" s="108"/>
      <c r="S620" s="108"/>
      <c r="T620" s="108"/>
      <c r="U620" s="108"/>
      <c r="V620" s="108"/>
      <c r="W620" s="108"/>
      <c r="X620" s="108"/>
      <c r="Y620" s="108"/>
      <c r="Z620" s="108"/>
      <c r="AA620" s="108"/>
      <c r="AB620" s="108"/>
      <c r="AC620" s="108"/>
      <c r="AD620" s="108"/>
      <c r="AE620" s="108"/>
      <c r="AF620" s="108"/>
      <c r="AG620" s="108"/>
      <c r="AH620" s="108"/>
      <c r="AI620" s="108"/>
      <c r="AJ620" s="108"/>
      <c r="AK620" s="108"/>
      <c r="AL620" s="108"/>
      <c r="AM620" s="108"/>
      <c r="AN620" s="108"/>
      <c r="AO620" s="108"/>
      <c r="AP620" s="108"/>
      <c r="AQ620" s="108"/>
      <c r="AR620" s="108"/>
      <c r="AS620" s="108"/>
      <c r="AT620" s="108"/>
      <c r="AU620" s="108"/>
      <c r="AV620" s="108"/>
      <c r="AW620" s="108"/>
      <c r="AX620" s="108"/>
      <c r="AY620" s="108"/>
      <c r="AZ620" s="108"/>
      <c r="BA620" s="108"/>
      <c r="BB620" s="108"/>
    </row>
    <row r="621" spans="3:54" ht="12.75" customHeight="1" x14ac:dyDescent="0.25">
      <c r="C621" s="108"/>
      <c r="D621" s="108"/>
      <c r="E621" s="108"/>
      <c r="F621" s="108"/>
      <c r="G621" s="108"/>
      <c r="H621" s="108"/>
      <c r="I621" s="108"/>
      <c r="J621" s="108"/>
      <c r="K621" s="108"/>
      <c r="L621" s="108"/>
      <c r="M621" s="108"/>
      <c r="N621" s="108"/>
      <c r="O621" s="108"/>
      <c r="P621" s="108"/>
      <c r="Q621" s="108"/>
      <c r="R621" s="108"/>
      <c r="S621" s="108"/>
      <c r="T621" s="108"/>
      <c r="U621" s="108"/>
      <c r="V621" s="108"/>
      <c r="W621" s="108"/>
      <c r="X621" s="108"/>
      <c r="Y621" s="108"/>
      <c r="Z621" s="108"/>
      <c r="AA621" s="108"/>
      <c r="AB621" s="108"/>
      <c r="AC621" s="108"/>
      <c r="AD621" s="108"/>
      <c r="AE621" s="108"/>
      <c r="AF621" s="108"/>
      <c r="AG621" s="108"/>
      <c r="AH621" s="108"/>
      <c r="AI621" s="108"/>
      <c r="AJ621" s="108"/>
      <c r="AK621" s="108"/>
      <c r="AL621" s="108"/>
      <c r="AM621" s="108"/>
      <c r="AN621" s="108"/>
      <c r="AO621" s="108"/>
      <c r="AP621" s="108"/>
      <c r="AQ621" s="108"/>
      <c r="AR621" s="108"/>
      <c r="AS621" s="108"/>
      <c r="AT621" s="108"/>
      <c r="AU621" s="108"/>
      <c r="AV621" s="108"/>
      <c r="AW621" s="108"/>
      <c r="AX621" s="108"/>
      <c r="AY621" s="108"/>
      <c r="AZ621" s="108"/>
      <c r="BA621" s="108"/>
      <c r="BB621" s="108"/>
    </row>
    <row r="622" spans="3:54" ht="12.75" customHeight="1" x14ac:dyDescent="0.25">
      <c r="C622" s="108"/>
      <c r="D622" s="108"/>
      <c r="E622" s="108"/>
      <c r="F622" s="108"/>
      <c r="G622" s="108"/>
      <c r="H622" s="108"/>
      <c r="I622" s="108"/>
      <c r="J622" s="108"/>
      <c r="K622" s="108"/>
      <c r="L622" s="108"/>
      <c r="M622" s="108"/>
      <c r="N622" s="108"/>
      <c r="O622" s="108"/>
      <c r="P622" s="108"/>
      <c r="Q622" s="108"/>
      <c r="R622" s="108"/>
      <c r="S622" s="108"/>
      <c r="T622" s="108"/>
      <c r="U622" s="108"/>
      <c r="V622" s="108"/>
      <c r="W622" s="108"/>
      <c r="X622" s="108"/>
      <c r="Y622" s="108"/>
      <c r="Z622" s="108"/>
      <c r="AA622" s="108"/>
      <c r="AB622" s="108"/>
      <c r="AC622" s="108"/>
      <c r="AD622" s="108"/>
      <c r="AE622" s="108"/>
      <c r="AF622" s="108"/>
      <c r="AG622" s="108"/>
      <c r="AH622" s="108"/>
      <c r="AI622" s="108"/>
      <c r="AJ622" s="108"/>
      <c r="AK622" s="108"/>
      <c r="AL622" s="108"/>
      <c r="AM622" s="108"/>
      <c r="AN622" s="108"/>
      <c r="AO622" s="108"/>
      <c r="AP622" s="108"/>
      <c r="AQ622" s="108"/>
      <c r="AR622" s="108"/>
      <c r="AS622" s="108"/>
      <c r="AT622" s="108"/>
      <c r="AU622" s="108"/>
      <c r="AV622" s="108"/>
      <c r="AW622" s="108"/>
      <c r="AX622" s="108"/>
      <c r="AY622" s="108"/>
      <c r="AZ622" s="108"/>
      <c r="BA622" s="108"/>
      <c r="BB622" s="108"/>
    </row>
    <row r="623" spans="3:54" ht="12.75" customHeight="1" x14ac:dyDescent="0.25">
      <c r="C623" s="108"/>
      <c r="D623" s="108"/>
      <c r="E623" s="108"/>
      <c r="F623" s="108"/>
      <c r="G623" s="108"/>
      <c r="H623" s="108"/>
      <c r="I623" s="108"/>
      <c r="J623" s="108"/>
      <c r="K623" s="108"/>
      <c r="L623" s="108"/>
      <c r="M623" s="108"/>
      <c r="N623" s="108"/>
      <c r="O623" s="108"/>
      <c r="P623" s="108"/>
      <c r="Q623" s="108"/>
      <c r="R623" s="108"/>
      <c r="S623" s="108"/>
      <c r="T623" s="108"/>
      <c r="U623" s="108"/>
      <c r="V623" s="108"/>
      <c r="W623" s="108"/>
      <c r="X623" s="108"/>
      <c r="Y623" s="108"/>
      <c r="Z623" s="108"/>
      <c r="AA623" s="108"/>
      <c r="AB623" s="108"/>
      <c r="AC623" s="108"/>
      <c r="AD623" s="108"/>
      <c r="AE623" s="108"/>
      <c r="AF623" s="108"/>
      <c r="AG623" s="108"/>
      <c r="AH623" s="108"/>
      <c r="AI623" s="108"/>
      <c r="AJ623" s="108"/>
      <c r="AK623" s="108"/>
      <c r="AL623" s="108"/>
      <c r="AM623" s="108"/>
      <c r="AN623" s="108"/>
      <c r="AO623" s="108"/>
      <c r="AP623" s="108"/>
      <c r="AQ623" s="108"/>
      <c r="AR623" s="108"/>
      <c r="AS623" s="108"/>
      <c r="AT623" s="108"/>
      <c r="AU623" s="108"/>
      <c r="AV623" s="108"/>
      <c r="AW623" s="108"/>
      <c r="AX623" s="108"/>
      <c r="AY623" s="108"/>
      <c r="AZ623" s="108"/>
      <c r="BA623" s="108"/>
      <c r="BB623" s="108"/>
    </row>
    <row r="624" spans="3:54" ht="12.75" customHeight="1" x14ac:dyDescent="0.25">
      <c r="C624" s="108"/>
      <c r="D624" s="108"/>
      <c r="E624" s="108"/>
      <c r="F624" s="108"/>
      <c r="G624" s="108"/>
      <c r="H624" s="108"/>
      <c r="I624" s="108"/>
      <c r="J624" s="108"/>
      <c r="K624" s="108"/>
      <c r="L624" s="108"/>
      <c r="M624" s="108"/>
      <c r="N624" s="108"/>
      <c r="O624" s="108"/>
      <c r="P624" s="108"/>
      <c r="Q624" s="108"/>
      <c r="R624" s="108"/>
      <c r="S624" s="108"/>
      <c r="T624" s="108"/>
      <c r="U624" s="108"/>
      <c r="V624" s="108"/>
      <c r="W624" s="108"/>
      <c r="X624" s="108"/>
      <c r="Y624" s="108"/>
      <c r="Z624" s="108"/>
      <c r="AA624" s="108"/>
      <c r="AB624" s="108"/>
      <c r="AC624" s="108"/>
      <c r="AD624" s="108"/>
      <c r="AE624" s="108"/>
      <c r="AF624" s="108"/>
      <c r="AG624" s="108"/>
      <c r="AH624" s="108"/>
      <c r="AI624" s="108"/>
      <c r="AJ624" s="108"/>
      <c r="AK624" s="108"/>
      <c r="AL624" s="108"/>
      <c r="AM624" s="108"/>
      <c r="AN624" s="108"/>
      <c r="AO624" s="108"/>
      <c r="AP624" s="108"/>
      <c r="AQ624" s="108"/>
      <c r="AR624" s="108"/>
      <c r="AS624" s="108"/>
      <c r="AT624" s="108"/>
      <c r="AU624" s="108"/>
      <c r="AV624" s="108"/>
      <c r="AW624" s="108"/>
      <c r="AX624" s="108"/>
      <c r="AY624" s="108"/>
      <c r="AZ624" s="108"/>
      <c r="BA624" s="108"/>
      <c r="BB624" s="108"/>
    </row>
    <row r="625" spans="3:54" ht="12.75" customHeight="1" x14ac:dyDescent="0.25">
      <c r="C625" s="108"/>
      <c r="D625" s="108"/>
      <c r="E625" s="108"/>
      <c r="F625" s="108"/>
      <c r="G625" s="108"/>
      <c r="H625" s="108"/>
      <c r="I625" s="108"/>
      <c r="J625" s="108"/>
      <c r="K625" s="108"/>
      <c r="L625" s="108"/>
      <c r="M625" s="108"/>
      <c r="N625" s="108"/>
      <c r="O625" s="108"/>
      <c r="P625" s="108"/>
      <c r="Q625" s="108"/>
      <c r="R625" s="108"/>
      <c r="S625" s="108"/>
      <c r="T625" s="108"/>
      <c r="U625" s="108"/>
      <c r="V625" s="108"/>
      <c r="W625" s="108"/>
      <c r="X625" s="108"/>
      <c r="Y625" s="108"/>
      <c r="Z625" s="108"/>
      <c r="AA625" s="108"/>
      <c r="AB625" s="108"/>
      <c r="AC625" s="108"/>
      <c r="AD625" s="108"/>
      <c r="AE625" s="108"/>
      <c r="AF625" s="108"/>
      <c r="AG625" s="108"/>
      <c r="AH625" s="108"/>
      <c r="AI625" s="108"/>
      <c r="AJ625" s="108"/>
      <c r="AK625" s="108"/>
      <c r="AL625" s="108"/>
      <c r="AM625" s="108"/>
      <c r="AN625" s="108"/>
      <c r="AO625" s="108"/>
      <c r="AP625" s="108"/>
      <c r="AQ625" s="108"/>
      <c r="AR625" s="108"/>
      <c r="AS625" s="108"/>
      <c r="AT625" s="108"/>
      <c r="AU625" s="108"/>
      <c r="AV625" s="108"/>
      <c r="AW625" s="108"/>
      <c r="AX625" s="108"/>
      <c r="AY625" s="108"/>
      <c r="AZ625" s="108"/>
      <c r="BA625" s="108"/>
      <c r="BB625" s="108"/>
    </row>
    <row r="626" spans="3:54" ht="12.75" customHeight="1" x14ac:dyDescent="0.25">
      <c r="C626" s="108"/>
      <c r="D626" s="108"/>
      <c r="E626" s="108"/>
      <c r="F626" s="108"/>
      <c r="G626" s="108"/>
      <c r="H626" s="108"/>
      <c r="I626" s="108"/>
      <c r="J626" s="108"/>
      <c r="K626" s="108"/>
      <c r="L626" s="108"/>
      <c r="M626" s="108"/>
      <c r="N626" s="108"/>
      <c r="O626" s="108"/>
      <c r="P626" s="108"/>
      <c r="Q626" s="108"/>
      <c r="R626" s="108"/>
      <c r="S626" s="108"/>
      <c r="T626" s="108"/>
      <c r="U626" s="108"/>
      <c r="V626" s="108"/>
      <c r="W626" s="108"/>
      <c r="X626" s="108"/>
      <c r="Y626" s="108"/>
      <c r="Z626" s="108"/>
      <c r="AA626" s="108"/>
      <c r="AB626" s="108"/>
      <c r="AC626" s="108"/>
      <c r="AD626" s="108"/>
      <c r="AE626" s="108"/>
      <c r="AF626" s="108"/>
      <c r="AG626" s="108"/>
      <c r="AH626" s="108"/>
      <c r="AI626" s="108"/>
      <c r="AJ626" s="108"/>
      <c r="AK626" s="108"/>
      <c r="AL626" s="108"/>
      <c r="AM626" s="108"/>
      <c r="AN626" s="108"/>
      <c r="AO626" s="108"/>
      <c r="AP626" s="108"/>
      <c r="AQ626" s="108"/>
      <c r="AR626" s="108"/>
      <c r="AS626" s="108"/>
      <c r="AT626" s="108"/>
      <c r="AU626" s="108"/>
      <c r="AV626" s="108"/>
      <c r="AW626" s="108"/>
      <c r="AX626" s="108"/>
      <c r="AY626" s="108"/>
      <c r="AZ626" s="108"/>
      <c r="BA626" s="108"/>
      <c r="BB626" s="108"/>
    </row>
    <row r="627" spans="3:54" ht="12.75" customHeight="1" x14ac:dyDescent="0.25">
      <c r="C627" s="108"/>
      <c r="D627" s="108"/>
      <c r="E627" s="108"/>
      <c r="F627" s="108"/>
      <c r="G627" s="108"/>
      <c r="H627" s="108"/>
      <c r="I627" s="108"/>
      <c r="J627" s="108"/>
      <c r="K627" s="108"/>
      <c r="L627" s="108"/>
      <c r="M627" s="108"/>
      <c r="N627" s="108"/>
      <c r="O627" s="108"/>
      <c r="P627" s="108"/>
      <c r="Q627" s="108"/>
      <c r="R627" s="108"/>
      <c r="S627" s="108"/>
      <c r="T627" s="108"/>
      <c r="U627" s="108"/>
      <c r="V627" s="108"/>
      <c r="W627" s="108"/>
      <c r="X627" s="108"/>
      <c r="Y627" s="108"/>
      <c r="Z627" s="108"/>
      <c r="AA627" s="108"/>
      <c r="AB627" s="108"/>
      <c r="AC627" s="108"/>
      <c r="AD627" s="108"/>
      <c r="AE627" s="108"/>
      <c r="AF627" s="108"/>
      <c r="AG627" s="108"/>
      <c r="AH627" s="108"/>
      <c r="AI627" s="108"/>
      <c r="AJ627" s="108"/>
      <c r="AK627" s="108"/>
      <c r="AL627" s="108"/>
      <c r="AM627" s="108"/>
      <c r="AN627" s="108"/>
      <c r="AO627" s="108"/>
      <c r="AP627" s="108"/>
      <c r="AQ627" s="108"/>
      <c r="AR627" s="108"/>
      <c r="AS627" s="108"/>
      <c r="AT627" s="108"/>
      <c r="AU627" s="108"/>
      <c r="AV627" s="108"/>
      <c r="AW627" s="108"/>
      <c r="AX627" s="108"/>
      <c r="AY627" s="108"/>
      <c r="AZ627" s="108"/>
      <c r="BA627" s="108"/>
      <c r="BB627" s="108"/>
    </row>
    <row r="628" spans="3:54" ht="12.75" customHeight="1" x14ac:dyDescent="0.25">
      <c r="C628" s="108"/>
      <c r="D628" s="108"/>
      <c r="E628" s="108"/>
      <c r="F628" s="108"/>
      <c r="G628" s="108"/>
      <c r="H628" s="108"/>
      <c r="I628" s="108"/>
      <c r="J628" s="108"/>
      <c r="K628" s="108"/>
      <c r="L628" s="108"/>
      <c r="M628" s="108"/>
      <c r="N628" s="108"/>
      <c r="O628" s="108"/>
      <c r="P628" s="108"/>
      <c r="Q628" s="108"/>
      <c r="R628" s="108"/>
      <c r="S628" s="108"/>
      <c r="T628" s="108"/>
      <c r="U628" s="108"/>
      <c r="V628" s="108"/>
      <c r="W628" s="108"/>
      <c r="X628" s="108"/>
      <c r="Y628" s="108"/>
      <c r="Z628" s="108"/>
      <c r="AA628" s="108"/>
      <c r="AB628" s="108"/>
      <c r="AC628" s="108"/>
      <c r="AD628" s="108"/>
      <c r="AE628" s="108"/>
      <c r="AF628" s="108"/>
      <c r="AG628" s="108"/>
      <c r="AH628" s="108"/>
      <c r="AI628" s="108"/>
      <c r="AJ628" s="108"/>
      <c r="AK628" s="108"/>
      <c r="AL628" s="108"/>
      <c r="AM628" s="108"/>
      <c r="AN628" s="108"/>
      <c r="AO628" s="108"/>
      <c r="AP628" s="108"/>
      <c r="AQ628" s="108"/>
      <c r="AR628" s="108"/>
      <c r="AS628" s="108"/>
      <c r="AT628" s="108"/>
      <c r="AU628" s="108"/>
      <c r="AV628" s="108"/>
      <c r="AW628" s="108"/>
      <c r="AX628" s="108"/>
      <c r="AY628" s="108"/>
      <c r="AZ628" s="108"/>
      <c r="BA628" s="108"/>
      <c r="BB628" s="108"/>
    </row>
    <row r="629" spans="3:54" ht="12.75" customHeight="1" x14ac:dyDescent="0.25">
      <c r="C629" s="108"/>
      <c r="D629" s="108"/>
      <c r="E629" s="108"/>
      <c r="F629" s="108"/>
      <c r="G629" s="108"/>
      <c r="H629" s="108"/>
      <c r="I629" s="108"/>
      <c r="J629" s="108"/>
      <c r="K629" s="108"/>
      <c r="L629" s="108"/>
      <c r="M629" s="108"/>
      <c r="N629" s="108"/>
      <c r="O629" s="108"/>
      <c r="P629" s="108"/>
      <c r="Q629" s="108"/>
      <c r="R629" s="108"/>
      <c r="S629" s="108"/>
      <c r="T629" s="108"/>
      <c r="U629" s="108"/>
      <c r="V629" s="108"/>
      <c r="W629" s="108"/>
      <c r="X629" s="108"/>
      <c r="Y629" s="108"/>
      <c r="Z629" s="108"/>
      <c r="AA629" s="108"/>
      <c r="AB629" s="108"/>
      <c r="AC629" s="108"/>
      <c r="AD629" s="108"/>
      <c r="AE629" s="108"/>
      <c r="AF629" s="108"/>
      <c r="AG629" s="108"/>
      <c r="AH629" s="108"/>
      <c r="AI629" s="108"/>
      <c r="AJ629" s="108"/>
      <c r="AK629" s="108"/>
      <c r="AL629" s="108"/>
      <c r="AM629" s="108"/>
      <c r="AN629" s="108"/>
      <c r="AO629" s="108"/>
      <c r="AP629" s="108"/>
      <c r="AQ629" s="108"/>
      <c r="AR629" s="108"/>
      <c r="AS629" s="108"/>
      <c r="AT629" s="108"/>
      <c r="AU629" s="108"/>
      <c r="AV629" s="108"/>
      <c r="AW629" s="108"/>
      <c r="AX629" s="108"/>
      <c r="AY629" s="108"/>
      <c r="AZ629" s="108"/>
      <c r="BA629" s="108"/>
      <c r="BB629" s="108"/>
    </row>
    <row r="630" spans="3:54" ht="12.75" customHeight="1" x14ac:dyDescent="0.25">
      <c r="C630" s="108"/>
      <c r="D630" s="108"/>
      <c r="E630" s="108"/>
      <c r="F630" s="108"/>
      <c r="G630" s="108"/>
      <c r="H630" s="108"/>
      <c r="I630" s="108"/>
      <c r="J630" s="108"/>
      <c r="K630" s="108"/>
      <c r="L630" s="108"/>
      <c r="M630" s="108"/>
      <c r="N630" s="108"/>
      <c r="O630" s="108"/>
      <c r="P630" s="108"/>
      <c r="Q630" s="108"/>
      <c r="R630" s="108"/>
      <c r="S630" s="108"/>
      <c r="T630" s="108"/>
      <c r="U630" s="108"/>
      <c r="V630" s="108"/>
      <c r="W630" s="108"/>
      <c r="X630" s="108"/>
      <c r="Y630" s="108"/>
      <c r="Z630" s="108"/>
      <c r="AA630" s="108"/>
      <c r="AB630" s="108"/>
      <c r="AC630" s="108"/>
      <c r="AD630" s="108"/>
      <c r="AE630" s="108"/>
      <c r="AF630" s="108"/>
      <c r="AG630" s="108"/>
      <c r="AH630" s="108"/>
      <c r="AI630" s="108"/>
      <c r="AJ630" s="108"/>
      <c r="AK630" s="108"/>
      <c r="AL630" s="108"/>
      <c r="AM630" s="108"/>
      <c r="AN630" s="108"/>
      <c r="AO630" s="108"/>
      <c r="AP630" s="108"/>
      <c r="AQ630" s="108"/>
      <c r="AR630" s="108"/>
      <c r="AS630" s="108"/>
      <c r="AT630" s="108"/>
      <c r="AU630" s="108"/>
      <c r="AV630" s="108"/>
      <c r="AW630" s="108"/>
      <c r="AX630" s="108"/>
      <c r="AY630" s="108"/>
      <c r="AZ630" s="108"/>
      <c r="BA630" s="108"/>
      <c r="BB630" s="108"/>
    </row>
    <row r="631" spans="3:54" ht="12.75" customHeight="1" x14ac:dyDescent="0.25">
      <c r="C631" s="108"/>
      <c r="D631" s="108"/>
      <c r="E631" s="108"/>
      <c r="F631" s="108"/>
      <c r="G631" s="108"/>
      <c r="H631" s="108"/>
      <c r="I631" s="108"/>
      <c r="J631" s="108"/>
      <c r="K631" s="108"/>
      <c r="L631" s="108"/>
      <c r="M631" s="108"/>
      <c r="N631" s="108"/>
      <c r="O631" s="108"/>
      <c r="P631" s="108"/>
      <c r="Q631" s="108"/>
      <c r="R631" s="108"/>
      <c r="S631" s="108"/>
      <c r="T631" s="108"/>
      <c r="U631" s="108"/>
      <c r="V631" s="108"/>
      <c r="W631" s="108"/>
      <c r="X631" s="108"/>
      <c r="Y631" s="108"/>
      <c r="Z631" s="108"/>
      <c r="AA631" s="108"/>
      <c r="AB631" s="108"/>
      <c r="AC631" s="108"/>
      <c r="AD631" s="108"/>
      <c r="AE631" s="108"/>
      <c r="AF631" s="108"/>
      <c r="AG631" s="108"/>
      <c r="AH631" s="108"/>
      <c r="AI631" s="108"/>
      <c r="AJ631" s="108"/>
      <c r="AK631" s="108"/>
      <c r="AL631" s="108"/>
      <c r="AM631" s="108"/>
      <c r="AN631" s="108"/>
      <c r="AO631" s="108"/>
      <c r="AP631" s="108"/>
      <c r="AQ631" s="108"/>
      <c r="AR631" s="108"/>
      <c r="AS631" s="108"/>
      <c r="AT631" s="108"/>
      <c r="AU631" s="108"/>
      <c r="AV631" s="108"/>
      <c r="AW631" s="108"/>
      <c r="AX631" s="108"/>
      <c r="AY631" s="108"/>
      <c r="AZ631" s="108"/>
      <c r="BA631" s="108"/>
      <c r="BB631" s="108"/>
    </row>
    <row r="632" spans="3:54" ht="12.75" customHeight="1" x14ac:dyDescent="0.25">
      <c r="C632" s="108"/>
      <c r="D632" s="108"/>
      <c r="E632" s="108"/>
      <c r="F632" s="108"/>
      <c r="G632" s="108"/>
      <c r="H632" s="108"/>
      <c r="I632" s="108"/>
      <c r="J632" s="108"/>
      <c r="K632" s="108"/>
      <c r="L632" s="108"/>
      <c r="M632" s="108"/>
      <c r="N632" s="108"/>
      <c r="O632" s="108"/>
      <c r="P632" s="108"/>
      <c r="Q632" s="108"/>
      <c r="R632" s="108"/>
      <c r="S632" s="108"/>
      <c r="T632" s="108"/>
      <c r="U632" s="108"/>
      <c r="V632" s="108"/>
      <c r="W632" s="108"/>
      <c r="X632" s="108"/>
      <c r="Y632" s="108"/>
      <c r="Z632" s="108"/>
      <c r="AA632" s="108"/>
      <c r="AB632" s="108"/>
      <c r="AC632" s="108"/>
      <c r="AD632" s="108"/>
      <c r="AE632" s="108"/>
      <c r="AF632" s="108"/>
      <c r="AG632" s="108"/>
      <c r="AH632" s="108"/>
      <c r="AI632" s="108"/>
      <c r="AJ632" s="108"/>
      <c r="AK632" s="108"/>
      <c r="AL632" s="108"/>
      <c r="AM632" s="108"/>
      <c r="AN632" s="108"/>
      <c r="AO632" s="108"/>
      <c r="AP632" s="108"/>
      <c r="AQ632" s="108"/>
      <c r="AR632" s="108"/>
      <c r="AS632" s="108"/>
      <c r="AT632" s="108"/>
      <c r="AU632" s="108"/>
      <c r="AV632" s="108"/>
      <c r="AW632" s="108"/>
      <c r="AX632" s="108"/>
      <c r="AY632" s="108"/>
      <c r="AZ632" s="108"/>
      <c r="BA632" s="108"/>
      <c r="BB632" s="108"/>
    </row>
    <row r="633" spans="3:54" ht="12.75" customHeight="1" x14ac:dyDescent="0.25">
      <c r="C633" s="108"/>
      <c r="D633" s="108"/>
      <c r="E633" s="108"/>
      <c r="F633" s="108"/>
      <c r="G633" s="108"/>
      <c r="H633" s="108"/>
      <c r="I633" s="108"/>
      <c r="J633" s="108"/>
      <c r="K633" s="108"/>
      <c r="L633" s="108"/>
      <c r="M633" s="108"/>
      <c r="N633" s="108"/>
      <c r="O633" s="108"/>
      <c r="P633" s="108"/>
      <c r="Q633" s="108"/>
      <c r="R633" s="108"/>
      <c r="S633" s="108"/>
      <c r="T633" s="108"/>
      <c r="U633" s="108"/>
      <c r="V633" s="108"/>
      <c r="W633" s="108"/>
      <c r="X633" s="108"/>
      <c r="Y633" s="108"/>
      <c r="Z633" s="108"/>
      <c r="AA633" s="108"/>
      <c r="AB633" s="108"/>
      <c r="AC633" s="108"/>
      <c r="AD633" s="108"/>
      <c r="AE633" s="108"/>
      <c r="AF633" s="108"/>
      <c r="AG633" s="108"/>
      <c r="AH633" s="108"/>
      <c r="AI633" s="108"/>
      <c r="AJ633" s="108"/>
      <c r="AK633" s="108"/>
      <c r="AL633" s="108"/>
      <c r="AM633" s="108"/>
      <c r="AN633" s="108"/>
      <c r="AO633" s="108"/>
      <c r="AP633" s="108"/>
      <c r="AQ633" s="108"/>
      <c r="AR633" s="108"/>
      <c r="AS633" s="108"/>
      <c r="AT633" s="108"/>
      <c r="AU633" s="108"/>
      <c r="AV633" s="108"/>
      <c r="AW633" s="108"/>
      <c r="AX633" s="108"/>
      <c r="AY633" s="108"/>
      <c r="AZ633" s="108"/>
      <c r="BA633" s="108"/>
      <c r="BB633" s="108"/>
    </row>
    <row r="634" spans="3:54" ht="12.75" customHeight="1" x14ac:dyDescent="0.25">
      <c r="C634" s="108"/>
      <c r="D634" s="108"/>
      <c r="E634" s="108"/>
      <c r="F634" s="108"/>
      <c r="G634" s="108"/>
      <c r="H634" s="108"/>
      <c r="I634" s="108"/>
      <c r="J634" s="108"/>
      <c r="K634" s="108"/>
      <c r="L634" s="108"/>
      <c r="M634" s="108"/>
      <c r="N634" s="108"/>
      <c r="O634" s="108"/>
      <c r="P634" s="108"/>
      <c r="Q634" s="108"/>
      <c r="R634" s="108"/>
      <c r="S634" s="108"/>
      <c r="T634" s="108"/>
      <c r="U634" s="108"/>
      <c r="V634" s="108"/>
      <c r="W634" s="108"/>
      <c r="X634" s="108"/>
      <c r="Y634" s="108"/>
      <c r="Z634" s="108"/>
      <c r="AA634" s="108"/>
      <c r="AB634" s="108"/>
      <c r="AC634" s="108"/>
      <c r="AD634" s="108"/>
      <c r="AE634" s="108"/>
      <c r="AF634" s="108"/>
      <c r="AG634" s="108"/>
      <c r="AH634" s="108"/>
      <c r="AI634" s="108"/>
      <c r="AJ634" s="108"/>
      <c r="AK634" s="108"/>
      <c r="AL634" s="108"/>
      <c r="AM634" s="108"/>
      <c r="AN634" s="108"/>
      <c r="AO634" s="108"/>
      <c r="AP634" s="108"/>
      <c r="AQ634" s="108"/>
      <c r="AR634" s="108"/>
      <c r="AS634" s="108"/>
      <c r="AT634" s="108"/>
      <c r="AU634" s="108"/>
      <c r="AV634" s="108"/>
      <c r="AW634" s="108"/>
      <c r="AX634" s="108"/>
      <c r="AY634" s="108"/>
      <c r="AZ634" s="108"/>
      <c r="BA634" s="108"/>
      <c r="BB634" s="108"/>
    </row>
    <row r="635" spans="3:54" ht="12.75" customHeight="1" x14ac:dyDescent="0.25">
      <c r="C635" s="108"/>
      <c r="D635" s="108"/>
      <c r="E635" s="108"/>
      <c r="F635" s="108"/>
      <c r="G635" s="108"/>
      <c r="H635" s="108"/>
      <c r="I635" s="108"/>
      <c r="J635" s="108"/>
      <c r="K635" s="108"/>
      <c r="L635" s="108"/>
      <c r="M635" s="108"/>
      <c r="N635" s="108"/>
      <c r="O635" s="108"/>
      <c r="P635" s="108"/>
      <c r="Q635" s="108"/>
      <c r="R635" s="108"/>
      <c r="S635" s="108"/>
      <c r="T635" s="108"/>
      <c r="U635" s="108"/>
      <c r="V635" s="108"/>
      <c r="W635" s="108"/>
      <c r="X635" s="108"/>
      <c r="Y635" s="108"/>
      <c r="Z635" s="108"/>
      <c r="AA635" s="108"/>
      <c r="AB635" s="108"/>
      <c r="AC635" s="108"/>
      <c r="AD635" s="108"/>
      <c r="AE635" s="108"/>
      <c r="AF635" s="108"/>
      <c r="AG635" s="108"/>
      <c r="AH635" s="108"/>
      <c r="AI635" s="108"/>
      <c r="AJ635" s="108"/>
      <c r="AK635" s="108"/>
      <c r="AL635" s="108"/>
      <c r="AM635" s="108"/>
      <c r="AN635" s="108"/>
      <c r="AO635" s="108"/>
      <c r="AP635" s="108"/>
      <c r="AQ635" s="108"/>
      <c r="AR635" s="108"/>
      <c r="AS635" s="108"/>
      <c r="AT635" s="108"/>
      <c r="AU635" s="108"/>
      <c r="AV635" s="108"/>
      <c r="AW635" s="108"/>
      <c r="AX635" s="108"/>
      <c r="AY635" s="108"/>
      <c r="AZ635" s="108"/>
      <c r="BA635" s="108"/>
      <c r="BB635" s="108"/>
    </row>
    <row r="636" spans="3:54" ht="12.75" customHeight="1" x14ac:dyDescent="0.25">
      <c r="C636" s="108"/>
      <c r="D636" s="108"/>
      <c r="E636" s="108"/>
      <c r="F636" s="108"/>
      <c r="G636" s="108"/>
      <c r="H636" s="108"/>
      <c r="I636" s="108"/>
      <c r="J636" s="108"/>
      <c r="K636" s="108"/>
      <c r="L636" s="108"/>
      <c r="M636" s="108"/>
      <c r="N636" s="108"/>
      <c r="O636" s="108"/>
      <c r="P636" s="108"/>
      <c r="Q636" s="108"/>
      <c r="R636" s="108"/>
      <c r="S636" s="108"/>
      <c r="T636" s="108"/>
      <c r="U636" s="108"/>
      <c r="V636" s="108"/>
      <c r="W636" s="108"/>
      <c r="X636" s="108"/>
      <c r="Y636" s="108"/>
      <c r="Z636" s="108"/>
      <c r="AA636" s="108"/>
      <c r="AB636" s="108"/>
      <c r="AC636" s="108"/>
      <c r="AD636" s="108"/>
      <c r="AE636" s="108"/>
      <c r="AF636" s="108"/>
      <c r="AG636" s="108"/>
      <c r="AH636" s="108"/>
      <c r="AI636" s="108"/>
      <c r="AJ636" s="108"/>
      <c r="AK636" s="108"/>
      <c r="AL636" s="108"/>
      <c r="AM636" s="108"/>
      <c r="AN636" s="108"/>
      <c r="AO636" s="108"/>
      <c r="AP636" s="108"/>
      <c r="AQ636" s="108"/>
      <c r="AR636" s="108"/>
      <c r="AS636" s="108"/>
      <c r="AT636" s="108"/>
      <c r="AU636" s="108"/>
      <c r="AV636" s="108"/>
      <c r="AW636" s="108"/>
      <c r="AX636" s="108"/>
      <c r="AY636" s="108"/>
      <c r="AZ636" s="108"/>
      <c r="BA636" s="108"/>
      <c r="BB636" s="108"/>
    </row>
    <row r="637" spans="3:54" ht="12.75" customHeight="1" x14ac:dyDescent="0.25">
      <c r="C637" s="108"/>
      <c r="D637" s="108"/>
      <c r="E637" s="108"/>
      <c r="F637" s="108"/>
      <c r="G637" s="108"/>
      <c r="H637" s="108"/>
      <c r="I637" s="108"/>
      <c r="J637" s="108"/>
      <c r="K637" s="108"/>
      <c r="L637" s="108"/>
      <c r="M637" s="108"/>
      <c r="N637" s="108"/>
      <c r="O637" s="108"/>
      <c r="P637" s="108"/>
      <c r="Q637" s="108"/>
      <c r="R637" s="108"/>
      <c r="S637" s="108"/>
      <c r="T637" s="108"/>
      <c r="U637" s="108"/>
      <c r="V637" s="108"/>
      <c r="W637" s="108"/>
      <c r="X637" s="108"/>
      <c r="Y637" s="108"/>
      <c r="Z637" s="108"/>
      <c r="AA637" s="108"/>
      <c r="AB637" s="108"/>
      <c r="AC637" s="108"/>
      <c r="AD637" s="108"/>
      <c r="AE637" s="108"/>
      <c r="AF637" s="108"/>
      <c r="AG637" s="108"/>
      <c r="AH637" s="108"/>
      <c r="AI637" s="108"/>
      <c r="AJ637" s="108"/>
      <c r="AK637" s="108"/>
      <c r="AL637" s="108"/>
      <c r="AM637" s="108"/>
      <c r="AN637" s="108"/>
      <c r="AO637" s="108"/>
      <c r="AP637" s="108"/>
      <c r="AQ637" s="108"/>
      <c r="AR637" s="108"/>
      <c r="AS637" s="108"/>
      <c r="AT637" s="108"/>
      <c r="AU637" s="108"/>
      <c r="AV637" s="108"/>
      <c r="AW637" s="108"/>
      <c r="AX637" s="108"/>
      <c r="AY637" s="108"/>
      <c r="AZ637" s="108"/>
      <c r="BA637" s="108"/>
      <c r="BB637" s="108"/>
    </row>
    <row r="638" spans="3:54" ht="12.75" customHeight="1" x14ac:dyDescent="0.25">
      <c r="C638" s="108"/>
      <c r="D638" s="108"/>
      <c r="E638" s="108"/>
      <c r="F638" s="108"/>
      <c r="G638" s="108"/>
      <c r="H638" s="108"/>
      <c r="I638" s="108"/>
      <c r="J638" s="108"/>
      <c r="K638" s="108"/>
      <c r="L638" s="108"/>
      <c r="M638" s="108"/>
      <c r="N638" s="108"/>
      <c r="O638" s="108"/>
      <c r="P638" s="108"/>
      <c r="Q638" s="108"/>
      <c r="R638" s="108"/>
      <c r="S638" s="108"/>
      <c r="T638" s="108"/>
      <c r="U638" s="108"/>
      <c r="V638" s="108"/>
      <c r="W638" s="108"/>
      <c r="X638" s="108"/>
      <c r="Y638" s="108"/>
      <c r="Z638" s="108"/>
      <c r="AA638" s="108"/>
      <c r="AB638" s="108"/>
      <c r="AC638" s="108"/>
      <c r="AD638" s="108"/>
      <c r="AE638" s="108"/>
      <c r="AF638" s="108"/>
      <c r="AG638" s="108"/>
      <c r="AH638" s="108"/>
      <c r="AI638" s="108"/>
      <c r="AJ638" s="108"/>
      <c r="AK638" s="108"/>
      <c r="AL638" s="108"/>
      <c r="AM638" s="108"/>
      <c r="AN638" s="108"/>
      <c r="AO638" s="108"/>
      <c r="AP638" s="108"/>
      <c r="AQ638" s="108"/>
      <c r="AR638" s="108"/>
      <c r="AS638" s="108"/>
      <c r="AT638" s="108"/>
      <c r="AU638" s="108"/>
      <c r="AV638" s="108"/>
      <c r="AW638" s="108"/>
      <c r="AX638" s="108"/>
      <c r="AY638" s="108"/>
      <c r="AZ638" s="108"/>
      <c r="BA638" s="108"/>
      <c r="BB638" s="108"/>
    </row>
    <row r="639" spans="3:54" ht="12.75" customHeight="1" x14ac:dyDescent="0.25">
      <c r="C639" s="108"/>
      <c r="D639" s="108"/>
      <c r="E639" s="108"/>
      <c r="F639" s="108"/>
      <c r="G639" s="108"/>
      <c r="H639" s="108"/>
      <c r="I639" s="108"/>
      <c r="J639" s="108"/>
      <c r="K639" s="108"/>
      <c r="L639" s="108"/>
      <c r="M639" s="108"/>
      <c r="N639" s="108"/>
      <c r="O639" s="108"/>
      <c r="P639" s="108"/>
      <c r="Q639" s="108"/>
      <c r="R639" s="108"/>
      <c r="S639" s="108"/>
      <c r="T639" s="108"/>
      <c r="U639" s="108"/>
      <c r="V639" s="108"/>
      <c r="W639" s="108"/>
      <c r="X639" s="108"/>
      <c r="Y639" s="108"/>
      <c r="Z639" s="108"/>
      <c r="AA639" s="108"/>
      <c r="AB639" s="108"/>
      <c r="AC639" s="108"/>
      <c r="AD639" s="108"/>
      <c r="AE639" s="108"/>
      <c r="AF639" s="108"/>
      <c r="AG639" s="108"/>
      <c r="AH639" s="108"/>
      <c r="AI639" s="108"/>
      <c r="AJ639" s="108"/>
      <c r="AK639" s="108"/>
      <c r="AL639" s="108"/>
      <c r="AM639" s="108"/>
      <c r="AN639" s="108"/>
      <c r="AO639" s="108"/>
      <c r="AP639" s="108"/>
      <c r="AQ639" s="108"/>
      <c r="AR639" s="108"/>
      <c r="AS639" s="108"/>
      <c r="AT639" s="108"/>
      <c r="AU639" s="108"/>
      <c r="AV639" s="108"/>
      <c r="AW639" s="108"/>
      <c r="AX639" s="108"/>
      <c r="AY639" s="108"/>
      <c r="AZ639" s="108"/>
      <c r="BA639" s="108"/>
      <c r="BB639" s="108"/>
    </row>
    <row r="640" spans="3:54" ht="12.75" customHeight="1" x14ac:dyDescent="0.25">
      <c r="C640" s="108"/>
      <c r="D640" s="108"/>
      <c r="E640" s="108"/>
      <c r="F640" s="108"/>
      <c r="G640" s="108"/>
      <c r="H640" s="108"/>
      <c r="I640" s="108"/>
      <c r="J640" s="108"/>
      <c r="K640" s="108"/>
      <c r="L640" s="108"/>
      <c r="M640" s="108"/>
      <c r="N640" s="108"/>
      <c r="O640" s="108"/>
      <c r="P640" s="108"/>
      <c r="Q640" s="108"/>
      <c r="R640" s="108"/>
      <c r="S640" s="108"/>
      <c r="T640" s="108"/>
      <c r="U640" s="108"/>
      <c r="V640" s="108"/>
      <c r="W640" s="108"/>
      <c r="X640" s="108"/>
      <c r="Y640" s="108"/>
      <c r="Z640" s="108"/>
      <c r="AA640" s="108"/>
      <c r="AB640" s="108"/>
      <c r="AC640" s="108"/>
      <c r="AD640" s="108"/>
      <c r="AE640" s="108"/>
      <c r="AF640" s="108"/>
      <c r="AG640" s="108"/>
      <c r="AH640" s="108"/>
      <c r="AI640" s="108"/>
      <c r="AJ640" s="108"/>
      <c r="AK640" s="108"/>
      <c r="AL640" s="108"/>
      <c r="AM640" s="108"/>
      <c r="AN640" s="108"/>
      <c r="AO640" s="108"/>
      <c r="AP640" s="108"/>
      <c r="AQ640" s="108"/>
      <c r="AR640" s="108"/>
      <c r="AS640" s="108"/>
      <c r="AT640" s="108"/>
      <c r="AU640" s="108"/>
      <c r="AV640" s="108"/>
      <c r="AW640" s="108"/>
      <c r="AX640" s="108"/>
      <c r="AY640" s="108"/>
      <c r="AZ640" s="108"/>
      <c r="BA640" s="108"/>
      <c r="BB640" s="108"/>
    </row>
    <row r="641" spans="3:54" ht="12.75" customHeight="1" x14ac:dyDescent="0.25">
      <c r="C641" s="108"/>
      <c r="D641" s="108"/>
      <c r="E641" s="108"/>
      <c r="F641" s="108"/>
      <c r="G641" s="108"/>
      <c r="H641" s="108"/>
      <c r="I641" s="108"/>
      <c r="J641" s="108"/>
      <c r="K641" s="108"/>
      <c r="L641" s="108"/>
      <c r="M641" s="108"/>
      <c r="N641" s="108"/>
      <c r="O641" s="108"/>
      <c r="P641" s="108"/>
      <c r="Q641" s="108"/>
      <c r="R641" s="108"/>
      <c r="S641" s="108"/>
      <c r="T641" s="108"/>
      <c r="U641" s="108"/>
      <c r="V641" s="108"/>
      <c r="W641" s="108"/>
      <c r="X641" s="108"/>
      <c r="Y641" s="108"/>
      <c r="Z641" s="108"/>
      <c r="AA641" s="108"/>
      <c r="AB641" s="108"/>
      <c r="AC641" s="108"/>
      <c r="AD641" s="108"/>
      <c r="AE641" s="108"/>
      <c r="AF641" s="108"/>
      <c r="AG641" s="108"/>
      <c r="AH641" s="108"/>
      <c r="AI641" s="108"/>
      <c r="AJ641" s="108"/>
      <c r="AK641" s="108"/>
      <c r="AL641" s="108"/>
      <c r="AM641" s="108"/>
      <c r="AN641" s="108"/>
      <c r="AO641" s="108"/>
      <c r="AP641" s="108"/>
      <c r="AQ641" s="108"/>
      <c r="AR641" s="108"/>
      <c r="AS641" s="108"/>
      <c r="AT641" s="108"/>
      <c r="AU641" s="108"/>
      <c r="AV641" s="108"/>
      <c r="AW641" s="108"/>
      <c r="AX641" s="108"/>
      <c r="AY641" s="108"/>
      <c r="AZ641" s="108"/>
      <c r="BA641" s="108"/>
      <c r="BB641" s="108"/>
    </row>
    <row r="642" spans="3:54" ht="12.75" customHeight="1" x14ac:dyDescent="0.25">
      <c r="C642" s="108"/>
      <c r="D642" s="108"/>
      <c r="E642" s="108"/>
      <c r="F642" s="108"/>
      <c r="G642" s="108"/>
      <c r="H642" s="108"/>
      <c r="I642" s="108"/>
      <c r="J642" s="108"/>
      <c r="K642" s="108"/>
      <c r="L642" s="108"/>
      <c r="M642" s="108"/>
      <c r="N642" s="108"/>
      <c r="O642" s="108"/>
      <c r="P642" s="108"/>
      <c r="Q642" s="108"/>
      <c r="R642" s="108"/>
      <c r="S642" s="108"/>
      <c r="T642" s="108"/>
      <c r="U642" s="108"/>
      <c r="V642" s="108"/>
      <c r="W642" s="108"/>
      <c r="X642" s="108"/>
      <c r="Y642" s="108"/>
      <c r="Z642" s="108"/>
      <c r="AA642" s="108"/>
      <c r="AB642" s="108"/>
      <c r="AC642" s="108"/>
      <c r="AD642" s="108"/>
      <c r="AE642" s="108"/>
      <c r="AF642" s="108"/>
      <c r="AG642" s="108"/>
      <c r="AH642" s="108"/>
      <c r="AI642" s="108"/>
      <c r="AJ642" s="108"/>
      <c r="AK642" s="108"/>
      <c r="AL642" s="108"/>
      <c r="AM642" s="108"/>
      <c r="AN642" s="108"/>
      <c r="AO642" s="108"/>
      <c r="AP642" s="108"/>
      <c r="AQ642" s="108"/>
      <c r="AR642" s="108"/>
      <c r="AS642" s="108"/>
      <c r="AT642" s="108"/>
      <c r="AU642" s="108"/>
      <c r="AV642" s="108"/>
      <c r="AW642" s="108"/>
      <c r="AX642" s="108"/>
      <c r="AY642" s="108"/>
      <c r="AZ642" s="108"/>
      <c r="BA642" s="108"/>
      <c r="BB642" s="108"/>
    </row>
    <row r="643" spans="3:54" ht="12.75" customHeight="1" x14ac:dyDescent="0.25">
      <c r="C643" s="108"/>
      <c r="D643" s="108"/>
      <c r="E643" s="108"/>
      <c r="F643" s="108"/>
      <c r="G643" s="108"/>
      <c r="H643" s="108"/>
      <c r="I643" s="108"/>
      <c r="J643" s="108"/>
      <c r="K643" s="108"/>
      <c r="L643" s="108"/>
      <c r="M643" s="108"/>
      <c r="N643" s="108"/>
      <c r="O643" s="108"/>
      <c r="P643" s="108"/>
      <c r="Q643" s="108"/>
      <c r="R643" s="108"/>
      <c r="S643" s="108"/>
      <c r="T643" s="108"/>
      <c r="U643" s="108"/>
      <c r="V643" s="108"/>
      <c r="W643" s="108"/>
      <c r="X643" s="108"/>
      <c r="Y643" s="108"/>
      <c r="Z643" s="108"/>
      <c r="AA643" s="108"/>
      <c r="AB643" s="108"/>
      <c r="AC643" s="108"/>
      <c r="AD643" s="108"/>
      <c r="AE643" s="108"/>
      <c r="AF643" s="108"/>
      <c r="AG643" s="108"/>
      <c r="AH643" s="108"/>
      <c r="AI643" s="108"/>
      <c r="AJ643" s="108"/>
      <c r="AK643" s="108"/>
      <c r="AL643" s="108"/>
      <c r="AM643" s="108"/>
      <c r="AN643" s="108"/>
      <c r="AO643" s="108"/>
      <c r="AP643" s="108"/>
      <c r="AQ643" s="108"/>
      <c r="AR643" s="108"/>
      <c r="AS643" s="108"/>
      <c r="AT643" s="108"/>
      <c r="AU643" s="108"/>
      <c r="AV643" s="108"/>
      <c r="AW643" s="108"/>
      <c r="AX643" s="108"/>
      <c r="AY643" s="108"/>
      <c r="AZ643" s="108"/>
      <c r="BA643" s="108"/>
      <c r="BB643" s="108"/>
    </row>
    <row r="644" spans="3:54" ht="12.75" customHeight="1" x14ac:dyDescent="0.25">
      <c r="C644" s="108"/>
      <c r="D644" s="108"/>
      <c r="E644" s="108"/>
      <c r="F644" s="108"/>
      <c r="G644" s="108"/>
      <c r="H644" s="108"/>
      <c r="I644" s="108"/>
      <c r="J644" s="108"/>
      <c r="K644" s="108"/>
      <c r="L644" s="108"/>
      <c r="M644" s="108"/>
      <c r="N644" s="108"/>
      <c r="O644" s="108"/>
      <c r="P644" s="108"/>
      <c r="Q644" s="108"/>
      <c r="R644" s="108"/>
      <c r="S644" s="108"/>
      <c r="T644" s="108"/>
      <c r="U644" s="108"/>
      <c r="V644" s="108"/>
      <c r="W644" s="108"/>
      <c r="X644" s="108"/>
      <c r="Y644" s="108"/>
      <c r="Z644" s="108"/>
      <c r="AA644" s="108"/>
      <c r="AB644" s="108"/>
      <c r="AC644" s="108"/>
      <c r="AD644" s="108"/>
      <c r="AE644" s="108"/>
      <c r="AF644" s="108"/>
      <c r="AG644" s="108"/>
      <c r="AH644" s="108"/>
      <c r="AI644" s="108"/>
      <c r="AJ644" s="108"/>
      <c r="AK644" s="108"/>
      <c r="AL644" s="108"/>
      <c r="AM644" s="108"/>
      <c r="AN644" s="108"/>
      <c r="AO644" s="108"/>
      <c r="AP644" s="108"/>
      <c r="AQ644" s="108"/>
      <c r="AR644" s="108"/>
      <c r="AS644" s="108"/>
      <c r="AT644" s="108"/>
      <c r="AU644" s="108"/>
      <c r="AV644" s="108"/>
      <c r="AW644" s="108"/>
      <c r="AX644" s="108"/>
      <c r="AY644" s="108"/>
      <c r="AZ644" s="108"/>
      <c r="BA644" s="108"/>
      <c r="BB644" s="108"/>
    </row>
    <row r="645" spans="3:54" ht="12.75" customHeight="1" x14ac:dyDescent="0.25">
      <c r="C645" s="108"/>
      <c r="D645" s="108"/>
      <c r="E645" s="108"/>
      <c r="F645" s="108"/>
      <c r="G645" s="108"/>
      <c r="H645" s="108"/>
      <c r="I645" s="108"/>
      <c r="J645" s="108"/>
      <c r="K645" s="108"/>
      <c r="L645" s="108"/>
      <c r="M645" s="108"/>
      <c r="N645" s="108"/>
      <c r="O645" s="108"/>
      <c r="P645" s="108"/>
      <c r="Q645" s="108"/>
      <c r="R645" s="108"/>
      <c r="S645" s="108"/>
      <c r="T645" s="108"/>
      <c r="U645" s="108"/>
      <c r="V645" s="108"/>
      <c r="W645" s="108"/>
      <c r="X645" s="108"/>
      <c r="Y645" s="108"/>
      <c r="Z645" s="108"/>
      <c r="AA645" s="108"/>
      <c r="AB645" s="108"/>
      <c r="AC645" s="108"/>
      <c r="AD645" s="108"/>
      <c r="AE645" s="108"/>
      <c r="AF645" s="108"/>
      <c r="AG645" s="108"/>
      <c r="AH645" s="108"/>
      <c r="AI645" s="108"/>
      <c r="AJ645" s="108"/>
      <c r="AK645" s="108"/>
      <c r="AL645" s="108"/>
      <c r="AM645" s="108"/>
      <c r="AN645" s="108"/>
      <c r="AO645" s="108"/>
      <c r="AP645" s="108"/>
      <c r="AQ645" s="108"/>
      <c r="AR645" s="108"/>
      <c r="AS645" s="108"/>
      <c r="AT645" s="108"/>
      <c r="AU645" s="108"/>
      <c r="AV645" s="108"/>
      <c r="AW645" s="108"/>
      <c r="AX645" s="108"/>
      <c r="AY645" s="108"/>
      <c r="AZ645" s="108"/>
      <c r="BA645" s="108"/>
      <c r="BB645" s="108"/>
    </row>
    <row r="646" spans="3:54" ht="12.75" customHeight="1" x14ac:dyDescent="0.25">
      <c r="C646" s="108"/>
      <c r="D646" s="108"/>
      <c r="E646" s="108"/>
      <c r="F646" s="108"/>
      <c r="G646" s="108"/>
      <c r="H646" s="108"/>
      <c r="I646" s="108"/>
      <c r="J646" s="108"/>
      <c r="K646" s="108"/>
      <c r="L646" s="108"/>
      <c r="M646" s="108"/>
      <c r="N646" s="108"/>
      <c r="O646" s="108"/>
      <c r="P646" s="108"/>
      <c r="Q646" s="108"/>
      <c r="R646" s="108"/>
      <c r="S646" s="108"/>
      <c r="T646" s="108"/>
      <c r="U646" s="108"/>
      <c r="V646" s="108"/>
      <c r="W646" s="108"/>
      <c r="X646" s="108"/>
      <c r="Y646" s="108"/>
      <c r="Z646" s="108"/>
      <c r="AA646" s="108"/>
      <c r="AB646" s="108"/>
      <c r="AC646" s="108"/>
      <c r="AD646" s="108"/>
      <c r="AE646" s="108"/>
      <c r="AF646" s="108"/>
      <c r="AG646" s="108"/>
      <c r="AH646" s="108"/>
      <c r="AI646" s="108"/>
      <c r="AJ646" s="108"/>
      <c r="AK646" s="108"/>
      <c r="AL646" s="108"/>
      <c r="AM646" s="108"/>
      <c r="AN646" s="108"/>
      <c r="AO646" s="108"/>
      <c r="AP646" s="108"/>
      <c r="AQ646" s="108"/>
      <c r="AR646" s="108"/>
      <c r="AS646" s="108"/>
      <c r="AT646" s="108"/>
      <c r="AU646" s="108"/>
      <c r="AV646" s="108"/>
      <c r="AW646" s="108"/>
      <c r="AX646" s="108"/>
      <c r="AY646" s="108"/>
      <c r="AZ646" s="108"/>
      <c r="BA646" s="108"/>
      <c r="BB646" s="108"/>
    </row>
    <row r="647" spans="3:54" ht="12.75" customHeight="1" x14ac:dyDescent="0.25">
      <c r="C647" s="108"/>
      <c r="D647" s="108"/>
      <c r="E647" s="108"/>
      <c r="F647" s="108"/>
      <c r="G647" s="108"/>
      <c r="H647" s="108"/>
      <c r="I647" s="108"/>
      <c r="J647" s="108"/>
      <c r="K647" s="108"/>
      <c r="L647" s="108"/>
      <c r="M647" s="108"/>
      <c r="N647" s="108"/>
      <c r="O647" s="108"/>
      <c r="P647" s="108"/>
      <c r="Q647" s="108"/>
      <c r="R647" s="108"/>
      <c r="S647" s="108"/>
      <c r="T647" s="108"/>
      <c r="U647" s="108"/>
      <c r="V647" s="108"/>
      <c r="W647" s="108"/>
      <c r="X647" s="108"/>
      <c r="Y647" s="108"/>
      <c r="Z647" s="108"/>
      <c r="AA647" s="108"/>
      <c r="AB647" s="108"/>
      <c r="AC647" s="108"/>
      <c r="AD647" s="108"/>
      <c r="AE647" s="108"/>
      <c r="AF647" s="108"/>
      <c r="AG647" s="108"/>
      <c r="AH647" s="108"/>
      <c r="AI647" s="108"/>
      <c r="AJ647" s="108"/>
      <c r="AK647" s="108"/>
      <c r="AL647" s="108"/>
      <c r="AM647" s="108"/>
      <c r="AN647" s="108"/>
      <c r="AO647" s="108"/>
      <c r="AP647" s="108"/>
      <c r="AQ647" s="108"/>
      <c r="AR647" s="108"/>
      <c r="AS647" s="108"/>
      <c r="AT647" s="108"/>
      <c r="AU647" s="108"/>
      <c r="AV647" s="108"/>
      <c r="AW647" s="108"/>
      <c r="AX647" s="108"/>
      <c r="AY647" s="108"/>
      <c r="AZ647" s="108"/>
      <c r="BA647" s="108"/>
      <c r="BB647" s="108"/>
    </row>
    <row r="648" spans="3:54" ht="12.75" customHeight="1" x14ac:dyDescent="0.25">
      <c r="C648" s="108"/>
      <c r="D648" s="108"/>
      <c r="E648" s="108"/>
      <c r="F648" s="108"/>
      <c r="G648" s="108"/>
      <c r="H648" s="108"/>
      <c r="I648" s="108"/>
      <c r="J648" s="108"/>
      <c r="K648" s="108"/>
      <c r="L648" s="108"/>
      <c r="M648" s="108"/>
      <c r="N648" s="108"/>
      <c r="O648" s="108"/>
      <c r="P648" s="108"/>
      <c r="Q648" s="108"/>
      <c r="R648" s="108"/>
      <c r="S648" s="108"/>
      <c r="T648" s="108"/>
      <c r="U648" s="108"/>
      <c r="V648" s="108"/>
      <c r="W648" s="108"/>
      <c r="X648" s="108"/>
      <c r="Y648" s="108"/>
      <c r="Z648" s="108"/>
      <c r="AA648" s="108"/>
      <c r="AB648" s="108"/>
      <c r="AC648" s="108"/>
      <c r="AD648" s="108"/>
      <c r="AE648" s="108"/>
      <c r="AF648" s="108"/>
      <c r="AG648" s="108"/>
      <c r="AH648" s="108"/>
      <c r="AI648" s="108"/>
      <c r="AJ648" s="108"/>
      <c r="AK648" s="108"/>
      <c r="AL648" s="108"/>
      <c r="AM648" s="108"/>
      <c r="AN648" s="108"/>
      <c r="AO648" s="108"/>
      <c r="AP648" s="108"/>
      <c r="AQ648" s="108"/>
      <c r="AR648" s="108"/>
      <c r="AS648" s="108"/>
      <c r="AT648" s="108"/>
      <c r="AU648" s="108"/>
      <c r="AV648" s="108"/>
      <c r="AW648" s="108"/>
      <c r="AX648" s="108"/>
      <c r="AY648" s="108"/>
      <c r="AZ648" s="108"/>
      <c r="BA648" s="108"/>
      <c r="BB648" s="108"/>
    </row>
    <row r="649" spans="3:54" ht="12.75" customHeight="1" x14ac:dyDescent="0.25">
      <c r="C649" s="108"/>
      <c r="D649" s="108"/>
      <c r="E649" s="108"/>
      <c r="F649" s="108"/>
      <c r="G649" s="108"/>
      <c r="H649" s="108"/>
      <c r="I649" s="108"/>
      <c r="J649" s="108"/>
      <c r="K649" s="108"/>
      <c r="L649" s="108"/>
      <c r="M649" s="108"/>
      <c r="N649" s="108"/>
      <c r="O649" s="108"/>
      <c r="P649" s="108"/>
      <c r="Q649" s="108"/>
      <c r="R649" s="108"/>
      <c r="S649" s="108"/>
      <c r="T649" s="108"/>
      <c r="U649" s="108"/>
      <c r="V649" s="108"/>
      <c r="W649" s="108"/>
      <c r="X649" s="108"/>
      <c r="Y649" s="108"/>
      <c r="Z649" s="108"/>
      <c r="AA649" s="108"/>
      <c r="AB649" s="108"/>
      <c r="AC649" s="108"/>
      <c r="AD649" s="108"/>
      <c r="AE649" s="108"/>
      <c r="AF649" s="108"/>
      <c r="AG649" s="108"/>
      <c r="AH649" s="108"/>
      <c r="AI649" s="108"/>
      <c r="AJ649" s="108"/>
      <c r="AK649" s="108"/>
      <c r="AL649" s="108"/>
      <c r="AM649" s="108"/>
      <c r="AN649" s="108"/>
      <c r="AO649" s="108"/>
      <c r="AP649" s="108"/>
      <c r="AQ649" s="108"/>
      <c r="AR649" s="108"/>
      <c r="AS649" s="108"/>
      <c r="AT649" s="108"/>
      <c r="AU649" s="108"/>
      <c r="AV649" s="108"/>
      <c r="AW649" s="108"/>
      <c r="AX649" s="108"/>
      <c r="AY649" s="108"/>
      <c r="AZ649" s="108"/>
      <c r="BA649" s="108"/>
      <c r="BB649" s="108"/>
    </row>
    <row r="650" spans="3:54" ht="12.75" customHeight="1" x14ac:dyDescent="0.25">
      <c r="C650" s="108"/>
      <c r="D650" s="108"/>
      <c r="E650" s="108"/>
      <c r="F650" s="108"/>
      <c r="G650" s="108"/>
      <c r="H650" s="108"/>
      <c r="I650" s="108"/>
      <c r="J650" s="108"/>
      <c r="K650" s="108"/>
      <c r="L650" s="108"/>
      <c r="M650" s="108"/>
      <c r="N650" s="108"/>
      <c r="O650" s="108"/>
      <c r="P650" s="108"/>
      <c r="Q650" s="108"/>
      <c r="R650" s="108"/>
      <c r="S650" s="108"/>
      <c r="T650" s="108"/>
      <c r="U650" s="108"/>
      <c r="V650" s="108"/>
      <c r="W650" s="108"/>
      <c r="X650" s="108"/>
      <c r="Y650" s="108"/>
      <c r="Z650" s="108"/>
      <c r="AA650" s="108"/>
      <c r="AB650" s="108"/>
      <c r="AC650" s="108"/>
      <c r="AD650" s="108"/>
      <c r="AE650" s="108"/>
      <c r="AF650" s="108"/>
      <c r="AG650" s="108"/>
      <c r="AH650" s="108"/>
      <c r="AI650" s="108"/>
      <c r="AJ650" s="108"/>
      <c r="AK650" s="108"/>
      <c r="AL650" s="108"/>
      <c r="AM650" s="108"/>
      <c r="AN650" s="108"/>
      <c r="AO650" s="108"/>
      <c r="AP650" s="108"/>
      <c r="AQ650" s="108"/>
      <c r="AR650" s="108"/>
      <c r="AS650" s="108"/>
      <c r="AT650" s="108"/>
      <c r="AU650" s="108"/>
      <c r="AV650" s="108"/>
      <c r="AW650" s="108"/>
      <c r="AX650" s="108"/>
      <c r="AY650" s="108"/>
      <c r="AZ650" s="108"/>
      <c r="BA650" s="108"/>
      <c r="BB650" s="108"/>
    </row>
    <row r="651" spans="3:54" ht="12.75" customHeight="1" x14ac:dyDescent="0.25">
      <c r="C651" s="108"/>
      <c r="D651" s="108"/>
      <c r="E651" s="108"/>
      <c r="F651" s="108"/>
      <c r="G651" s="108"/>
      <c r="H651" s="108"/>
      <c r="I651" s="108"/>
      <c r="J651" s="108"/>
      <c r="K651" s="108"/>
      <c r="L651" s="108"/>
      <c r="M651" s="108"/>
      <c r="N651" s="108"/>
      <c r="O651" s="108"/>
      <c r="P651" s="108"/>
      <c r="Q651" s="108"/>
      <c r="R651" s="108"/>
      <c r="S651" s="108"/>
      <c r="T651" s="108"/>
      <c r="U651" s="108"/>
      <c r="V651" s="108"/>
      <c r="W651" s="108"/>
      <c r="X651" s="108"/>
      <c r="Y651" s="108"/>
      <c r="Z651" s="108"/>
      <c r="AA651" s="108"/>
      <c r="AB651" s="108"/>
      <c r="AC651" s="108"/>
      <c r="AD651" s="108"/>
      <c r="AE651" s="108"/>
      <c r="AF651" s="108"/>
      <c r="AG651" s="108"/>
      <c r="AH651" s="108"/>
      <c r="AI651" s="108"/>
      <c r="AJ651" s="108"/>
      <c r="AK651" s="108"/>
      <c r="AL651" s="108"/>
      <c r="AM651" s="108"/>
      <c r="AN651" s="108"/>
      <c r="AO651" s="108"/>
      <c r="AP651" s="108"/>
      <c r="AQ651" s="108"/>
      <c r="AR651" s="108"/>
      <c r="AS651" s="108"/>
      <c r="AT651" s="108"/>
      <c r="AU651" s="108"/>
      <c r="AV651" s="108"/>
      <c r="AW651" s="108"/>
      <c r="AX651" s="108"/>
      <c r="AY651" s="108"/>
      <c r="AZ651" s="108"/>
      <c r="BA651" s="108"/>
      <c r="BB651" s="108"/>
    </row>
    <row r="652" spans="3:54" ht="12.75" customHeight="1" x14ac:dyDescent="0.25">
      <c r="C652" s="108"/>
      <c r="D652" s="108"/>
      <c r="E652" s="108"/>
      <c r="F652" s="108"/>
      <c r="G652" s="108"/>
      <c r="H652" s="108"/>
      <c r="I652" s="108"/>
      <c r="J652" s="108"/>
      <c r="K652" s="108"/>
      <c r="L652" s="108"/>
      <c r="M652" s="108"/>
      <c r="N652" s="108"/>
      <c r="O652" s="108"/>
      <c r="P652" s="108"/>
      <c r="Q652" s="108"/>
      <c r="R652" s="108"/>
      <c r="S652" s="108"/>
      <c r="T652" s="108"/>
      <c r="U652" s="108"/>
      <c r="V652" s="108"/>
      <c r="W652" s="108"/>
      <c r="X652" s="108"/>
      <c r="Y652" s="108"/>
      <c r="Z652" s="108"/>
      <c r="AA652" s="108"/>
      <c r="AB652" s="108"/>
      <c r="AC652" s="108"/>
      <c r="AD652" s="108"/>
      <c r="AE652" s="108"/>
      <c r="AF652" s="108"/>
      <c r="AG652" s="108"/>
      <c r="AH652" s="108"/>
      <c r="AI652" s="108"/>
      <c r="AJ652" s="108"/>
      <c r="AK652" s="108"/>
      <c r="AL652" s="108"/>
      <c r="AM652" s="108"/>
      <c r="AN652" s="108"/>
      <c r="AO652" s="108"/>
      <c r="AP652" s="108"/>
      <c r="AQ652" s="108"/>
      <c r="AR652" s="108"/>
      <c r="AS652" s="108"/>
      <c r="AT652" s="108"/>
      <c r="AU652" s="108"/>
      <c r="AV652" s="108"/>
      <c r="AW652" s="108"/>
      <c r="AX652" s="108"/>
      <c r="AY652" s="108"/>
      <c r="AZ652" s="108"/>
      <c r="BA652" s="108"/>
      <c r="BB652" s="108"/>
    </row>
    <row r="653" spans="3:54" ht="12.75" customHeight="1" x14ac:dyDescent="0.25">
      <c r="C653" s="108"/>
      <c r="D653" s="108"/>
      <c r="E653" s="108"/>
      <c r="F653" s="108"/>
      <c r="G653" s="108"/>
      <c r="H653" s="108"/>
      <c r="I653" s="108"/>
      <c r="J653" s="108"/>
      <c r="K653" s="108"/>
      <c r="L653" s="108"/>
      <c r="M653" s="108"/>
      <c r="N653" s="108"/>
      <c r="O653" s="108"/>
      <c r="P653" s="108"/>
      <c r="Q653" s="108"/>
      <c r="R653" s="108"/>
      <c r="S653" s="108"/>
      <c r="T653" s="108"/>
      <c r="U653" s="108"/>
      <c r="V653" s="108"/>
      <c r="W653" s="108"/>
      <c r="X653" s="108"/>
      <c r="Y653" s="108"/>
      <c r="Z653" s="108"/>
      <c r="AA653" s="108"/>
      <c r="AB653" s="108"/>
      <c r="AC653" s="108"/>
      <c r="AD653" s="108"/>
      <c r="AE653" s="108"/>
      <c r="AF653" s="108"/>
      <c r="AG653" s="108"/>
      <c r="AH653" s="108"/>
      <c r="AI653" s="108"/>
      <c r="AJ653" s="108"/>
      <c r="AK653" s="108"/>
      <c r="AL653" s="108"/>
      <c r="AM653" s="108"/>
      <c r="AN653" s="108"/>
      <c r="AO653" s="108"/>
      <c r="AP653" s="108"/>
      <c r="AQ653" s="108"/>
      <c r="AR653" s="108"/>
      <c r="AS653" s="108"/>
      <c r="AT653" s="108"/>
      <c r="AU653" s="108"/>
      <c r="AV653" s="108"/>
      <c r="AW653" s="108"/>
      <c r="AX653" s="108"/>
      <c r="AY653" s="108"/>
      <c r="AZ653" s="108"/>
      <c r="BA653" s="108"/>
      <c r="BB653" s="108"/>
    </row>
    <row r="654" spans="3:54" ht="12.75" customHeight="1" x14ac:dyDescent="0.25">
      <c r="C654" s="108"/>
      <c r="D654" s="108"/>
      <c r="E654" s="108"/>
      <c r="F654" s="108"/>
      <c r="G654" s="108"/>
      <c r="H654" s="108"/>
      <c r="I654" s="108"/>
      <c r="J654" s="108"/>
      <c r="K654" s="108"/>
      <c r="L654" s="108"/>
      <c r="M654" s="108"/>
      <c r="N654" s="108"/>
      <c r="O654" s="108"/>
      <c r="P654" s="108"/>
      <c r="Q654" s="108"/>
      <c r="R654" s="108"/>
      <c r="S654" s="108"/>
      <c r="T654" s="108"/>
      <c r="U654" s="108"/>
      <c r="V654" s="108"/>
      <c r="W654" s="108"/>
      <c r="X654" s="108"/>
      <c r="Y654" s="108"/>
      <c r="Z654" s="108"/>
      <c r="AA654" s="108"/>
      <c r="AB654" s="108"/>
      <c r="AC654" s="108"/>
      <c r="AD654" s="108"/>
      <c r="AE654" s="108"/>
      <c r="AF654" s="108"/>
      <c r="AG654" s="108"/>
      <c r="AH654" s="108"/>
      <c r="AI654" s="108"/>
      <c r="AJ654" s="108"/>
      <c r="AK654" s="108"/>
      <c r="AL654" s="108"/>
      <c r="AM654" s="108"/>
      <c r="AN654" s="108"/>
      <c r="AO654" s="108"/>
      <c r="AP654" s="108"/>
      <c r="AQ654" s="108"/>
      <c r="AR654" s="108"/>
      <c r="AS654" s="108"/>
      <c r="AT654" s="108"/>
      <c r="AU654" s="108"/>
      <c r="AV654" s="108"/>
      <c r="AW654" s="108"/>
      <c r="AX654" s="108"/>
      <c r="AY654" s="108"/>
      <c r="AZ654" s="108"/>
      <c r="BA654" s="108"/>
      <c r="BB654" s="108"/>
    </row>
    <row r="655" spans="3:54" ht="12.75" customHeight="1" x14ac:dyDescent="0.25">
      <c r="C655" s="108"/>
      <c r="D655" s="108"/>
      <c r="E655" s="108"/>
      <c r="F655" s="108"/>
      <c r="G655" s="108"/>
      <c r="H655" s="108"/>
      <c r="I655" s="108"/>
      <c r="J655" s="108"/>
      <c r="K655" s="108"/>
      <c r="L655" s="108"/>
      <c r="M655" s="108"/>
      <c r="N655" s="108"/>
      <c r="O655" s="108"/>
      <c r="P655" s="108"/>
      <c r="Q655" s="108"/>
      <c r="R655" s="108"/>
      <c r="S655" s="108"/>
      <c r="T655" s="108"/>
      <c r="U655" s="108"/>
      <c r="V655" s="108"/>
      <c r="W655" s="108"/>
      <c r="X655" s="108"/>
      <c r="Y655" s="108"/>
      <c r="Z655" s="108"/>
      <c r="AA655" s="108"/>
      <c r="AB655" s="108"/>
      <c r="AC655" s="108"/>
      <c r="AD655" s="108"/>
      <c r="AE655" s="108"/>
      <c r="AF655" s="108"/>
      <c r="AG655" s="108"/>
      <c r="AH655" s="108"/>
      <c r="AI655" s="108"/>
      <c r="AJ655" s="108"/>
      <c r="AK655" s="108"/>
      <c r="AL655" s="108"/>
      <c r="AM655" s="108"/>
      <c r="AN655" s="108"/>
      <c r="AO655" s="108"/>
      <c r="AP655" s="108"/>
      <c r="AQ655" s="108"/>
      <c r="AR655" s="108"/>
      <c r="AS655" s="108"/>
      <c r="AT655" s="108"/>
      <c r="AU655" s="108"/>
      <c r="AV655" s="108"/>
      <c r="AW655" s="108"/>
      <c r="AX655" s="108"/>
      <c r="AY655" s="108"/>
      <c r="AZ655" s="108"/>
      <c r="BA655" s="108"/>
      <c r="BB655" s="108"/>
    </row>
    <row r="656" spans="3:54" ht="12.75" customHeight="1" x14ac:dyDescent="0.25">
      <c r="C656" s="108"/>
      <c r="D656" s="108"/>
      <c r="E656" s="108"/>
      <c r="F656" s="108"/>
      <c r="G656" s="108"/>
      <c r="H656" s="108"/>
      <c r="I656" s="108"/>
      <c r="J656" s="108"/>
      <c r="K656" s="108"/>
      <c r="L656" s="108"/>
      <c r="M656" s="108"/>
      <c r="N656" s="108"/>
      <c r="O656" s="108"/>
      <c r="P656" s="108"/>
      <c r="Q656" s="108"/>
      <c r="R656" s="108"/>
      <c r="S656" s="108"/>
      <c r="T656" s="108"/>
      <c r="U656" s="108"/>
      <c r="V656" s="108"/>
      <c r="W656" s="108"/>
      <c r="X656" s="108"/>
      <c r="Y656" s="108"/>
      <c r="Z656" s="108"/>
      <c r="AA656" s="108"/>
      <c r="AB656" s="108"/>
      <c r="AC656" s="108"/>
      <c r="AD656" s="108"/>
      <c r="AE656" s="108"/>
      <c r="AF656" s="108"/>
      <c r="AG656" s="108"/>
      <c r="AH656" s="108"/>
      <c r="AI656" s="108"/>
      <c r="AJ656" s="108"/>
      <c r="AK656" s="108"/>
      <c r="AL656" s="108"/>
      <c r="AM656" s="108"/>
      <c r="AN656" s="108"/>
      <c r="AO656" s="108"/>
      <c r="AP656" s="108"/>
      <c r="AQ656" s="108"/>
      <c r="AR656" s="108"/>
      <c r="AS656" s="108"/>
      <c r="AT656" s="108"/>
      <c r="AU656" s="108"/>
      <c r="AV656" s="108"/>
      <c r="AW656" s="108"/>
      <c r="AX656" s="108"/>
      <c r="AY656" s="108"/>
      <c r="AZ656" s="108"/>
      <c r="BA656" s="108"/>
      <c r="BB656" s="108"/>
    </row>
    <row r="657" spans="3:54" ht="12.75" customHeight="1" x14ac:dyDescent="0.25">
      <c r="C657" s="108"/>
      <c r="D657" s="108"/>
      <c r="E657" s="108"/>
      <c r="F657" s="108"/>
      <c r="G657" s="108"/>
      <c r="H657" s="108"/>
      <c r="I657" s="108"/>
      <c r="J657" s="108"/>
      <c r="K657" s="108"/>
      <c r="L657" s="108"/>
      <c r="M657" s="108"/>
      <c r="N657" s="108"/>
      <c r="O657" s="108"/>
      <c r="P657" s="108"/>
      <c r="Q657" s="108"/>
      <c r="R657" s="108"/>
      <c r="S657" s="108"/>
      <c r="T657" s="108"/>
      <c r="U657" s="108"/>
      <c r="V657" s="108"/>
      <c r="W657" s="108"/>
      <c r="X657" s="108"/>
      <c r="Y657" s="108"/>
      <c r="Z657" s="108"/>
      <c r="AA657" s="108"/>
      <c r="AB657" s="108"/>
      <c r="AC657" s="108"/>
      <c r="AD657" s="108"/>
      <c r="AE657" s="108"/>
      <c r="AF657" s="108"/>
      <c r="AG657" s="108"/>
      <c r="AH657" s="108"/>
      <c r="AI657" s="108"/>
      <c r="AJ657" s="108"/>
      <c r="AK657" s="108"/>
      <c r="AL657" s="108"/>
      <c r="AM657" s="108"/>
      <c r="AN657" s="108"/>
      <c r="AO657" s="108"/>
      <c r="AP657" s="108"/>
      <c r="AQ657" s="108"/>
      <c r="AR657" s="108"/>
      <c r="AS657" s="108"/>
      <c r="AT657" s="108"/>
      <c r="AU657" s="108"/>
      <c r="AV657" s="108"/>
      <c r="AW657" s="108"/>
      <c r="AX657" s="108"/>
      <c r="AY657" s="108"/>
      <c r="AZ657" s="108"/>
      <c r="BA657" s="108"/>
      <c r="BB657" s="108"/>
    </row>
    <row r="658" spans="3:54" ht="12.75" customHeight="1" x14ac:dyDescent="0.25">
      <c r="C658" s="108"/>
      <c r="D658" s="108"/>
      <c r="E658" s="108"/>
      <c r="F658" s="108"/>
      <c r="G658" s="108"/>
      <c r="H658" s="108"/>
      <c r="I658" s="108"/>
      <c r="J658" s="108"/>
      <c r="K658" s="108"/>
      <c r="L658" s="108"/>
      <c r="M658" s="108"/>
      <c r="N658" s="108"/>
      <c r="O658" s="108"/>
      <c r="P658" s="108"/>
      <c r="Q658" s="108"/>
      <c r="R658" s="108"/>
      <c r="S658" s="108"/>
      <c r="T658" s="108"/>
      <c r="U658" s="108"/>
      <c r="V658" s="108"/>
      <c r="W658" s="108"/>
      <c r="X658" s="108"/>
      <c r="Y658" s="108"/>
      <c r="Z658" s="108"/>
      <c r="AA658" s="108"/>
      <c r="AB658" s="108"/>
      <c r="AC658" s="108"/>
      <c r="AD658" s="108"/>
      <c r="AE658" s="108"/>
      <c r="AF658" s="108"/>
      <c r="AG658" s="108"/>
      <c r="AH658" s="108"/>
      <c r="AI658" s="108"/>
      <c r="AJ658" s="108"/>
      <c r="AK658" s="108"/>
      <c r="AL658" s="108"/>
      <c r="AM658" s="108"/>
      <c r="AN658" s="108"/>
      <c r="AO658" s="108"/>
      <c r="AP658" s="108"/>
      <c r="AQ658" s="108"/>
      <c r="AR658" s="108"/>
      <c r="AS658" s="108"/>
      <c r="AT658" s="108"/>
      <c r="AU658" s="108"/>
      <c r="AV658" s="108"/>
      <c r="AW658" s="108"/>
      <c r="AX658" s="108"/>
      <c r="AY658" s="108"/>
      <c r="AZ658" s="108"/>
      <c r="BA658" s="108"/>
      <c r="BB658" s="108"/>
    </row>
    <row r="659" spans="3:54" ht="12.75" customHeight="1" x14ac:dyDescent="0.25">
      <c r="C659" s="108"/>
      <c r="D659" s="108"/>
      <c r="E659" s="108"/>
      <c r="F659" s="108"/>
      <c r="G659" s="108"/>
      <c r="H659" s="108"/>
      <c r="I659" s="108"/>
      <c r="J659" s="108"/>
      <c r="K659" s="108"/>
      <c r="L659" s="108"/>
      <c r="M659" s="108"/>
      <c r="N659" s="108"/>
      <c r="O659" s="108"/>
      <c r="P659" s="108"/>
      <c r="Q659" s="108"/>
      <c r="R659" s="108"/>
      <c r="S659" s="108"/>
      <c r="T659" s="108"/>
      <c r="U659" s="108"/>
      <c r="V659" s="108"/>
      <c r="W659" s="108"/>
      <c r="X659" s="108"/>
      <c r="Y659" s="108"/>
      <c r="Z659" s="108"/>
      <c r="AA659" s="108"/>
      <c r="AB659" s="108"/>
      <c r="AC659" s="108"/>
      <c r="AD659" s="108"/>
      <c r="AE659" s="108"/>
      <c r="AF659" s="108"/>
      <c r="AG659" s="108"/>
      <c r="AH659" s="108"/>
      <c r="AI659" s="108"/>
      <c r="AJ659" s="108"/>
      <c r="AK659" s="108"/>
      <c r="AL659" s="108"/>
      <c r="AM659" s="108"/>
      <c r="AN659" s="108"/>
      <c r="AO659" s="108"/>
      <c r="AP659" s="108"/>
      <c r="AQ659" s="108"/>
      <c r="AR659" s="108"/>
      <c r="AS659" s="108"/>
      <c r="AT659" s="108"/>
      <c r="AU659" s="108"/>
      <c r="AV659" s="108"/>
      <c r="AW659" s="108"/>
      <c r="AX659" s="108"/>
      <c r="AY659" s="108"/>
      <c r="AZ659" s="108"/>
      <c r="BA659" s="108"/>
      <c r="BB659" s="108"/>
    </row>
    <row r="660" spans="3:54" ht="12.75" customHeight="1" x14ac:dyDescent="0.25">
      <c r="C660" s="108"/>
      <c r="D660" s="108"/>
      <c r="E660" s="108"/>
      <c r="F660" s="108"/>
      <c r="G660" s="108"/>
      <c r="H660" s="108"/>
      <c r="I660" s="108"/>
      <c r="J660" s="108"/>
      <c r="K660" s="108"/>
      <c r="L660" s="108"/>
      <c r="M660" s="108"/>
      <c r="N660" s="108"/>
      <c r="O660" s="108"/>
      <c r="P660" s="108"/>
      <c r="Q660" s="108"/>
      <c r="R660" s="108"/>
      <c r="S660" s="108"/>
      <c r="T660" s="108"/>
      <c r="U660" s="108"/>
      <c r="V660" s="108"/>
      <c r="W660" s="108"/>
      <c r="X660" s="108"/>
      <c r="Y660" s="108"/>
      <c r="Z660" s="108"/>
      <c r="AA660" s="108"/>
      <c r="AB660" s="108"/>
      <c r="AC660" s="108"/>
      <c r="AD660" s="108"/>
      <c r="AE660" s="108"/>
      <c r="AF660" s="108"/>
      <c r="AG660" s="108"/>
      <c r="AH660" s="108"/>
      <c r="AI660" s="108"/>
      <c r="AJ660" s="108"/>
      <c r="AK660" s="108"/>
      <c r="AL660" s="108"/>
      <c r="AM660" s="108"/>
      <c r="AN660" s="108"/>
      <c r="AO660" s="108"/>
      <c r="AP660" s="108"/>
      <c r="AQ660" s="108"/>
      <c r="AR660" s="108"/>
      <c r="AS660" s="108"/>
      <c r="AT660" s="108"/>
      <c r="AU660" s="108"/>
      <c r="AV660" s="108"/>
      <c r="AW660" s="108"/>
      <c r="AX660" s="108"/>
      <c r="AY660" s="108"/>
      <c r="AZ660" s="108"/>
      <c r="BA660" s="108"/>
      <c r="BB660" s="108"/>
    </row>
    <row r="661" spans="3:54" ht="12.75" customHeight="1" x14ac:dyDescent="0.25">
      <c r="C661" s="108"/>
      <c r="D661" s="108"/>
      <c r="E661" s="108"/>
      <c r="F661" s="108"/>
      <c r="G661" s="108"/>
      <c r="H661" s="108"/>
      <c r="I661" s="108"/>
      <c r="J661" s="108"/>
      <c r="K661" s="108"/>
      <c r="L661" s="108"/>
      <c r="M661" s="108"/>
      <c r="N661" s="108"/>
      <c r="O661" s="108"/>
      <c r="P661" s="108"/>
      <c r="Q661" s="108"/>
      <c r="R661" s="108"/>
      <c r="S661" s="108"/>
      <c r="T661" s="108"/>
      <c r="U661" s="108"/>
      <c r="V661" s="108"/>
      <c r="W661" s="108"/>
      <c r="X661" s="108"/>
      <c r="Y661" s="108"/>
      <c r="Z661" s="108"/>
      <c r="AA661" s="108"/>
      <c r="AB661" s="108"/>
      <c r="AC661" s="108"/>
      <c r="AD661" s="108"/>
      <c r="AE661" s="108"/>
      <c r="AF661" s="108"/>
      <c r="AG661" s="108"/>
      <c r="AH661" s="108"/>
      <c r="AI661" s="108"/>
      <c r="AJ661" s="108"/>
      <c r="AK661" s="108"/>
      <c r="AL661" s="108"/>
      <c r="AM661" s="108"/>
      <c r="AN661" s="108"/>
      <c r="AO661" s="108"/>
      <c r="AP661" s="108"/>
      <c r="AQ661" s="108"/>
      <c r="AR661" s="108"/>
      <c r="AS661" s="108"/>
      <c r="AT661" s="108"/>
      <c r="AU661" s="108"/>
      <c r="AV661" s="108"/>
      <c r="AW661" s="108"/>
      <c r="AX661" s="108"/>
      <c r="AY661" s="108"/>
      <c r="AZ661" s="108"/>
      <c r="BA661" s="108"/>
      <c r="BB661" s="108"/>
    </row>
    <row r="662" spans="3:54" ht="12.75" customHeight="1" x14ac:dyDescent="0.25">
      <c r="C662" s="108"/>
      <c r="D662" s="108"/>
      <c r="E662" s="108"/>
      <c r="F662" s="108"/>
      <c r="G662" s="108"/>
      <c r="H662" s="108"/>
      <c r="I662" s="108"/>
      <c r="J662" s="108"/>
      <c r="K662" s="108"/>
      <c r="L662" s="108"/>
      <c r="M662" s="108"/>
      <c r="N662" s="108"/>
      <c r="O662" s="108"/>
      <c r="P662" s="108"/>
      <c r="Q662" s="108"/>
      <c r="R662" s="108"/>
      <c r="S662" s="108"/>
      <c r="T662" s="108"/>
      <c r="U662" s="108"/>
      <c r="V662" s="108"/>
      <c r="W662" s="108"/>
      <c r="X662" s="108"/>
      <c r="Y662" s="108"/>
      <c r="Z662" s="108"/>
      <c r="AA662" s="108"/>
      <c r="AB662" s="108"/>
      <c r="AC662" s="108"/>
      <c r="AD662" s="108"/>
      <c r="AE662" s="108"/>
      <c r="AF662" s="108"/>
      <c r="AG662" s="108"/>
      <c r="AH662" s="108"/>
      <c r="AI662" s="108"/>
      <c r="AJ662" s="108"/>
      <c r="AK662" s="108"/>
      <c r="AL662" s="108"/>
      <c r="AM662" s="108"/>
      <c r="AN662" s="108"/>
      <c r="AO662" s="108"/>
      <c r="AP662" s="108"/>
      <c r="AQ662" s="108"/>
      <c r="AR662" s="108"/>
      <c r="AS662" s="108"/>
      <c r="AT662" s="108"/>
      <c r="AU662" s="108"/>
      <c r="AV662" s="108"/>
      <c r="AW662" s="108"/>
      <c r="AX662" s="108"/>
      <c r="AY662" s="108"/>
      <c r="AZ662" s="108"/>
      <c r="BA662" s="108"/>
      <c r="BB662" s="108"/>
    </row>
    <row r="663" spans="3:54" ht="12.75" customHeight="1" x14ac:dyDescent="0.25">
      <c r="C663" s="108"/>
      <c r="D663" s="108"/>
      <c r="E663" s="108"/>
      <c r="F663" s="108"/>
      <c r="G663" s="108"/>
      <c r="H663" s="108"/>
      <c r="I663" s="108"/>
      <c r="J663" s="108"/>
      <c r="K663" s="108"/>
      <c r="L663" s="108"/>
      <c r="M663" s="108"/>
      <c r="N663" s="108"/>
      <c r="O663" s="108"/>
      <c r="P663" s="108"/>
      <c r="Q663" s="108"/>
      <c r="R663" s="108"/>
      <c r="S663" s="108"/>
      <c r="T663" s="108"/>
      <c r="U663" s="108"/>
      <c r="V663" s="108"/>
      <c r="W663" s="108"/>
      <c r="X663" s="108"/>
      <c r="Y663" s="108"/>
      <c r="Z663" s="108"/>
      <c r="AA663" s="108"/>
      <c r="AB663" s="108"/>
      <c r="AC663" s="108"/>
      <c r="AD663" s="108"/>
      <c r="AE663" s="108"/>
      <c r="AF663" s="108"/>
      <c r="AG663" s="108"/>
      <c r="AH663" s="108"/>
      <c r="AI663" s="108"/>
      <c r="AJ663" s="108"/>
      <c r="AK663" s="108"/>
      <c r="AL663" s="108"/>
      <c r="AM663" s="108"/>
      <c r="AN663" s="108"/>
      <c r="AO663" s="108"/>
      <c r="AP663" s="108"/>
      <c r="AQ663" s="108"/>
      <c r="AR663" s="108"/>
      <c r="AS663" s="108"/>
      <c r="AT663" s="108"/>
      <c r="AU663" s="108"/>
      <c r="AV663" s="108"/>
      <c r="AW663" s="108"/>
      <c r="AX663" s="108"/>
      <c r="AY663" s="108"/>
      <c r="AZ663" s="108"/>
      <c r="BA663" s="108"/>
      <c r="BB663" s="108"/>
    </row>
    <row r="664" spans="3:54" ht="12.75" customHeight="1" x14ac:dyDescent="0.25">
      <c r="C664" s="108"/>
      <c r="D664" s="108"/>
      <c r="E664" s="108"/>
      <c r="F664" s="108"/>
      <c r="G664" s="108"/>
      <c r="H664" s="108"/>
      <c r="I664" s="108"/>
      <c r="J664" s="108"/>
      <c r="K664" s="108"/>
      <c r="L664" s="108"/>
      <c r="M664" s="108"/>
      <c r="N664" s="108"/>
      <c r="O664" s="108"/>
      <c r="P664" s="108"/>
      <c r="Q664" s="108"/>
      <c r="R664" s="108"/>
      <c r="S664" s="108"/>
      <c r="T664" s="108"/>
      <c r="U664" s="108"/>
      <c r="V664" s="108"/>
      <c r="W664" s="108"/>
      <c r="X664" s="108"/>
      <c r="Y664" s="108"/>
      <c r="Z664" s="108"/>
      <c r="AA664" s="108"/>
      <c r="AB664" s="108"/>
      <c r="AC664" s="108"/>
      <c r="AD664" s="108"/>
      <c r="AE664" s="108"/>
      <c r="AF664" s="108"/>
      <c r="AG664" s="108"/>
      <c r="AH664" s="108"/>
      <c r="AI664" s="108"/>
      <c r="AJ664" s="108"/>
      <c r="AK664" s="108"/>
      <c r="AL664" s="108"/>
      <c r="AM664" s="108"/>
      <c r="AN664" s="108"/>
      <c r="AO664" s="108"/>
      <c r="AP664" s="108"/>
      <c r="AQ664" s="108"/>
      <c r="AR664" s="108"/>
      <c r="AS664" s="108"/>
      <c r="AT664" s="108"/>
      <c r="AU664" s="108"/>
      <c r="AV664" s="108"/>
      <c r="AW664" s="108"/>
      <c r="AX664" s="108"/>
      <c r="AY664" s="108"/>
      <c r="AZ664" s="108"/>
      <c r="BA664" s="108"/>
      <c r="BB664" s="108"/>
    </row>
    <row r="665" spans="3:54" ht="12.75" customHeight="1" x14ac:dyDescent="0.25">
      <c r="C665" s="108"/>
      <c r="D665" s="108"/>
      <c r="E665" s="108"/>
      <c r="F665" s="108"/>
      <c r="G665" s="108"/>
      <c r="H665" s="108"/>
      <c r="I665" s="108"/>
      <c r="J665" s="108"/>
      <c r="K665" s="108"/>
      <c r="L665" s="108"/>
      <c r="M665" s="108"/>
      <c r="N665" s="108"/>
      <c r="O665" s="108"/>
      <c r="P665" s="108"/>
      <c r="Q665" s="108"/>
      <c r="R665" s="108"/>
      <c r="S665" s="108"/>
      <c r="T665" s="108"/>
      <c r="U665" s="108"/>
      <c r="V665" s="108"/>
      <c r="W665" s="108"/>
      <c r="X665" s="108"/>
      <c r="Y665" s="108"/>
      <c r="Z665" s="108"/>
      <c r="AA665" s="108"/>
      <c r="AB665" s="108"/>
      <c r="AC665" s="108"/>
      <c r="AD665" s="108"/>
      <c r="AE665" s="108"/>
      <c r="AF665" s="108"/>
      <c r="AG665" s="108"/>
      <c r="AH665" s="108"/>
      <c r="AI665" s="108"/>
      <c r="AJ665" s="108"/>
      <c r="AK665" s="108"/>
      <c r="AL665" s="108"/>
      <c r="AM665" s="108"/>
      <c r="AN665" s="108"/>
      <c r="AO665" s="108"/>
      <c r="AP665" s="108"/>
      <c r="AQ665" s="108"/>
      <c r="AR665" s="108"/>
      <c r="AS665" s="108"/>
      <c r="AT665" s="108"/>
      <c r="AU665" s="108"/>
      <c r="AV665" s="108"/>
      <c r="AW665" s="108"/>
      <c r="AX665" s="108"/>
      <c r="AY665" s="108"/>
      <c r="AZ665" s="108"/>
      <c r="BA665" s="108"/>
      <c r="BB665" s="108"/>
    </row>
    <row r="666" spans="3:54" ht="12.75" customHeight="1" x14ac:dyDescent="0.25">
      <c r="C666" s="108"/>
      <c r="D666" s="108"/>
      <c r="E666" s="108"/>
      <c r="F666" s="108"/>
      <c r="G666" s="108"/>
      <c r="H666" s="108"/>
      <c r="I666" s="108"/>
      <c r="J666" s="108"/>
      <c r="K666" s="108"/>
      <c r="L666" s="108"/>
      <c r="M666" s="108"/>
      <c r="N666" s="108"/>
      <c r="O666" s="108"/>
      <c r="P666" s="108"/>
      <c r="Q666" s="108"/>
      <c r="R666" s="108"/>
      <c r="S666" s="108"/>
      <c r="T666" s="108"/>
      <c r="U666" s="108"/>
      <c r="V666" s="108"/>
      <c r="W666" s="108"/>
      <c r="X666" s="108"/>
      <c r="Y666" s="108"/>
      <c r="Z666" s="108"/>
      <c r="AA666" s="108"/>
      <c r="AB666" s="108"/>
      <c r="AC666" s="108"/>
      <c r="AD666" s="108"/>
      <c r="AE666" s="108"/>
      <c r="AF666" s="108"/>
      <c r="AG666" s="108"/>
      <c r="AH666" s="108"/>
      <c r="AI666" s="108"/>
      <c r="AJ666" s="108"/>
      <c r="AK666" s="108"/>
      <c r="AL666" s="108"/>
      <c r="AM666" s="108"/>
      <c r="AN666" s="108"/>
      <c r="AO666" s="108"/>
      <c r="AP666" s="108"/>
      <c r="AQ666" s="108"/>
      <c r="AR666" s="108"/>
      <c r="AS666" s="108"/>
      <c r="AT666" s="108"/>
      <c r="AU666" s="108"/>
      <c r="AV666" s="108"/>
      <c r="AW666" s="108"/>
      <c r="AX666" s="108"/>
      <c r="AY666" s="108"/>
      <c r="AZ666" s="108"/>
      <c r="BA666" s="108"/>
      <c r="BB666" s="108"/>
    </row>
    <row r="667" spans="3:54" ht="12.75" customHeight="1" x14ac:dyDescent="0.25">
      <c r="C667" s="108"/>
      <c r="D667" s="108"/>
      <c r="E667" s="108"/>
      <c r="F667" s="108"/>
      <c r="G667" s="108"/>
      <c r="H667" s="108"/>
      <c r="I667" s="108"/>
      <c r="J667" s="108"/>
      <c r="K667" s="108"/>
      <c r="L667" s="108"/>
      <c r="M667" s="108"/>
      <c r="N667" s="108"/>
      <c r="O667" s="108"/>
      <c r="P667" s="108"/>
      <c r="Q667" s="108"/>
      <c r="R667" s="108"/>
      <c r="S667" s="108"/>
      <c r="T667" s="108"/>
      <c r="U667" s="108"/>
      <c r="V667" s="108"/>
      <c r="W667" s="108"/>
      <c r="X667" s="108"/>
      <c r="Y667" s="108"/>
      <c r="Z667" s="108"/>
      <c r="AA667" s="108"/>
      <c r="AB667" s="108"/>
      <c r="AC667" s="108"/>
      <c r="AD667" s="108"/>
      <c r="AE667" s="108"/>
      <c r="AF667" s="108"/>
      <c r="AG667" s="108"/>
      <c r="AH667" s="108"/>
      <c r="AI667" s="108"/>
      <c r="AJ667" s="108"/>
      <c r="AK667" s="108"/>
      <c r="AL667" s="108"/>
      <c r="AM667" s="108"/>
      <c r="AN667" s="108"/>
      <c r="AO667" s="108"/>
      <c r="AP667" s="108"/>
      <c r="AQ667" s="108"/>
      <c r="AR667" s="108"/>
      <c r="AS667" s="108"/>
      <c r="AT667" s="108"/>
      <c r="AU667" s="108"/>
      <c r="AV667" s="108"/>
      <c r="AW667" s="108"/>
      <c r="AX667" s="108"/>
      <c r="AY667" s="108"/>
      <c r="AZ667" s="108"/>
      <c r="BA667" s="108"/>
      <c r="BB667" s="108"/>
    </row>
    <row r="668" spans="3:54" ht="12.75" customHeight="1" x14ac:dyDescent="0.25">
      <c r="C668" s="108"/>
      <c r="D668" s="108"/>
      <c r="E668" s="108"/>
      <c r="F668" s="108"/>
      <c r="G668" s="108"/>
      <c r="H668" s="108"/>
      <c r="I668" s="108"/>
      <c r="J668" s="108"/>
      <c r="K668" s="108"/>
      <c r="L668" s="108"/>
      <c r="M668" s="108"/>
      <c r="N668" s="108"/>
      <c r="O668" s="108"/>
      <c r="P668" s="108"/>
      <c r="Q668" s="108"/>
      <c r="R668" s="108"/>
      <c r="S668" s="108"/>
      <c r="T668" s="108"/>
      <c r="U668" s="108"/>
      <c r="V668" s="108"/>
      <c r="W668" s="108"/>
      <c r="X668" s="108"/>
      <c r="Y668" s="108"/>
      <c r="Z668" s="108"/>
      <c r="AA668" s="108"/>
      <c r="AB668" s="108"/>
      <c r="AC668" s="108"/>
      <c r="AD668" s="108"/>
      <c r="AE668" s="108"/>
      <c r="AF668" s="108"/>
      <c r="AG668" s="108"/>
      <c r="AH668" s="108"/>
      <c r="AI668" s="108"/>
      <c r="AJ668" s="108"/>
      <c r="AK668" s="108"/>
      <c r="AL668" s="108"/>
      <c r="AM668" s="108"/>
      <c r="AN668" s="108"/>
      <c r="AO668" s="108"/>
      <c r="AP668" s="108"/>
      <c r="AQ668" s="108"/>
      <c r="AR668" s="108"/>
      <c r="AS668" s="108"/>
      <c r="AT668" s="108"/>
      <c r="AU668" s="108"/>
      <c r="AV668" s="108"/>
      <c r="AW668" s="108"/>
      <c r="AX668" s="108"/>
      <c r="AY668" s="108"/>
      <c r="AZ668" s="108"/>
      <c r="BA668" s="108"/>
      <c r="BB668" s="108"/>
    </row>
    <row r="669" spans="3:54" ht="12.75" customHeight="1" x14ac:dyDescent="0.25">
      <c r="C669" s="108"/>
      <c r="D669" s="108"/>
      <c r="E669" s="108"/>
      <c r="F669" s="108"/>
      <c r="G669" s="108"/>
      <c r="H669" s="108"/>
      <c r="I669" s="108"/>
      <c r="J669" s="108"/>
      <c r="K669" s="108"/>
      <c r="L669" s="108"/>
      <c r="M669" s="108"/>
      <c r="N669" s="108"/>
      <c r="O669" s="108"/>
      <c r="P669" s="108"/>
      <c r="Q669" s="108"/>
      <c r="R669" s="108"/>
      <c r="S669" s="108"/>
      <c r="T669" s="108"/>
      <c r="U669" s="108"/>
      <c r="V669" s="108"/>
      <c r="W669" s="108"/>
      <c r="X669" s="108"/>
      <c r="Y669" s="108"/>
      <c r="Z669" s="108"/>
      <c r="AA669" s="108"/>
      <c r="AB669" s="108"/>
      <c r="AC669" s="108"/>
      <c r="AD669" s="108"/>
      <c r="AE669" s="108"/>
      <c r="AF669" s="108"/>
      <c r="AG669" s="108"/>
      <c r="AH669" s="108"/>
      <c r="AI669" s="108"/>
      <c r="AJ669" s="108"/>
      <c r="AK669" s="108"/>
      <c r="AL669" s="108"/>
      <c r="AM669" s="108"/>
      <c r="AN669" s="108"/>
      <c r="AO669" s="108"/>
      <c r="AP669" s="108"/>
      <c r="AQ669" s="108"/>
      <c r="AR669" s="108"/>
      <c r="AS669" s="108"/>
      <c r="AT669" s="108"/>
      <c r="AU669" s="108"/>
      <c r="AV669" s="108"/>
      <c r="AW669" s="108"/>
      <c r="AX669" s="108"/>
      <c r="AY669" s="108"/>
      <c r="AZ669" s="108"/>
      <c r="BA669" s="108"/>
      <c r="BB669" s="108"/>
    </row>
    <row r="670" spans="3:54" ht="12.75" customHeight="1" x14ac:dyDescent="0.25">
      <c r="C670" s="108"/>
      <c r="D670" s="108"/>
      <c r="E670" s="108"/>
      <c r="F670" s="108"/>
      <c r="G670" s="108"/>
      <c r="H670" s="108"/>
      <c r="I670" s="108"/>
      <c r="J670" s="108"/>
      <c r="K670" s="108"/>
      <c r="L670" s="108"/>
      <c r="M670" s="108"/>
      <c r="N670" s="108"/>
      <c r="O670" s="108"/>
      <c r="P670" s="108"/>
      <c r="Q670" s="108"/>
      <c r="R670" s="108"/>
      <c r="S670" s="108"/>
      <c r="T670" s="108"/>
      <c r="U670" s="108"/>
      <c r="V670" s="108"/>
      <c r="W670" s="108"/>
      <c r="X670" s="108"/>
      <c r="Y670" s="108"/>
      <c r="Z670" s="108"/>
      <c r="AA670" s="108"/>
      <c r="AB670" s="108"/>
      <c r="AC670" s="108"/>
      <c r="AD670" s="108"/>
      <c r="AE670" s="108"/>
      <c r="AF670" s="108"/>
      <c r="AG670" s="108"/>
      <c r="AH670" s="108"/>
      <c r="AI670" s="108"/>
      <c r="AJ670" s="108"/>
      <c r="AK670" s="108"/>
      <c r="AL670" s="108"/>
      <c r="AM670" s="108"/>
      <c r="AN670" s="108"/>
      <c r="AO670" s="108"/>
      <c r="AP670" s="108"/>
      <c r="AQ670" s="108"/>
      <c r="AR670" s="108"/>
      <c r="AS670" s="108"/>
      <c r="AT670" s="108"/>
      <c r="AU670" s="108"/>
      <c r="AV670" s="108"/>
      <c r="AW670" s="108"/>
      <c r="AX670" s="108"/>
      <c r="AY670" s="108"/>
      <c r="AZ670" s="108"/>
      <c r="BA670" s="108"/>
      <c r="BB670" s="108"/>
    </row>
    <row r="671" spans="3:54" ht="12.75" customHeight="1" x14ac:dyDescent="0.25">
      <c r="C671" s="108"/>
      <c r="D671" s="108"/>
      <c r="E671" s="108"/>
      <c r="F671" s="108"/>
      <c r="G671" s="108"/>
      <c r="H671" s="108"/>
      <c r="I671" s="108"/>
      <c r="J671" s="108"/>
      <c r="K671" s="108"/>
      <c r="L671" s="108"/>
      <c r="M671" s="108"/>
      <c r="N671" s="108"/>
      <c r="O671" s="108"/>
      <c r="P671" s="108"/>
      <c r="Q671" s="108"/>
      <c r="R671" s="108"/>
      <c r="S671" s="108"/>
      <c r="T671" s="108"/>
      <c r="U671" s="108"/>
      <c r="V671" s="108"/>
      <c r="W671" s="108"/>
      <c r="X671" s="108"/>
      <c r="Y671" s="108"/>
      <c r="Z671" s="108"/>
      <c r="AA671" s="108"/>
      <c r="AB671" s="108"/>
      <c r="AC671" s="108"/>
      <c r="AD671" s="108"/>
      <c r="AE671" s="108"/>
      <c r="AF671" s="108"/>
      <c r="AG671" s="108"/>
      <c r="AH671" s="108"/>
      <c r="AI671" s="108"/>
      <c r="AJ671" s="108"/>
      <c r="AK671" s="108"/>
      <c r="AL671" s="108"/>
      <c r="AM671" s="108"/>
      <c r="AN671" s="108"/>
      <c r="AO671" s="108"/>
      <c r="AP671" s="108"/>
      <c r="AQ671" s="108"/>
      <c r="AR671" s="108"/>
      <c r="AS671" s="108"/>
      <c r="AT671" s="108"/>
      <c r="AU671" s="108"/>
      <c r="AV671" s="108"/>
      <c r="AW671" s="108"/>
      <c r="AX671" s="108"/>
      <c r="AY671" s="108"/>
      <c r="AZ671" s="108"/>
      <c r="BA671" s="108"/>
      <c r="BB671" s="108"/>
    </row>
    <row r="672" spans="3:54" ht="12.75" customHeight="1" x14ac:dyDescent="0.25">
      <c r="C672" s="108"/>
      <c r="D672" s="108"/>
      <c r="E672" s="108"/>
      <c r="F672" s="108"/>
      <c r="G672" s="108"/>
      <c r="H672" s="108"/>
      <c r="I672" s="108"/>
      <c r="J672" s="108"/>
      <c r="K672" s="108"/>
      <c r="L672" s="108"/>
      <c r="M672" s="108"/>
      <c r="N672" s="108"/>
      <c r="O672" s="108"/>
      <c r="P672" s="108"/>
      <c r="Q672" s="108"/>
      <c r="R672" s="108"/>
      <c r="S672" s="108"/>
      <c r="T672" s="108"/>
      <c r="U672" s="108"/>
      <c r="V672" s="108"/>
      <c r="W672" s="108"/>
      <c r="X672" s="108"/>
      <c r="Y672" s="108"/>
      <c r="Z672" s="108"/>
      <c r="AA672" s="108"/>
      <c r="AB672" s="108"/>
      <c r="AC672" s="108"/>
      <c r="AD672" s="108"/>
      <c r="AE672" s="108"/>
      <c r="AF672" s="108"/>
      <c r="AG672" s="108"/>
      <c r="AH672" s="108"/>
      <c r="AI672" s="108"/>
      <c r="AJ672" s="108"/>
      <c r="AK672" s="108"/>
      <c r="AL672" s="108"/>
      <c r="AM672" s="108"/>
      <c r="AN672" s="108"/>
      <c r="AO672" s="108"/>
      <c r="AP672" s="108"/>
      <c r="AQ672" s="108"/>
      <c r="AR672" s="108"/>
      <c r="AS672" s="108"/>
      <c r="AT672" s="108"/>
      <c r="AU672" s="108"/>
      <c r="AV672" s="108"/>
      <c r="AW672" s="108"/>
      <c r="AX672" s="108"/>
      <c r="AY672" s="108"/>
      <c r="AZ672" s="108"/>
      <c r="BA672" s="108"/>
      <c r="BB672" s="108"/>
    </row>
    <row r="673" spans="3:54" ht="12.75" customHeight="1" x14ac:dyDescent="0.25">
      <c r="C673" s="108"/>
      <c r="D673" s="108"/>
      <c r="E673" s="108"/>
      <c r="F673" s="108"/>
      <c r="G673" s="108"/>
      <c r="H673" s="108"/>
      <c r="I673" s="108"/>
      <c r="J673" s="108"/>
      <c r="K673" s="108"/>
      <c r="L673" s="108"/>
      <c r="M673" s="108"/>
      <c r="N673" s="108"/>
      <c r="O673" s="108"/>
      <c r="P673" s="108"/>
      <c r="Q673" s="108"/>
      <c r="R673" s="108"/>
      <c r="S673" s="108"/>
      <c r="T673" s="108"/>
      <c r="U673" s="108"/>
      <c r="V673" s="108"/>
      <c r="W673" s="108"/>
      <c r="X673" s="108"/>
      <c r="Y673" s="108"/>
      <c r="Z673" s="108"/>
      <c r="AA673" s="108"/>
      <c r="AB673" s="108"/>
      <c r="AC673" s="108"/>
      <c r="AD673" s="108"/>
      <c r="AE673" s="108"/>
      <c r="AF673" s="108"/>
      <c r="AG673" s="108"/>
      <c r="AH673" s="108"/>
      <c r="AI673" s="108"/>
      <c r="AJ673" s="108"/>
      <c r="AK673" s="108"/>
      <c r="AL673" s="108"/>
      <c r="AM673" s="108"/>
      <c r="AN673" s="108"/>
      <c r="AO673" s="108"/>
      <c r="AP673" s="108"/>
      <c r="AQ673" s="108"/>
      <c r="AR673" s="108"/>
      <c r="AS673" s="108"/>
      <c r="AT673" s="108"/>
      <c r="AU673" s="108"/>
      <c r="AV673" s="108"/>
      <c r="AW673" s="108"/>
      <c r="AX673" s="108"/>
      <c r="AY673" s="108"/>
      <c r="AZ673" s="108"/>
      <c r="BA673" s="108"/>
      <c r="BB673" s="108"/>
    </row>
    <row r="674" spans="3:54" ht="12.75" customHeight="1" x14ac:dyDescent="0.25">
      <c r="C674" s="108"/>
      <c r="D674" s="108"/>
      <c r="E674" s="108"/>
      <c r="F674" s="108"/>
      <c r="G674" s="108"/>
      <c r="H674" s="108"/>
      <c r="I674" s="108"/>
      <c r="J674" s="108"/>
      <c r="K674" s="108"/>
      <c r="L674" s="108"/>
      <c r="M674" s="108"/>
      <c r="N674" s="108"/>
      <c r="O674" s="108"/>
      <c r="P674" s="108"/>
      <c r="Q674" s="108"/>
      <c r="R674" s="108"/>
      <c r="S674" s="108"/>
      <c r="T674" s="108"/>
      <c r="U674" s="108"/>
      <c r="V674" s="108"/>
      <c r="W674" s="108"/>
      <c r="X674" s="108"/>
      <c r="Y674" s="108"/>
      <c r="Z674" s="108"/>
      <c r="AA674" s="108"/>
      <c r="AB674" s="108"/>
      <c r="AC674" s="108"/>
      <c r="AD674" s="108"/>
      <c r="AE674" s="108"/>
      <c r="AF674" s="108"/>
      <c r="AG674" s="108"/>
      <c r="AH674" s="108"/>
      <c r="AI674" s="108"/>
      <c r="AJ674" s="108"/>
      <c r="AK674" s="108"/>
      <c r="AL674" s="108"/>
      <c r="AM674" s="108"/>
      <c r="AN674" s="108"/>
      <c r="AO674" s="108"/>
      <c r="AP674" s="108"/>
      <c r="AQ674" s="108"/>
      <c r="AR674" s="108"/>
      <c r="AS674" s="108"/>
      <c r="AT674" s="108"/>
      <c r="AU674" s="108"/>
      <c r="AV674" s="108"/>
      <c r="AW674" s="108"/>
      <c r="AX674" s="108"/>
      <c r="AY674" s="108"/>
      <c r="AZ674" s="108"/>
      <c r="BA674" s="108"/>
      <c r="BB674" s="108"/>
    </row>
    <row r="675" spans="3:54" ht="12.75" customHeight="1" x14ac:dyDescent="0.25">
      <c r="C675" s="108"/>
      <c r="D675" s="108"/>
      <c r="E675" s="108"/>
      <c r="F675" s="108"/>
      <c r="G675" s="108"/>
      <c r="H675" s="108"/>
      <c r="I675" s="108"/>
      <c r="J675" s="108"/>
      <c r="K675" s="108"/>
      <c r="L675" s="108"/>
      <c r="M675" s="108"/>
      <c r="N675" s="108"/>
      <c r="O675" s="108"/>
      <c r="P675" s="108"/>
      <c r="Q675" s="108"/>
      <c r="R675" s="108"/>
      <c r="S675" s="108"/>
      <c r="T675" s="108"/>
      <c r="U675" s="108"/>
      <c r="V675" s="108"/>
      <c r="W675" s="108"/>
      <c r="X675" s="108"/>
      <c r="Y675" s="108"/>
      <c r="Z675" s="108"/>
      <c r="AA675" s="108"/>
      <c r="AB675" s="108"/>
      <c r="AC675" s="108"/>
      <c r="AD675" s="108"/>
      <c r="AE675" s="108"/>
      <c r="AF675" s="108"/>
      <c r="AG675" s="108"/>
      <c r="AH675" s="108"/>
      <c r="AI675" s="108"/>
      <c r="AJ675" s="108"/>
      <c r="AK675" s="108"/>
      <c r="AL675" s="108"/>
      <c r="AM675" s="108"/>
      <c r="AN675" s="108"/>
      <c r="AO675" s="108"/>
      <c r="AP675" s="108"/>
      <c r="AQ675" s="108"/>
      <c r="AR675" s="108"/>
      <c r="AS675" s="108"/>
      <c r="AT675" s="108"/>
      <c r="AU675" s="108"/>
      <c r="AV675" s="108"/>
      <c r="AW675" s="108"/>
      <c r="AX675" s="108"/>
      <c r="AY675" s="108"/>
      <c r="AZ675" s="108"/>
      <c r="BA675" s="108"/>
      <c r="BB675" s="108"/>
    </row>
    <row r="676" spans="3:54" ht="12.75" customHeight="1" x14ac:dyDescent="0.25">
      <c r="C676" s="108"/>
      <c r="D676" s="108"/>
      <c r="E676" s="108"/>
      <c r="F676" s="108"/>
      <c r="G676" s="108"/>
      <c r="H676" s="108"/>
      <c r="I676" s="108"/>
      <c r="J676" s="108"/>
      <c r="K676" s="108"/>
      <c r="L676" s="108"/>
      <c r="M676" s="108"/>
      <c r="N676" s="108"/>
      <c r="O676" s="108"/>
      <c r="P676" s="108"/>
      <c r="Q676" s="108"/>
      <c r="R676" s="108"/>
      <c r="S676" s="108"/>
      <c r="T676" s="108"/>
      <c r="U676" s="108"/>
      <c r="V676" s="108"/>
      <c r="W676" s="108"/>
      <c r="X676" s="108"/>
      <c r="Y676" s="108"/>
      <c r="Z676" s="108"/>
      <c r="AA676" s="108"/>
      <c r="AB676" s="108"/>
      <c r="AC676" s="108"/>
      <c r="AD676" s="108"/>
      <c r="AE676" s="108"/>
      <c r="AF676" s="108"/>
      <c r="AG676" s="108"/>
      <c r="AH676" s="108"/>
      <c r="AI676" s="108"/>
      <c r="AJ676" s="108"/>
      <c r="AK676" s="108"/>
      <c r="AL676" s="108"/>
      <c r="AM676" s="108"/>
      <c r="AN676" s="108"/>
      <c r="AO676" s="108"/>
      <c r="AP676" s="108"/>
      <c r="AQ676" s="108"/>
      <c r="AR676" s="108"/>
      <c r="AS676" s="108"/>
      <c r="AT676" s="108"/>
      <c r="AU676" s="108"/>
      <c r="AV676" s="108"/>
      <c r="AW676" s="108"/>
      <c r="AX676" s="108"/>
      <c r="AY676" s="108"/>
      <c r="AZ676" s="108"/>
      <c r="BA676" s="108"/>
      <c r="BB676" s="108"/>
    </row>
    <row r="677" spans="3:54" ht="12.75" customHeight="1" x14ac:dyDescent="0.25">
      <c r="C677" s="108"/>
      <c r="D677" s="108"/>
      <c r="E677" s="108"/>
      <c r="F677" s="108"/>
      <c r="G677" s="108"/>
      <c r="H677" s="108"/>
      <c r="I677" s="108"/>
      <c r="J677" s="108"/>
      <c r="K677" s="108"/>
      <c r="L677" s="108"/>
      <c r="M677" s="108"/>
      <c r="N677" s="108"/>
      <c r="O677" s="108"/>
      <c r="P677" s="108"/>
      <c r="Q677" s="108"/>
      <c r="R677" s="108"/>
      <c r="S677" s="108"/>
      <c r="T677" s="108"/>
      <c r="U677" s="108"/>
      <c r="V677" s="108"/>
      <c r="W677" s="108"/>
      <c r="X677" s="108"/>
      <c r="Y677" s="108"/>
      <c r="Z677" s="108"/>
      <c r="AA677" s="108"/>
      <c r="AB677" s="108"/>
      <c r="AC677" s="108"/>
      <c r="AD677" s="108"/>
      <c r="AE677" s="108"/>
      <c r="AF677" s="108"/>
      <c r="AG677" s="108"/>
      <c r="AH677" s="108"/>
      <c r="AI677" s="108"/>
      <c r="AJ677" s="108"/>
      <c r="AK677" s="108"/>
      <c r="AL677" s="108"/>
      <c r="AM677" s="108"/>
      <c r="AN677" s="108"/>
      <c r="AO677" s="108"/>
      <c r="AP677" s="108"/>
      <c r="AQ677" s="108"/>
      <c r="AR677" s="108"/>
      <c r="AS677" s="108"/>
      <c r="AT677" s="108"/>
      <c r="AU677" s="108"/>
      <c r="AV677" s="108"/>
      <c r="AW677" s="108"/>
      <c r="AX677" s="108"/>
      <c r="AY677" s="108"/>
      <c r="AZ677" s="108"/>
      <c r="BA677" s="108"/>
      <c r="BB677" s="108"/>
    </row>
    <row r="678" spans="3:54" ht="12.75" customHeight="1" x14ac:dyDescent="0.25">
      <c r="C678" s="108"/>
      <c r="D678" s="108"/>
      <c r="E678" s="108"/>
      <c r="F678" s="108"/>
      <c r="G678" s="108"/>
      <c r="H678" s="108"/>
      <c r="I678" s="108"/>
      <c r="J678" s="108"/>
      <c r="K678" s="108"/>
      <c r="L678" s="108"/>
      <c r="M678" s="108"/>
      <c r="N678" s="108"/>
      <c r="O678" s="108"/>
      <c r="P678" s="108"/>
      <c r="Q678" s="108"/>
      <c r="R678" s="108"/>
      <c r="S678" s="108"/>
      <c r="T678" s="108"/>
      <c r="U678" s="108"/>
      <c r="V678" s="108"/>
      <c r="W678" s="108"/>
      <c r="X678" s="108"/>
      <c r="Y678" s="108"/>
      <c r="Z678" s="108"/>
      <c r="AA678" s="108"/>
      <c r="AB678" s="108"/>
      <c r="AC678" s="108"/>
      <c r="AD678" s="108"/>
      <c r="AE678" s="108"/>
      <c r="AF678" s="108"/>
      <c r="AG678" s="108"/>
      <c r="AH678" s="108"/>
      <c r="AI678" s="108"/>
      <c r="AJ678" s="108"/>
      <c r="AK678" s="108"/>
      <c r="AL678" s="108"/>
      <c r="AM678" s="108"/>
      <c r="AN678" s="108"/>
      <c r="AO678" s="108"/>
      <c r="AP678" s="108"/>
      <c r="AQ678" s="108"/>
      <c r="AR678" s="108"/>
      <c r="AS678" s="108"/>
      <c r="AT678" s="108"/>
      <c r="AU678" s="108"/>
      <c r="AV678" s="108"/>
      <c r="AW678" s="108"/>
      <c r="AX678" s="108"/>
      <c r="AY678" s="108"/>
      <c r="AZ678" s="108"/>
      <c r="BA678" s="108"/>
      <c r="BB678" s="108"/>
    </row>
    <row r="679" spans="3:54" ht="12.75" customHeight="1" x14ac:dyDescent="0.25">
      <c r="C679" s="108"/>
      <c r="D679" s="108"/>
      <c r="E679" s="108"/>
      <c r="F679" s="108"/>
      <c r="G679" s="108"/>
      <c r="H679" s="108"/>
      <c r="I679" s="108"/>
      <c r="J679" s="108"/>
      <c r="K679" s="108"/>
      <c r="L679" s="108"/>
      <c r="M679" s="108"/>
      <c r="N679" s="108"/>
      <c r="O679" s="108"/>
      <c r="P679" s="108"/>
      <c r="Q679" s="108"/>
      <c r="R679" s="108"/>
      <c r="S679" s="108"/>
      <c r="T679" s="108"/>
      <c r="U679" s="108"/>
      <c r="V679" s="108"/>
      <c r="W679" s="108"/>
      <c r="X679" s="108"/>
      <c r="Y679" s="108"/>
      <c r="Z679" s="108"/>
      <c r="AA679" s="108"/>
      <c r="AB679" s="108"/>
      <c r="AC679" s="108"/>
      <c r="AD679" s="108"/>
      <c r="AE679" s="108"/>
      <c r="AF679" s="108"/>
      <c r="AG679" s="108"/>
      <c r="AH679" s="108"/>
      <c r="AI679" s="108"/>
      <c r="AJ679" s="108"/>
      <c r="AK679" s="108"/>
      <c r="AL679" s="108"/>
      <c r="AM679" s="108"/>
      <c r="AN679" s="108"/>
      <c r="AO679" s="108"/>
      <c r="AP679" s="108"/>
      <c r="AQ679" s="108"/>
      <c r="AR679" s="108"/>
      <c r="AS679" s="108"/>
      <c r="AT679" s="108"/>
      <c r="AU679" s="108"/>
      <c r="AV679" s="108"/>
      <c r="AW679" s="108"/>
      <c r="AX679" s="108"/>
      <c r="AY679" s="108"/>
      <c r="AZ679" s="108"/>
      <c r="BA679" s="108"/>
      <c r="BB679" s="108"/>
    </row>
    <row r="680" spans="3:54" ht="12.75" customHeight="1" x14ac:dyDescent="0.25">
      <c r="C680" s="108"/>
      <c r="D680" s="108"/>
      <c r="E680" s="108"/>
      <c r="F680" s="108"/>
      <c r="G680" s="108"/>
      <c r="H680" s="108"/>
      <c r="I680" s="108"/>
      <c r="J680" s="108"/>
      <c r="K680" s="108"/>
      <c r="L680" s="108"/>
      <c r="M680" s="108"/>
      <c r="N680" s="108"/>
      <c r="O680" s="108"/>
      <c r="P680" s="108"/>
      <c r="Q680" s="108"/>
      <c r="R680" s="108"/>
      <c r="S680" s="108"/>
      <c r="T680" s="108"/>
      <c r="U680" s="108"/>
      <c r="V680" s="108"/>
      <c r="W680" s="108"/>
      <c r="X680" s="108"/>
      <c r="Y680" s="108"/>
      <c r="Z680" s="108"/>
      <c r="AA680" s="108"/>
      <c r="AB680" s="108"/>
      <c r="AC680" s="108"/>
      <c r="AD680" s="108"/>
      <c r="AE680" s="108"/>
      <c r="AF680" s="108"/>
      <c r="AG680" s="108"/>
      <c r="AH680" s="108"/>
      <c r="AI680" s="108"/>
      <c r="AJ680" s="108"/>
      <c r="AK680" s="108"/>
      <c r="AL680" s="108"/>
      <c r="AM680" s="108"/>
      <c r="AN680" s="108"/>
      <c r="AO680" s="108"/>
      <c r="AP680" s="108"/>
      <c r="AQ680" s="108"/>
      <c r="AR680" s="108"/>
      <c r="AS680" s="108"/>
      <c r="AT680" s="108"/>
      <c r="AU680" s="108"/>
      <c r="AV680" s="108"/>
      <c r="AW680" s="108"/>
      <c r="AX680" s="108"/>
      <c r="AY680" s="108"/>
      <c r="AZ680" s="108"/>
      <c r="BA680" s="108"/>
      <c r="BB680" s="108"/>
    </row>
    <row r="681" spans="3:54" ht="12.75" customHeight="1" x14ac:dyDescent="0.25">
      <c r="C681" s="108"/>
      <c r="D681" s="108"/>
      <c r="E681" s="108"/>
      <c r="F681" s="108"/>
      <c r="G681" s="108"/>
      <c r="H681" s="108"/>
      <c r="I681" s="108"/>
      <c r="J681" s="108"/>
      <c r="K681" s="108"/>
      <c r="L681" s="108"/>
      <c r="M681" s="108"/>
      <c r="N681" s="108"/>
      <c r="O681" s="108"/>
      <c r="P681" s="108"/>
      <c r="Q681" s="108"/>
      <c r="R681" s="108"/>
      <c r="S681" s="108"/>
      <c r="T681" s="108"/>
      <c r="U681" s="108"/>
      <c r="V681" s="108"/>
      <c r="W681" s="108"/>
      <c r="X681" s="108"/>
      <c r="Y681" s="108"/>
      <c r="Z681" s="108"/>
      <c r="AA681" s="108"/>
      <c r="AB681" s="108"/>
      <c r="AC681" s="108"/>
      <c r="AD681" s="108"/>
      <c r="AE681" s="108"/>
      <c r="AF681" s="108"/>
      <c r="AG681" s="108"/>
      <c r="AH681" s="108"/>
      <c r="AI681" s="108"/>
      <c r="AJ681" s="108"/>
      <c r="AK681" s="108"/>
      <c r="AL681" s="108"/>
      <c r="AM681" s="108"/>
      <c r="AN681" s="108"/>
      <c r="AO681" s="108"/>
      <c r="AP681" s="108"/>
      <c r="AQ681" s="108"/>
      <c r="AR681" s="108"/>
      <c r="AS681" s="108"/>
      <c r="AT681" s="108"/>
      <c r="AU681" s="108"/>
      <c r="AV681" s="108"/>
      <c r="AW681" s="108"/>
      <c r="AX681" s="108"/>
      <c r="AY681" s="108"/>
      <c r="AZ681" s="108"/>
      <c r="BA681" s="108"/>
      <c r="BB681" s="108"/>
    </row>
    <row r="682" spans="3:54" ht="12.75" customHeight="1" x14ac:dyDescent="0.25">
      <c r="C682" s="108"/>
      <c r="D682" s="108"/>
      <c r="E682" s="108"/>
      <c r="F682" s="108"/>
      <c r="G682" s="108"/>
      <c r="H682" s="108"/>
      <c r="I682" s="108"/>
      <c r="J682" s="108"/>
      <c r="K682" s="108"/>
      <c r="L682" s="108"/>
      <c r="M682" s="108"/>
      <c r="N682" s="108"/>
      <c r="O682" s="108"/>
      <c r="P682" s="108"/>
      <c r="Q682" s="108"/>
      <c r="R682" s="108"/>
      <c r="S682" s="108"/>
      <c r="T682" s="108"/>
      <c r="U682" s="108"/>
      <c r="V682" s="108"/>
      <c r="W682" s="108"/>
      <c r="X682" s="108"/>
      <c r="Y682" s="108"/>
      <c r="Z682" s="108"/>
      <c r="AA682" s="108"/>
      <c r="AB682" s="108"/>
      <c r="AC682" s="108"/>
      <c r="AD682" s="108"/>
      <c r="AE682" s="108"/>
      <c r="AF682" s="108"/>
      <c r="AG682" s="108"/>
      <c r="AH682" s="108"/>
      <c r="AI682" s="108"/>
      <c r="AJ682" s="108"/>
      <c r="AK682" s="108"/>
      <c r="AL682" s="108"/>
      <c r="AM682" s="108"/>
      <c r="AN682" s="108"/>
      <c r="AO682" s="108"/>
      <c r="AP682" s="108"/>
      <c r="AQ682" s="108"/>
      <c r="AR682" s="108"/>
      <c r="AS682" s="108"/>
      <c r="AT682" s="108"/>
      <c r="AU682" s="108"/>
      <c r="AV682" s="108"/>
      <c r="AW682" s="108"/>
      <c r="AX682" s="108"/>
      <c r="AY682" s="108"/>
      <c r="AZ682" s="108"/>
      <c r="BA682" s="108"/>
      <c r="BB682" s="108"/>
    </row>
    <row r="683" spans="3:54" ht="12.75" customHeight="1" x14ac:dyDescent="0.25">
      <c r="C683" s="108"/>
      <c r="D683" s="108"/>
      <c r="E683" s="108"/>
      <c r="F683" s="108"/>
      <c r="G683" s="108"/>
      <c r="H683" s="108"/>
      <c r="I683" s="108"/>
      <c r="J683" s="108"/>
      <c r="K683" s="108"/>
      <c r="L683" s="108"/>
      <c r="M683" s="108"/>
      <c r="N683" s="108"/>
      <c r="O683" s="108"/>
      <c r="P683" s="108"/>
      <c r="Q683" s="108"/>
      <c r="R683" s="108"/>
      <c r="S683" s="108"/>
      <c r="T683" s="108"/>
      <c r="U683" s="108"/>
      <c r="V683" s="108"/>
      <c r="W683" s="108"/>
      <c r="X683" s="108"/>
      <c r="Y683" s="108"/>
      <c r="Z683" s="108"/>
      <c r="AA683" s="108"/>
      <c r="AB683" s="108"/>
      <c r="AC683" s="108"/>
      <c r="AD683" s="108"/>
      <c r="AE683" s="108"/>
      <c r="AF683" s="108"/>
      <c r="AG683" s="108"/>
      <c r="AH683" s="108"/>
      <c r="AI683" s="108"/>
      <c r="AJ683" s="108"/>
      <c r="AK683" s="108"/>
      <c r="AL683" s="108"/>
      <c r="AM683" s="108"/>
      <c r="AN683" s="108"/>
      <c r="AO683" s="108"/>
      <c r="AP683" s="108"/>
      <c r="AQ683" s="108"/>
      <c r="AR683" s="108"/>
      <c r="AS683" s="108"/>
      <c r="AT683" s="108"/>
      <c r="AU683" s="108"/>
      <c r="AV683" s="108"/>
      <c r="AW683" s="108"/>
      <c r="AX683" s="108"/>
      <c r="AY683" s="108"/>
      <c r="AZ683" s="108"/>
      <c r="BA683" s="108"/>
      <c r="BB683" s="108"/>
    </row>
    <row r="684" spans="3:54" ht="12.75" customHeight="1" x14ac:dyDescent="0.25">
      <c r="C684" s="108"/>
      <c r="D684" s="108"/>
      <c r="E684" s="108"/>
      <c r="F684" s="108"/>
      <c r="G684" s="108"/>
      <c r="H684" s="108"/>
      <c r="I684" s="108"/>
      <c r="J684" s="108"/>
      <c r="K684" s="108"/>
      <c r="L684" s="108"/>
      <c r="M684" s="108"/>
      <c r="N684" s="108"/>
      <c r="O684" s="108"/>
      <c r="P684" s="108"/>
      <c r="Q684" s="108"/>
      <c r="R684" s="108"/>
      <c r="S684" s="108"/>
      <c r="T684" s="108"/>
      <c r="U684" s="108"/>
      <c r="V684" s="108"/>
      <c r="W684" s="108"/>
      <c r="X684" s="108"/>
      <c r="Y684" s="108"/>
      <c r="Z684" s="108"/>
      <c r="AA684" s="108"/>
      <c r="AB684" s="108"/>
      <c r="AC684" s="108"/>
      <c r="AD684" s="108"/>
      <c r="AE684" s="108"/>
      <c r="AF684" s="108"/>
      <c r="AG684" s="108"/>
      <c r="AH684" s="108"/>
      <c r="AI684" s="108"/>
      <c r="AJ684" s="108"/>
      <c r="AK684" s="108"/>
      <c r="AL684" s="108"/>
      <c r="AM684" s="108"/>
      <c r="AN684" s="108"/>
      <c r="AO684" s="108"/>
      <c r="AP684" s="108"/>
      <c r="AQ684" s="108"/>
      <c r="AR684" s="108"/>
      <c r="AS684" s="108"/>
      <c r="AT684" s="108"/>
      <c r="AU684" s="108"/>
      <c r="AV684" s="108"/>
      <c r="AW684" s="108"/>
      <c r="AX684" s="108"/>
      <c r="AY684" s="108"/>
      <c r="AZ684" s="108"/>
      <c r="BA684" s="108"/>
      <c r="BB684" s="108"/>
    </row>
    <row r="685" spans="3:54" ht="12.75" customHeight="1" x14ac:dyDescent="0.25">
      <c r="C685" s="108"/>
      <c r="D685" s="108"/>
      <c r="E685" s="108"/>
      <c r="F685" s="108"/>
      <c r="G685" s="108"/>
      <c r="H685" s="108"/>
      <c r="I685" s="108"/>
      <c r="J685" s="108"/>
      <c r="K685" s="108"/>
      <c r="L685" s="108"/>
      <c r="M685" s="108"/>
      <c r="N685" s="108"/>
      <c r="O685" s="108"/>
      <c r="P685" s="108"/>
      <c r="Q685" s="108"/>
      <c r="R685" s="108"/>
      <c r="S685" s="108"/>
      <c r="T685" s="108"/>
      <c r="U685" s="108"/>
      <c r="V685" s="108"/>
      <c r="W685" s="108"/>
      <c r="X685" s="108"/>
      <c r="Y685" s="108"/>
      <c r="Z685" s="108"/>
      <c r="AA685" s="108"/>
      <c r="AB685" s="108"/>
      <c r="AC685" s="108"/>
      <c r="AD685" s="108"/>
      <c r="AE685" s="108"/>
      <c r="AF685" s="108"/>
      <c r="AG685" s="108"/>
      <c r="AH685" s="108"/>
      <c r="AI685" s="108"/>
      <c r="AJ685" s="108"/>
      <c r="AK685" s="108"/>
      <c r="AL685" s="108"/>
      <c r="AM685" s="108"/>
      <c r="AN685" s="108"/>
      <c r="AO685" s="108"/>
      <c r="AP685" s="108"/>
      <c r="AQ685" s="108"/>
      <c r="AR685" s="108"/>
      <c r="AS685" s="108"/>
      <c r="AT685" s="108"/>
      <c r="AU685" s="108"/>
      <c r="AV685" s="108"/>
      <c r="AW685" s="108"/>
      <c r="AX685" s="108"/>
      <c r="AY685" s="108"/>
      <c r="AZ685" s="108"/>
      <c r="BA685" s="108"/>
      <c r="BB685" s="108"/>
    </row>
    <row r="686" spans="3:54" ht="12.75" customHeight="1" x14ac:dyDescent="0.25">
      <c r="C686" s="108"/>
      <c r="D686" s="108"/>
      <c r="E686" s="108"/>
      <c r="F686" s="108"/>
      <c r="G686" s="108"/>
      <c r="H686" s="108"/>
      <c r="I686" s="108"/>
      <c r="J686" s="108"/>
      <c r="K686" s="108"/>
      <c r="L686" s="108"/>
      <c r="M686" s="108"/>
      <c r="N686" s="108"/>
      <c r="O686" s="108"/>
      <c r="P686" s="108"/>
      <c r="Q686" s="108"/>
      <c r="R686" s="108"/>
      <c r="S686" s="108"/>
      <c r="T686" s="108"/>
      <c r="U686" s="108"/>
      <c r="V686" s="108"/>
      <c r="W686" s="108"/>
      <c r="X686" s="108"/>
      <c r="Y686" s="108"/>
      <c r="Z686" s="108"/>
      <c r="AA686" s="108"/>
      <c r="AB686" s="108"/>
      <c r="AC686" s="108"/>
      <c r="AD686" s="108"/>
      <c r="AE686" s="108"/>
      <c r="AF686" s="108"/>
      <c r="AG686" s="108"/>
      <c r="AH686" s="108"/>
      <c r="AI686" s="108"/>
      <c r="AJ686" s="108"/>
      <c r="AK686" s="108"/>
      <c r="AL686" s="108"/>
      <c r="AM686" s="108"/>
      <c r="AN686" s="108"/>
      <c r="AO686" s="108"/>
      <c r="AP686" s="108"/>
      <c r="AQ686" s="108"/>
      <c r="AR686" s="108"/>
      <c r="AS686" s="108"/>
      <c r="AT686" s="108"/>
      <c r="AU686" s="108"/>
      <c r="AV686" s="108"/>
      <c r="AW686" s="108"/>
      <c r="AX686" s="108"/>
      <c r="AY686" s="108"/>
      <c r="AZ686" s="108"/>
      <c r="BA686" s="108"/>
      <c r="BB686" s="108"/>
    </row>
    <row r="687" spans="3:54" ht="12.75" customHeight="1" x14ac:dyDescent="0.25">
      <c r="C687" s="108"/>
      <c r="D687" s="108"/>
      <c r="E687" s="108"/>
      <c r="F687" s="108"/>
      <c r="G687" s="108"/>
      <c r="H687" s="108"/>
      <c r="I687" s="108"/>
      <c r="J687" s="108"/>
      <c r="K687" s="108"/>
      <c r="L687" s="108"/>
      <c r="M687" s="108"/>
      <c r="N687" s="108"/>
      <c r="O687" s="108"/>
      <c r="P687" s="108"/>
      <c r="Q687" s="108"/>
      <c r="R687" s="108"/>
      <c r="S687" s="108"/>
      <c r="T687" s="108"/>
      <c r="U687" s="108"/>
      <c r="V687" s="108"/>
      <c r="W687" s="108"/>
      <c r="X687" s="108"/>
      <c r="Y687" s="108"/>
      <c r="Z687" s="108"/>
      <c r="AA687" s="108"/>
      <c r="AB687" s="108"/>
      <c r="AC687" s="108"/>
      <c r="AD687" s="108"/>
      <c r="AE687" s="108"/>
      <c r="AF687" s="108"/>
      <c r="AG687" s="108"/>
      <c r="AH687" s="108"/>
      <c r="AI687" s="108"/>
      <c r="AJ687" s="108"/>
      <c r="AK687" s="108"/>
      <c r="AL687" s="108"/>
      <c r="AM687" s="108"/>
      <c r="AN687" s="108"/>
      <c r="AO687" s="108"/>
      <c r="AP687" s="108"/>
      <c r="AQ687" s="108"/>
      <c r="AR687" s="108"/>
      <c r="AS687" s="108"/>
      <c r="AT687" s="108"/>
      <c r="AU687" s="108"/>
      <c r="AV687" s="108"/>
      <c r="AW687" s="108"/>
      <c r="AX687" s="108"/>
      <c r="AY687" s="108"/>
      <c r="AZ687" s="108"/>
      <c r="BA687" s="108"/>
      <c r="BB687" s="108"/>
    </row>
    <row r="688" spans="3:54" ht="12.75" customHeight="1" x14ac:dyDescent="0.25">
      <c r="C688" s="108"/>
      <c r="D688" s="108"/>
      <c r="E688" s="108"/>
      <c r="F688" s="108"/>
      <c r="G688" s="108"/>
      <c r="H688" s="108"/>
      <c r="I688" s="108"/>
      <c r="J688" s="108"/>
      <c r="K688" s="108"/>
      <c r="L688" s="108"/>
      <c r="M688" s="108"/>
      <c r="N688" s="108"/>
      <c r="O688" s="108"/>
      <c r="P688" s="108"/>
      <c r="Q688" s="108"/>
      <c r="R688" s="108"/>
      <c r="S688" s="108"/>
      <c r="T688" s="108"/>
      <c r="U688" s="108"/>
      <c r="V688" s="108"/>
      <c r="W688" s="108"/>
      <c r="X688" s="108"/>
      <c r="Y688" s="108"/>
      <c r="Z688" s="108"/>
      <c r="AA688" s="108"/>
      <c r="AB688" s="108"/>
      <c r="AC688" s="108"/>
      <c r="AD688" s="108"/>
      <c r="AE688" s="108"/>
      <c r="AF688" s="108"/>
      <c r="AG688" s="108"/>
      <c r="AH688" s="108"/>
      <c r="AI688" s="108"/>
      <c r="AJ688" s="108"/>
      <c r="AK688" s="108"/>
      <c r="AL688" s="108"/>
      <c r="AM688" s="108"/>
      <c r="AN688" s="108"/>
      <c r="AO688" s="108"/>
      <c r="AP688" s="108"/>
      <c r="AQ688" s="108"/>
      <c r="AR688" s="108"/>
      <c r="AS688" s="108"/>
      <c r="AT688" s="108"/>
      <c r="AU688" s="108"/>
      <c r="AV688" s="108"/>
      <c r="AW688" s="108"/>
      <c r="AX688" s="108"/>
      <c r="AY688" s="108"/>
      <c r="AZ688" s="108"/>
      <c r="BA688" s="108"/>
      <c r="BB688" s="108"/>
    </row>
    <row r="689" spans="3:54" ht="12.75" customHeight="1" x14ac:dyDescent="0.25">
      <c r="C689" s="108"/>
      <c r="D689" s="108"/>
      <c r="E689" s="108"/>
      <c r="F689" s="108"/>
      <c r="G689" s="108"/>
      <c r="H689" s="108"/>
      <c r="I689" s="108"/>
      <c r="J689" s="108"/>
      <c r="K689" s="108"/>
      <c r="L689" s="108"/>
      <c r="M689" s="108"/>
      <c r="N689" s="108"/>
      <c r="O689" s="108"/>
      <c r="P689" s="108"/>
      <c r="Q689" s="108"/>
      <c r="R689" s="108"/>
      <c r="S689" s="108"/>
      <c r="T689" s="108"/>
      <c r="U689" s="108"/>
      <c r="V689" s="108"/>
      <c r="W689" s="108"/>
      <c r="X689" s="108"/>
      <c r="Y689" s="108"/>
      <c r="Z689" s="108"/>
      <c r="AA689" s="108"/>
      <c r="AB689" s="108"/>
      <c r="AC689" s="108"/>
      <c r="AD689" s="108"/>
      <c r="AE689" s="108"/>
      <c r="AF689" s="108"/>
      <c r="AG689" s="108"/>
      <c r="AH689" s="108"/>
      <c r="AI689" s="108"/>
      <c r="AJ689" s="108"/>
      <c r="AK689" s="108"/>
      <c r="AL689" s="108"/>
      <c r="AM689" s="108"/>
      <c r="AN689" s="108"/>
      <c r="AO689" s="108"/>
      <c r="AP689" s="108"/>
      <c r="AQ689" s="108"/>
      <c r="AR689" s="108"/>
      <c r="AS689" s="108"/>
      <c r="AT689" s="108"/>
      <c r="AU689" s="108"/>
      <c r="AV689" s="108"/>
      <c r="AW689" s="108"/>
      <c r="AX689" s="108"/>
      <c r="AY689" s="108"/>
      <c r="AZ689" s="108"/>
      <c r="BA689" s="108"/>
      <c r="BB689" s="108"/>
    </row>
    <row r="690" spans="3:54" ht="12.75" customHeight="1" x14ac:dyDescent="0.25">
      <c r="C690" s="108"/>
      <c r="D690" s="108"/>
      <c r="E690" s="108"/>
      <c r="F690" s="108"/>
      <c r="G690" s="108"/>
      <c r="H690" s="108"/>
      <c r="I690" s="108"/>
      <c r="J690" s="108"/>
      <c r="K690" s="108"/>
      <c r="L690" s="108"/>
      <c r="M690" s="108"/>
      <c r="N690" s="108"/>
      <c r="O690" s="108"/>
      <c r="P690" s="108"/>
      <c r="Q690" s="108"/>
      <c r="R690" s="108"/>
      <c r="S690" s="108"/>
      <c r="T690" s="108"/>
      <c r="U690" s="108"/>
      <c r="V690" s="108"/>
      <c r="W690" s="108"/>
      <c r="X690" s="108"/>
      <c r="Y690" s="108"/>
      <c r="Z690" s="108"/>
      <c r="AA690" s="108"/>
      <c r="AB690" s="108"/>
      <c r="AC690" s="108"/>
      <c r="AD690" s="108"/>
      <c r="AE690" s="108"/>
      <c r="AF690" s="108"/>
      <c r="AG690" s="108"/>
      <c r="AH690" s="108"/>
      <c r="AI690" s="108"/>
      <c r="AJ690" s="108"/>
      <c r="AK690" s="108"/>
      <c r="AL690" s="108"/>
      <c r="AM690" s="108"/>
      <c r="AN690" s="108"/>
      <c r="AO690" s="108"/>
      <c r="AP690" s="108"/>
      <c r="AQ690" s="108"/>
      <c r="AR690" s="108"/>
      <c r="AS690" s="108"/>
      <c r="AT690" s="108"/>
      <c r="AU690" s="108"/>
      <c r="AV690" s="108"/>
      <c r="AW690" s="108"/>
      <c r="AX690" s="108"/>
      <c r="AY690" s="108"/>
      <c r="AZ690" s="108"/>
      <c r="BA690" s="108"/>
      <c r="BB690" s="108"/>
    </row>
    <row r="691" spans="3:54" ht="12.75" customHeight="1" x14ac:dyDescent="0.25">
      <c r="C691" s="108"/>
      <c r="D691" s="108"/>
      <c r="E691" s="108"/>
      <c r="F691" s="108"/>
      <c r="G691" s="108"/>
      <c r="H691" s="108"/>
      <c r="I691" s="108"/>
      <c r="J691" s="108"/>
      <c r="K691" s="108"/>
      <c r="L691" s="108"/>
      <c r="M691" s="108"/>
      <c r="N691" s="108"/>
      <c r="O691" s="108"/>
      <c r="P691" s="108"/>
      <c r="Q691" s="108"/>
      <c r="R691" s="108"/>
      <c r="S691" s="108"/>
      <c r="T691" s="108"/>
      <c r="U691" s="108"/>
      <c r="V691" s="108"/>
      <c r="W691" s="108"/>
      <c r="X691" s="108"/>
      <c r="Y691" s="108"/>
      <c r="Z691" s="108"/>
      <c r="AA691" s="108"/>
      <c r="AB691" s="108"/>
      <c r="AC691" s="108"/>
      <c r="AD691" s="108"/>
      <c r="AE691" s="108"/>
      <c r="AF691" s="108"/>
      <c r="AG691" s="108"/>
      <c r="AH691" s="108"/>
      <c r="AI691" s="108"/>
      <c r="AJ691" s="108"/>
      <c r="AK691" s="108"/>
      <c r="AL691" s="108"/>
      <c r="AM691" s="108"/>
      <c r="AN691" s="108"/>
      <c r="AO691" s="108"/>
      <c r="AP691" s="108"/>
      <c r="AQ691" s="108"/>
      <c r="AR691" s="108"/>
      <c r="AS691" s="108"/>
      <c r="AT691" s="108"/>
      <c r="AU691" s="108"/>
      <c r="AV691" s="108"/>
      <c r="AW691" s="108"/>
      <c r="AX691" s="108"/>
      <c r="AY691" s="108"/>
      <c r="AZ691" s="108"/>
      <c r="BA691" s="108"/>
      <c r="BB691" s="108"/>
    </row>
    <row r="692" spans="3:54" ht="12.75" customHeight="1" x14ac:dyDescent="0.25">
      <c r="C692" s="108"/>
      <c r="D692" s="108"/>
      <c r="E692" s="108"/>
      <c r="F692" s="108"/>
      <c r="G692" s="108"/>
      <c r="H692" s="108"/>
      <c r="I692" s="108"/>
      <c r="J692" s="108"/>
      <c r="K692" s="108"/>
      <c r="L692" s="108"/>
      <c r="M692" s="108"/>
      <c r="N692" s="108"/>
      <c r="O692" s="108"/>
      <c r="P692" s="108"/>
      <c r="Q692" s="108"/>
      <c r="R692" s="108"/>
      <c r="S692" s="108"/>
      <c r="T692" s="108"/>
      <c r="U692" s="108"/>
      <c r="V692" s="108"/>
      <c r="W692" s="108"/>
      <c r="X692" s="108"/>
      <c r="Y692" s="108"/>
      <c r="Z692" s="108"/>
      <c r="AA692" s="108"/>
      <c r="AB692" s="108"/>
      <c r="AC692" s="108"/>
      <c r="AD692" s="108"/>
      <c r="AE692" s="108"/>
      <c r="AF692" s="108"/>
      <c r="AG692" s="108"/>
      <c r="AH692" s="108"/>
      <c r="AI692" s="108"/>
      <c r="AJ692" s="108"/>
      <c r="AK692" s="108"/>
      <c r="AL692" s="108"/>
      <c r="AM692" s="108"/>
      <c r="AN692" s="108"/>
      <c r="AO692" s="108"/>
      <c r="AP692" s="108"/>
      <c r="AQ692" s="108"/>
      <c r="AR692" s="108"/>
      <c r="AS692" s="108"/>
      <c r="AT692" s="108"/>
      <c r="AU692" s="108"/>
      <c r="AV692" s="108"/>
      <c r="AW692" s="108"/>
      <c r="AX692" s="108"/>
      <c r="AY692" s="108"/>
      <c r="AZ692" s="108"/>
      <c r="BA692" s="108"/>
      <c r="BB692" s="108"/>
    </row>
    <row r="693" spans="3:54" ht="12.75" customHeight="1" x14ac:dyDescent="0.25">
      <c r="C693" s="108"/>
      <c r="D693" s="108"/>
      <c r="E693" s="108"/>
      <c r="F693" s="108"/>
      <c r="G693" s="108"/>
      <c r="H693" s="108"/>
      <c r="I693" s="108"/>
      <c r="J693" s="108"/>
      <c r="K693" s="108"/>
      <c r="L693" s="108"/>
      <c r="M693" s="108"/>
      <c r="N693" s="108"/>
      <c r="O693" s="108"/>
      <c r="P693" s="108"/>
      <c r="Q693" s="108"/>
      <c r="R693" s="108"/>
      <c r="S693" s="108"/>
      <c r="T693" s="108"/>
      <c r="U693" s="108"/>
      <c r="V693" s="108"/>
      <c r="W693" s="108"/>
      <c r="X693" s="108"/>
      <c r="Y693" s="108"/>
      <c r="Z693" s="108"/>
      <c r="AA693" s="108"/>
      <c r="AB693" s="108"/>
      <c r="AC693" s="108"/>
      <c r="AD693" s="108"/>
      <c r="AE693" s="108"/>
      <c r="AF693" s="108"/>
      <c r="AG693" s="108"/>
      <c r="AH693" s="108"/>
      <c r="AI693" s="108"/>
      <c r="AJ693" s="108"/>
      <c r="AK693" s="108"/>
      <c r="AL693" s="108"/>
      <c r="AM693" s="108"/>
      <c r="AN693" s="108"/>
      <c r="AO693" s="108"/>
      <c r="AP693" s="108"/>
      <c r="AQ693" s="108"/>
      <c r="AR693" s="108"/>
      <c r="AS693" s="108"/>
      <c r="AT693" s="108"/>
      <c r="AU693" s="108"/>
      <c r="AV693" s="108"/>
      <c r="AW693" s="108"/>
      <c r="AX693" s="108"/>
      <c r="AY693" s="108"/>
      <c r="AZ693" s="108"/>
      <c r="BA693" s="108"/>
      <c r="BB693" s="108"/>
    </row>
    <row r="694" spans="3:54" ht="12.75" customHeight="1" x14ac:dyDescent="0.25">
      <c r="C694" s="108"/>
      <c r="D694" s="108"/>
      <c r="E694" s="108"/>
      <c r="F694" s="108"/>
      <c r="G694" s="108"/>
      <c r="H694" s="108"/>
      <c r="I694" s="108"/>
      <c r="J694" s="108"/>
      <c r="K694" s="108"/>
      <c r="L694" s="108"/>
      <c r="M694" s="108"/>
      <c r="N694" s="108"/>
      <c r="O694" s="108"/>
      <c r="P694" s="108"/>
      <c r="Q694" s="108"/>
      <c r="R694" s="108"/>
      <c r="S694" s="108"/>
      <c r="T694" s="108"/>
      <c r="U694" s="108"/>
      <c r="V694" s="108"/>
      <c r="W694" s="108"/>
      <c r="X694" s="108"/>
      <c r="Y694" s="108"/>
      <c r="Z694" s="108"/>
      <c r="AA694" s="108"/>
      <c r="AB694" s="108"/>
      <c r="AC694" s="108"/>
      <c r="AD694" s="108"/>
      <c r="AE694" s="108"/>
      <c r="AF694" s="108"/>
      <c r="AG694" s="108"/>
      <c r="AH694" s="108"/>
      <c r="AI694" s="108"/>
      <c r="AJ694" s="108"/>
      <c r="AK694" s="108"/>
      <c r="AL694" s="108"/>
      <c r="AM694" s="108"/>
      <c r="AN694" s="108"/>
      <c r="AO694" s="108"/>
      <c r="AP694" s="108"/>
      <c r="AQ694" s="108"/>
      <c r="AR694" s="108"/>
      <c r="AS694" s="108"/>
      <c r="AT694" s="108"/>
      <c r="AU694" s="108"/>
      <c r="AV694" s="108"/>
      <c r="AW694" s="108"/>
      <c r="AX694" s="108"/>
      <c r="AY694" s="108"/>
      <c r="AZ694" s="108"/>
      <c r="BA694" s="108"/>
      <c r="BB694" s="108"/>
    </row>
    <row r="695" spans="3:54" ht="12.75" customHeight="1" x14ac:dyDescent="0.25">
      <c r="C695" s="108"/>
      <c r="D695" s="108"/>
      <c r="E695" s="108"/>
      <c r="F695" s="108"/>
      <c r="G695" s="108"/>
      <c r="H695" s="108"/>
      <c r="I695" s="108"/>
      <c r="J695" s="108"/>
      <c r="K695" s="108"/>
      <c r="L695" s="108"/>
      <c r="M695" s="108"/>
      <c r="N695" s="108"/>
      <c r="O695" s="108"/>
      <c r="P695" s="108"/>
      <c r="Q695" s="108"/>
      <c r="R695" s="108"/>
      <c r="S695" s="108"/>
      <c r="T695" s="108"/>
      <c r="U695" s="108"/>
      <c r="V695" s="108"/>
      <c r="W695" s="108"/>
      <c r="X695" s="108"/>
      <c r="Y695" s="108"/>
      <c r="Z695" s="108"/>
      <c r="AA695" s="108"/>
      <c r="AB695" s="108"/>
      <c r="AC695" s="108"/>
      <c r="AD695" s="108"/>
      <c r="AE695" s="108"/>
      <c r="AF695" s="108"/>
      <c r="AG695" s="108"/>
      <c r="AH695" s="108"/>
      <c r="AI695" s="108"/>
      <c r="AJ695" s="108"/>
      <c r="AK695" s="108"/>
      <c r="AL695" s="108"/>
      <c r="AM695" s="108"/>
      <c r="AN695" s="108"/>
      <c r="AO695" s="108"/>
      <c r="AP695" s="108"/>
      <c r="AQ695" s="108"/>
      <c r="AR695" s="108"/>
      <c r="AS695" s="108"/>
      <c r="AT695" s="108"/>
      <c r="AU695" s="108"/>
      <c r="AV695" s="108"/>
      <c r="AW695" s="108"/>
      <c r="AX695" s="108"/>
      <c r="AY695" s="108"/>
      <c r="AZ695" s="108"/>
      <c r="BA695" s="108"/>
      <c r="BB695" s="108"/>
    </row>
    <row r="696" spans="3:54" ht="12.75" customHeight="1" x14ac:dyDescent="0.25">
      <c r="C696" s="108"/>
      <c r="D696" s="108"/>
      <c r="E696" s="108"/>
      <c r="F696" s="108"/>
      <c r="G696" s="108"/>
      <c r="H696" s="108"/>
      <c r="I696" s="108"/>
      <c r="J696" s="108"/>
      <c r="K696" s="108"/>
      <c r="L696" s="108"/>
      <c r="M696" s="108"/>
      <c r="N696" s="108"/>
      <c r="O696" s="108"/>
      <c r="P696" s="108"/>
      <c r="Q696" s="108"/>
      <c r="R696" s="108"/>
      <c r="S696" s="108"/>
      <c r="T696" s="108"/>
      <c r="U696" s="108"/>
      <c r="V696" s="108"/>
      <c r="W696" s="108"/>
      <c r="X696" s="108"/>
      <c r="Y696" s="108"/>
      <c r="Z696" s="108"/>
      <c r="AA696" s="108"/>
      <c r="AB696" s="108"/>
      <c r="AC696" s="108"/>
      <c r="AD696" s="108"/>
      <c r="AE696" s="108"/>
      <c r="AF696" s="108"/>
      <c r="AG696" s="108"/>
      <c r="AH696" s="108"/>
      <c r="AI696" s="108"/>
      <c r="AJ696" s="108"/>
      <c r="AK696" s="108"/>
      <c r="AL696" s="108"/>
      <c r="AM696" s="108"/>
      <c r="AN696" s="108"/>
      <c r="AO696" s="108"/>
      <c r="AP696" s="108"/>
      <c r="AQ696" s="108"/>
      <c r="AR696" s="108"/>
      <c r="AS696" s="108"/>
      <c r="AT696" s="108"/>
      <c r="AU696" s="108"/>
      <c r="AV696" s="108"/>
      <c r="AW696" s="108"/>
      <c r="AX696" s="108"/>
      <c r="AY696" s="108"/>
      <c r="AZ696" s="108"/>
      <c r="BA696" s="108"/>
      <c r="BB696" s="108"/>
    </row>
    <row r="697" spans="3:54" ht="12.75" customHeight="1" x14ac:dyDescent="0.25">
      <c r="C697" s="108"/>
      <c r="D697" s="108"/>
      <c r="E697" s="108"/>
      <c r="F697" s="108"/>
      <c r="G697" s="108"/>
      <c r="H697" s="108"/>
      <c r="I697" s="108"/>
      <c r="J697" s="108"/>
      <c r="K697" s="108"/>
      <c r="L697" s="108"/>
      <c r="M697" s="108"/>
      <c r="N697" s="108"/>
      <c r="O697" s="108"/>
      <c r="P697" s="108"/>
      <c r="Q697" s="108"/>
      <c r="R697" s="108"/>
      <c r="S697" s="108"/>
      <c r="T697" s="108"/>
      <c r="U697" s="108"/>
      <c r="V697" s="108"/>
      <c r="W697" s="108"/>
      <c r="X697" s="108"/>
      <c r="Y697" s="108"/>
      <c r="Z697" s="108"/>
      <c r="AA697" s="108"/>
      <c r="AB697" s="108"/>
      <c r="AC697" s="108"/>
      <c r="AD697" s="108"/>
      <c r="AE697" s="108"/>
      <c r="AF697" s="108"/>
      <c r="AG697" s="108"/>
      <c r="AH697" s="108"/>
      <c r="AI697" s="108"/>
      <c r="AJ697" s="108"/>
      <c r="AK697" s="108"/>
      <c r="AL697" s="108"/>
      <c r="AM697" s="108"/>
      <c r="AN697" s="108"/>
      <c r="AO697" s="108"/>
      <c r="AP697" s="108"/>
      <c r="AQ697" s="108"/>
      <c r="AR697" s="108"/>
      <c r="AS697" s="108"/>
      <c r="AT697" s="108"/>
      <c r="AU697" s="108"/>
      <c r="AV697" s="108"/>
      <c r="AW697" s="108"/>
      <c r="AX697" s="108"/>
      <c r="AY697" s="108"/>
      <c r="AZ697" s="108"/>
      <c r="BA697" s="108"/>
      <c r="BB697" s="108"/>
    </row>
    <row r="698" spans="3:54" ht="12.75" customHeight="1" x14ac:dyDescent="0.25">
      <c r="C698" s="108"/>
      <c r="D698" s="108"/>
      <c r="E698" s="108"/>
      <c r="F698" s="108"/>
      <c r="G698" s="108"/>
      <c r="H698" s="108"/>
      <c r="I698" s="108"/>
      <c r="J698" s="108"/>
      <c r="K698" s="108"/>
      <c r="L698" s="108"/>
      <c r="M698" s="108"/>
      <c r="N698" s="108"/>
      <c r="O698" s="108"/>
      <c r="P698" s="108"/>
      <c r="Q698" s="108"/>
      <c r="R698" s="108"/>
      <c r="S698" s="108"/>
      <c r="T698" s="108"/>
      <c r="U698" s="108"/>
      <c r="V698" s="108"/>
      <c r="W698" s="108"/>
      <c r="X698" s="108"/>
      <c r="Y698" s="108"/>
      <c r="Z698" s="108"/>
      <c r="AA698" s="108"/>
      <c r="AB698" s="108"/>
      <c r="AC698" s="108"/>
      <c r="AD698" s="108"/>
      <c r="AE698" s="108"/>
      <c r="AF698" s="108"/>
      <c r="AG698" s="108"/>
      <c r="AH698" s="108"/>
      <c r="AI698" s="108"/>
      <c r="AJ698" s="108"/>
      <c r="AK698" s="108"/>
      <c r="AL698" s="108"/>
      <c r="AM698" s="108"/>
      <c r="AN698" s="108"/>
      <c r="AO698" s="108"/>
      <c r="AP698" s="108"/>
      <c r="AQ698" s="108"/>
      <c r="AR698" s="108"/>
      <c r="AS698" s="108"/>
      <c r="AT698" s="108"/>
      <c r="AU698" s="108"/>
      <c r="AV698" s="108"/>
      <c r="AW698" s="108"/>
      <c r="AX698" s="108"/>
      <c r="AY698" s="108"/>
      <c r="AZ698" s="108"/>
      <c r="BA698" s="108"/>
      <c r="BB698" s="108"/>
    </row>
    <row r="699" spans="3:54" ht="12.75" customHeight="1" x14ac:dyDescent="0.25">
      <c r="C699" s="108"/>
      <c r="D699" s="108"/>
      <c r="E699" s="108"/>
      <c r="F699" s="108"/>
      <c r="G699" s="108"/>
      <c r="H699" s="108"/>
      <c r="I699" s="108"/>
      <c r="J699" s="108"/>
      <c r="K699" s="108"/>
      <c r="L699" s="108"/>
      <c r="M699" s="108"/>
      <c r="N699" s="108"/>
      <c r="O699" s="108"/>
      <c r="P699" s="108"/>
      <c r="Q699" s="108"/>
      <c r="R699" s="108"/>
      <c r="S699" s="108"/>
      <c r="T699" s="108"/>
      <c r="U699" s="108"/>
      <c r="V699" s="108"/>
      <c r="W699" s="108"/>
      <c r="X699" s="108"/>
      <c r="Y699" s="108"/>
      <c r="Z699" s="108"/>
      <c r="AA699" s="108"/>
      <c r="AB699" s="108"/>
      <c r="AC699" s="108"/>
      <c r="AD699" s="108"/>
      <c r="AE699" s="108"/>
      <c r="AF699" s="108"/>
      <c r="AG699" s="108"/>
      <c r="AH699" s="108"/>
      <c r="AI699" s="108"/>
      <c r="AJ699" s="108"/>
      <c r="AK699" s="108"/>
      <c r="AL699" s="108"/>
      <c r="AM699" s="108"/>
      <c r="AN699" s="108"/>
      <c r="AO699" s="108"/>
      <c r="AP699" s="108"/>
      <c r="AQ699" s="108"/>
      <c r="AR699" s="108"/>
      <c r="AS699" s="108"/>
      <c r="AT699" s="108"/>
      <c r="AU699" s="108"/>
      <c r="AV699" s="108"/>
      <c r="AW699" s="108"/>
      <c r="AX699" s="108"/>
      <c r="AY699" s="108"/>
      <c r="AZ699" s="108"/>
      <c r="BA699" s="108"/>
      <c r="BB699" s="108"/>
    </row>
    <row r="700" spans="3:54" ht="12.75" customHeight="1" x14ac:dyDescent="0.25">
      <c r="C700" s="108"/>
      <c r="D700" s="108"/>
      <c r="E700" s="108"/>
      <c r="F700" s="108"/>
      <c r="G700" s="108"/>
      <c r="H700" s="108"/>
      <c r="I700" s="108"/>
      <c r="J700" s="108"/>
      <c r="K700" s="108"/>
      <c r="L700" s="108"/>
      <c r="M700" s="108"/>
      <c r="N700" s="108"/>
      <c r="O700" s="108"/>
      <c r="P700" s="108"/>
      <c r="Q700" s="108"/>
      <c r="R700" s="108"/>
      <c r="S700" s="108"/>
      <c r="T700" s="108"/>
      <c r="U700" s="108"/>
      <c r="V700" s="108"/>
      <c r="W700" s="108"/>
      <c r="X700" s="108"/>
      <c r="Y700" s="108"/>
      <c r="Z700" s="108"/>
      <c r="AA700" s="108"/>
      <c r="AB700" s="108"/>
      <c r="AC700" s="108"/>
      <c r="AD700" s="108"/>
      <c r="AE700" s="108"/>
      <c r="AF700" s="108"/>
      <c r="AG700" s="108"/>
      <c r="AH700" s="108"/>
      <c r="AI700" s="108"/>
      <c r="AJ700" s="108"/>
      <c r="AK700" s="108"/>
      <c r="AL700" s="108"/>
      <c r="AM700" s="108"/>
      <c r="AN700" s="108"/>
      <c r="AO700" s="108"/>
      <c r="AP700" s="108"/>
      <c r="AQ700" s="108"/>
      <c r="AR700" s="108"/>
      <c r="AS700" s="108"/>
      <c r="AT700" s="108"/>
      <c r="AU700" s="108"/>
      <c r="AV700" s="108"/>
      <c r="AW700" s="108"/>
      <c r="AX700" s="108"/>
      <c r="AY700" s="108"/>
      <c r="AZ700" s="108"/>
      <c r="BA700" s="108"/>
      <c r="BB700" s="108"/>
    </row>
    <row r="701" spans="3:54" ht="12.75" customHeight="1" x14ac:dyDescent="0.25">
      <c r="C701" s="108"/>
      <c r="D701" s="108"/>
      <c r="E701" s="108"/>
      <c r="F701" s="108"/>
      <c r="G701" s="108"/>
      <c r="H701" s="108"/>
      <c r="I701" s="108"/>
      <c r="J701" s="108"/>
      <c r="K701" s="108"/>
      <c r="L701" s="108"/>
      <c r="M701" s="108"/>
      <c r="N701" s="108"/>
      <c r="O701" s="108"/>
      <c r="P701" s="108"/>
      <c r="Q701" s="108"/>
      <c r="R701" s="108"/>
      <c r="S701" s="108"/>
      <c r="T701" s="108"/>
      <c r="U701" s="108"/>
      <c r="V701" s="108"/>
      <c r="W701" s="108"/>
      <c r="X701" s="108"/>
      <c r="Y701" s="108"/>
      <c r="Z701" s="108"/>
      <c r="AA701" s="108"/>
      <c r="AB701" s="108"/>
      <c r="AC701" s="108"/>
      <c r="AD701" s="108"/>
      <c r="AE701" s="108"/>
      <c r="AF701" s="108"/>
      <c r="AG701" s="108"/>
      <c r="AH701" s="108"/>
      <c r="AI701" s="108"/>
      <c r="AJ701" s="108"/>
      <c r="AK701" s="108"/>
      <c r="AL701" s="108"/>
      <c r="AM701" s="108"/>
      <c r="AN701" s="108"/>
      <c r="AO701" s="108"/>
      <c r="AP701" s="108"/>
      <c r="AQ701" s="108"/>
      <c r="AR701" s="108"/>
      <c r="AS701" s="108"/>
      <c r="AT701" s="108"/>
      <c r="AU701" s="108"/>
      <c r="AV701" s="108"/>
      <c r="AW701" s="108"/>
      <c r="AX701" s="108"/>
      <c r="AY701" s="108"/>
      <c r="AZ701" s="108"/>
      <c r="BA701" s="108"/>
      <c r="BB701" s="108"/>
    </row>
    <row r="702" spans="3:54" ht="12.75" customHeight="1" x14ac:dyDescent="0.25">
      <c r="C702" s="108"/>
      <c r="D702" s="108"/>
      <c r="E702" s="108"/>
      <c r="F702" s="108"/>
      <c r="G702" s="108"/>
      <c r="H702" s="108"/>
      <c r="I702" s="108"/>
      <c r="J702" s="108"/>
      <c r="K702" s="108"/>
      <c r="L702" s="108"/>
      <c r="M702" s="108"/>
      <c r="N702" s="108"/>
      <c r="O702" s="108"/>
      <c r="P702" s="108"/>
      <c r="Q702" s="108"/>
      <c r="R702" s="108"/>
      <c r="S702" s="108"/>
      <c r="T702" s="108"/>
      <c r="U702" s="108"/>
      <c r="V702" s="108"/>
      <c r="W702" s="108"/>
      <c r="X702" s="108"/>
      <c r="Y702" s="108"/>
      <c r="Z702" s="108"/>
      <c r="AA702" s="108"/>
      <c r="AB702" s="108"/>
      <c r="AC702" s="108"/>
      <c r="AD702" s="108"/>
      <c r="AE702" s="108"/>
      <c r="AF702" s="108"/>
      <c r="AG702" s="108"/>
      <c r="AH702" s="108"/>
      <c r="AI702" s="108"/>
      <c r="AJ702" s="108"/>
      <c r="AK702" s="108"/>
      <c r="AL702" s="108"/>
      <c r="AM702" s="108"/>
      <c r="AN702" s="108"/>
      <c r="AO702" s="108"/>
      <c r="AP702" s="108"/>
      <c r="AQ702" s="108"/>
      <c r="AR702" s="108"/>
      <c r="AS702" s="108"/>
      <c r="AT702" s="108"/>
      <c r="AU702" s="108"/>
      <c r="AV702" s="108"/>
      <c r="AW702" s="108"/>
      <c r="AX702" s="108"/>
      <c r="AY702" s="108"/>
      <c r="AZ702" s="108"/>
      <c r="BA702" s="108"/>
      <c r="BB702" s="108"/>
    </row>
    <row r="703" spans="3:54" ht="12.75" customHeight="1" x14ac:dyDescent="0.25">
      <c r="C703" s="108"/>
      <c r="D703" s="108"/>
      <c r="E703" s="108"/>
      <c r="F703" s="108"/>
      <c r="G703" s="108"/>
      <c r="H703" s="108"/>
      <c r="I703" s="108"/>
      <c r="J703" s="108"/>
      <c r="K703" s="108"/>
      <c r="L703" s="108"/>
      <c r="M703" s="108"/>
      <c r="N703" s="108"/>
      <c r="O703" s="108"/>
      <c r="P703" s="108"/>
      <c r="Q703" s="108"/>
      <c r="R703" s="108"/>
      <c r="S703" s="108"/>
      <c r="T703" s="108"/>
      <c r="U703" s="108"/>
      <c r="V703" s="108"/>
      <c r="W703" s="108"/>
      <c r="X703" s="108"/>
      <c r="Y703" s="108"/>
      <c r="Z703" s="108"/>
      <c r="AA703" s="108"/>
      <c r="AB703" s="108"/>
      <c r="AC703" s="108"/>
      <c r="AD703" s="108"/>
      <c r="AE703" s="108"/>
      <c r="AF703" s="108"/>
      <c r="AG703" s="108"/>
      <c r="AH703" s="108"/>
      <c r="AI703" s="108"/>
      <c r="AJ703" s="108"/>
      <c r="AK703" s="108"/>
      <c r="AL703" s="108"/>
      <c r="AM703" s="108"/>
      <c r="AN703" s="108"/>
      <c r="AO703" s="108"/>
      <c r="AP703" s="108"/>
      <c r="AQ703" s="108"/>
      <c r="AR703" s="108"/>
      <c r="AS703" s="108"/>
      <c r="AT703" s="108"/>
      <c r="AU703" s="108"/>
      <c r="AV703" s="108"/>
      <c r="AW703" s="108"/>
      <c r="AX703" s="108"/>
      <c r="AY703" s="108"/>
      <c r="AZ703" s="108"/>
      <c r="BA703" s="108"/>
      <c r="BB703" s="108"/>
    </row>
    <row r="704" spans="3:54" ht="12.75" customHeight="1" x14ac:dyDescent="0.25">
      <c r="C704" s="108"/>
      <c r="D704" s="108"/>
      <c r="E704" s="108"/>
      <c r="F704" s="108"/>
      <c r="G704" s="108"/>
      <c r="H704" s="108"/>
      <c r="I704" s="108"/>
      <c r="J704" s="108"/>
      <c r="K704" s="108"/>
      <c r="L704" s="108"/>
      <c r="M704" s="108"/>
      <c r="N704" s="108"/>
      <c r="O704" s="108"/>
      <c r="P704" s="108"/>
      <c r="Q704" s="108"/>
      <c r="R704" s="108"/>
      <c r="S704" s="108"/>
      <c r="T704" s="108"/>
      <c r="U704" s="108"/>
      <c r="V704" s="108"/>
      <c r="W704" s="108"/>
      <c r="X704" s="108"/>
      <c r="Y704" s="108"/>
      <c r="Z704" s="108"/>
      <c r="AA704" s="108"/>
      <c r="AB704" s="108"/>
      <c r="AC704" s="108"/>
      <c r="AD704" s="108"/>
      <c r="AE704" s="108"/>
      <c r="AF704" s="108"/>
      <c r="AG704" s="108"/>
      <c r="AH704" s="108"/>
      <c r="AI704" s="108"/>
      <c r="AJ704" s="108"/>
      <c r="AK704" s="108"/>
      <c r="AL704" s="108"/>
      <c r="AM704" s="108"/>
      <c r="AN704" s="108"/>
      <c r="AO704" s="108"/>
      <c r="AP704" s="108"/>
      <c r="AQ704" s="108"/>
      <c r="AR704" s="108"/>
      <c r="AS704" s="108"/>
      <c r="AT704" s="108"/>
      <c r="AU704" s="108"/>
      <c r="AV704" s="108"/>
      <c r="AW704" s="108"/>
      <c r="AX704" s="108"/>
      <c r="AY704" s="108"/>
      <c r="AZ704" s="108"/>
      <c r="BA704" s="108"/>
      <c r="BB704" s="108"/>
    </row>
    <row r="705" spans="3:54" ht="12.75" customHeight="1" x14ac:dyDescent="0.25">
      <c r="C705" s="108"/>
      <c r="D705" s="108"/>
      <c r="E705" s="108"/>
      <c r="F705" s="108"/>
      <c r="G705" s="108"/>
      <c r="H705" s="108"/>
      <c r="I705" s="108"/>
      <c r="J705" s="108"/>
      <c r="K705" s="108"/>
      <c r="L705" s="108"/>
      <c r="M705" s="108"/>
      <c r="N705" s="108"/>
      <c r="O705" s="108"/>
      <c r="P705" s="108"/>
      <c r="Q705" s="108"/>
      <c r="R705" s="108"/>
      <c r="S705" s="108"/>
      <c r="T705" s="108"/>
      <c r="U705" s="108"/>
      <c r="V705" s="108"/>
      <c r="W705" s="108"/>
      <c r="X705" s="108"/>
      <c r="Y705" s="108"/>
      <c r="Z705" s="108"/>
      <c r="AA705" s="108"/>
      <c r="AB705" s="108"/>
      <c r="AC705" s="108"/>
      <c r="AD705" s="108"/>
      <c r="AE705" s="108"/>
      <c r="AF705" s="108"/>
      <c r="AG705" s="108"/>
      <c r="AH705" s="108"/>
      <c r="AI705" s="108"/>
      <c r="AJ705" s="108"/>
      <c r="AK705" s="108"/>
      <c r="AL705" s="108"/>
      <c r="AM705" s="108"/>
      <c r="AN705" s="108"/>
      <c r="AO705" s="108"/>
      <c r="AP705" s="108"/>
      <c r="AQ705" s="108"/>
      <c r="AR705" s="108"/>
      <c r="AS705" s="108"/>
      <c r="AT705" s="108"/>
      <c r="AU705" s="108"/>
      <c r="AV705" s="108"/>
      <c r="AW705" s="108"/>
      <c r="AX705" s="108"/>
      <c r="AY705" s="108"/>
      <c r="AZ705" s="108"/>
      <c r="BA705" s="108"/>
      <c r="BB705" s="108"/>
    </row>
    <row r="706" spans="3:54" ht="12.75" customHeight="1" x14ac:dyDescent="0.25">
      <c r="C706" s="108"/>
      <c r="D706" s="108"/>
      <c r="E706" s="108"/>
      <c r="F706" s="108"/>
      <c r="G706" s="108"/>
      <c r="H706" s="108"/>
      <c r="I706" s="108"/>
      <c r="J706" s="108"/>
      <c r="K706" s="108"/>
      <c r="L706" s="108"/>
      <c r="M706" s="108"/>
      <c r="N706" s="108"/>
      <c r="O706" s="108"/>
      <c r="P706" s="108"/>
      <c r="Q706" s="108"/>
      <c r="R706" s="108"/>
      <c r="S706" s="108"/>
      <c r="T706" s="108"/>
      <c r="U706" s="108"/>
      <c r="V706" s="108"/>
      <c r="W706" s="108"/>
      <c r="X706" s="108"/>
      <c r="Y706" s="108"/>
      <c r="Z706" s="108"/>
      <c r="AA706" s="108"/>
      <c r="AB706" s="108"/>
      <c r="AC706" s="108"/>
      <c r="AD706" s="108"/>
      <c r="AE706" s="108"/>
      <c r="AF706" s="108"/>
      <c r="AG706" s="108"/>
      <c r="AH706" s="108"/>
      <c r="AI706" s="108"/>
      <c r="AJ706" s="108"/>
      <c r="AK706" s="108"/>
      <c r="AL706" s="108"/>
      <c r="AM706" s="108"/>
      <c r="AN706" s="108"/>
      <c r="AO706" s="108"/>
      <c r="AP706" s="108"/>
      <c r="AQ706" s="108"/>
      <c r="AR706" s="108"/>
      <c r="AS706" s="108"/>
      <c r="AT706" s="108"/>
      <c r="AU706" s="108"/>
      <c r="AV706" s="108"/>
      <c r="AW706" s="108"/>
      <c r="AX706" s="108"/>
      <c r="AY706" s="108"/>
      <c r="AZ706" s="108"/>
      <c r="BA706" s="108"/>
      <c r="BB706" s="108"/>
    </row>
    <row r="707" spans="3:54" ht="12.75" customHeight="1" x14ac:dyDescent="0.25">
      <c r="C707" s="108"/>
      <c r="D707" s="108"/>
      <c r="E707" s="108"/>
      <c r="F707" s="108"/>
      <c r="G707" s="108"/>
      <c r="H707" s="108"/>
      <c r="I707" s="108"/>
      <c r="J707" s="108"/>
      <c r="K707" s="108"/>
      <c r="L707" s="108"/>
      <c r="M707" s="108"/>
      <c r="N707" s="108"/>
      <c r="O707" s="108"/>
      <c r="P707" s="108"/>
      <c r="Q707" s="108"/>
      <c r="R707" s="108"/>
      <c r="S707" s="108"/>
      <c r="T707" s="108"/>
      <c r="U707" s="108"/>
      <c r="V707" s="108"/>
      <c r="W707" s="108"/>
      <c r="X707" s="108"/>
      <c r="Y707" s="108"/>
      <c r="Z707" s="108"/>
      <c r="AA707" s="108"/>
      <c r="AB707" s="108"/>
      <c r="AC707" s="108"/>
      <c r="AD707" s="108"/>
      <c r="AE707" s="108"/>
      <c r="AF707" s="108"/>
      <c r="AG707" s="108"/>
      <c r="AH707" s="108"/>
      <c r="AI707" s="108"/>
      <c r="AJ707" s="108"/>
      <c r="AK707" s="108"/>
      <c r="AL707" s="108"/>
      <c r="AM707" s="108"/>
      <c r="AN707" s="108"/>
      <c r="AO707" s="108"/>
      <c r="AP707" s="108"/>
      <c r="AQ707" s="108"/>
      <c r="AR707" s="108"/>
      <c r="AS707" s="108"/>
      <c r="AT707" s="108"/>
      <c r="AU707" s="108"/>
      <c r="AV707" s="108"/>
      <c r="AW707" s="108"/>
      <c r="AX707" s="108"/>
      <c r="AY707" s="108"/>
      <c r="AZ707" s="108"/>
      <c r="BA707" s="108"/>
      <c r="BB707" s="108"/>
    </row>
    <row r="708" spans="3:54" ht="12.75" customHeight="1" x14ac:dyDescent="0.25">
      <c r="C708" s="108"/>
      <c r="D708" s="108"/>
      <c r="E708" s="108"/>
      <c r="F708" s="108"/>
      <c r="G708" s="108"/>
      <c r="H708" s="108"/>
      <c r="I708" s="108"/>
      <c r="J708" s="108"/>
      <c r="K708" s="108"/>
      <c r="L708" s="108"/>
      <c r="M708" s="108"/>
      <c r="N708" s="108"/>
      <c r="O708" s="108"/>
      <c r="P708" s="108"/>
      <c r="Q708" s="108"/>
      <c r="R708" s="108"/>
      <c r="S708" s="108"/>
      <c r="T708" s="108"/>
      <c r="U708" s="108"/>
      <c r="V708" s="108"/>
      <c r="W708" s="108"/>
      <c r="X708" s="108"/>
      <c r="Y708" s="108"/>
      <c r="Z708" s="108"/>
      <c r="AA708" s="108"/>
      <c r="AB708" s="108"/>
      <c r="AC708" s="108"/>
      <c r="AD708" s="108"/>
      <c r="AE708" s="108"/>
      <c r="AF708" s="108"/>
      <c r="AG708" s="108"/>
      <c r="AH708" s="108"/>
      <c r="AI708" s="108"/>
      <c r="AJ708" s="108"/>
      <c r="AK708" s="108"/>
      <c r="AL708" s="108"/>
      <c r="AM708" s="108"/>
      <c r="AN708" s="108"/>
      <c r="AO708" s="108"/>
      <c r="AP708" s="108"/>
      <c r="AQ708" s="108"/>
      <c r="AR708" s="108"/>
      <c r="AS708" s="108"/>
      <c r="AT708" s="108"/>
      <c r="AU708" s="108"/>
      <c r="AV708" s="108"/>
      <c r="AW708" s="108"/>
      <c r="AX708" s="108"/>
      <c r="AY708" s="108"/>
      <c r="AZ708" s="108"/>
      <c r="BA708" s="108"/>
      <c r="BB708" s="108"/>
    </row>
    <row r="709" spans="3:54" ht="12.75" customHeight="1" x14ac:dyDescent="0.25">
      <c r="C709" s="108"/>
      <c r="D709" s="108"/>
      <c r="E709" s="108"/>
      <c r="F709" s="108"/>
      <c r="G709" s="108"/>
      <c r="H709" s="108"/>
      <c r="I709" s="108"/>
      <c r="J709" s="108"/>
      <c r="K709" s="108"/>
      <c r="L709" s="108"/>
      <c r="M709" s="108"/>
      <c r="N709" s="108"/>
      <c r="O709" s="108"/>
      <c r="P709" s="108"/>
      <c r="Q709" s="108"/>
      <c r="R709" s="108"/>
      <c r="S709" s="108"/>
      <c r="T709" s="108"/>
      <c r="U709" s="108"/>
      <c r="V709" s="108"/>
      <c r="W709" s="108"/>
      <c r="X709" s="108"/>
      <c r="Y709" s="108"/>
      <c r="Z709" s="108"/>
      <c r="AA709" s="108"/>
      <c r="AB709" s="108"/>
      <c r="AC709" s="108"/>
      <c r="AD709" s="108"/>
      <c r="AE709" s="108"/>
      <c r="AF709" s="108"/>
      <c r="AG709" s="108"/>
      <c r="AH709" s="108"/>
      <c r="AI709" s="108"/>
      <c r="AJ709" s="108"/>
      <c r="AK709" s="108"/>
      <c r="AL709" s="108"/>
      <c r="AM709" s="108"/>
      <c r="AN709" s="108"/>
      <c r="AO709" s="108"/>
      <c r="AP709" s="108"/>
      <c r="AQ709" s="108"/>
      <c r="AR709" s="108"/>
      <c r="AS709" s="108"/>
      <c r="AT709" s="108"/>
      <c r="AU709" s="108"/>
      <c r="AV709" s="108"/>
      <c r="AW709" s="108"/>
      <c r="AX709" s="108"/>
      <c r="AY709" s="108"/>
      <c r="AZ709" s="108"/>
      <c r="BA709" s="108"/>
      <c r="BB709" s="108"/>
    </row>
    <row r="710" spans="3:54" ht="12.75" customHeight="1" x14ac:dyDescent="0.25">
      <c r="C710" s="108"/>
      <c r="D710" s="108"/>
      <c r="E710" s="108"/>
      <c r="F710" s="108"/>
      <c r="G710" s="108"/>
      <c r="H710" s="108"/>
      <c r="I710" s="108"/>
      <c r="J710" s="108"/>
      <c r="K710" s="108"/>
      <c r="L710" s="108"/>
      <c r="M710" s="108"/>
      <c r="N710" s="108"/>
      <c r="O710" s="108"/>
      <c r="P710" s="108"/>
      <c r="Q710" s="108"/>
      <c r="R710" s="108"/>
      <c r="S710" s="108"/>
      <c r="T710" s="108"/>
      <c r="U710" s="108"/>
      <c r="V710" s="108"/>
      <c r="W710" s="108"/>
      <c r="X710" s="108"/>
      <c r="Y710" s="108"/>
      <c r="Z710" s="108"/>
      <c r="AA710" s="108"/>
      <c r="AB710" s="108"/>
      <c r="AC710" s="108"/>
      <c r="AD710" s="108"/>
      <c r="AE710" s="108"/>
      <c r="AF710" s="108"/>
      <c r="AG710" s="108"/>
      <c r="AH710" s="108"/>
      <c r="AI710" s="108"/>
      <c r="AJ710" s="108"/>
      <c r="AK710" s="108"/>
      <c r="AL710" s="108"/>
      <c r="AM710" s="108"/>
      <c r="AN710" s="108"/>
      <c r="AO710" s="108"/>
      <c r="AP710" s="108"/>
      <c r="AQ710" s="108"/>
      <c r="AR710" s="108"/>
      <c r="AS710" s="108"/>
      <c r="AT710" s="108"/>
      <c r="AU710" s="108"/>
      <c r="AV710" s="108"/>
      <c r="AW710" s="108"/>
      <c r="AX710" s="108"/>
      <c r="AY710" s="108"/>
      <c r="AZ710" s="108"/>
      <c r="BA710" s="108"/>
      <c r="BB710" s="108"/>
    </row>
    <row r="711" spans="3:54" ht="12.75" customHeight="1" x14ac:dyDescent="0.25">
      <c r="C711" s="108"/>
      <c r="D711" s="108"/>
      <c r="E711" s="108"/>
      <c r="F711" s="108"/>
      <c r="G711" s="108"/>
      <c r="H711" s="108"/>
      <c r="I711" s="108"/>
      <c r="J711" s="108"/>
      <c r="K711" s="108"/>
      <c r="L711" s="108"/>
      <c r="M711" s="108"/>
      <c r="N711" s="108"/>
      <c r="O711" s="108"/>
      <c r="P711" s="108"/>
      <c r="Q711" s="108"/>
      <c r="R711" s="108"/>
      <c r="S711" s="108"/>
      <c r="T711" s="108"/>
      <c r="U711" s="108"/>
      <c r="V711" s="108"/>
      <c r="W711" s="108"/>
      <c r="X711" s="108"/>
      <c r="Y711" s="108"/>
      <c r="Z711" s="108"/>
      <c r="AA711" s="108"/>
      <c r="AB711" s="108"/>
      <c r="AC711" s="108"/>
      <c r="AD711" s="108"/>
      <c r="AE711" s="108"/>
      <c r="AF711" s="108"/>
      <c r="AG711" s="108"/>
      <c r="AH711" s="108"/>
      <c r="AI711" s="108"/>
      <c r="AJ711" s="108"/>
      <c r="AK711" s="108"/>
      <c r="AL711" s="108"/>
      <c r="AM711" s="108"/>
      <c r="AN711" s="108"/>
      <c r="AO711" s="108"/>
      <c r="AP711" s="108"/>
      <c r="AQ711" s="108"/>
      <c r="AR711" s="108"/>
      <c r="AS711" s="108"/>
      <c r="AT711" s="108"/>
      <c r="AU711" s="108"/>
      <c r="AV711" s="108"/>
      <c r="AW711" s="108"/>
      <c r="AX711" s="108"/>
      <c r="AY711" s="108"/>
      <c r="AZ711" s="108"/>
      <c r="BA711" s="108"/>
      <c r="BB711" s="108"/>
    </row>
    <row r="712" spans="3:54" ht="12.75" customHeight="1" x14ac:dyDescent="0.25">
      <c r="C712" s="108"/>
      <c r="D712" s="108"/>
      <c r="E712" s="108"/>
      <c r="F712" s="108"/>
      <c r="G712" s="108"/>
      <c r="H712" s="108"/>
      <c r="I712" s="108"/>
      <c r="J712" s="108"/>
      <c r="K712" s="108"/>
      <c r="L712" s="108"/>
      <c r="M712" s="108"/>
      <c r="N712" s="108"/>
      <c r="O712" s="108"/>
      <c r="P712" s="108"/>
      <c r="Q712" s="108"/>
      <c r="R712" s="108"/>
      <c r="S712" s="108"/>
      <c r="T712" s="108"/>
      <c r="U712" s="108"/>
      <c r="V712" s="108"/>
      <c r="W712" s="108"/>
      <c r="X712" s="108"/>
      <c r="Y712" s="108"/>
      <c r="Z712" s="108"/>
      <c r="AA712" s="108"/>
      <c r="AB712" s="108"/>
      <c r="AC712" s="108"/>
      <c r="AD712" s="108"/>
      <c r="AE712" s="108"/>
      <c r="AF712" s="108"/>
      <c r="AG712" s="108"/>
      <c r="AH712" s="108"/>
      <c r="AI712" s="108"/>
      <c r="AJ712" s="108"/>
      <c r="AK712" s="108"/>
      <c r="AL712" s="108"/>
      <c r="AM712" s="108"/>
      <c r="AN712" s="108"/>
      <c r="AO712" s="108"/>
      <c r="AP712" s="108"/>
      <c r="AQ712" s="108"/>
      <c r="AR712" s="108"/>
      <c r="AS712" s="108"/>
      <c r="AT712" s="108"/>
      <c r="AU712" s="108"/>
      <c r="AV712" s="108"/>
      <c r="AW712" s="108"/>
      <c r="AX712" s="108"/>
      <c r="AY712" s="108"/>
      <c r="AZ712" s="108"/>
      <c r="BA712" s="108"/>
      <c r="BB712" s="108"/>
    </row>
    <row r="713" spans="3:54" ht="12.75" customHeight="1" x14ac:dyDescent="0.25">
      <c r="C713" s="108"/>
      <c r="D713" s="108"/>
      <c r="E713" s="108"/>
      <c r="F713" s="108"/>
      <c r="G713" s="108"/>
      <c r="H713" s="108"/>
      <c r="I713" s="108"/>
      <c r="J713" s="108"/>
      <c r="K713" s="108"/>
      <c r="L713" s="108"/>
      <c r="M713" s="108"/>
      <c r="N713" s="108"/>
      <c r="O713" s="108"/>
      <c r="P713" s="108"/>
      <c r="Q713" s="108"/>
      <c r="R713" s="108"/>
      <c r="S713" s="108"/>
      <c r="T713" s="108"/>
      <c r="U713" s="108"/>
      <c r="V713" s="108"/>
      <c r="W713" s="108"/>
      <c r="X713" s="108"/>
      <c r="Y713" s="108"/>
      <c r="Z713" s="108"/>
      <c r="AA713" s="108"/>
      <c r="AB713" s="108"/>
      <c r="AC713" s="108"/>
      <c r="AD713" s="108"/>
      <c r="AE713" s="108"/>
      <c r="AF713" s="108"/>
      <c r="AG713" s="108"/>
      <c r="AH713" s="108"/>
      <c r="AI713" s="108"/>
      <c r="AJ713" s="108"/>
      <c r="AK713" s="108"/>
      <c r="AL713" s="108"/>
      <c r="AM713" s="108"/>
      <c r="AN713" s="108"/>
      <c r="AO713" s="108"/>
      <c r="AP713" s="108"/>
      <c r="AQ713" s="108"/>
      <c r="AR713" s="108"/>
      <c r="AS713" s="108"/>
      <c r="AT713" s="108"/>
      <c r="AU713" s="108"/>
      <c r="AV713" s="108"/>
      <c r="AW713" s="108"/>
      <c r="AX713" s="108"/>
      <c r="AY713" s="108"/>
      <c r="AZ713" s="108"/>
      <c r="BA713" s="108"/>
      <c r="BB713" s="108"/>
    </row>
    <row r="714" spans="3:54" ht="12.75" customHeight="1" x14ac:dyDescent="0.25">
      <c r="C714" s="108"/>
      <c r="D714" s="108"/>
      <c r="E714" s="108"/>
      <c r="F714" s="108"/>
      <c r="G714" s="108"/>
      <c r="H714" s="108"/>
      <c r="I714" s="108"/>
      <c r="J714" s="108"/>
      <c r="K714" s="108"/>
      <c r="L714" s="108"/>
      <c r="M714" s="108"/>
      <c r="N714" s="108"/>
      <c r="O714" s="108"/>
      <c r="P714" s="108"/>
      <c r="Q714" s="108"/>
      <c r="R714" s="108"/>
      <c r="S714" s="108"/>
      <c r="T714" s="108"/>
      <c r="U714" s="108"/>
      <c r="V714" s="108"/>
      <c r="W714" s="108"/>
      <c r="X714" s="108"/>
      <c r="Y714" s="108"/>
      <c r="Z714" s="108"/>
      <c r="AA714" s="108"/>
      <c r="AB714" s="108"/>
      <c r="AC714" s="108"/>
      <c r="AD714" s="108"/>
      <c r="AE714" s="108"/>
      <c r="AF714" s="108"/>
      <c r="AG714" s="108"/>
      <c r="AH714" s="108"/>
      <c r="AI714" s="108"/>
      <c r="AJ714" s="108"/>
      <c r="AK714" s="108"/>
      <c r="AL714" s="108"/>
      <c r="AM714" s="108"/>
      <c r="AN714" s="108"/>
      <c r="AO714" s="108"/>
      <c r="AP714" s="108"/>
      <c r="AQ714" s="108"/>
      <c r="AR714" s="108"/>
      <c r="AS714" s="108"/>
      <c r="AT714" s="108"/>
      <c r="AU714" s="108"/>
      <c r="AV714" s="108"/>
      <c r="AW714" s="108"/>
      <c r="AX714" s="108"/>
      <c r="AY714" s="108"/>
      <c r="AZ714" s="108"/>
      <c r="BA714" s="108"/>
      <c r="BB714" s="108"/>
    </row>
    <row r="715" spans="3:54" ht="12.75" customHeight="1" x14ac:dyDescent="0.25">
      <c r="C715" s="108"/>
      <c r="D715" s="108"/>
      <c r="E715" s="108"/>
      <c r="F715" s="108"/>
      <c r="G715" s="108"/>
      <c r="H715" s="108"/>
      <c r="I715" s="108"/>
      <c r="J715" s="108"/>
      <c r="K715" s="108"/>
      <c r="L715" s="108"/>
      <c r="M715" s="108"/>
      <c r="N715" s="108"/>
      <c r="O715" s="108"/>
      <c r="P715" s="108"/>
      <c r="Q715" s="108"/>
      <c r="R715" s="108"/>
      <c r="S715" s="108"/>
      <c r="T715" s="108"/>
      <c r="U715" s="108"/>
      <c r="V715" s="108"/>
      <c r="W715" s="108"/>
      <c r="X715" s="108"/>
      <c r="Y715" s="108"/>
      <c r="Z715" s="108"/>
      <c r="AA715" s="108"/>
      <c r="AB715" s="108"/>
      <c r="AC715" s="108"/>
      <c r="AD715" s="108"/>
      <c r="AE715" s="108"/>
      <c r="AF715" s="108"/>
      <c r="AG715" s="108"/>
      <c r="AH715" s="108"/>
      <c r="AI715" s="108"/>
      <c r="AJ715" s="108"/>
      <c r="AK715" s="108"/>
      <c r="AL715" s="108"/>
      <c r="AM715" s="108"/>
      <c r="AN715" s="108"/>
      <c r="AO715" s="108"/>
      <c r="AP715" s="108"/>
      <c r="AQ715" s="108"/>
      <c r="AR715" s="108"/>
      <c r="AS715" s="108"/>
      <c r="AT715" s="108"/>
      <c r="AU715" s="108"/>
      <c r="AV715" s="108"/>
      <c r="AW715" s="108"/>
      <c r="AX715" s="108"/>
      <c r="AY715" s="108"/>
      <c r="AZ715" s="108"/>
      <c r="BA715" s="108"/>
      <c r="BB715" s="108"/>
    </row>
    <row r="716" spans="3:54" ht="12.75" customHeight="1" x14ac:dyDescent="0.25">
      <c r="C716" s="108"/>
      <c r="D716" s="108"/>
      <c r="E716" s="108"/>
      <c r="F716" s="108"/>
      <c r="G716" s="108"/>
      <c r="H716" s="108"/>
      <c r="I716" s="108"/>
      <c r="J716" s="108"/>
      <c r="K716" s="108"/>
      <c r="L716" s="108"/>
      <c r="M716" s="108"/>
      <c r="N716" s="108"/>
      <c r="O716" s="108"/>
      <c r="P716" s="108"/>
      <c r="Q716" s="108"/>
      <c r="R716" s="108"/>
      <c r="S716" s="108"/>
      <c r="T716" s="108"/>
      <c r="U716" s="108"/>
      <c r="V716" s="108"/>
      <c r="W716" s="108"/>
      <c r="X716" s="108"/>
      <c r="Y716" s="108"/>
      <c r="Z716" s="108"/>
      <c r="AA716" s="108"/>
      <c r="AB716" s="108"/>
      <c r="AC716" s="108"/>
      <c r="AD716" s="108"/>
      <c r="AE716" s="108"/>
      <c r="AF716" s="108"/>
      <c r="AG716" s="108"/>
      <c r="AH716" s="108"/>
      <c r="AI716" s="108"/>
      <c r="AJ716" s="108"/>
      <c r="AK716" s="108"/>
      <c r="AL716" s="108"/>
      <c r="AM716" s="108"/>
      <c r="AN716" s="108"/>
      <c r="AO716" s="108"/>
      <c r="AP716" s="108"/>
      <c r="AQ716" s="108"/>
      <c r="AR716" s="108"/>
      <c r="AS716" s="108"/>
      <c r="AT716" s="108"/>
      <c r="AU716" s="108"/>
      <c r="AV716" s="108"/>
      <c r="AW716" s="108"/>
      <c r="AX716" s="108"/>
      <c r="AY716" s="108"/>
      <c r="AZ716" s="108"/>
      <c r="BA716" s="108"/>
      <c r="BB716" s="108"/>
    </row>
    <row r="717" spans="3:54" ht="12.75" customHeight="1" x14ac:dyDescent="0.25">
      <c r="C717" s="108"/>
      <c r="D717" s="108"/>
      <c r="E717" s="108"/>
      <c r="F717" s="108"/>
      <c r="G717" s="108"/>
      <c r="H717" s="108"/>
      <c r="I717" s="108"/>
      <c r="J717" s="108"/>
      <c r="K717" s="108"/>
      <c r="L717" s="108"/>
      <c r="M717" s="108"/>
      <c r="N717" s="108"/>
      <c r="O717" s="108"/>
      <c r="P717" s="108"/>
      <c r="Q717" s="108"/>
      <c r="R717" s="108"/>
      <c r="S717" s="108"/>
      <c r="T717" s="108"/>
      <c r="U717" s="108"/>
      <c r="V717" s="108"/>
      <c r="W717" s="108"/>
      <c r="X717" s="108"/>
      <c r="Y717" s="108"/>
      <c r="Z717" s="108"/>
      <c r="AA717" s="108"/>
      <c r="AB717" s="108"/>
      <c r="AC717" s="108"/>
      <c r="AD717" s="108"/>
      <c r="AE717" s="108"/>
      <c r="AF717" s="108"/>
      <c r="AG717" s="108"/>
      <c r="AH717" s="108"/>
      <c r="AI717" s="108"/>
      <c r="AJ717" s="108"/>
      <c r="AK717" s="108"/>
      <c r="AL717" s="108"/>
      <c r="AM717" s="108"/>
      <c r="AN717" s="108"/>
      <c r="AO717" s="108"/>
      <c r="AP717" s="108"/>
      <c r="AQ717" s="108"/>
      <c r="AR717" s="108"/>
      <c r="AS717" s="108"/>
      <c r="AT717" s="108"/>
      <c r="AU717" s="108"/>
      <c r="AV717" s="108"/>
      <c r="AW717" s="108"/>
      <c r="AX717" s="108"/>
      <c r="AY717" s="108"/>
      <c r="AZ717" s="108"/>
      <c r="BA717" s="108"/>
      <c r="BB717" s="108"/>
    </row>
    <row r="718" spans="3:54" ht="12.75" customHeight="1" x14ac:dyDescent="0.25">
      <c r="C718" s="108"/>
      <c r="D718" s="108"/>
      <c r="E718" s="108"/>
      <c r="F718" s="108"/>
      <c r="G718" s="108"/>
      <c r="H718" s="108"/>
      <c r="I718" s="108"/>
      <c r="J718" s="108"/>
      <c r="K718" s="108"/>
      <c r="L718" s="108"/>
      <c r="M718" s="108"/>
      <c r="N718" s="108"/>
      <c r="O718" s="108"/>
      <c r="P718" s="108"/>
      <c r="Q718" s="108"/>
      <c r="R718" s="108"/>
      <c r="S718" s="108"/>
      <c r="T718" s="108"/>
      <c r="U718" s="108"/>
      <c r="V718" s="108"/>
      <c r="W718" s="108"/>
      <c r="X718" s="108"/>
      <c r="Y718" s="108"/>
      <c r="Z718" s="108"/>
      <c r="AA718" s="108"/>
      <c r="AB718" s="108"/>
      <c r="AC718" s="108"/>
      <c r="AD718" s="108"/>
      <c r="AE718" s="108"/>
      <c r="AF718" s="108"/>
      <c r="AG718" s="108"/>
      <c r="AH718" s="108"/>
      <c r="AI718" s="108"/>
      <c r="AJ718" s="108"/>
      <c r="AK718" s="108"/>
      <c r="AL718" s="108"/>
      <c r="AM718" s="108"/>
      <c r="AN718" s="108"/>
      <c r="AO718" s="108"/>
      <c r="AP718" s="108"/>
      <c r="AQ718" s="108"/>
      <c r="AR718" s="108"/>
      <c r="AS718" s="108"/>
      <c r="AT718" s="108"/>
      <c r="AU718" s="108"/>
      <c r="AV718" s="108"/>
      <c r="AW718" s="108"/>
      <c r="AX718" s="108"/>
      <c r="AY718" s="108"/>
      <c r="AZ718" s="108"/>
      <c r="BA718" s="108"/>
      <c r="BB718" s="108"/>
    </row>
    <row r="719" spans="3:54" ht="12.75" customHeight="1" x14ac:dyDescent="0.25">
      <c r="C719" s="108"/>
      <c r="D719" s="108"/>
      <c r="E719" s="108"/>
      <c r="F719" s="108"/>
      <c r="G719" s="108"/>
      <c r="H719" s="108"/>
      <c r="I719" s="108"/>
      <c r="J719" s="108"/>
      <c r="K719" s="108"/>
      <c r="L719" s="108"/>
      <c r="M719" s="108"/>
      <c r="N719" s="108"/>
      <c r="O719" s="108"/>
      <c r="P719" s="108"/>
      <c r="Q719" s="108"/>
      <c r="R719" s="108"/>
      <c r="S719" s="108"/>
      <c r="T719" s="108"/>
      <c r="U719" s="108"/>
      <c r="V719" s="108"/>
      <c r="W719" s="108"/>
      <c r="X719" s="108"/>
      <c r="Y719" s="108"/>
      <c r="Z719" s="108"/>
      <c r="AA719" s="108"/>
      <c r="AB719" s="108"/>
      <c r="AC719" s="108"/>
      <c r="AD719" s="108"/>
      <c r="AE719" s="108"/>
      <c r="AF719" s="108"/>
      <c r="AG719" s="108"/>
      <c r="AH719" s="108"/>
      <c r="AI719" s="108"/>
      <c r="AJ719" s="108"/>
      <c r="AK719" s="108"/>
      <c r="AL719" s="108"/>
      <c r="AM719" s="108"/>
      <c r="AN719" s="108"/>
      <c r="AO719" s="108"/>
      <c r="AP719" s="108"/>
      <c r="AQ719" s="108"/>
      <c r="AR719" s="108"/>
      <c r="AS719" s="108"/>
      <c r="AT719" s="108"/>
      <c r="AU719" s="108"/>
      <c r="AV719" s="108"/>
      <c r="AW719" s="108"/>
      <c r="AX719" s="108"/>
      <c r="AY719" s="108"/>
      <c r="AZ719" s="108"/>
      <c r="BA719" s="108"/>
      <c r="BB719" s="108"/>
    </row>
    <row r="720" spans="3:54" ht="12.75" customHeight="1" x14ac:dyDescent="0.25">
      <c r="C720" s="108"/>
      <c r="D720" s="108"/>
      <c r="E720" s="108"/>
      <c r="F720" s="108"/>
      <c r="G720" s="108"/>
      <c r="H720" s="108"/>
      <c r="I720" s="108"/>
      <c r="J720" s="108"/>
      <c r="K720" s="108"/>
      <c r="L720" s="108"/>
      <c r="M720" s="108"/>
      <c r="N720" s="108"/>
      <c r="O720" s="108"/>
      <c r="P720" s="108"/>
      <c r="Q720" s="108"/>
      <c r="R720" s="108"/>
      <c r="S720" s="108"/>
      <c r="T720" s="108"/>
      <c r="U720" s="108"/>
      <c r="V720" s="108"/>
      <c r="W720" s="108"/>
      <c r="X720" s="108"/>
      <c r="Y720" s="108"/>
      <c r="Z720" s="108"/>
      <c r="AA720" s="108"/>
      <c r="AB720" s="108"/>
      <c r="AC720" s="108"/>
      <c r="AD720" s="108"/>
      <c r="AE720" s="108"/>
      <c r="AF720" s="108"/>
      <c r="AG720" s="108"/>
      <c r="AH720" s="108"/>
      <c r="AI720" s="108"/>
      <c r="AJ720" s="108"/>
      <c r="AK720" s="108"/>
      <c r="AL720" s="108"/>
      <c r="AM720" s="108"/>
      <c r="AN720" s="108"/>
      <c r="AO720" s="108"/>
      <c r="AP720" s="108"/>
      <c r="AQ720" s="108"/>
      <c r="AR720" s="108"/>
      <c r="AS720" s="108"/>
      <c r="AT720" s="108"/>
      <c r="AU720" s="108"/>
      <c r="AV720" s="108"/>
      <c r="AW720" s="108"/>
      <c r="AX720" s="108"/>
      <c r="AY720" s="108"/>
      <c r="AZ720" s="108"/>
      <c r="BA720" s="108"/>
      <c r="BB720" s="108"/>
    </row>
    <row r="721" spans="3:54" ht="12.75" customHeight="1" x14ac:dyDescent="0.25">
      <c r="C721" s="108"/>
      <c r="D721" s="108"/>
      <c r="E721" s="108"/>
      <c r="F721" s="108"/>
      <c r="G721" s="108"/>
      <c r="H721" s="108"/>
      <c r="I721" s="108"/>
      <c r="J721" s="108"/>
      <c r="K721" s="108"/>
      <c r="L721" s="108"/>
      <c r="M721" s="108"/>
      <c r="N721" s="108"/>
      <c r="O721" s="108"/>
      <c r="P721" s="108"/>
      <c r="Q721" s="108"/>
      <c r="R721" s="108"/>
      <c r="S721" s="108"/>
      <c r="T721" s="108"/>
      <c r="U721" s="108"/>
      <c r="V721" s="108"/>
      <c r="W721" s="108"/>
      <c r="X721" s="108"/>
      <c r="Y721" s="108"/>
      <c r="Z721" s="108"/>
      <c r="AA721" s="108"/>
      <c r="AB721" s="108"/>
      <c r="AC721" s="108"/>
      <c r="AD721" s="108"/>
      <c r="AE721" s="108"/>
      <c r="AF721" s="108"/>
      <c r="AG721" s="108"/>
      <c r="AH721" s="108"/>
      <c r="AI721" s="108"/>
      <c r="AJ721" s="108"/>
      <c r="AK721" s="108"/>
      <c r="AL721" s="108"/>
      <c r="AM721" s="108"/>
      <c r="AN721" s="108"/>
      <c r="AO721" s="108"/>
      <c r="AP721" s="108"/>
      <c r="AQ721" s="108"/>
      <c r="AR721" s="108"/>
      <c r="AS721" s="108"/>
      <c r="AT721" s="108"/>
      <c r="AU721" s="108"/>
      <c r="AV721" s="108"/>
      <c r="AW721" s="108"/>
      <c r="AX721" s="108"/>
      <c r="AY721" s="108"/>
      <c r="AZ721" s="108"/>
      <c r="BA721" s="108"/>
      <c r="BB721" s="108"/>
    </row>
    <row r="722" spans="3:54" ht="12.75" customHeight="1" x14ac:dyDescent="0.25">
      <c r="C722" s="108"/>
      <c r="D722" s="108"/>
      <c r="E722" s="108"/>
      <c r="F722" s="108"/>
      <c r="G722" s="108"/>
      <c r="H722" s="108"/>
      <c r="I722" s="108"/>
      <c r="J722" s="108"/>
      <c r="K722" s="108"/>
      <c r="L722" s="108"/>
      <c r="M722" s="108"/>
      <c r="N722" s="108"/>
      <c r="O722" s="108"/>
      <c r="P722" s="108"/>
      <c r="Q722" s="108"/>
      <c r="R722" s="108"/>
      <c r="S722" s="108"/>
      <c r="T722" s="108"/>
      <c r="U722" s="108"/>
      <c r="V722" s="108"/>
      <c r="W722" s="108"/>
      <c r="X722" s="108"/>
      <c r="Y722" s="108"/>
      <c r="Z722" s="108"/>
      <c r="AA722" s="108"/>
      <c r="AB722" s="108"/>
      <c r="AC722" s="108"/>
      <c r="AD722" s="108"/>
      <c r="AE722" s="108"/>
      <c r="AF722" s="108"/>
      <c r="AG722" s="108"/>
      <c r="AH722" s="108"/>
      <c r="AI722" s="108"/>
      <c r="AJ722" s="108"/>
      <c r="AK722" s="108"/>
      <c r="AL722" s="108"/>
      <c r="AM722" s="108"/>
      <c r="AN722" s="108"/>
      <c r="AO722" s="108"/>
      <c r="AP722" s="108"/>
      <c r="AQ722" s="108"/>
      <c r="AR722" s="108"/>
      <c r="AS722" s="108"/>
      <c r="AT722" s="108"/>
      <c r="AU722" s="108"/>
      <c r="AV722" s="108"/>
      <c r="AW722" s="108"/>
      <c r="AX722" s="108"/>
      <c r="AY722" s="108"/>
      <c r="AZ722" s="108"/>
      <c r="BA722" s="108"/>
      <c r="BB722" s="108"/>
    </row>
    <row r="723" spans="3:54" ht="12.75" customHeight="1" x14ac:dyDescent="0.25">
      <c r="C723" s="108"/>
      <c r="D723" s="108"/>
      <c r="E723" s="108"/>
      <c r="F723" s="108"/>
      <c r="G723" s="108"/>
      <c r="H723" s="108"/>
      <c r="I723" s="108"/>
      <c r="J723" s="108"/>
      <c r="K723" s="108"/>
      <c r="L723" s="108"/>
      <c r="M723" s="108"/>
      <c r="N723" s="108"/>
      <c r="O723" s="108"/>
      <c r="P723" s="108"/>
      <c r="Q723" s="108"/>
      <c r="R723" s="108"/>
      <c r="S723" s="108"/>
      <c r="T723" s="108"/>
      <c r="U723" s="108"/>
      <c r="V723" s="108"/>
      <c r="W723" s="108"/>
      <c r="X723" s="108"/>
      <c r="Y723" s="108"/>
      <c r="Z723" s="108"/>
      <c r="AA723" s="108"/>
      <c r="AB723" s="108"/>
      <c r="AC723" s="108"/>
      <c r="AD723" s="108"/>
      <c r="AE723" s="108"/>
      <c r="AF723" s="108"/>
      <c r="AG723" s="108"/>
      <c r="AH723" s="108"/>
      <c r="AI723" s="108"/>
      <c r="AJ723" s="108"/>
      <c r="AK723" s="108"/>
      <c r="AL723" s="108"/>
      <c r="AM723" s="108"/>
      <c r="AN723" s="108"/>
      <c r="AO723" s="108"/>
      <c r="AP723" s="108"/>
      <c r="AQ723" s="108"/>
      <c r="AR723" s="108"/>
      <c r="AS723" s="108"/>
      <c r="AT723" s="108"/>
      <c r="AU723" s="108"/>
      <c r="AV723" s="108"/>
      <c r="AW723" s="108"/>
      <c r="AX723" s="108"/>
      <c r="AY723" s="108"/>
      <c r="AZ723" s="108"/>
      <c r="BA723" s="108"/>
      <c r="BB723" s="108"/>
    </row>
    <row r="724" spans="3:54" ht="12.75" customHeight="1" x14ac:dyDescent="0.25">
      <c r="C724" s="108"/>
      <c r="D724" s="108"/>
      <c r="E724" s="108"/>
      <c r="F724" s="108"/>
      <c r="G724" s="108"/>
      <c r="H724" s="108"/>
      <c r="I724" s="108"/>
      <c r="J724" s="108"/>
      <c r="K724" s="108"/>
      <c r="L724" s="108"/>
      <c r="M724" s="108"/>
      <c r="N724" s="108"/>
      <c r="O724" s="108"/>
      <c r="P724" s="108"/>
      <c r="Q724" s="108"/>
      <c r="R724" s="108"/>
      <c r="S724" s="108"/>
      <c r="T724" s="108"/>
      <c r="U724" s="108"/>
      <c r="V724" s="108"/>
      <c r="W724" s="108"/>
      <c r="X724" s="108"/>
      <c r="Y724" s="108"/>
      <c r="Z724" s="108"/>
      <c r="AA724" s="108"/>
      <c r="AB724" s="108"/>
      <c r="AC724" s="108"/>
      <c r="AD724" s="108"/>
      <c r="AE724" s="108"/>
      <c r="AF724" s="108"/>
      <c r="AG724" s="108"/>
      <c r="AH724" s="108"/>
      <c r="AI724" s="108"/>
      <c r="AJ724" s="108"/>
      <c r="AK724" s="108"/>
      <c r="AL724" s="108"/>
      <c r="AM724" s="108"/>
      <c r="AN724" s="108"/>
      <c r="AO724" s="108"/>
      <c r="AP724" s="108"/>
      <c r="AQ724" s="108"/>
      <c r="AR724" s="108"/>
      <c r="AS724" s="108"/>
      <c r="AT724" s="108"/>
      <c r="AU724" s="108"/>
      <c r="AV724" s="108"/>
      <c r="AW724" s="108"/>
      <c r="AX724" s="108"/>
      <c r="AY724" s="108"/>
      <c r="AZ724" s="108"/>
      <c r="BA724" s="108"/>
      <c r="BB724" s="108"/>
    </row>
    <row r="725" spans="3:54" ht="12.75" customHeight="1" x14ac:dyDescent="0.25">
      <c r="C725" s="108"/>
      <c r="D725" s="108"/>
      <c r="E725" s="108"/>
      <c r="F725" s="108"/>
      <c r="G725" s="108"/>
      <c r="H725" s="108"/>
      <c r="I725" s="108"/>
      <c r="J725" s="108"/>
      <c r="K725" s="108"/>
      <c r="L725" s="108"/>
      <c r="M725" s="108"/>
      <c r="N725" s="108"/>
      <c r="O725" s="108"/>
      <c r="P725" s="108"/>
      <c r="Q725" s="108"/>
      <c r="R725" s="108"/>
      <c r="S725" s="108"/>
      <c r="T725" s="108"/>
      <c r="U725" s="108"/>
      <c r="V725" s="108"/>
      <c r="W725" s="108"/>
      <c r="X725" s="108"/>
      <c r="Y725" s="108"/>
      <c r="Z725" s="108"/>
      <c r="AA725" s="108"/>
      <c r="AB725" s="108"/>
      <c r="AC725" s="108"/>
      <c r="AD725" s="108"/>
      <c r="AE725" s="108"/>
      <c r="AF725" s="108"/>
      <c r="AG725" s="108"/>
      <c r="AH725" s="108"/>
      <c r="AI725" s="108"/>
      <c r="AJ725" s="108"/>
      <c r="AK725" s="108"/>
      <c r="AL725" s="108"/>
      <c r="AM725" s="108"/>
      <c r="AN725" s="108"/>
      <c r="AO725" s="108"/>
      <c r="AP725" s="108"/>
      <c r="AQ725" s="108"/>
      <c r="AR725" s="108"/>
      <c r="AS725" s="108"/>
      <c r="AT725" s="108"/>
      <c r="AU725" s="108"/>
      <c r="AV725" s="108"/>
      <c r="AW725" s="108"/>
      <c r="AX725" s="108"/>
      <c r="AY725" s="108"/>
      <c r="AZ725" s="108"/>
      <c r="BA725" s="108"/>
      <c r="BB725" s="108"/>
    </row>
    <row r="726" spans="3:54" ht="12.75" customHeight="1" x14ac:dyDescent="0.25">
      <c r="C726" s="108"/>
      <c r="D726" s="108"/>
      <c r="E726" s="108"/>
      <c r="F726" s="108"/>
      <c r="G726" s="108"/>
      <c r="H726" s="108"/>
      <c r="I726" s="108"/>
      <c r="J726" s="108"/>
      <c r="K726" s="108"/>
      <c r="L726" s="108"/>
      <c r="M726" s="108"/>
      <c r="N726" s="108"/>
      <c r="O726" s="108"/>
      <c r="P726" s="108"/>
      <c r="Q726" s="108"/>
      <c r="R726" s="108"/>
      <c r="S726" s="108"/>
      <c r="T726" s="108"/>
      <c r="U726" s="108"/>
      <c r="V726" s="108"/>
      <c r="W726" s="108"/>
      <c r="X726" s="108"/>
      <c r="Y726" s="108"/>
      <c r="Z726" s="108"/>
      <c r="AA726" s="108"/>
      <c r="AB726" s="108"/>
      <c r="AC726" s="108"/>
      <c r="AD726" s="108"/>
      <c r="AE726" s="108"/>
      <c r="AF726" s="108"/>
      <c r="AG726" s="108"/>
      <c r="AH726" s="108"/>
      <c r="AI726" s="108"/>
      <c r="AJ726" s="108"/>
      <c r="AK726" s="108"/>
      <c r="AL726" s="108"/>
      <c r="AM726" s="108"/>
      <c r="AN726" s="108"/>
      <c r="AO726" s="108"/>
      <c r="AP726" s="108"/>
      <c r="AQ726" s="108"/>
      <c r="AR726" s="108"/>
      <c r="AS726" s="108"/>
      <c r="AT726" s="108"/>
      <c r="AU726" s="108"/>
      <c r="AV726" s="108"/>
      <c r="AW726" s="108"/>
      <c r="AX726" s="108"/>
      <c r="AY726" s="108"/>
      <c r="AZ726" s="108"/>
      <c r="BA726" s="108"/>
      <c r="BB726" s="108"/>
    </row>
    <row r="727" spans="3:54" ht="12.75" customHeight="1" x14ac:dyDescent="0.25">
      <c r="C727" s="108"/>
      <c r="D727" s="108"/>
      <c r="E727" s="108"/>
      <c r="F727" s="108"/>
      <c r="G727" s="108"/>
      <c r="H727" s="108"/>
      <c r="I727" s="108"/>
      <c r="J727" s="108"/>
      <c r="K727" s="108"/>
      <c r="L727" s="108"/>
      <c r="M727" s="108"/>
      <c r="N727" s="108"/>
      <c r="O727" s="108"/>
      <c r="P727" s="108"/>
      <c r="Q727" s="108"/>
      <c r="R727" s="108"/>
      <c r="S727" s="108"/>
      <c r="T727" s="108"/>
      <c r="U727" s="108"/>
      <c r="V727" s="108"/>
      <c r="W727" s="108"/>
      <c r="X727" s="108"/>
      <c r="Y727" s="108"/>
      <c r="Z727" s="108"/>
      <c r="AA727" s="108"/>
      <c r="AB727" s="108"/>
      <c r="AC727" s="108"/>
      <c r="AD727" s="108"/>
      <c r="AE727" s="108"/>
      <c r="AF727" s="108"/>
      <c r="AG727" s="108"/>
      <c r="AH727" s="108"/>
      <c r="AI727" s="108"/>
      <c r="AJ727" s="108"/>
      <c r="AK727" s="108"/>
      <c r="AL727" s="108"/>
      <c r="AM727" s="108"/>
      <c r="AN727" s="108"/>
      <c r="AO727" s="108"/>
      <c r="AP727" s="108"/>
      <c r="AQ727" s="108"/>
      <c r="AR727" s="108"/>
      <c r="AS727" s="108"/>
      <c r="AT727" s="108"/>
      <c r="AU727" s="108"/>
      <c r="AV727" s="108"/>
      <c r="AW727" s="108"/>
      <c r="AX727" s="108"/>
      <c r="AY727" s="108"/>
      <c r="AZ727" s="108"/>
      <c r="BA727" s="108"/>
      <c r="BB727" s="108"/>
    </row>
    <row r="728" spans="3:54" ht="12.75" customHeight="1" x14ac:dyDescent="0.25">
      <c r="C728" s="108"/>
      <c r="D728" s="108"/>
      <c r="E728" s="108"/>
      <c r="F728" s="108"/>
      <c r="G728" s="108"/>
      <c r="H728" s="108"/>
      <c r="I728" s="108"/>
      <c r="J728" s="108"/>
      <c r="K728" s="108"/>
      <c r="L728" s="108"/>
      <c r="M728" s="108"/>
      <c r="N728" s="108"/>
      <c r="O728" s="108"/>
      <c r="P728" s="108"/>
      <c r="Q728" s="108"/>
      <c r="R728" s="108"/>
      <c r="S728" s="108"/>
      <c r="T728" s="108"/>
      <c r="U728" s="108"/>
      <c r="V728" s="108"/>
      <c r="W728" s="108"/>
      <c r="X728" s="108"/>
      <c r="Y728" s="108"/>
      <c r="Z728" s="108"/>
      <c r="AA728" s="108"/>
      <c r="AB728" s="108"/>
      <c r="AC728" s="108"/>
      <c r="AD728" s="108"/>
      <c r="AE728" s="108"/>
      <c r="AF728" s="108"/>
      <c r="AG728" s="108"/>
      <c r="AH728" s="108"/>
      <c r="AI728" s="108"/>
      <c r="AJ728" s="108"/>
      <c r="AK728" s="108"/>
      <c r="AL728" s="108"/>
      <c r="AM728" s="108"/>
      <c r="AN728" s="108"/>
      <c r="AO728" s="108"/>
      <c r="AP728" s="108"/>
      <c r="AQ728" s="108"/>
      <c r="AR728" s="108"/>
      <c r="AS728" s="108"/>
      <c r="AT728" s="108"/>
      <c r="AU728" s="108"/>
      <c r="AV728" s="108"/>
      <c r="AW728" s="108"/>
      <c r="AX728" s="108"/>
      <c r="AY728" s="108"/>
      <c r="AZ728" s="108"/>
      <c r="BA728" s="108"/>
      <c r="BB728" s="108"/>
    </row>
    <row r="729" spans="3:54" ht="12.75" customHeight="1" x14ac:dyDescent="0.25">
      <c r="C729" s="108"/>
      <c r="D729" s="108"/>
      <c r="E729" s="108"/>
      <c r="F729" s="108"/>
      <c r="G729" s="108"/>
      <c r="H729" s="108"/>
      <c r="I729" s="108"/>
      <c r="J729" s="108"/>
      <c r="K729" s="108"/>
      <c r="L729" s="108"/>
      <c r="M729" s="108"/>
      <c r="N729" s="108"/>
      <c r="O729" s="108"/>
      <c r="P729" s="108"/>
      <c r="Q729" s="108"/>
      <c r="R729" s="108"/>
      <c r="S729" s="108"/>
      <c r="T729" s="108"/>
      <c r="U729" s="108"/>
      <c r="V729" s="108"/>
      <c r="W729" s="108"/>
      <c r="X729" s="108"/>
      <c r="Y729" s="108"/>
      <c r="Z729" s="108"/>
      <c r="AA729" s="108"/>
      <c r="AB729" s="108"/>
      <c r="AC729" s="108"/>
      <c r="AD729" s="108"/>
      <c r="AE729" s="108"/>
      <c r="AF729" s="108"/>
      <c r="AG729" s="108"/>
      <c r="AH729" s="108"/>
      <c r="AI729" s="108"/>
      <c r="AJ729" s="108"/>
      <c r="AK729" s="108"/>
      <c r="AL729" s="108"/>
      <c r="AM729" s="108"/>
      <c r="AN729" s="108"/>
      <c r="AO729" s="108"/>
      <c r="AP729" s="108"/>
      <c r="AQ729" s="108"/>
      <c r="AR729" s="108"/>
      <c r="AS729" s="108"/>
      <c r="AT729" s="108"/>
      <c r="AU729" s="108"/>
      <c r="AV729" s="108"/>
      <c r="AW729" s="108"/>
      <c r="AX729" s="108"/>
      <c r="AY729" s="108"/>
      <c r="AZ729" s="108"/>
      <c r="BA729" s="108"/>
      <c r="BB729" s="108"/>
    </row>
    <row r="730" spans="3:54" ht="12.75" customHeight="1" x14ac:dyDescent="0.25">
      <c r="C730" s="108"/>
      <c r="D730" s="108"/>
      <c r="E730" s="108"/>
      <c r="F730" s="108"/>
      <c r="G730" s="108"/>
      <c r="H730" s="108"/>
      <c r="I730" s="108"/>
      <c r="J730" s="108"/>
      <c r="K730" s="108"/>
      <c r="L730" s="108"/>
      <c r="M730" s="108"/>
      <c r="N730" s="108"/>
      <c r="O730" s="108"/>
      <c r="P730" s="108"/>
      <c r="Q730" s="108"/>
      <c r="R730" s="108"/>
      <c r="S730" s="108"/>
      <c r="T730" s="108"/>
      <c r="U730" s="108"/>
      <c r="V730" s="108"/>
      <c r="W730" s="108"/>
      <c r="X730" s="108"/>
      <c r="Y730" s="108"/>
      <c r="Z730" s="108"/>
      <c r="AA730" s="108"/>
      <c r="AB730" s="108"/>
      <c r="AC730" s="108"/>
      <c r="AD730" s="108"/>
      <c r="AE730" s="108"/>
      <c r="AF730" s="108"/>
      <c r="AG730" s="108"/>
      <c r="AH730" s="108"/>
      <c r="AI730" s="108"/>
      <c r="AJ730" s="108"/>
      <c r="AK730" s="108"/>
      <c r="AL730" s="108"/>
      <c r="AM730" s="108"/>
      <c r="AN730" s="108"/>
      <c r="AO730" s="108"/>
      <c r="AP730" s="108"/>
      <c r="AQ730" s="108"/>
      <c r="AR730" s="108"/>
      <c r="AS730" s="108"/>
      <c r="AT730" s="108"/>
      <c r="AU730" s="108"/>
      <c r="AV730" s="108"/>
      <c r="AW730" s="108"/>
      <c r="AX730" s="108"/>
      <c r="AY730" s="108"/>
      <c r="AZ730" s="108"/>
      <c r="BA730" s="108"/>
      <c r="BB730" s="108"/>
    </row>
    <row r="731" spans="3:54" ht="12.75" customHeight="1" x14ac:dyDescent="0.25">
      <c r="C731" s="108"/>
      <c r="D731" s="108"/>
      <c r="E731" s="108"/>
      <c r="F731" s="108"/>
      <c r="G731" s="108"/>
      <c r="H731" s="108"/>
      <c r="I731" s="108"/>
      <c r="J731" s="108"/>
      <c r="K731" s="108"/>
      <c r="L731" s="108"/>
      <c r="M731" s="108"/>
      <c r="N731" s="108"/>
      <c r="O731" s="108"/>
      <c r="P731" s="108"/>
      <c r="Q731" s="108"/>
      <c r="R731" s="108"/>
      <c r="S731" s="108"/>
      <c r="T731" s="108"/>
      <c r="U731" s="108"/>
      <c r="V731" s="108"/>
      <c r="W731" s="108"/>
      <c r="X731" s="108"/>
      <c r="Y731" s="108"/>
      <c r="Z731" s="108"/>
      <c r="AA731" s="108"/>
      <c r="AB731" s="108"/>
      <c r="AC731" s="108"/>
      <c r="AD731" s="108"/>
      <c r="AE731" s="108"/>
      <c r="AF731" s="108"/>
      <c r="AG731" s="108"/>
      <c r="AH731" s="108"/>
      <c r="AI731" s="108"/>
      <c r="AJ731" s="108"/>
      <c r="AK731" s="108"/>
      <c r="AL731" s="108"/>
      <c r="AM731" s="108"/>
      <c r="AN731" s="108"/>
      <c r="AO731" s="108"/>
      <c r="AP731" s="108"/>
      <c r="AQ731" s="108"/>
      <c r="AR731" s="108"/>
      <c r="AS731" s="108"/>
      <c r="AT731" s="108"/>
      <c r="AU731" s="108"/>
      <c r="AV731" s="108"/>
      <c r="AW731" s="108"/>
      <c r="AX731" s="108"/>
      <c r="AY731" s="108"/>
      <c r="AZ731" s="108"/>
      <c r="BA731" s="108"/>
      <c r="BB731" s="108"/>
    </row>
    <row r="732" spans="3:54" ht="12.75" customHeight="1" x14ac:dyDescent="0.25">
      <c r="C732" s="108"/>
      <c r="D732" s="108"/>
      <c r="E732" s="108"/>
      <c r="F732" s="108"/>
      <c r="G732" s="108"/>
      <c r="H732" s="108"/>
      <c r="I732" s="108"/>
      <c r="J732" s="108"/>
      <c r="K732" s="108"/>
      <c r="L732" s="108"/>
      <c r="M732" s="108"/>
      <c r="N732" s="108"/>
      <c r="O732" s="108"/>
      <c r="P732" s="108"/>
      <c r="Q732" s="108"/>
      <c r="R732" s="108"/>
      <c r="S732" s="108"/>
      <c r="T732" s="108"/>
      <c r="U732" s="108"/>
      <c r="V732" s="108"/>
      <c r="W732" s="108"/>
      <c r="X732" s="108"/>
      <c r="Y732" s="108"/>
      <c r="Z732" s="108"/>
      <c r="AA732" s="108"/>
      <c r="AB732" s="108"/>
      <c r="AC732" s="108"/>
      <c r="AD732" s="108"/>
      <c r="AE732" s="108"/>
      <c r="AF732" s="108"/>
      <c r="AG732" s="108"/>
      <c r="AH732" s="108"/>
      <c r="AI732" s="108"/>
      <c r="AJ732" s="108"/>
      <c r="AK732" s="108"/>
      <c r="AL732" s="108"/>
      <c r="AM732" s="108"/>
      <c r="AN732" s="108"/>
      <c r="AO732" s="108"/>
      <c r="AP732" s="108"/>
      <c r="AQ732" s="108"/>
      <c r="AR732" s="108"/>
      <c r="AS732" s="108"/>
      <c r="AT732" s="108"/>
      <c r="AU732" s="108"/>
      <c r="AV732" s="108"/>
      <c r="AW732" s="108"/>
      <c r="AX732" s="108"/>
      <c r="AY732" s="108"/>
      <c r="AZ732" s="108"/>
      <c r="BA732" s="108"/>
      <c r="BB732" s="108"/>
    </row>
    <row r="733" spans="3:54" ht="12.75" customHeight="1" x14ac:dyDescent="0.25">
      <c r="C733" s="108"/>
      <c r="D733" s="108"/>
      <c r="E733" s="108"/>
      <c r="F733" s="108"/>
      <c r="G733" s="108"/>
      <c r="H733" s="108"/>
      <c r="I733" s="108"/>
      <c r="J733" s="108"/>
      <c r="K733" s="108"/>
      <c r="L733" s="108"/>
      <c r="M733" s="108"/>
      <c r="N733" s="108"/>
      <c r="O733" s="108"/>
      <c r="P733" s="108"/>
      <c r="Q733" s="108"/>
      <c r="R733" s="108"/>
      <c r="S733" s="108"/>
      <c r="T733" s="108"/>
      <c r="U733" s="108"/>
      <c r="V733" s="108"/>
      <c r="W733" s="108"/>
      <c r="X733" s="108"/>
      <c r="Y733" s="108"/>
      <c r="Z733" s="108"/>
      <c r="AA733" s="108"/>
      <c r="AB733" s="108"/>
      <c r="AC733" s="108"/>
      <c r="AD733" s="108"/>
      <c r="AE733" s="108"/>
      <c r="AF733" s="108"/>
      <c r="AG733" s="108"/>
      <c r="AH733" s="108"/>
      <c r="AI733" s="108"/>
      <c r="AJ733" s="108"/>
      <c r="AK733" s="108"/>
      <c r="AL733" s="108"/>
      <c r="AM733" s="108"/>
      <c r="AN733" s="108"/>
      <c r="AO733" s="108"/>
      <c r="AP733" s="108"/>
      <c r="AQ733" s="108"/>
      <c r="AR733" s="108"/>
      <c r="AS733" s="108"/>
      <c r="AT733" s="108"/>
      <c r="AU733" s="108"/>
      <c r="AV733" s="108"/>
      <c r="AW733" s="108"/>
      <c r="AX733" s="108"/>
      <c r="AY733" s="108"/>
      <c r="AZ733" s="108"/>
      <c r="BA733" s="108"/>
      <c r="BB733" s="108"/>
    </row>
    <row r="734" spans="3:54" ht="12.75" customHeight="1" x14ac:dyDescent="0.25">
      <c r="C734" s="108"/>
      <c r="D734" s="108"/>
      <c r="E734" s="108"/>
      <c r="F734" s="108"/>
      <c r="G734" s="108"/>
      <c r="H734" s="108"/>
      <c r="I734" s="108"/>
      <c r="J734" s="108"/>
      <c r="K734" s="108"/>
      <c r="L734" s="108"/>
      <c r="M734" s="108"/>
      <c r="N734" s="108"/>
      <c r="O734" s="108"/>
      <c r="P734" s="108"/>
      <c r="Q734" s="108"/>
      <c r="R734" s="108"/>
      <c r="S734" s="108"/>
      <c r="T734" s="108"/>
      <c r="U734" s="108"/>
      <c r="V734" s="108"/>
      <c r="W734" s="108"/>
      <c r="X734" s="108"/>
      <c r="Y734" s="108"/>
      <c r="Z734" s="108"/>
      <c r="AA734" s="108"/>
      <c r="AB734" s="108"/>
      <c r="AC734" s="108"/>
      <c r="AD734" s="108"/>
      <c r="AE734" s="108"/>
      <c r="AF734" s="108"/>
      <c r="AG734" s="108"/>
      <c r="AH734" s="108"/>
      <c r="AI734" s="108"/>
      <c r="AJ734" s="108"/>
      <c r="AK734" s="108"/>
      <c r="AL734" s="108"/>
      <c r="AM734" s="108"/>
      <c r="AN734" s="108"/>
      <c r="AO734" s="108"/>
      <c r="AP734" s="108"/>
      <c r="AQ734" s="108"/>
      <c r="AR734" s="108"/>
      <c r="AS734" s="108"/>
      <c r="AT734" s="108"/>
      <c r="AU734" s="108"/>
      <c r="AV734" s="108"/>
      <c r="AW734" s="108"/>
      <c r="AX734" s="108"/>
      <c r="AY734" s="108"/>
      <c r="AZ734" s="108"/>
      <c r="BA734" s="108"/>
      <c r="BB734" s="108"/>
    </row>
    <row r="735" spans="3:54" ht="12.75" customHeight="1" x14ac:dyDescent="0.25">
      <c r="C735" s="108"/>
      <c r="D735" s="108"/>
      <c r="E735" s="108"/>
      <c r="F735" s="108"/>
      <c r="G735" s="108"/>
      <c r="H735" s="108"/>
      <c r="I735" s="108"/>
      <c r="J735" s="108"/>
      <c r="K735" s="108"/>
      <c r="L735" s="108"/>
      <c r="M735" s="108"/>
      <c r="N735" s="108"/>
      <c r="O735" s="108"/>
      <c r="P735" s="108"/>
      <c r="Q735" s="108"/>
      <c r="R735" s="108"/>
      <c r="S735" s="108"/>
      <c r="T735" s="108"/>
      <c r="U735" s="108"/>
      <c r="V735" s="108"/>
      <c r="W735" s="108"/>
      <c r="X735" s="108"/>
      <c r="Y735" s="108"/>
      <c r="Z735" s="108"/>
      <c r="AA735" s="108"/>
      <c r="AB735" s="108"/>
      <c r="AC735" s="108"/>
      <c r="AD735" s="108"/>
      <c r="AE735" s="108"/>
      <c r="AF735" s="108"/>
      <c r="AG735" s="108"/>
      <c r="AH735" s="108"/>
      <c r="AI735" s="108"/>
      <c r="AJ735" s="108"/>
      <c r="AK735" s="108"/>
      <c r="AL735" s="108"/>
      <c r="AM735" s="108"/>
      <c r="AN735" s="108"/>
      <c r="AO735" s="108"/>
      <c r="AP735" s="108"/>
      <c r="AQ735" s="108"/>
      <c r="AR735" s="108"/>
      <c r="AS735" s="108"/>
      <c r="AT735" s="108"/>
      <c r="AU735" s="108"/>
      <c r="AV735" s="108"/>
      <c r="AW735" s="108"/>
      <c r="AX735" s="108"/>
      <c r="AY735" s="108"/>
      <c r="AZ735" s="108"/>
      <c r="BA735" s="108"/>
      <c r="BB735" s="108"/>
    </row>
    <row r="736" spans="3:54" ht="12.75" customHeight="1" x14ac:dyDescent="0.25">
      <c r="C736" s="108"/>
      <c r="D736" s="108"/>
      <c r="E736" s="108"/>
      <c r="F736" s="108"/>
      <c r="G736" s="108"/>
      <c r="H736" s="108"/>
      <c r="I736" s="108"/>
      <c r="J736" s="108"/>
      <c r="K736" s="108"/>
      <c r="L736" s="108"/>
      <c r="M736" s="108"/>
      <c r="N736" s="108"/>
      <c r="O736" s="108"/>
      <c r="P736" s="108"/>
      <c r="Q736" s="108"/>
      <c r="R736" s="108"/>
      <c r="S736" s="108"/>
      <c r="T736" s="108"/>
      <c r="U736" s="108"/>
      <c r="V736" s="108"/>
      <c r="W736" s="108"/>
      <c r="X736" s="108"/>
      <c r="Y736" s="108"/>
      <c r="Z736" s="108"/>
      <c r="AA736" s="108"/>
      <c r="AB736" s="108"/>
      <c r="AC736" s="108"/>
      <c r="AD736" s="108"/>
      <c r="AE736" s="108"/>
      <c r="AF736" s="108"/>
      <c r="AG736" s="108"/>
      <c r="AH736" s="108"/>
      <c r="AI736" s="108"/>
      <c r="AJ736" s="108"/>
      <c r="AK736" s="108"/>
      <c r="AL736" s="108"/>
      <c r="AM736" s="108"/>
      <c r="AN736" s="108"/>
      <c r="AO736" s="108"/>
      <c r="AP736" s="108"/>
      <c r="AQ736" s="108"/>
      <c r="AR736" s="108"/>
      <c r="AS736" s="108"/>
      <c r="AT736" s="108"/>
      <c r="AU736" s="108"/>
      <c r="AV736" s="108"/>
      <c r="AW736" s="108"/>
      <c r="AX736" s="108"/>
      <c r="AY736" s="108"/>
      <c r="AZ736" s="108"/>
      <c r="BA736" s="108"/>
      <c r="BB736" s="108"/>
    </row>
    <row r="737" spans="3:54" ht="12.75" customHeight="1" x14ac:dyDescent="0.25">
      <c r="C737" s="108"/>
      <c r="D737" s="108"/>
      <c r="E737" s="108"/>
      <c r="F737" s="108"/>
      <c r="G737" s="108"/>
      <c r="H737" s="108"/>
      <c r="I737" s="108"/>
      <c r="J737" s="108"/>
      <c r="K737" s="108"/>
      <c r="L737" s="108"/>
      <c r="M737" s="108"/>
      <c r="N737" s="108"/>
      <c r="O737" s="108"/>
      <c r="P737" s="108"/>
      <c r="Q737" s="108"/>
      <c r="R737" s="108"/>
      <c r="S737" s="108"/>
      <c r="T737" s="108"/>
      <c r="U737" s="108"/>
      <c r="V737" s="108"/>
      <c r="W737" s="108"/>
      <c r="X737" s="108"/>
      <c r="Y737" s="108"/>
      <c r="Z737" s="108"/>
      <c r="AA737" s="108"/>
      <c r="AB737" s="108"/>
      <c r="AC737" s="108"/>
      <c r="AD737" s="108"/>
      <c r="AE737" s="108"/>
      <c r="AF737" s="108"/>
      <c r="AG737" s="108"/>
      <c r="AH737" s="108"/>
      <c r="AI737" s="108"/>
      <c r="AJ737" s="108"/>
      <c r="AK737" s="108"/>
      <c r="AL737" s="108"/>
      <c r="AM737" s="108"/>
      <c r="AN737" s="108"/>
      <c r="AO737" s="108"/>
      <c r="AP737" s="108"/>
      <c r="AQ737" s="108"/>
      <c r="AR737" s="108"/>
      <c r="AS737" s="108"/>
      <c r="AT737" s="108"/>
      <c r="AU737" s="108"/>
      <c r="AV737" s="108"/>
      <c r="AW737" s="108"/>
      <c r="AX737" s="108"/>
      <c r="AY737" s="108"/>
      <c r="AZ737" s="108"/>
      <c r="BA737" s="108"/>
      <c r="BB737" s="108"/>
    </row>
    <row r="738" spans="3:54" ht="12.75" customHeight="1" x14ac:dyDescent="0.25">
      <c r="C738" s="108"/>
      <c r="D738" s="108"/>
      <c r="E738" s="108"/>
      <c r="F738" s="108"/>
      <c r="G738" s="108"/>
      <c r="H738" s="108"/>
      <c r="I738" s="108"/>
      <c r="J738" s="108"/>
      <c r="K738" s="108"/>
      <c r="L738" s="108"/>
      <c r="M738" s="108"/>
      <c r="N738" s="108"/>
      <c r="O738" s="108"/>
      <c r="P738" s="108"/>
      <c r="Q738" s="108"/>
      <c r="R738" s="108"/>
      <c r="S738" s="108"/>
      <c r="T738" s="108"/>
      <c r="U738" s="108"/>
      <c r="V738" s="108"/>
      <c r="W738" s="108"/>
      <c r="X738" s="108"/>
      <c r="Y738" s="108"/>
      <c r="Z738" s="108"/>
      <c r="AA738" s="108"/>
      <c r="AB738" s="108"/>
      <c r="AC738" s="108"/>
      <c r="AD738" s="108"/>
      <c r="AE738" s="108"/>
      <c r="AF738" s="108"/>
      <c r="AG738" s="108"/>
      <c r="AH738" s="108"/>
      <c r="AI738" s="108"/>
      <c r="AJ738" s="108"/>
      <c r="AK738" s="108"/>
      <c r="AL738" s="108"/>
      <c r="AM738" s="108"/>
      <c r="AN738" s="108"/>
      <c r="AO738" s="108"/>
      <c r="AP738" s="108"/>
      <c r="AQ738" s="108"/>
      <c r="AR738" s="108"/>
      <c r="AS738" s="108"/>
      <c r="AT738" s="108"/>
      <c r="AU738" s="108"/>
      <c r="AV738" s="108"/>
      <c r="AW738" s="108"/>
      <c r="AX738" s="108"/>
      <c r="AY738" s="108"/>
      <c r="AZ738" s="108"/>
      <c r="BA738" s="108"/>
      <c r="BB738" s="108"/>
    </row>
    <row r="739" spans="3:54" ht="12.75" customHeight="1" x14ac:dyDescent="0.25">
      <c r="C739" s="108"/>
      <c r="D739" s="108"/>
      <c r="E739" s="108"/>
      <c r="F739" s="108"/>
      <c r="G739" s="108"/>
      <c r="H739" s="108"/>
      <c r="I739" s="108"/>
      <c r="J739" s="108"/>
      <c r="K739" s="108"/>
      <c r="L739" s="108"/>
      <c r="M739" s="108"/>
      <c r="N739" s="108"/>
      <c r="O739" s="108"/>
      <c r="P739" s="108"/>
      <c r="Q739" s="108"/>
      <c r="R739" s="108"/>
      <c r="S739" s="108"/>
      <c r="T739" s="108"/>
      <c r="U739" s="108"/>
      <c r="V739" s="108"/>
      <c r="W739" s="108"/>
      <c r="X739" s="108"/>
      <c r="Y739" s="108"/>
      <c r="Z739" s="108"/>
      <c r="AA739" s="108"/>
      <c r="AB739" s="108"/>
      <c r="AC739" s="108"/>
      <c r="AD739" s="108"/>
      <c r="AE739" s="108"/>
      <c r="AF739" s="108"/>
      <c r="AG739" s="108"/>
      <c r="AH739" s="108"/>
      <c r="AI739" s="108"/>
      <c r="AJ739" s="108"/>
      <c r="AK739" s="108"/>
      <c r="AL739" s="108"/>
      <c r="AM739" s="108"/>
      <c r="AN739" s="108"/>
      <c r="AO739" s="108"/>
      <c r="AP739" s="108"/>
      <c r="AQ739" s="108"/>
      <c r="AR739" s="108"/>
      <c r="AS739" s="108"/>
      <c r="AT739" s="108"/>
      <c r="AU739" s="108"/>
      <c r="AV739" s="108"/>
      <c r="AW739" s="108"/>
      <c r="AX739" s="108"/>
      <c r="AY739" s="108"/>
      <c r="AZ739" s="108"/>
      <c r="BA739" s="108"/>
      <c r="BB739" s="108"/>
    </row>
    <row r="740" spans="3:54" ht="12.75" customHeight="1" x14ac:dyDescent="0.25">
      <c r="C740" s="108"/>
      <c r="D740" s="108"/>
      <c r="E740" s="108"/>
      <c r="F740" s="108"/>
      <c r="G740" s="108"/>
      <c r="H740" s="108"/>
      <c r="I740" s="108"/>
      <c r="J740" s="108"/>
      <c r="K740" s="108"/>
      <c r="L740" s="108"/>
      <c r="M740" s="108"/>
      <c r="N740" s="108"/>
      <c r="O740" s="108"/>
      <c r="P740" s="108"/>
      <c r="Q740" s="108"/>
      <c r="R740" s="108"/>
      <c r="S740" s="108"/>
      <c r="T740" s="108"/>
      <c r="U740" s="108"/>
      <c r="V740" s="108"/>
      <c r="W740" s="108"/>
      <c r="X740" s="108"/>
      <c r="Y740" s="108"/>
      <c r="Z740" s="108"/>
      <c r="AA740" s="108"/>
      <c r="AB740" s="108"/>
      <c r="AC740" s="108"/>
      <c r="AD740" s="108"/>
      <c r="AE740" s="108"/>
      <c r="AF740" s="108"/>
      <c r="AG740" s="108"/>
      <c r="AH740" s="108"/>
      <c r="AI740" s="108"/>
      <c r="AJ740" s="108"/>
      <c r="AK740" s="108"/>
      <c r="AL740" s="108"/>
      <c r="AM740" s="108"/>
      <c r="AN740" s="108"/>
      <c r="AO740" s="108"/>
      <c r="AP740" s="108"/>
      <c r="AQ740" s="108"/>
      <c r="AR740" s="108"/>
      <c r="AS740" s="108"/>
      <c r="AT740" s="108"/>
      <c r="AU740" s="108"/>
      <c r="AV740" s="108"/>
      <c r="AW740" s="108"/>
      <c r="AX740" s="108"/>
      <c r="AY740" s="108"/>
      <c r="AZ740" s="108"/>
      <c r="BA740" s="108"/>
      <c r="BB740" s="108"/>
    </row>
    <row r="741" spans="3:54" ht="12.75" customHeight="1" x14ac:dyDescent="0.25">
      <c r="C741" s="108"/>
      <c r="D741" s="108"/>
      <c r="E741" s="108"/>
      <c r="F741" s="108"/>
      <c r="G741" s="108"/>
      <c r="H741" s="108"/>
      <c r="I741" s="108"/>
      <c r="J741" s="108"/>
      <c r="K741" s="108"/>
      <c r="L741" s="108"/>
      <c r="M741" s="108"/>
      <c r="N741" s="108"/>
      <c r="O741" s="108"/>
      <c r="P741" s="108"/>
      <c r="Q741" s="108"/>
      <c r="R741" s="108"/>
      <c r="S741" s="108"/>
      <c r="T741" s="108"/>
      <c r="U741" s="108"/>
      <c r="V741" s="108"/>
      <c r="W741" s="108"/>
      <c r="X741" s="108"/>
      <c r="Y741" s="108"/>
      <c r="Z741" s="108"/>
      <c r="AA741" s="108"/>
      <c r="AB741" s="108"/>
      <c r="AC741" s="108"/>
      <c r="AD741" s="108"/>
      <c r="AE741" s="108"/>
      <c r="AF741" s="108"/>
      <c r="AG741" s="108"/>
      <c r="AH741" s="108"/>
      <c r="AI741" s="108"/>
      <c r="AJ741" s="108"/>
      <c r="AK741" s="108"/>
      <c r="AL741" s="108"/>
      <c r="AM741" s="108"/>
      <c r="AN741" s="108"/>
      <c r="AO741" s="108"/>
      <c r="AP741" s="108"/>
      <c r="AQ741" s="108"/>
      <c r="AR741" s="108"/>
      <c r="AS741" s="108"/>
      <c r="AT741" s="108"/>
      <c r="AU741" s="108"/>
      <c r="AV741" s="108"/>
      <c r="AW741" s="108"/>
      <c r="AX741" s="108"/>
      <c r="AY741" s="108"/>
      <c r="AZ741" s="108"/>
      <c r="BA741" s="108"/>
      <c r="BB741" s="108"/>
    </row>
    <row r="742" spans="3:54" ht="12.75" customHeight="1" x14ac:dyDescent="0.25">
      <c r="C742" s="108"/>
      <c r="D742" s="108"/>
      <c r="E742" s="108"/>
      <c r="F742" s="108"/>
      <c r="G742" s="108"/>
      <c r="H742" s="108"/>
      <c r="I742" s="108"/>
      <c r="J742" s="108"/>
      <c r="K742" s="108"/>
      <c r="L742" s="108"/>
      <c r="M742" s="108"/>
      <c r="N742" s="108"/>
      <c r="O742" s="108"/>
      <c r="P742" s="108"/>
      <c r="Q742" s="108"/>
      <c r="R742" s="108"/>
      <c r="S742" s="108"/>
      <c r="T742" s="108"/>
      <c r="U742" s="108"/>
      <c r="V742" s="108"/>
      <c r="W742" s="108"/>
      <c r="X742" s="108"/>
      <c r="Y742" s="108"/>
      <c r="Z742" s="108"/>
      <c r="AA742" s="108"/>
      <c r="AB742" s="108"/>
      <c r="AC742" s="108"/>
      <c r="AD742" s="108"/>
      <c r="AE742" s="108"/>
      <c r="AF742" s="108"/>
      <c r="AG742" s="108"/>
      <c r="AH742" s="108"/>
      <c r="AI742" s="108"/>
      <c r="AJ742" s="108"/>
      <c r="AK742" s="108"/>
      <c r="AL742" s="108"/>
      <c r="AM742" s="108"/>
      <c r="AN742" s="108"/>
      <c r="AO742" s="108"/>
      <c r="AP742" s="108"/>
      <c r="AQ742" s="108"/>
      <c r="AR742" s="108"/>
      <c r="AS742" s="108"/>
      <c r="AT742" s="108"/>
      <c r="AU742" s="108"/>
      <c r="AV742" s="108"/>
      <c r="AW742" s="108"/>
      <c r="AX742" s="108"/>
      <c r="AY742" s="108"/>
      <c r="AZ742" s="108"/>
      <c r="BA742" s="108"/>
      <c r="BB742" s="108"/>
    </row>
    <row r="743" spans="3:54" ht="12.75" customHeight="1" x14ac:dyDescent="0.25">
      <c r="C743" s="108"/>
      <c r="D743" s="108"/>
      <c r="E743" s="108"/>
      <c r="F743" s="108"/>
      <c r="G743" s="108"/>
      <c r="H743" s="108"/>
      <c r="I743" s="108"/>
      <c r="J743" s="108"/>
      <c r="K743" s="108"/>
      <c r="L743" s="108"/>
      <c r="M743" s="108"/>
      <c r="N743" s="108"/>
      <c r="O743" s="108"/>
      <c r="P743" s="108"/>
      <c r="Q743" s="108"/>
      <c r="R743" s="108"/>
      <c r="S743" s="108"/>
      <c r="T743" s="108"/>
      <c r="U743" s="108"/>
      <c r="V743" s="108"/>
      <c r="W743" s="108"/>
      <c r="X743" s="108"/>
      <c r="Y743" s="108"/>
      <c r="Z743" s="108"/>
      <c r="AA743" s="108"/>
      <c r="AB743" s="108"/>
      <c r="AC743" s="108"/>
      <c r="AD743" s="108"/>
      <c r="AE743" s="108"/>
      <c r="AF743" s="108"/>
      <c r="AG743" s="108"/>
      <c r="AH743" s="108"/>
      <c r="AI743" s="108"/>
      <c r="AJ743" s="108"/>
      <c r="AK743" s="108"/>
      <c r="AL743" s="108"/>
      <c r="AM743" s="108"/>
      <c r="AN743" s="108"/>
      <c r="AO743" s="108"/>
      <c r="AP743" s="108"/>
      <c r="AQ743" s="108"/>
      <c r="AR743" s="108"/>
      <c r="AS743" s="108"/>
      <c r="AT743" s="108"/>
      <c r="AU743" s="108"/>
      <c r="AV743" s="108"/>
      <c r="AW743" s="108"/>
      <c r="AX743" s="108"/>
      <c r="AY743" s="108"/>
      <c r="AZ743" s="108"/>
      <c r="BA743" s="108"/>
      <c r="BB743" s="108"/>
    </row>
    <row r="744" spans="3:54" ht="12.75" customHeight="1" x14ac:dyDescent="0.25">
      <c r="C744" s="108"/>
      <c r="D744" s="108"/>
      <c r="E744" s="108"/>
      <c r="F744" s="108"/>
      <c r="G744" s="108"/>
      <c r="H744" s="108"/>
      <c r="I744" s="108"/>
      <c r="J744" s="108"/>
      <c r="K744" s="108"/>
      <c r="L744" s="108"/>
      <c r="M744" s="108"/>
      <c r="N744" s="108"/>
      <c r="O744" s="108"/>
      <c r="P744" s="108"/>
      <c r="Q744" s="108"/>
      <c r="R744" s="108"/>
      <c r="S744" s="108"/>
      <c r="T744" s="108"/>
      <c r="U744" s="108"/>
      <c r="V744" s="108"/>
      <c r="W744" s="108"/>
      <c r="X744" s="108"/>
      <c r="Y744" s="108"/>
      <c r="Z744" s="108"/>
      <c r="AA744" s="108"/>
      <c r="AB744" s="108"/>
      <c r="AC744" s="108"/>
      <c r="AD744" s="108"/>
      <c r="AE744" s="108"/>
      <c r="AF744" s="108"/>
      <c r="AG744" s="108"/>
      <c r="AH744" s="108"/>
      <c r="AI744" s="108"/>
      <c r="AJ744" s="108"/>
      <c r="AK744" s="108"/>
      <c r="AL744" s="108"/>
      <c r="AM744" s="108"/>
      <c r="AN744" s="108"/>
      <c r="AO744" s="108"/>
      <c r="AP744" s="108"/>
      <c r="AQ744" s="108"/>
      <c r="AR744" s="108"/>
      <c r="AS744" s="108"/>
      <c r="AT744" s="108"/>
      <c r="AU744" s="108"/>
      <c r="AV744" s="108"/>
      <c r="AW744" s="108"/>
      <c r="AX744" s="108"/>
      <c r="AY744" s="108"/>
      <c r="AZ744" s="108"/>
      <c r="BA744" s="108"/>
      <c r="BB744" s="108"/>
    </row>
    <row r="745" spans="3:54" ht="12.75" customHeight="1" x14ac:dyDescent="0.25">
      <c r="C745" s="108"/>
      <c r="D745" s="108"/>
      <c r="E745" s="108"/>
      <c r="F745" s="108"/>
      <c r="G745" s="108"/>
      <c r="H745" s="108"/>
      <c r="I745" s="108"/>
      <c r="J745" s="108"/>
      <c r="K745" s="108"/>
      <c r="L745" s="108"/>
      <c r="M745" s="108"/>
      <c r="N745" s="108"/>
      <c r="O745" s="108"/>
      <c r="P745" s="108"/>
      <c r="Q745" s="108"/>
      <c r="R745" s="108"/>
      <c r="S745" s="108"/>
      <c r="T745" s="108"/>
      <c r="U745" s="108"/>
      <c r="V745" s="108"/>
      <c r="W745" s="108"/>
      <c r="X745" s="108"/>
      <c r="Y745" s="108"/>
      <c r="Z745" s="108"/>
      <c r="AA745" s="108"/>
      <c r="AB745" s="108"/>
      <c r="AC745" s="108"/>
      <c r="AD745" s="108"/>
      <c r="AE745" s="108"/>
      <c r="AF745" s="108"/>
      <c r="AG745" s="108"/>
      <c r="AH745" s="108"/>
      <c r="AI745" s="108"/>
      <c r="AJ745" s="108"/>
      <c r="AK745" s="108"/>
      <c r="AL745" s="108"/>
      <c r="AM745" s="108"/>
      <c r="AN745" s="108"/>
      <c r="AO745" s="108"/>
      <c r="AP745" s="108"/>
      <c r="AQ745" s="108"/>
      <c r="AR745" s="108"/>
      <c r="AS745" s="108"/>
      <c r="AT745" s="108"/>
      <c r="AU745" s="108"/>
      <c r="AV745" s="108"/>
      <c r="AW745" s="108"/>
      <c r="AX745" s="108"/>
      <c r="AY745" s="108"/>
      <c r="AZ745" s="108"/>
      <c r="BA745" s="108"/>
      <c r="BB745" s="108"/>
    </row>
    <row r="746" spans="3:54" ht="12.75" customHeight="1" x14ac:dyDescent="0.25">
      <c r="C746" s="108"/>
      <c r="D746" s="108"/>
      <c r="E746" s="108"/>
      <c r="F746" s="108"/>
      <c r="G746" s="108"/>
      <c r="H746" s="108"/>
      <c r="I746" s="108"/>
      <c r="J746" s="108"/>
      <c r="K746" s="108"/>
      <c r="L746" s="108"/>
      <c r="M746" s="108"/>
      <c r="N746" s="108"/>
      <c r="O746" s="108"/>
      <c r="P746" s="108"/>
      <c r="Q746" s="108"/>
      <c r="R746" s="108"/>
      <c r="S746" s="108"/>
      <c r="T746" s="108"/>
      <c r="U746" s="108"/>
      <c r="V746" s="108"/>
      <c r="W746" s="108"/>
      <c r="X746" s="108"/>
      <c r="Y746" s="108"/>
      <c r="Z746" s="108"/>
      <c r="AA746" s="108"/>
      <c r="AB746" s="108"/>
      <c r="AC746" s="108"/>
      <c r="AD746" s="108"/>
      <c r="AE746" s="108"/>
      <c r="AF746" s="108"/>
      <c r="AG746" s="108"/>
      <c r="AH746" s="108"/>
      <c r="AI746" s="108"/>
      <c r="AJ746" s="108"/>
      <c r="AK746" s="108"/>
      <c r="AL746" s="108"/>
      <c r="AM746" s="108"/>
      <c r="AN746" s="108"/>
      <c r="AO746" s="108"/>
      <c r="AP746" s="108"/>
      <c r="AQ746" s="108"/>
      <c r="AR746" s="108"/>
      <c r="AS746" s="108"/>
      <c r="AT746" s="108"/>
      <c r="AU746" s="108"/>
      <c r="AV746" s="108"/>
      <c r="AW746" s="108"/>
      <c r="AX746" s="108"/>
      <c r="AY746" s="108"/>
      <c r="AZ746" s="108"/>
      <c r="BA746" s="108"/>
      <c r="BB746" s="108"/>
    </row>
    <row r="747" spans="3:54" ht="12.75" customHeight="1" x14ac:dyDescent="0.25">
      <c r="C747" s="108"/>
      <c r="D747" s="108"/>
      <c r="E747" s="108"/>
      <c r="F747" s="108"/>
      <c r="G747" s="108"/>
      <c r="H747" s="108"/>
      <c r="I747" s="108"/>
      <c r="J747" s="108"/>
      <c r="K747" s="108"/>
      <c r="L747" s="108"/>
      <c r="M747" s="108"/>
      <c r="N747" s="108"/>
      <c r="O747" s="108"/>
      <c r="P747" s="108"/>
      <c r="Q747" s="108"/>
      <c r="R747" s="108"/>
      <c r="S747" s="108"/>
      <c r="T747" s="108"/>
      <c r="U747" s="108"/>
      <c r="V747" s="108"/>
      <c r="W747" s="108"/>
      <c r="X747" s="108"/>
      <c r="Y747" s="108"/>
      <c r="Z747" s="108"/>
      <c r="AA747" s="108"/>
      <c r="AB747" s="108"/>
      <c r="AC747" s="108"/>
      <c r="AD747" s="108"/>
      <c r="AE747" s="108"/>
      <c r="AF747" s="108"/>
      <c r="AG747" s="108"/>
      <c r="AH747" s="108"/>
      <c r="AI747" s="108"/>
      <c r="AJ747" s="108"/>
      <c r="AK747" s="108"/>
      <c r="AL747" s="108"/>
      <c r="AM747" s="108"/>
      <c r="AN747" s="108"/>
      <c r="AO747" s="108"/>
      <c r="AP747" s="108"/>
      <c r="AQ747" s="108"/>
      <c r="AR747" s="108"/>
      <c r="AS747" s="108"/>
      <c r="AT747" s="108"/>
      <c r="AU747" s="108"/>
      <c r="AV747" s="108"/>
      <c r="AW747" s="108"/>
      <c r="AX747" s="108"/>
      <c r="AY747" s="108"/>
      <c r="AZ747" s="108"/>
      <c r="BA747" s="108"/>
      <c r="BB747" s="108"/>
    </row>
    <row r="748" spans="3:54" ht="12.75" customHeight="1" x14ac:dyDescent="0.25">
      <c r="C748" s="108"/>
      <c r="D748" s="108"/>
      <c r="E748" s="108"/>
      <c r="F748" s="108"/>
      <c r="G748" s="108"/>
      <c r="H748" s="108"/>
      <c r="I748" s="108"/>
      <c r="J748" s="108"/>
      <c r="K748" s="108"/>
      <c r="L748" s="108"/>
      <c r="M748" s="108"/>
      <c r="N748" s="108"/>
      <c r="O748" s="108"/>
      <c r="P748" s="108"/>
      <c r="Q748" s="108"/>
      <c r="R748" s="108"/>
      <c r="S748" s="108"/>
      <c r="T748" s="108"/>
      <c r="U748" s="108"/>
      <c r="V748" s="108"/>
      <c r="W748" s="108"/>
      <c r="X748" s="108"/>
      <c r="Y748" s="108"/>
      <c r="Z748" s="108"/>
      <c r="AA748" s="108"/>
      <c r="AB748" s="108"/>
      <c r="AC748" s="108"/>
      <c r="AD748" s="108"/>
      <c r="AE748" s="108"/>
      <c r="AF748" s="108"/>
      <c r="AG748" s="108"/>
      <c r="AH748" s="108"/>
      <c r="AI748" s="108"/>
      <c r="AJ748" s="108"/>
      <c r="AK748" s="108"/>
      <c r="AL748" s="108"/>
      <c r="AM748" s="108"/>
      <c r="AN748" s="108"/>
      <c r="AO748" s="108"/>
      <c r="AP748" s="108"/>
      <c r="AQ748" s="108"/>
      <c r="AR748" s="108"/>
      <c r="AS748" s="108"/>
      <c r="AT748" s="108"/>
      <c r="AU748" s="108"/>
      <c r="AV748" s="108"/>
      <c r="AW748" s="108"/>
      <c r="AX748" s="108"/>
      <c r="AY748" s="108"/>
      <c r="AZ748" s="108"/>
      <c r="BA748" s="108"/>
      <c r="BB748" s="108"/>
    </row>
    <row r="749" spans="3:54" ht="12.75" customHeight="1" x14ac:dyDescent="0.25">
      <c r="C749" s="108"/>
      <c r="D749" s="108"/>
      <c r="E749" s="108"/>
      <c r="F749" s="108"/>
      <c r="G749" s="108"/>
      <c r="H749" s="108"/>
      <c r="I749" s="108"/>
      <c r="J749" s="108"/>
      <c r="K749" s="108"/>
      <c r="L749" s="108"/>
      <c r="M749" s="108"/>
      <c r="N749" s="108"/>
      <c r="O749" s="108"/>
      <c r="P749" s="108"/>
      <c r="Q749" s="108"/>
      <c r="R749" s="108"/>
      <c r="S749" s="108"/>
      <c r="T749" s="108"/>
      <c r="U749" s="108"/>
      <c r="V749" s="108"/>
      <c r="W749" s="108"/>
      <c r="X749" s="108"/>
      <c r="Y749" s="108"/>
      <c r="Z749" s="108"/>
      <c r="AA749" s="108"/>
      <c r="AB749" s="108"/>
      <c r="AC749" s="108"/>
      <c r="AD749" s="108"/>
      <c r="AE749" s="108"/>
      <c r="AF749" s="108"/>
      <c r="AG749" s="108"/>
      <c r="AH749" s="108"/>
      <c r="AI749" s="108"/>
      <c r="AJ749" s="108"/>
      <c r="AK749" s="108"/>
      <c r="AL749" s="108"/>
      <c r="AM749" s="108"/>
      <c r="AN749" s="108"/>
      <c r="AO749" s="108"/>
      <c r="AP749" s="108"/>
      <c r="AQ749" s="108"/>
      <c r="AR749" s="108"/>
      <c r="AS749" s="108"/>
      <c r="AT749" s="108"/>
      <c r="AU749" s="108"/>
      <c r="AV749" s="108"/>
      <c r="AW749" s="108"/>
      <c r="AX749" s="108"/>
      <c r="AY749" s="108"/>
      <c r="AZ749" s="108"/>
      <c r="BA749" s="108"/>
      <c r="BB749" s="108"/>
    </row>
    <row r="750" spans="3:54" ht="12.75" customHeight="1" x14ac:dyDescent="0.25">
      <c r="C750" s="108"/>
      <c r="D750" s="108"/>
      <c r="E750" s="108"/>
      <c r="F750" s="108"/>
      <c r="G750" s="108"/>
      <c r="H750" s="108"/>
      <c r="I750" s="108"/>
      <c r="J750" s="108"/>
      <c r="K750" s="108"/>
      <c r="L750" s="108"/>
      <c r="M750" s="108"/>
      <c r="N750" s="108"/>
      <c r="O750" s="108"/>
      <c r="P750" s="108"/>
      <c r="Q750" s="108"/>
      <c r="R750" s="108"/>
      <c r="S750" s="108"/>
      <c r="T750" s="108"/>
      <c r="U750" s="108"/>
      <c r="V750" s="108"/>
      <c r="W750" s="108"/>
      <c r="X750" s="108"/>
      <c r="Y750" s="108"/>
      <c r="Z750" s="108"/>
      <c r="AA750" s="108"/>
      <c r="AB750" s="108"/>
      <c r="AC750" s="108"/>
      <c r="AD750" s="108"/>
      <c r="AE750" s="108"/>
      <c r="AF750" s="108"/>
      <c r="AG750" s="108"/>
      <c r="AH750" s="108"/>
      <c r="AI750" s="108"/>
      <c r="AJ750" s="108"/>
      <c r="AK750" s="108"/>
      <c r="AL750" s="108"/>
      <c r="AM750" s="108"/>
      <c r="AN750" s="108"/>
      <c r="AO750" s="108"/>
      <c r="AP750" s="108"/>
      <c r="AQ750" s="108"/>
      <c r="AR750" s="108"/>
      <c r="AS750" s="108"/>
      <c r="AT750" s="108"/>
      <c r="AU750" s="108"/>
      <c r="AV750" s="108"/>
      <c r="AW750" s="108"/>
      <c r="AX750" s="108"/>
      <c r="AY750" s="108"/>
      <c r="AZ750" s="108"/>
      <c r="BA750" s="108"/>
      <c r="BB750" s="108"/>
    </row>
    <row r="751" spans="3:54" ht="12.75" customHeight="1" x14ac:dyDescent="0.25">
      <c r="C751" s="108"/>
      <c r="D751" s="108"/>
      <c r="E751" s="108"/>
      <c r="F751" s="108"/>
      <c r="G751" s="108"/>
      <c r="H751" s="108"/>
      <c r="I751" s="108"/>
      <c r="J751" s="108"/>
      <c r="K751" s="108"/>
      <c r="L751" s="108"/>
      <c r="M751" s="108"/>
      <c r="N751" s="108"/>
      <c r="O751" s="108"/>
      <c r="P751" s="108"/>
      <c r="Q751" s="108"/>
      <c r="R751" s="108"/>
      <c r="S751" s="108"/>
      <c r="T751" s="108"/>
      <c r="U751" s="108"/>
      <c r="V751" s="108"/>
      <c r="W751" s="108"/>
      <c r="X751" s="108"/>
      <c r="Y751" s="108"/>
      <c r="Z751" s="108"/>
      <c r="AA751" s="108"/>
      <c r="AB751" s="108"/>
      <c r="AC751" s="108"/>
      <c r="AD751" s="108"/>
      <c r="AE751" s="108"/>
      <c r="AF751" s="108"/>
      <c r="AG751" s="108"/>
      <c r="AH751" s="108"/>
      <c r="AI751" s="108"/>
      <c r="AJ751" s="108"/>
      <c r="AK751" s="108"/>
      <c r="AL751" s="108"/>
      <c r="AM751" s="108"/>
      <c r="AN751" s="108"/>
      <c r="AO751" s="108"/>
      <c r="AP751" s="108"/>
      <c r="AQ751" s="108"/>
      <c r="AR751" s="108"/>
      <c r="AS751" s="108"/>
      <c r="AT751" s="108"/>
      <c r="AU751" s="108"/>
      <c r="AV751" s="108"/>
      <c r="AW751" s="108"/>
      <c r="AX751" s="108"/>
      <c r="AY751" s="108"/>
      <c r="AZ751" s="108"/>
      <c r="BA751" s="108"/>
      <c r="BB751" s="108"/>
    </row>
    <row r="752" spans="3:54" ht="12.75" customHeight="1" x14ac:dyDescent="0.25">
      <c r="C752" s="108"/>
      <c r="D752" s="108"/>
      <c r="E752" s="108"/>
      <c r="F752" s="108"/>
      <c r="G752" s="108"/>
      <c r="H752" s="108"/>
      <c r="I752" s="108"/>
      <c r="J752" s="108"/>
      <c r="K752" s="108"/>
      <c r="L752" s="108"/>
      <c r="M752" s="108"/>
      <c r="N752" s="108"/>
      <c r="O752" s="108"/>
      <c r="P752" s="108"/>
      <c r="Q752" s="108"/>
      <c r="R752" s="108"/>
      <c r="S752" s="108"/>
      <c r="T752" s="108"/>
      <c r="U752" s="108"/>
      <c r="V752" s="108"/>
      <c r="W752" s="108"/>
      <c r="X752" s="108"/>
      <c r="Y752" s="108"/>
      <c r="Z752" s="108"/>
      <c r="AA752" s="108"/>
      <c r="AB752" s="108"/>
      <c r="AC752" s="108"/>
      <c r="AD752" s="108"/>
      <c r="AE752" s="108"/>
      <c r="AF752" s="108"/>
      <c r="AG752" s="108"/>
      <c r="AH752" s="108"/>
      <c r="AI752" s="108"/>
      <c r="AJ752" s="108"/>
      <c r="AK752" s="108"/>
      <c r="AL752" s="108"/>
      <c r="AM752" s="108"/>
      <c r="AN752" s="108"/>
      <c r="AO752" s="108"/>
      <c r="AP752" s="108"/>
      <c r="AQ752" s="108"/>
      <c r="AR752" s="108"/>
      <c r="AS752" s="108"/>
      <c r="AT752" s="108"/>
      <c r="AU752" s="108"/>
      <c r="AV752" s="108"/>
      <c r="AW752" s="108"/>
      <c r="AX752" s="108"/>
      <c r="AY752" s="108"/>
      <c r="AZ752" s="108"/>
      <c r="BA752" s="108"/>
      <c r="BB752" s="108"/>
    </row>
    <row r="753" spans="3:54" ht="12.75" customHeight="1" x14ac:dyDescent="0.25">
      <c r="C753" s="108"/>
      <c r="D753" s="108"/>
      <c r="E753" s="108"/>
      <c r="F753" s="108"/>
      <c r="G753" s="108"/>
      <c r="H753" s="108"/>
      <c r="I753" s="108"/>
      <c r="J753" s="108"/>
      <c r="K753" s="108"/>
      <c r="L753" s="108"/>
      <c r="M753" s="108"/>
      <c r="N753" s="108"/>
      <c r="O753" s="108"/>
      <c r="P753" s="108"/>
      <c r="Q753" s="108"/>
      <c r="R753" s="108"/>
      <c r="S753" s="108"/>
      <c r="T753" s="108"/>
      <c r="U753" s="108"/>
      <c r="V753" s="108"/>
      <c r="W753" s="108"/>
      <c r="X753" s="108"/>
      <c r="Y753" s="108"/>
      <c r="Z753" s="108"/>
      <c r="AA753" s="108"/>
      <c r="AB753" s="108"/>
      <c r="AC753" s="108"/>
      <c r="AD753" s="108"/>
      <c r="AE753" s="108"/>
      <c r="AF753" s="108"/>
      <c r="AG753" s="108"/>
      <c r="AH753" s="108"/>
      <c r="AI753" s="108"/>
      <c r="AJ753" s="108"/>
      <c r="AK753" s="108"/>
      <c r="AL753" s="108"/>
      <c r="AM753" s="108"/>
      <c r="AN753" s="108"/>
      <c r="AO753" s="108"/>
      <c r="AP753" s="108"/>
      <c r="AQ753" s="108"/>
      <c r="AR753" s="108"/>
      <c r="AS753" s="108"/>
      <c r="AT753" s="108"/>
      <c r="AU753" s="108"/>
      <c r="AV753" s="108"/>
      <c r="AW753" s="108"/>
      <c r="AX753" s="108"/>
      <c r="AY753" s="108"/>
      <c r="AZ753" s="108"/>
      <c r="BA753" s="108"/>
      <c r="BB753" s="108"/>
    </row>
    <row r="754" spans="3:54" ht="12.75" customHeight="1" x14ac:dyDescent="0.25">
      <c r="C754" s="108"/>
      <c r="D754" s="108"/>
      <c r="E754" s="108"/>
      <c r="F754" s="108"/>
      <c r="G754" s="108"/>
      <c r="H754" s="108"/>
      <c r="I754" s="108"/>
      <c r="J754" s="108"/>
      <c r="K754" s="108"/>
      <c r="L754" s="108"/>
      <c r="M754" s="108"/>
      <c r="N754" s="108"/>
      <c r="O754" s="108"/>
      <c r="P754" s="108"/>
      <c r="Q754" s="108"/>
      <c r="R754" s="108"/>
      <c r="S754" s="108"/>
      <c r="T754" s="108"/>
      <c r="U754" s="108"/>
      <c r="V754" s="108"/>
      <c r="W754" s="108"/>
      <c r="X754" s="108"/>
      <c r="Y754" s="108"/>
      <c r="Z754" s="108"/>
      <c r="AA754" s="108"/>
      <c r="AB754" s="108"/>
      <c r="AC754" s="108"/>
      <c r="AD754" s="108"/>
      <c r="AE754" s="108"/>
      <c r="AF754" s="108"/>
      <c r="AG754" s="108"/>
      <c r="AH754" s="108"/>
      <c r="AI754" s="108"/>
      <c r="AJ754" s="108"/>
      <c r="AK754" s="108"/>
      <c r="AL754" s="108"/>
      <c r="AM754" s="108"/>
      <c r="AN754" s="108"/>
      <c r="AO754" s="108"/>
      <c r="AP754" s="108"/>
      <c r="AQ754" s="108"/>
      <c r="AR754" s="108"/>
      <c r="AS754" s="108"/>
      <c r="AT754" s="108"/>
      <c r="AU754" s="108"/>
      <c r="AV754" s="108"/>
      <c r="AW754" s="108"/>
      <c r="AX754" s="108"/>
      <c r="AY754" s="108"/>
      <c r="AZ754" s="108"/>
      <c r="BA754" s="108"/>
      <c r="BB754" s="108"/>
    </row>
    <row r="755" spans="3:54" ht="12.75" customHeight="1" x14ac:dyDescent="0.25">
      <c r="C755" s="108"/>
      <c r="D755" s="108"/>
      <c r="E755" s="108"/>
      <c r="F755" s="108"/>
      <c r="G755" s="108"/>
      <c r="H755" s="108"/>
      <c r="I755" s="108"/>
      <c r="J755" s="108"/>
      <c r="K755" s="108"/>
      <c r="L755" s="108"/>
      <c r="M755" s="108"/>
      <c r="N755" s="108"/>
      <c r="O755" s="108"/>
      <c r="P755" s="108"/>
      <c r="Q755" s="108"/>
      <c r="R755" s="108"/>
      <c r="S755" s="108"/>
      <c r="T755" s="108"/>
      <c r="U755" s="108"/>
      <c r="V755" s="108"/>
      <c r="W755" s="108"/>
      <c r="X755" s="108"/>
      <c r="Y755" s="108"/>
      <c r="Z755" s="108"/>
      <c r="AA755" s="108"/>
      <c r="AB755" s="108"/>
      <c r="AC755" s="108"/>
      <c r="AD755" s="108"/>
      <c r="AE755" s="108"/>
      <c r="AF755" s="108"/>
      <c r="AG755" s="108"/>
      <c r="AH755" s="108"/>
      <c r="AI755" s="108"/>
      <c r="AJ755" s="108"/>
      <c r="AK755" s="108"/>
      <c r="AL755" s="108"/>
      <c r="AM755" s="108"/>
      <c r="AN755" s="108"/>
      <c r="AO755" s="108"/>
      <c r="AP755" s="108"/>
      <c r="AQ755" s="108"/>
      <c r="AR755" s="108"/>
      <c r="AS755" s="108"/>
      <c r="AT755" s="108"/>
      <c r="AU755" s="108"/>
      <c r="AV755" s="108"/>
      <c r="AW755" s="108"/>
      <c r="AX755" s="108"/>
      <c r="AY755" s="108"/>
      <c r="AZ755" s="108"/>
      <c r="BA755" s="108"/>
      <c r="BB755" s="108"/>
    </row>
    <row r="756" spans="3:54" ht="12.75" customHeight="1" x14ac:dyDescent="0.25">
      <c r="C756" s="108"/>
      <c r="D756" s="108"/>
      <c r="E756" s="108"/>
      <c r="F756" s="108"/>
      <c r="G756" s="108"/>
      <c r="H756" s="108"/>
      <c r="I756" s="108"/>
      <c r="J756" s="108"/>
      <c r="K756" s="108"/>
      <c r="L756" s="108"/>
      <c r="M756" s="108"/>
      <c r="N756" s="108"/>
      <c r="O756" s="108"/>
      <c r="P756" s="108"/>
      <c r="Q756" s="108"/>
      <c r="R756" s="108"/>
      <c r="S756" s="108"/>
      <c r="T756" s="108"/>
      <c r="U756" s="108"/>
      <c r="V756" s="108"/>
      <c r="W756" s="108"/>
      <c r="X756" s="108"/>
      <c r="Y756" s="108"/>
      <c r="Z756" s="108"/>
      <c r="AA756" s="108"/>
      <c r="AB756" s="108"/>
      <c r="AC756" s="108"/>
      <c r="AD756" s="108"/>
      <c r="AE756" s="108"/>
      <c r="AF756" s="108"/>
      <c r="AG756" s="108"/>
      <c r="AH756" s="108"/>
      <c r="AI756" s="108"/>
      <c r="AJ756" s="108"/>
      <c r="AK756" s="108"/>
      <c r="AL756" s="108"/>
      <c r="AM756" s="108"/>
      <c r="AN756" s="108"/>
      <c r="AO756" s="108"/>
      <c r="AP756" s="108"/>
      <c r="AQ756" s="108"/>
      <c r="AR756" s="108"/>
      <c r="AS756" s="108"/>
      <c r="AT756" s="108"/>
      <c r="AU756" s="108"/>
      <c r="AV756" s="108"/>
      <c r="AW756" s="108"/>
      <c r="AX756" s="108"/>
      <c r="AY756" s="108"/>
      <c r="AZ756" s="108"/>
      <c r="BA756" s="108"/>
      <c r="BB756" s="108"/>
    </row>
    <row r="757" spans="3:54" ht="12.75" customHeight="1" x14ac:dyDescent="0.25">
      <c r="C757" s="108"/>
      <c r="D757" s="108"/>
      <c r="E757" s="108"/>
      <c r="F757" s="108"/>
      <c r="G757" s="108"/>
      <c r="H757" s="108"/>
      <c r="I757" s="108"/>
      <c r="J757" s="108"/>
      <c r="K757" s="108"/>
      <c r="L757" s="108"/>
      <c r="M757" s="108"/>
      <c r="N757" s="108"/>
      <c r="O757" s="108"/>
      <c r="P757" s="108"/>
      <c r="Q757" s="108"/>
      <c r="R757" s="108"/>
      <c r="S757" s="108"/>
      <c r="T757" s="108"/>
      <c r="U757" s="108"/>
      <c r="V757" s="108"/>
      <c r="W757" s="108"/>
      <c r="X757" s="108"/>
      <c r="Y757" s="108"/>
      <c r="Z757" s="108"/>
      <c r="AA757" s="108"/>
      <c r="AB757" s="108"/>
      <c r="AC757" s="108"/>
      <c r="AD757" s="108"/>
      <c r="AE757" s="108"/>
      <c r="AF757" s="108"/>
      <c r="AG757" s="108"/>
      <c r="AH757" s="108"/>
      <c r="AI757" s="108"/>
      <c r="AJ757" s="108"/>
      <c r="AK757" s="108"/>
      <c r="AL757" s="108"/>
      <c r="AM757" s="108"/>
      <c r="AN757" s="108"/>
      <c r="AO757" s="108"/>
      <c r="AP757" s="108"/>
      <c r="AQ757" s="108"/>
      <c r="AR757" s="108"/>
      <c r="AS757" s="108"/>
      <c r="AT757" s="108"/>
      <c r="AU757" s="108"/>
      <c r="AV757" s="108"/>
      <c r="AW757" s="108"/>
      <c r="AX757" s="108"/>
      <c r="AY757" s="108"/>
      <c r="AZ757" s="108"/>
      <c r="BA757" s="108"/>
      <c r="BB757" s="108"/>
    </row>
    <row r="758" spans="3:54" ht="12.75" customHeight="1" x14ac:dyDescent="0.25">
      <c r="C758" s="108"/>
      <c r="D758" s="108"/>
      <c r="E758" s="108"/>
      <c r="F758" s="108"/>
      <c r="G758" s="108"/>
      <c r="H758" s="108"/>
      <c r="I758" s="108"/>
      <c r="J758" s="108"/>
      <c r="K758" s="108"/>
      <c r="L758" s="108"/>
      <c r="M758" s="108"/>
      <c r="N758" s="108"/>
      <c r="O758" s="108"/>
      <c r="P758" s="108"/>
      <c r="Q758" s="108"/>
      <c r="R758" s="108"/>
      <c r="S758" s="108"/>
      <c r="T758" s="108"/>
      <c r="U758" s="108"/>
      <c r="V758" s="108"/>
      <c r="W758" s="108"/>
      <c r="X758" s="108"/>
      <c r="Y758" s="108"/>
      <c r="Z758" s="108"/>
      <c r="AA758" s="108"/>
      <c r="AB758" s="108"/>
      <c r="AC758" s="108"/>
      <c r="AD758" s="108"/>
      <c r="AE758" s="108"/>
      <c r="AF758" s="108"/>
      <c r="AG758" s="108"/>
      <c r="AH758" s="108"/>
      <c r="AI758" s="108"/>
      <c r="AJ758" s="108"/>
      <c r="AK758" s="108"/>
      <c r="AL758" s="108"/>
      <c r="AM758" s="108"/>
      <c r="AN758" s="108"/>
      <c r="AO758" s="108"/>
      <c r="AP758" s="108"/>
      <c r="AQ758" s="108"/>
      <c r="AR758" s="108"/>
      <c r="AS758" s="108"/>
      <c r="AT758" s="108"/>
      <c r="AU758" s="108"/>
      <c r="AV758" s="108"/>
      <c r="AW758" s="108"/>
      <c r="AX758" s="108"/>
      <c r="AY758" s="108"/>
      <c r="AZ758" s="108"/>
      <c r="BA758" s="108"/>
      <c r="BB758" s="108"/>
    </row>
    <row r="759" spans="3:54" ht="12.75" customHeight="1" x14ac:dyDescent="0.25">
      <c r="C759" s="108"/>
      <c r="D759" s="108"/>
      <c r="E759" s="108"/>
      <c r="F759" s="108"/>
      <c r="G759" s="108"/>
      <c r="H759" s="108"/>
      <c r="I759" s="108"/>
      <c r="J759" s="108"/>
      <c r="K759" s="108"/>
      <c r="L759" s="108"/>
      <c r="M759" s="108"/>
      <c r="N759" s="108"/>
      <c r="O759" s="108"/>
      <c r="P759" s="108"/>
      <c r="Q759" s="108"/>
      <c r="R759" s="108"/>
      <c r="S759" s="108"/>
      <c r="T759" s="108"/>
      <c r="U759" s="108"/>
      <c r="V759" s="108"/>
      <c r="W759" s="108"/>
      <c r="X759" s="108"/>
      <c r="Y759" s="108"/>
      <c r="Z759" s="108"/>
      <c r="AA759" s="108"/>
      <c r="AB759" s="108"/>
      <c r="AC759" s="108"/>
      <c r="AD759" s="108"/>
      <c r="AE759" s="108"/>
      <c r="AF759" s="108"/>
      <c r="AG759" s="108"/>
      <c r="AH759" s="108"/>
      <c r="AI759" s="108"/>
      <c r="AJ759" s="108"/>
      <c r="AK759" s="108"/>
      <c r="AL759" s="108"/>
      <c r="AM759" s="108"/>
      <c r="AN759" s="108"/>
      <c r="AO759" s="108"/>
      <c r="AP759" s="108"/>
      <c r="AQ759" s="108"/>
      <c r="AR759" s="108"/>
      <c r="AS759" s="108"/>
      <c r="AT759" s="108"/>
      <c r="AU759" s="108"/>
      <c r="AV759" s="108"/>
      <c r="AW759" s="108"/>
      <c r="AX759" s="108"/>
      <c r="AY759" s="108"/>
      <c r="AZ759" s="108"/>
      <c r="BA759" s="108"/>
      <c r="BB759" s="108"/>
    </row>
    <row r="760" spans="3:54" ht="12.75" customHeight="1" x14ac:dyDescent="0.25">
      <c r="C760" s="108"/>
      <c r="D760" s="108"/>
      <c r="E760" s="108"/>
      <c r="F760" s="108"/>
      <c r="G760" s="108"/>
      <c r="H760" s="108"/>
      <c r="I760" s="108"/>
      <c r="J760" s="108"/>
      <c r="K760" s="108"/>
      <c r="L760" s="108"/>
      <c r="M760" s="108"/>
      <c r="N760" s="108"/>
      <c r="O760" s="108"/>
      <c r="P760" s="108"/>
      <c r="Q760" s="108"/>
      <c r="R760" s="108"/>
      <c r="S760" s="108"/>
      <c r="T760" s="108"/>
      <c r="U760" s="108"/>
      <c r="V760" s="108"/>
      <c r="W760" s="108"/>
      <c r="X760" s="108"/>
      <c r="Y760" s="108"/>
      <c r="Z760" s="108"/>
      <c r="AA760" s="108"/>
      <c r="AB760" s="108"/>
      <c r="AC760" s="108"/>
      <c r="AD760" s="108"/>
      <c r="AE760" s="108"/>
      <c r="AF760" s="108"/>
      <c r="AG760" s="108"/>
      <c r="AH760" s="108"/>
      <c r="AI760" s="108"/>
      <c r="AJ760" s="108"/>
      <c r="AK760" s="108"/>
      <c r="AL760" s="108"/>
      <c r="AM760" s="108"/>
      <c r="AN760" s="108"/>
      <c r="AO760" s="108"/>
      <c r="AP760" s="108"/>
      <c r="AQ760" s="108"/>
      <c r="AR760" s="108"/>
      <c r="AS760" s="108"/>
      <c r="AT760" s="108"/>
      <c r="AU760" s="108"/>
      <c r="AV760" s="108"/>
      <c r="AW760" s="108"/>
      <c r="AX760" s="108"/>
      <c r="AY760" s="108"/>
      <c r="AZ760" s="108"/>
      <c r="BA760" s="108"/>
      <c r="BB760" s="108"/>
    </row>
    <row r="761" spans="3:54" ht="12.75" customHeight="1" x14ac:dyDescent="0.25">
      <c r="C761" s="108"/>
      <c r="D761" s="108"/>
      <c r="E761" s="108"/>
      <c r="F761" s="108"/>
      <c r="G761" s="108"/>
      <c r="H761" s="108"/>
      <c r="I761" s="108"/>
      <c r="J761" s="108"/>
      <c r="K761" s="108"/>
      <c r="L761" s="108"/>
      <c r="M761" s="108"/>
      <c r="N761" s="108"/>
      <c r="O761" s="108"/>
      <c r="P761" s="108"/>
      <c r="Q761" s="108"/>
      <c r="R761" s="108"/>
      <c r="S761" s="108"/>
      <c r="T761" s="108"/>
      <c r="U761" s="108"/>
      <c r="V761" s="108"/>
      <c r="W761" s="108"/>
      <c r="X761" s="108"/>
      <c r="Y761" s="108"/>
      <c r="Z761" s="108"/>
      <c r="AA761" s="108"/>
      <c r="AB761" s="108"/>
      <c r="AC761" s="108"/>
      <c r="AD761" s="108"/>
      <c r="AE761" s="108"/>
      <c r="AF761" s="108"/>
      <c r="AG761" s="108"/>
      <c r="AH761" s="108"/>
      <c r="AI761" s="108"/>
      <c r="AJ761" s="108"/>
      <c r="AK761" s="108"/>
      <c r="AL761" s="108"/>
      <c r="AM761" s="108"/>
      <c r="AN761" s="108"/>
      <c r="AO761" s="108"/>
      <c r="AP761" s="108"/>
      <c r="AQ761" s="108"/>
      <c r="AR761" s="108"/>
      <c r="AS761" s="108"/>
      <c r="AT761" s="108"/>
      <c r="AU761" s="108"/>
      <c r="AV761" s="108"/>
      <c r="AW761" s="108"/>
      <c r="AX761" s="108"/>
      <c r="AY761" s="108"/>
      <c r="AZ761" s="108"/>
      <c r="BA761" s="108"/>
      <c r="BB761" s="108"/>
    </row>
    <row r="762" spans="3:54" ht="12.75" customHeight="1" x14ac:dyDescent="0.25">
      <c r="C762" s="108"/>
      <c r="D762" s="108"/>
      <c r="E762" s="108"/>
      <c r="F762" s="108"/>
      <c r="G762" s="108"/>
      <c r="H762" s="108"/>
      <c r="I762" s="108"/>
      <c r="J762" s="108"/>
      <c r="K762" s="108"/>
      <c r="L762" s="108"/>
      <c r="M762" s="108"/>
      <c r="N762" s="108"/>
      <c r="O762" s="108"/>
      <c r="P762" s="108"/>
      <c r="Q762" s="108"/>
      <c r="R762" s="108"/>
      <c r="S762" s="108"/>
      <c r="T762" s="108"/>
      <c r="U762" s="108"/>
      <c r="V762" s="108"/>
      <c r="W762" s="108"/>
      <c r="X762" s="108"/>
      <c r="Y762" s="108"/>
      <c r="Z762" s="108"/>
      <c r="AA762" s="108"/>
      <c r="AB762" s="108"/>
      <c r="AC762" s="108"/>
      <c r="AD762" s="108"/>
      <c r="AE762" s="108"/>
      <c r="AF762" s="108"/>
      <c r="AG762" s="108"/>
      <c r="AH762" s="108"/>
      <c r="AI762" s="108"/>
      <c r="AJ762" s="108"/>
      <c r="AK762" s="108"/>
      <c r="AL762" s="108"/>
      <c r="AM762" s="108"/>
      <c r="AN762" s="108"/>
      <c r="AO762" s="108"/>
      <c r="AP762" s="108"/>
      <c r="AQ762" s="108"/>
      <c r="AR762" s="108"/>
      <c r="AS762" s="108"/>
      <c r="AT762" s="108"/>
      <c r="AU762" s="108"/>
      <c r="AV762" s="108"/>
      <c r="AW762" s="108"/>
      <c r="AX762" s="108"/>
      <c r="AY762" s="108"/>
      <c r="AZ762" s="108"/>
      <c r="BA762" s="108"/>
      <c r="BB762" s="108"/>
    </row>
    <row r="763" spans="3:54" ht="12.75" customHeight="1" x14ac:dyDescent="0.25">
      <c r="C763" s="108"/>
      <c r="D763" s="108"/>
      <c r="E763" s="108"/>
      <c r="F763" s="108"/>
      <c r="G763" s="108"/>
      <c r="H763" s="108"/>
      <c r="I763" s="108"/>
      <c r="J763" s="108"/>
      <c r="K763" s="108"/>
      <c r="L763" s="108"/>
      <c r="M763" s="108"/>
      <c r="N763" s="108"/>
      <c r="O763" s="108"/>
      <c r="P763" s="108"/>
      <c r="Q763" s="108"/>
      <c r="R763" s="108"/>
      <c r="S763" s="108"/>
      <c r="T763" s="108"/>
      <c r="U763" s="108"/>
      <c r="V763" s="108"/>
      <c r="W763" s="108"/>
      <c r="X763" s="108"/>
      <c r="Y763" s="108"/>
      <c r="Z763" s="108"/>
      <c r="AA763" s="108"/>
      <c r="AB763" s="108"/>
      <c r="AC763" s="108"/>
      <c r="AD763" s="108"/>
      <c r="AE763" s="108"/>
      <c r="AF763" s="108"/>
      <c r="AG763" s="108"/>
      <c r="AH763" s="108"/>
      <c r="AI763" s="108"/>
      <c r="AJ763" s="108"/>
      <c r="AK763" s="108"/>
      <c r="AL763" s="108"/>
      <c r="AM763" s="108"/>
      <c r="AN763" s="108"/>
      <c r="AO763" s="108"/>
      <c r="AP763" s="108"/>
      <c r="AQ763" s="108"/>
      <c r="AR763" s="108"/>
      <c r="AS763" s="108"/>
      <c r="AT763" s="108"/>
      <c r="AU763" s="108"/>
      <c r="AV763" s="108"/>
      <c r="AW763" s="108"/>
      <c r="AX763" s="108"/>
      <c r="AY763" s="108"/>
      <c r="AZ763" s="108"/>
      <c r="BA763" s="108"/>
      <c r="BB763" s="108"/>
    </row>
    <row r="764" spans="3:54" ht="12.75" customHeight="1" x14ac:dyDescent="0.25">
      <c r="C764" s="108"/>
      <c r="D764" s="108"/>
      <c r="E764" s="108"/>
      <c r="F764" s="108"/>
      <c r="G764" s="108"/>
      <c r="H764" s="108"/>
      <c r="I764" s="108"/>
      <c r="J764" s="108"/>
      <c r="K764" s="108"/>
      <c r="L764" s="108"/>
      <c r="M764" s="108"/>
      <c r="N764" s="108"/>
      <c r="O764" s="108"/>
      <c r="P764" s="108"/>
      <c r="Q764" s="108"/>
      <c r="R764" s="108"/>
      <c r="S764" s="108"/>
      <c r="T764" s="108"/>
      <c r="U764" s="108"/>
      <c r="V764" s="108"/>
      <c r="W764" s="108"/>
      <c r="X764" s="108"/>
      <c r="Y764" s="108"/>
      <c r="Z764" s="108"/>
      <c r="AA764" s="108"/>
      <c r="AB764" s="108"/>
      <c r="AC764" s="108"/>
      <c r="AD764" s="108"/>
      <c r="AE764" s="108"/>
      <c r="AF764" s="108"/>
      <c r="AG764" s="108"/>
      <c r="AH764" s="108"/>
      <c r="AI764" s="108"/>
      <c r="AJ764" s="108"/>
      <c r="AK764" s="108"/>
      <c r="AL764" s="108"/>
      <c r="AM764" s="108"/>
      <c r="AN764" s="108"/>
      <c r="AO764" s="108"/>
      <c r="AP764" s="108"/>
      <c r="AQ764" s="108"/>
      <c r="AR764" s="108"/>
      <c r="AS764" s="108"/>
      <c r="AT764" s="108"/>
      <c r="AU764" s="108"/>
      <c r="AV764" s="108"/>
      <c r="AW764" s="108"/>
      <c r="AX764" s="108"/>
      <c r="AY764" s="108"/>
      <c r="AZ764" s="108"/>
      <c r="BA764" s="108"/>
      <c r="BB764" s="108"/>
    </row>
    <row r="765" spans="3:54" ht="12.75" customHeight="1" x14ac:dyDescent="0.25">
      <c r="C765" s="108"/>
      <c r="D765" s="108"/>
      <c r="E765" s="108"/>
      <c r="F765" s="108"/>
      <c r="G765" s="108"/>
      <c r="H765" s="108"/>
      <c r="I765" s="108"/>
      <c r="J765" s="108"/>
      <c r="K765" s="108"/>
      <c r="L765" s="108"/>
      <c r="M765" s="108"/>
      <c r="N765" s="108"/>
      <c r="O765" s="108"/>
      <c r="P765" s="108"/>
      <c r="Q765" s="108"/>
      <c r="R765" s="108"/>
      <c r="S765" s="108"/>
      <c r="T765" s="108"/>
      <c r="U765" s="108"/>
      <c r="V765" s="108"/>
      <c r="W765" s="108"/>
      <c r="X765" s="108"/>
      <c r="Y765" s="108"/>
      <c r="Z765" s="108"/>
      <c r="AA765" s="108"/>
      <c r="AB765" s="108"/>
      <c r="AC765" s="108"/>
      <c r="AD765" s="108"/>
      <c r="AE765" s="108"/>
      <c r="AF765" s="108"/>
      <c r="AG765" s="108"/>
      <c r="AH765" s="108"/>
      <c r="AI765" s="108"/>
      <c r="AJ765" s="108"/>
      <c r="AK765" s="108"/>
      <c r="AL765" s="108"/>
      <c r="AM765" s="108"/>
      <c r="AN765" s="108"/>
      <c r="AO765" s="108"/>
      <c r="AP765" s="108"/>
      <c r="AQ765" s="108"/>
      <c r="AR765" s="108"/>
      <c r="AS765" s="108"/>
      <c r="AT765" s="108"/>
      <c r="AU765" s="108"/>
      <c r="AV765" s="108"/>
      <c r="AW765" s="108"/>
      <c r="AX765" s="108"/>
      <c r="AY765" s="108"/>
      <c r="AZ765" s="108"/>
      <c r="BA765" s="108"/>
      <c r="BB765" s="108"/>
    </row>
    <row r="766" spans="3:54" ht="12.75" customHeight="1" x14ac:dyDescent="0.25">
      <c r="C766" s="108"/>
      <c r="D766" s="108"/>
      <c r="E766" s="108"/>
      <c r="F766" s="108"/>
      <c r="G766" s="108"/>
      <c r="H766" s="108"/>
      <c r="I766" s="108"/>
      <c r="J766" s="108"/>
      <c r="K766" s="108"/>
      <c r="L766" s="108"/>
      <c r="M766" s="108"/>
      <c r="N766" s="108"/>
      <c r="O766" s="108"/>
      <c r="P766" s="108"/>
      <c r="Q766" s="108"/>
      <c r="R766" s="108"/>
      <c r="S766" s="108"/>
      <c r="T766" s="108"/>
      <c r="U766" s="108"/>
      <c r="V766" s="108"/>
      <c r="W766" s="108"/>
      <c r="X766" s="108"/>
      <c r="Y766" s="108"/>
      <c r="Z766" s="108"/>
      <c r="AA766" s="108"/>
      <c r="AB766" s="108"/>
      <c r="AC766" s="108"/>
      <c r="AD766" s="108"/>
      <c r="AE766" s="108"/>
      <c r="AF766" s="108"/>
      <c r="AG766" s="108"/>
      <c r="AH766" s="108"/>
      <c r="AI766" s="108"/>
      <c r="AJ766" s="108"/>
      <c r="AK766" s="108"/>
      <c r="AL766" s="108"/>
      <c r="AM766" s="108"/>
      <c r="AN766" s="108"/>
      <c r="AO766" s="108"/>
      <c r="AP766" s="108"/>
      <c r="AQ766" s="108"/>
      <c r="AR766" s="108"/>
      <c r="AS766" s="108"/>
      <c r="AT766" s="108"/>
      <c r="AU766" s="108"/>
      <c r="AV766" s="108"/>
      <c r="AW766" s="108"/>
      <c r="AX766" s="108"/>
      <c r="AY766" s="108"/>
      <c r="AZ766" s="108"/>
      <c r="BA766" s="108"/>
      <c r="BB766" s="108"/>
    </row>
    <row r="767" spans="3:54" ht="12.75" customHeight="1" x14ac:dyDescent="0.25">
      <c r="C767" s="108"/>
      <c r="D767" s="108"/>
      <c r="E767" s="108"/>
      <c r="F767" s="108"/>
      <c r="G767" s="108"/>
      <c r="H767" s="108"/>
      <c r="I767" s="108"/>
      <c r="J767" s="108"/>
      <c r="K767" s="108"/>
      <c r="L767" s="108"/>
      <c r="M767" s="108"/>
      <c r="N767" s="108"/>
      <c r="O767" s="108"/>
      <c r="P767" s="108"/>
      <c r="Q767" s="108"/>
      <c r="R767" s="108"/>
      <c r="S767" s="108"/>
      <c r="T767" s="108"/>
      <c r="U767" s="108"/>
      <c r="V767" s="108"/>
      <c r="W767" s="108"/>
      <c r="X767" s="108"/>
      <c r="Y767" s="108"/>
      <c r="Z767" s="108"/>
      <c r="AA767" s="108"/>
      <c r="AB767" s="108"/>
      <c r="AC767" s="108"/>
      <c r="AD767" s="108"/>
      <c r="AE767" s="108"/>
      <c r="AF767" s="108"/>
      <c r="AG767" s="108"/>
      <c r="AH767" s="108"/>
      <c r="AI767" s="108"/>
      <c r="AJ767" s="108"/>
      <c r="AK767" s="108"/>
      <c r="AL767" s="108"/>
      <c r="AM767" s="108"/>
      <c r="AN767" s="108"/>
      <c r="AO767" s="108"/>
      <c r="AP767" s="108"/>
      <c r="AQ767" s="108"/>
      <c r="AR767" s="108"/>
      <c r="AS767" s="108"/>
      <c r="AT767" s="108"/>
      <c r="AU767" s="108"/>
      <c r="AV767" s="108"/>
      <c r="AW767" s="108"/>
      <c r="AX767" s="108"/>
      <c r="AY767" s="108"/>
      <c r="AZ767" s="108"/>
      <c r="BA767" s="108"/>
      <c r="BB767" s="108"/>
    </row>
    <row r="768" spans="3:54" ht="12.75" customHeight="1" x14ac:dyDescent="0.25">
      <c r="C768" s="108"/>
      <c r="D768" s="108"/>
      <c r="E768" s="108"/>
      <c r="F768" s="108"/>
      <c r="G768" s="108"/>
      <c r="H768" s="108"/>
      <c r="I768" s="108"/>
      <c r="J768" s="108"/>
      <c r="K768" s="108"/>
      <c r="L768" s="108"/>
      <c r="M768" s="108"/>
      <c r="N768" s="108"/>
      <c r="O768" s="108"/>
      <c r="P768" s="108"/>
      <c r="Q768" s="108"/>
      <c r="R768" s="108"/>
      <c r="S768" s="108"/>
      <c r="T768" s="108"/>
      <c r="U768" s="108"/>
      <c r="V768" s="108"/>
      <c r="W768" s="108"/>
      <c r="X768" s="108"/>
      <c r="Y768" s="108"/>
      <c r="Z768" s="108"/>
      <c r="AA768" s="108"/>
      <c r="AB768" s="108"/>
      <c r="AC768" s="108"/>
      <c r="AD768" s="108"/>
      <c r="AE768" s="108"/>
      <c r="AF768" s="108"/>
      <c r="AG768" s="108"/>
      <c r="AH768" s="108"/>
      <c r="AI768" s="108"/>
      <c r="AJ768" s="108"/>
      <c r="AK768" s="108"/>
      <c r="AL768" s="108"/>
      <c r="AM768" s="108"/>
      <c r="AN768" s="108"/>
      <c r="AO768" s="108"/>
      <c r="AP768" s="108"/>
      <c r="AQ768" s="108"/>
      <c r="AR768" s="108"/>
      <c r="AS768" s="108"/>
      <c r="AT768" s="108"/>
      <c r="AU768" s="108"/>
      <c r="AV768" s="108"/>
      <c r="AW768" s="108"/>
      <c r="AX768" s="108"/>
      <c r="AY768" s="108"/>
      <c r="AZ768" s="108"/>
      <c r="BA768" s="108"/>
      <c r="BB768" s="108"/>
    </row>
    <row r="769" spans="3:54" ht="12.75" customHeight="1" x14ac:dyDescent="0.25">
      <c r="C769" s="108"/>
      <c r="D769" s="108"/>
      <c r="E769" s="108"/>
      <c r="F769" s="108"/>
      <c r="G769" s="108"/>
      <c r="H769" s="108"/>
      <c r="I769" s="108"/>
      <c r="J769" s="108"/>
      <c r="K769" s="108"/>
      <c r="L769" s="108"/>
      <c r="M769" s="108"/>
      <c r="N769" s="108"/>
      <c r="O769" s="108"/>
      <c r="P769" s="108"/>
      <c r="Q769" s="108"/>
      <c r="R769" s="108"/>
      <c r="S769" s="108"/>
      <c r="T769" s="108"/>
      <c r="U769" s="108"/>
      <c r="V769" s="108"/>
      <c r="W769" s="108"/>
      <c r="X769" s="108"/>
      <c r="Y769" s="108"/>
      <c r="Z769" s="108"/>
      <c r="AA769" s="108"/>
      <c r="AB769" s="108"/>
      <c r="AC769" s="108"/>
      <c r="AD769" s="108"/>
      <c r="AE769" s="108"/>
      <c r="AF769" s="108"/>
      <c r="AG769" s="108"/>
      <c r="AH769" s="108"/>
      <c r="AI769" s="108"/>
      <c r="AJ769" s="108"/>
      <c r="AK769" s="108"/>
      <c r="AL769" s="108"/>
      <c r="AM769" s="108"/>
      <c r="AN769" s="108"/>
      <c r="AO769" s="108"/>
      <c r="AP769" s="108"/>
      <c r="AQ769" s="108"/>
      <c r="AR769" s="108"/>
      <c r="AS769" s="108"/>
      <c r="AT769" s="108"/>
      <c r="AU769" s="108"/>
      <c r="AV769" s="108"/>
      <c r="AW769" s="108"/>
      <c r="AX769" s="108"/>
      <c r="AY769" s="108"/>
      <c r="AZ769" s="108"/>
      <c r="BA769" s="108"/>
      <c r="BB769" s="108"/>
    </row>
    <row r="770" spans="3:54" ht="12.75" customHeight="1" x14ac:dyDescent="0.25">
      <c r="C770" s="108"/>
      <c r="D770" s="108"/>
      <c r="E770" s="108"/>
      <c r="F770" s="108"/>
      <c r="G770" s="108"/>
      <c r="H770" s="108"/>
      <c r="I770" s="108"/>
      <c r="J770" s="108"/>
      <c r="K770" s="108"/>
      <c r="L770" s="108"/>
      <c r="M770" s="108"/>
      <c r="N770" s="108"/>
      <c r="O770" s="108"/>
      <c r="P770" s="108"/>
      <c r="Q770" s="108"/>
      <c r="R770" s="108"/>
      <c r="S770" s="108"/>
      <c r="T770" s="108"/>
      <c r="U770" s="108"/>
      <c r="V770" s="108"/>
      <c r="W770" s="108"/>
      <c r="X770" s="108"/>
      <c r="Y770" s="108"/>
      <c r="Z770" s="108"/>
      <c r="AA770" s="108"/>
      <c r="AB770" s="108"/>
      <c r="AC770" s="108"/>
      <c r="AD770" s="108"/>
      <c r="AE770" s="108"/>
      <c r="AF770" s="108"/>
      <c r="AG770" s="108"/>
      <c r="AH770" s="108"/>
      <c r="AI770" s="108"/>
      <c r="AJ770" s="108"/>
      <c r="AK770" s="108"/>
      <c r="AL770" s="108"/>
      <c r="AM770" s="108"/>
      <c r="AN770" s="108"/>
      <c r="AO770" s="108"/>
      <c r="AP770" s="108"/>
      <c r="AQ770" s="108"/>
      <c r="AR770" s="108"/>
      <c r="AS770" s="108"/>
      <c r="AT770" s="108"/>
      <c r="AU770" s="108"/>
      <c r="AV770" s="108"/>
      <c r="AW770" s="108"/>
      <c r="AX770" s="108"/>
      <c r="AY770" s="108"/>
      <c r="AZ770" s="108"/>
      <c r="BA770" s="108"/>
      <c r="BB770" s="108"/>
    </row>
    <row r="771" spans="3:54" ht="12.75" customHeight="1" x14ac:dyDescent="0.25">
      <c r="C771" s="108"/>
      <c r="D771" s="108"/>
      <c r="E771" s="108"/>
      <c r="F771" s="108"/>
      <c r="G771" s="108"/>
      <c r="H771" s="108"/>
      <c r="I771" s="108"/>
      <c r="J771" s="108"/>
      <c r="K771" s="108"/>
      <c r="L771" s="108"/>
      <c r="M771" s="108"/>
      <c r="N771" s="108"/>
      <c r="O771" s="108"/>
      <c r="P771" s="108"/>
      <c r="Q771" s="108"/>
      <c r="R771" s="108"/>
      <c r="S771" s="108"/>
      <c r="T771" s="108"/>
      <c r="U771" s="108"/>
      <c r="V771" s="108"/>
      <c r="W771" s="108"/>
      <c r="X771" s="108"/>
      <c r="Y771" s="108"/>
      <c r="Z771" s="108"/>
      <c r="AA771" s="108"/>
      <c r="AB771" s="108"/>
      <c r="AC771" s="108"/>
      <c r="AD771" s="108"/>
      <c r="AE771" s="108"/>
      <c r="AF771" s="108"/>
      <c r="AG771" s="108"/>
      <c r="AH771" s="108"/>
      <c r="AI771" s="108"/>
      <c r="AJ771" s="108"/>
      <c r="AK771" s="108"/>
      <c r="AL771" s="108"/>
      <c r="AM771" s="108"/>
      <c r="AN771" s="108"/>
      <c r="AO771" s="108"/>
      <c r="AP771" s="108"/>
      <c r="AQ771" s="108"/>
      <c r="AR771" s="108"/>
      <c r="AS771" s="108"/>
      <c r="AT771" s="108"/>
      <c r="AU771" s="108"/>
      <c r="AV771" s="108"/>
      <c r="AW771" s="108"/>
      <c r="AX771" s="108"/>
      <c r="AY771" s="108"/>
      <c r="AZ771" s="108"/>
      <c r="BA771" s="108"/>
      <c r="BB771" s="108"/>
    </row>
    <row r="772" spans="3:54" ht="12.75" customHeight="1" x14ac:dyDescent="0.25">
      <c r="C772" s="108"/>
      <c r="D772" s="108"/>
      <c r="E772" s="108"/>
      <c r="F772" s="108"/>
      <c r="G772" s="108"/>
      <c r="H772" s="108"/>
      <c r="I772" s="108"/>
      <c r="J772" s="108"/>
      <c r="K772" s="108"/>
      <c r="L772" s="108"/>
      <c r="M772" s="108"/>
      <c r="N772" s="108"/>
      <c r="O772" s="108"/>
      <c r="P772" s="108"/>
      <c r="Q772" s="108"/>
      <c r="R772" s="108"/>
      <c r="S772" s="108"/>
      <c r="T772" s="108"/>
      <c r="U772" s="108"/>
      <c r="V772" s="108"/>
      <c r="W772" s="108"/>
      <c r="X772" s="108"/>
      <c r="Y772" s="108"/>
      <c r="Z772" s="108"/>
      <c r="AA772" s="108"/>
      <c r="AB772" s="108"/>
      <c r="AC772" s="108"/>
      <c r="AD772" s="108"/>
      <c r="AE772" s="108"/>
      <c r="AF772" s="108"/>
      <c r="AG772" s="108"/>
      <c r="AH772" s="108"/>
      <c r="AI772" s="108"/>
      <c r="AJ772" s="108"/>
      <c r="AK772" s="108"/>
      <c r="AL772" s="108"/>
      <c r="AM772" s="108"/>
      <c r="AN772" s="108"/>
      <c r="AO772" s="108"/>
      <c r="AP772" s="108"/>
      <c r="AQ772" s="108"/>
      <c r="AR772" s="108"/>
      <c r="AS772" s="108"/>
      <c r="AT772" s="108"/>
      <c r="AU772" s="108"/>
      <c r="AV772" s="108"/>
      <c r="AW772" s="108"/>
      <c r="AX772" s="108"/>
      <c r="AY772" s="108"/>
      <c r="AZ772" s="108"/>
      <c r="BA772" s="108"/>
      <c r="BB772" s="108"/>
    </row>
    <row r="773" spans="3:54" ht="12.75" customHeight="1" x14ac:dyDescent="0.25">
      <c r="C773" s="108"/>
      <c r="D773" s="108"/>
      <c r="E773" s="108"/>
      <c r="F773" s="108"/>
      <c r="G773" s="108"/>
      <c r="H773" s="108"/>
      <c r="I773" s="108"/>
      <c r="J773" s="108"/>
      <c r="K773" s="108"/>
      <c r="L773" s="108"/>
      <c r="M773" s="108"/>
      <c r="N773" s="108"/>
      <c r="O773" s="108"/>
      <c r="P773" s="108"/>
      <c r="Q773" s="108"/>
      <c r="R773" s="108"/>
      <c r="S773" s="108"/>
      <c r="T773" s="108"/>
      <c r="U773" s="108"/>
      <c r="V773" s="108"/>
      <c r="W773" s="108"/>
      <c r="X773" s="108"/>
      <c r="Y773" s="108"/>
      <c r="Z773" s="108"/>
      <c r="AA773" s="108"/>
      <c r="AB773" s="108"/>
      <c r="AC773" s="108"/>
      <c r="AD773" s="108"/>
      <c r="AE773" s="108"/>
      <c r="AF773" s="108"/>
      <c r="AG773" s="108"/>
      <c r="AH773" s="108"/>
      <c r="AI773" s="108"/>
      <c r="AJ773" s="108"/>
      <c r="AK773" s="108"/>
      <c r="AL773" s="108"/>
      <c r="AM773" s="108"/>
      <c r="AN773" s="108"/>
      <c r="AO773" s="108"/>
      <c r="AP773" s="108"/>
      <c r="AQ773" s="108"/>
      <c r="AR773" s="108"/>
      <c r="AS773" s="108"/>
      <c r="AT773" s="108"/>
      <c r="AU773" s="108"/>
      <c r="AV773" s="108"/>
      <c r="AW773" s="108"/>
      <c r="AX773" s="108"/>
      <c r="AY773" s="108"/>
      <c r="AZ773" s="108"/>
      <c r="BA773" s="108"/>
      <c r="BB773" s="108"/>
    </row>
    <row r="774" spans="3:54" ht="12.75" customHeight="1" x14ac:dyDescent="0.25">
      <c r="C774" s="108"/>
      <c r="D774" s="108"/>
      <c r="E774" s="108"/>
      <c r="F774" s="108"/>
      <c r="G774" s="108"/>
      <c r="H774" s="108"/>
      <c r="I774" s="108"/>
      <c r="J774" s="108"/>
      <c r="K774" s="108"/>
      <c r="L774" s="108"/>
      <c r="M774" s="108"/>
      <c r="N774" s="108"/>
      <c r="O774" s="108"/>
      <c r="P774" s="108"/>
      <c r="Q774" s="108"/>
      <c r="R774" s="108"/>
      <c r="S774" s="108"/>
      <c r="T774" s="108"/>
      <c r="U774" s="108"/>
      <c r="V774" s="108"/>
      <c r="W774" s="108"/>
      <c r="X774" s="108"/>
      <c r="Y774" s="108"/>
      <c r="Z774" s="108"/>
      <c r="AA774" s="108"/>
      <c r="AB774" s="108"/>
      <c r="AC774" s="108"/>
      <c r="AD774" s="108"/>
      <c r="AE774" s="108"/>
      <c r="AF774" s="108"/>
      <c r="AG774" s="108"/>
      <c r="AH774" s="108"/>
      <c r="AI774" s="108"/>
      <c r="AJ774" s="108"/>
      <c r="AK774" s="108"/>
      <c r="AL774" s="108"/>
      <c r="AM774" s="108"/>
      <c r="AN774" s="108"/>
      <c r="AO774" s="108"/>
      <c r="AP774" s="108"/>
      <c r="AQ774" s="108"/>
      <c r="AR774" s="108"/>
      <c r="AS774" s="108"/>
      <c r="AT774" s="108"/>
      <c r="AU774" s="108"/>
      <c r="AV774" s="108"/>
      <c r="AW774" s="108"/>
      <c r="AX774" s="108"/>
      <c r="AY774" s="108"/>
      <c r="AZ774" s="108"/>
      <c r="BA774" s="108"/>
      <c r="BB774" s="108"/>
    </row>
    <row r="775" spans="3:54" ht="12.75" customHeight="1" x14ac:dyDescent="0.25">
      <c r="C775" s="108"/>
      <c r="D775" s="108"/>
      <c r="E775" s="108"/>
      <c r="F775" s="108"/>
      <c r="G775" s="108"/>
      <c r="H775" s="108"/>
      <c r="I775" s="108"/>
      <c r="J775" s="108"/>
      <c r="K775" s="108"/>
      <c r="L775" s="108"/>
      <c r="M775" s="108"/>
      <c r="N775" s="108"/>
      <c r="O775" s="108"/>
      <c r="P775" s="108"/>
      <c r="Q775" s="108"/>
      <c r="R775" s="108"/>
      <c r="S775" s="108"/>
      <c r="T775" s="108"/>
      <c r="U775" s="108"/>
      <c r="V775" s="108"/>
      <c r="W775" s="108"/>
      <c r="X775" s="108"/>
      <c r="Y775" s="108"/>
      <c r="Z775" s="108"/>
      <c r="AA775" s="108"/>
      <c r="AB775" s="108"/>
      <c r="AC775" s="108"/>
      <c r="AD775" s="108"/>
      <c r="AE775" s="108"/>
      <c r="AF775" s="108"/>
      <c r="AG775" s="108"/>
      <c r="AH775" s="108"/>
      <c r="AI775" s="108"/>
      <c r="AJ775" s="108"/>
      <c r="AK775" s="108"/>
      <c r="AL775" s="108"/>
      <c r="AM775" s="108"/>
      <c r="AN775" s="108"/>
      <c r="AO775" s="108"/>
      <c r="AP775" s="108"/>
      <c r="AQ775" s="108"/>
      <c r="AR775" s="108"/>
      <c r="AS775" s="108"/>
      <c r="AT775" s="108"/>
      <c r="AU775" s="108"/>
      <c r="AV775" s="108"/>
      <c r="AW775" s="108"/>
      <c r="AX775" s="108"/>
      <c r="AY775" s="108"/>
      <c r="AZ775" s="108"/>
      <c r="BA775" s="108"/>
      <c r="BB775" s="108"/>
    </row>
    <row r="776" spans="3:54" ht="12.75" customHeight="1" x14ac:dyDescent="0.25">
      <c r="C776" s="108"/>
      <c r="D776" s="108"/>
      <c r="E776" s="108"/>
      <c r="F776" s="108"/>
      <c r="G776" s="108"/>
      <c r="H776" s="108"/>
      <c r="I776" s="108"/>
      <c r="J776" s="108"/>
      <c r="K776" s="108"/>
      <c r="L776" s="108"/>
      <c r="M776" s="108"/>
      <c r="N776" s="108"/>
      <c r="O776" s="108"/>
      <c r="P776" s="108"/>
      <c r="Q776" s="108"/>
      <c r="R776" s="108"/>
      <c r="S776" s="108"/>
      <c r="T776" s="108"/>
      <c r="U776" s="108"/>
      <c r="V776" s="108"/>
      <c r="W776" s="108"/>
      <c r="X776" s="108"/>
      <c r="Y776" s="108"/>
      <c r="Z776" s="108"/>
      <c r="AA776" s="108"/>
      <c r="AB776" s="108"/>
      <c r="AC776" s="108"/>
      <c r="AD776" s="108"/>
      <c r="AE776" s="108"/>
      <c r="AF776" s="108"/>
      <c r="AG776" s="108"/>
      <c r="AH776" s="108"/>
      <c r="AI776" s="108"/>
      <c r="AJ776" s="108"/>
      <c r="AK776" s="108"/>
      <c r="AL776" s="108"/>
      <c r="AM776" s="108"/>
      <c r="AN776" s="108"/>
      <c r="AO776" s="108"/>
      <c r="AP776" s="108"/>
      <c r="AQ776" s="108"/>
      <c r="AR776" s="108"/>
      <c r="AS776" s="108"/>
      <c r="AT776" s="108"/>
      <c r="AU776" s="108"/>
      <c r="AV776" s="108"/>
      <c r="AW776" s="108"/>
      <c r="AX776" s="108"/>
      <c r="AY776" s="108"/>
      <c r="AZ776" s="108"/>
      <c r="BA776" s="108"/>
      <c r="BB776" s="108"/>
    </row>
    <row r="777" spans="3:54" ht="12.75" customHeight="1" x14ac:dyDescent="0.25">
      <c r="C777" s="108"/>
      <c r="D777" s="108"/>
      <c r="E777" s="108"/>
      <c r="F777" s="108"/>
      <c r="G777" s="108"/>
      <c r="H777" s="108"/>
      <c r="I777" s="108"/>
      <c r="J777" s="108"/>
      <c r="K777" s="108"/>
      <c r="L777" s="108"/>
      <c r="M777" s="108"/>
      <c r="N777" s="108"/>
      <c r="O777" s="108"/>
      <c r="P777" s="108"/>
      <c r="Q777" s="108"/>
      <c r="R777" s="108"/>
      <c r="S777" s="108"/>
      <c r="T777" s="108"/>
      <c r="U777" s="108"/>
      <c r="V777" s="108"/>
      <c r="W777" s="108"/>
      <c r="X777" s="108"/>
      <c r="Y777" s="108"/>
      <c r="Z777" s="108"/>
      <c r="AA777" s="108"/>
      <c r="AB777" s="108"/>
      <c r="AC777" s="108"/>
      <c r="AD777" s="108"/>
      <c r="AE777" s="108"/>
      <c r="AF777" s="108"/>
      <c r="AG777" s="108"/>
      <c r="AH777" s="108"/>
      <c r="AI777" s="108"/>
      <c r="AJ777" s="108"/>
      <c r="AK777" s="108"/>
      <c r="AL777" s="108"/>
      <c r="AM777" s="108"/>
      <c r="AN777" s="108"/>
      <c r="AO777" s="108"/>
      <c r="AP777" s="108"/>
      <c r="AQ777" s="108"/>
      <c r="AR777" s="108"/>
      <c r="AS777" s="108"/>
      <c r="AT777" s="108"/>
      <c r="AU777" s="108"/>
      <c r="AV777" s="108"/>
      <c r="AW777" s="108"/>
      <c r="AX777" s="108"/>
      <c r="AY777" s="108"/>
      <c r="AZ777" s="108"/>
      <c r="BA777" s="108"/>
      <c r="BB777" s="108"/>
    </row>
    <row r="778" spans="3:54" ht="12.75" customHeight="1" x14ac:dyDescent="0.25">
      <c r="C778" s="108"/>
      <c r="D778" s="108"/>
      <c r="E778" s="108"/>
      <c r="F778" s="108"/>
      <c r="G778" s="108"/>
      <c r="H778" s="108"/>
      <c r="I778" s="108"/>
      <c r="J778" s="108"/>
      <c r="K778" s="108"/>
      <c r="L778" s="108"/>
      <c r="M778" s="108"/>
      <c r="N778" s="108"/>
      <c r="O778" s="108"/>
      <c r="P778" s="108"/>
      <c r="Q778" s="108"/>
      <c r="R778" s="108"/>
      <c r="S778" s="108"/>
      <c r="T778" s="108"/>
      <c r="U778" s="108"/>
      <c r="V778" s="108"/>
      <c r="W778" s="108"/>
      <c r="X778" s="108"/>
      <c r="Y778" s="108"/>
      <c r="Z778" s="108"/>
      <c r="AA778" s="108"/>
      <c r="AB778" s="108"/>
      <c r="AC778" s="108"/>
      <c r="AD778" s="108"/>
      <c r="AE778" s="108"/>
      <c r="AF778" s="108"/>
      <c r="AG778" s="108"/>
      <c r="AH778" s="108"/>
      <c r="AI778" s="108"/>
      <c r="AJ778" s="108"/>
      <c r="AK778" s="108"/>
      <c r="AL778" s="108"/>
      <c r="AM778" s="108"/>
      <c r="AN778" s="108"/>
      <c r="AO778" s="108"/>
      <c r="AP778" s="108"/>
      <c r="AQ778" s="108"/>
      <c r="AR778" s="108"/>
      <c r="AS778" s="108"/>
      <c r="AT778" s="108"/>
      <c r="AU778" s="108"/>
      <c r="AV778" s="108"/>
      <c r="AW778" s="108"/>
      <c r="AX778" s="108"/>
      <c r="AY778" s="108"/>
      <c r="AZ778" s="108"/>
      <c r="BA778" s="108"/>
      <c r="BB778" s="108"/>
    </row>
    <row r="779" spans="3:54" ht="12.75" customHeight="1" x14ac:dyDescent="0.25">
      <c r="C779" s="108"/>
      <c r="D779" s="108"/>
      <c r="E779" s="108"/>
      <c r="F779" s="108"/>
      <c r="G779" s="108"/>
      <c r="H779" s="108"/>
      <c r="I779" s="108"/>
      <c r="J779" s="108"/>
      <c r="K779" s="108"/>
      <c r="L779" s="108"/>
      <c r="M779" s="108"/>
      <c r="N779" s="108"/>
      <c r="O779" s="108"/>
      <c r="P779" s="108"/>
      <c r="Q779" s="108"/>
      <c r="R779" s="108"/>
      <c r="S779" s="108"/>
      <c r="T779" s="108"/>
      <c r="U779" s="108"/>
      <c r="V779" s="108"/>
      <c r="W779" s="108"/>
      <c r="X779" s="108"/>
      <c r="Y779" s="108"/>
      <c r="Z779" s="108"/>
      <c r="AA779" s="108"/>
      <c r="AB779" s="108"/>
      <c r="AC779" s="108"/>
      <c r="AD779" s="108"/>
      <c r="AE779" s="108"/>
      <c r="AF779" s="108"/>
      <c r="AG779" s="108"/>
      <c r="AH779" s="108"/>
      <c r="AI779" s="108"/>
      <c r="AJ779" s="108"/>
      <c r="AK779" s="108"/>
      <c r="AL779" s="108"/>
      <c r="AM779" s="108"/>
      <c r="AN779" s="108"/>
      <c r="AO779" s="108"/>
      <c r="AP779" s="108"/>
      <c r="AQ779" s="108"/>
      <c r="AR779" s="108"/>
      <c r="AS779" s="108"/>
      <c r="AT779" s="108"/>
      <c r="AU779" s="108"/>
      <c r="AV779" s="108"/>
      <c r="AW779" s="108"/>
      <c r="AX779" s="108"/>
      <c r="AY779" s="108"/>
      <c r="AZ779" s="108"/>
      <c r="BA779" s="108"/>
      <c r="BB779" s="108"/>
    </row>
    <row r="780" spans="3:54" ht="12.75" customHeight="1" x14ac:dyDescent="0.25">
      <c r="C780" s="108"/>
      <c r="D780" s="108"/>
      <c r="E780" s="108"/>
      <c r="F780" s="108"/>
      <c r="G780" s="108"/>
      <c r="H780" s="108"/>
      <c r="I780" s="108"/>
      <c r="J780" s="108"/>
      <c r="K780" s="108"/>
      <c r="L780" s="108"/>
      <c r="M780" s="108"/>
      <c r="N780" s="108"/>
      <c r="O780" s="108"/>
      <c r="P780" s="108"/>
      <c r="Q780" s="108"/>
      <c r="R780" s="108"/>
      <c r="S780" s="108"/>
      <c r="T780" s="108"/>
      <c r="U780" s="108"/>
      <c r="V780" s="108"/>
      <c r="W780" s="108"/>
      <c r="X780" s="108"/>
      <c r="Y780" s="108"/>
      <c r="Z780" s="108"/>
      <c r="AA780" s="108"/>
      <c r="AB780" s="108"/>
      <c r="AC780" s="108"/>
      <c r="AD780" s="108"/>
      <c r="AE780" s="108"/>
      <c r="AF780" s="108"/>
      <c r="AG780" s="108"/>
      <c r="AH780" s="108"/>
      <c r="AI780" s="108"/>
      <c r="AJ780" s="108"/>
      <c r="AK780" s="108"/>
      <c r="AL780" s="108"/>
      <c r="AM780" s="108"/>
      <c r="AN780" s="108"/>
      <c r="AO780" s="108"/>
      <c r="AP780" s="108"/>
      <c r="AQ780" s="108"/>
      <c r="AR780" s="108"/>
      <c r="AS780" s="108"/>
      <c r="AT780" s="108"/>
      <c r="AU780" s="108"/>
      <c r="AV780" s="108"/>
      <c r="AW780" s="108"/>
      <c r="AX780" s="108"/>
      <c r="AY780" s="108"/>
      <c r="AZ780" s="108"/>
      <c r="BA780" s="108"/>
      <c r="BB780" s="108"/>
    </row>
    <row r="781" spans="3:54" ht="12.75" customHeight="1" x14ac:dyDescent="0.25">
      <c r="C781" s="108"/>
      <c r="D781" s="108"/>
      <c r="E781" s="108"/>
      <c r="F781" s="108"/>
      <c r="G781" s="108"/>
      <c r="H781" s="108"/>
      <c r="I781" s="108"/>
      <c r="J781" s="108"/>
      <c r="K781" s="108"/>
      <c r="L781" s="108"/>
      <c r="M781" s="108"/>
      <c r="N781" s="108"/>
      <c r="O781" s="108"/>
      <c r="P781" s="108"/>
      <c r="Q781" s="108"/>
      <c r="R781" s="108"/>
      <c r="S781" s="108"/>
      <c r="T781" s="108"/>
      <c r="U781" s="108"/>
      <c r="V781" s="108"/>
      <c r="W781" s="108"/>
      <c r="X781" s="108"/>
      <c r="Y781" s="108"/>
      <c r="Z781" s="108"/>
      <c r="AA781" s="108"/>
      <c r="AB781" s="108"/>
      <c r="AC781" s="108"/>
      <c r="AD781" s="108"/>
      <c r="AE781" s="108"/>
      <c r="AF781" s="108"/>
      <c r="AG781" s="108"/>
      <c r="AH781" s="108"/>
      <c r="AI781" s="108"/>
      <c r="AJ781" s="108"/>
      <c r="AK781" s="108"/>
      <c r="AL781" s="108"/>
      <c r="AM781" s="108"/>
      <c r="AN781" s="108"/>
      <c r="AO781" s="108"/>
      <c r="AP781" s="108"/>
      <c r="AQ781" s="108"/>
      <c r="AR781" s="108"/>
      <c r="AS781" s="108"/>
      <c r="AT781" s="108"/>
      <c r="AU781" s="108"/>
      <c r="AV781" s="108"/>
      <c r="AW781" s="108"/>
      <c r="AX781" s="108"/>
      <c r="AY781" s="108"/>
      <c r="AZ781" s="108"/>
      <c r="BA781" s="108"/>
      <c r="BB781" s="108"/>
    </row>
    <row r="782" spans="3:54" ht="12.75" customHeight="1" x14ac:dyDescent="0.25">
      <c r="C782" s="108"/>
      <c r="D782" s="108"/>
      <c r="E782" s="108"/>
      <c r="F782" s="108"/>
      <c r="G782" s="108"/>
      <c r="H782" s="108"/>
      <c r="I782" s="108"/>
      <c r="J782" s="108"/>
      <c r="K782" s="108"/>
      <c r="L782" s="108"/>
      <c r="M782" s="108"/>
      <c r="N782" s="108"/>
      <c r="O782" s="108"/>
      <c r="P782" s="108"/>
      <c r="Q782" s="108"/>
      <c r="R782" s="108"/>
      <c r="S782" s="108"/>
      <c r="T782" s="108"/>
      <c r="U782" s="108"/>
      <c r="V782" s="108"/>
      <c r="W782" s="108"/>
      <c r="X782" s="108"/>
      <c r="Y782" s="108"/>
      <c r="Z782" s="108"/>
      <c r="AA782" s="108"/>
      <c r="AB782" s="108"/>
      <c r="AC782" s="108"/>
      <c r="AD782" s="108"/>
      <c r="AE782" s="108"/>
      <c r="AF782" s="108"/>
      <c r="AG782" s="108"/>
      <c r="AH782" s="108"/>
      <c r="AI782" s="108"/>
      <c r="AJ782" s="108"/>
      <c r="AK782" s="108"/>
      <c r="AL782" s="108"/>
      <c r="AM782" s="108"/>
      <c r="AN782" s="108"/>
      <c r="AO782" s="108"/>
      <c r="AP782" s="108"/>
      <c r="AQ782" s="108"/>
      <c r="AR782" s="108"/>
      <c r="AS782" s="108"/>
      <c r="AT782" s="108"/>
      <c r="AU782" s="108"/>
      <c r="AV782" s="108"/>
      <c r="AW782" s="108"/>
      <c r="AX782" s="108"/>
      <c r="AY782" s="108"/>
      <c r="AZ782" s="108"/>
      <c r="BA782" s="108"/>
      <c r="BB782" s="108"/>
    </row>
    <row r="783" spans="3:54" ht="12.75" customHeight="1" x14ac:dyDescent="0.25">
      <c r="C783" s="108"/>
      <c r="D783" s="108"/>
      <c r="E783" s="108"/>
      <c r="F783" s="108"/>
      <c r="G783" s="108"/>
      <c r="H783" s="108"/>
      <c r="I783" s="108"/>
      <c r="J783" s="108"/>
      <c r="K783" s="108"/>
      <c r="L783" s="108"/>
      <c r="M783" s="108"/>
      <c r="N783" s="108"/>
      <c r="O783" s="108"/>
      <c r="P783" s="108"/>
      <c r="Q783" s="108"/>
      <c r="R783" s="108"/>
      <c r="S783" s="108"/>
      <c r="T783" s="108"/>
      <c r="U783" s="108"/>
      <c r="V783" s="108"/>
      <c r="W783" s="108"/>
      <c r="X783" s="108"/>
      <c r="Y783" s="108"/>
      <c r="Z783" s="108"/>
      <c r="AA783" s="108"/>
      <c r="AB783" s="108"/>
      <c r="AC783" s="108"/>
      <c r="AD783" s="108"/>
      <c r="AE783" s="108"/>
      <c r="AF783" s="108"/>
      <c r="AG783" s="108"/>
      <c r="AH783" s="108"/>
      <c r="AI783" s="108"/>
      <c r="AJ783" s="108"/>
      <c r="AK783" s="108"/>
      <c r="AL783" s="108"/>
      <c r="AM783" s="108"/>
      <c r="AN783" s="108"/>
      <c r="AO783" s="108"/>
      <c r="AP783" s="108"/>
      <c r="AQ783" s="108"/>
      <c r="AR783" s="108"/>
      <c r="AS783" s="108"/>
      <c r="AT783" s="108"/>
      <c r="AU783" s="108"/>
      <c r="AV783" s="108"/>
      <c r="AW783" s="108"/>
      <c r="AX783" s="108"/>
      <c r="AY783" s="108"/>
      <c r="AZ783" s="108"/>
      <c r="BA783" s="108"/>
      <c r="BB783" s="108"/>
    </row>
    <row r="784" spans="3:54" ht="12.75" customHeight="1" x14ac:dyDescent="0.25">
      <c r="C784" s="108"/>
      <c r="D784" s="108"/>
      <c r="E784" s="108"/>
      <c r="F784" s="108"/>
      <c r="G784" s="108"/>
      <c r="H784" s="108"/>
      <c r="I784" s="108"/>
      <c r="J784" s="108"/>
      <c r="K784" s="108"/>
      <c r="L784" s="108"/>
      <c r="M784" s="108"/>
      <c r="N784" s="108"/>
      <c r="O784" s="108"/>
      <c r="P784" s="108"/>
      <c r="Q784" s="108"/>
      <c r="R784" s="108"/>
      <c r="S784" s="108"/>
      <c r="T784" s="108"/>
      <c r="U784" s="108"/>
      <c r="V784" s="108"/>
      <c r="W784" s="108"/>
      <c r="X784" s="108"/>
      <c r="Y784" s="108"/>
      <c r="Z784" s="108"/>
      <c r="AA784" s="108"/>
      <c r="AB784" s="108"/>
      <c r="AC784" s="108"/>
      <c r="AD784" s="108"/>
      <c r="AE784" s="108"/>
      <c r="AF784" s="108"/>
      <c r="AG784" s="108"/>
      <c r="AH784" s="108"/>
      <c r="AI784" s="108"/>
      <c r="AJ784" s="108"/>
      <c r="AK784" s="108"/>
      <c r="AL784" s="108"/>
      <c r="AM784" s="108"/>
      <c r="AN784" s="108"/>
      <c r="AO784" s="108"/>
      <c r="AP784" s="108"/>
      <c r="AQ784" s="108"/>
      <c r="AR784" s="108"/>
      <c r="AS784" s="108"/>
      <c r="AT784" s="108"/>
      <c r="AU784" s="108"/>
      <c r="AV784" s="108"/>
      <c r="AW784" s="108"/>
      <c r="AX784" s="108"/>
      <c r="AY784" s="108"/>
      <c r="AZ784" s="108"/>
      <c r="BA784" s="108"/>
      <c r="BB784" s="108"/>
    </row>
    <row r="785" spans="3:54" ht="12.75" customHeight="1" x14ac:dyDescent="0.25">
      <c r="C785" s="108"/>
      <c r="D785" s="108"/>
      <c r="E785" s="108"/>
      <c r="F785" s="108"/>
      <c r="G785" s="108"/>
      <c r="H785" s="108"/>
      <c r="I785" s="108"/>
      <c r="J785" s="108"/>
      <c r="K785" s="108"/>
      <c r="L785" s="108"/>
      <c r="M785" s="108"/>
      <c r="N785" s="108"/>
      <c r="O785" s="108"/>
      <c r="P785" s="108"/>
      <c r="Q785" s="108"/>
      <c r="R785" s="108"/>
      <c r="S785" s="108"/>
      <c r="T785" s="108"/>
      <c r="U785" s="108"/>
      <c r="V785" s="108"/>
      <c r="W785" s="108"/>
      <c r="X785" s="108"/>
      <c r="Y785" s="108"/>
      <c r="Z785" s="108"/>
      <c r="AA785" s="108"/>
      <c r="AB785" s="108"/>
      <c r="AC785" s="108"/>
      <c r="AD785" s="108"/>
      <c r="AE785" s="108"/>
      <c r="AF785" s="108"/>
      <c r="AG785" s="108"/>
      <c r="AH785" s="108"/>
      <c r="AI785" s="108"/>
      <c r="AJ785" s="108"/>
      <c r="AK785" s="108"/>
      <c r="AL785" s="108"/>
      <c r="AM785" s="108"/>
      <c r="AN785" s="108"/>
      <c r="AO785" s="108"/>
      <c r="AP785" s="108"/>
      <c r="AQ785" s="108"/>
      <c r="AR785" s="108"/>
      <c r="AS785" s="108"/>
      <c r="AT785" s="108"/>
      <c r="AU785" s="108"/>
      <c r="AV785" s="108"/>
      <c r="AW785" s="108"/>
      <c r="AX785" s="108"/>
      <c r="AY785" s="108"/>
      <c r="AZ785" s="108"/>
      <c r="BA785" s="108"/>
      <c r="BB785" s="108"/>
    </row>
    <row r="786" spans="3:54" ht="12.75" customHeight="1" x14ac:dyDescent="0.25">
      <c r="C786" s="108"/>
      <c r="D786" s="108"/>
      <c r="E786" s="108"/>
      <c r="F786" s="108"/>
      <c r="G786" s="108"/>
      <c r="H786" s="108"/>
      <c r="I786" s="108"/>
      <c r="J786" s="108"/>
      <c r="K786" s="108"/>
      <c r="L786" s="108"/>
      <c r="M786" s="108"/>
      <c r="N786" s="108"/>
      <c r="O786" s="108"/>
      <c r="P786" s="108"/>
      <c r="Q786" s="108"/>
      <c r="R786" s="108"/>
      <c r="S786" s="108"/>
      <c r="T786" s="108"/>
      <c r="U786" s="108"/>
      <c r="V786" s="108"/>
      <c r="W786" s="108"/>
      <c r="X786" s="108"/>
      <c r="Y786" s="108"/>
      <c r="Z786" s="108"/>
      <c r="AA786" s="108"/>
      <c r="AB786" s="108"/>
      <c r="AC786" s="108"/>
      <c r="AD786" s="108"/>
      <c r="AE786" s="108"/>
      <c r="AF786" s="108"/>
      <c r="AG786" s="108"/>
      <c r="AH786" s="108"/>
      <c r="AI786" s="108"/>
      <c r="AJ786" s="108"/>
      <c r="AK786" s="108"/>
      <c r="AL786" s="108"/>
      <c r="AM786" s="108"/>
      <c r="AN786" s="108"/>
      <c r="AO786" s="108"/>
      <c r="AP786" s="108"/>
      <c r="AQ786" s="108"/>
      <c r="AR786" s="108"/>
      <c r="AS786" s="108"/>
      <c r="AT786" s="108"/>
      <c r="AU786" s="108"/>
      <c r="AV786" s="108"/>
      <c r="AW786" s="108"/>
      <c r="AX786" s="108"/>
      <c r="AY786" s="108"/>
      <c r="AZ786" s="108"/>
      <c r="BA786" s="108"/>
      <c r="BB786" s="108"/>
    </row>
    <row r="787" spans="3:54" ht="12.75" customHeight="1" x14ac:dyDescent="0.25">
      <c r="C787" s="108"/>
      <c r="D787" s="108"/>
      <c r="E787" s="108"/>
      <c r="F787" s="108"/>
      <c r="G787" s="108"/>
      <c r="H787" s="108"/>
      <c r="I787" s="108"/>
      <c r="J787" s="108"/>
      <c r="K787" s="108"/>
      <c r="L787" s="108"/>
      <c r="M787" s="108"/>
      <c r="N787" s="108"/>
      <c r="O787" s="108"/>
      <c r="P787" s="108"/>
      <c r="Q787" s="108"/>
      <c r="R787" s="108"/>
      <c r="S787" s="108"/>
      <c r="T787" s="108"/>
      <c r="U787" s="108"/>
      <c r="V787" s="108"/>
      <c r="W787" s="108"/>
      <c r="X787" s="108"/>
      <c r="Y787" s="108"/>
      <c r="Z787" s="108"/>
      <c r="AA787" s="108"/>
      <c r="AB787" s="108"/>
      <c r="AC787" s="108"/>
      <c r="AD787" s="108"/>
      <c r="AE787" s="108"/>
      <c r="AF787" s="108"/>
      <c r="AG787" s="108"/>
      <c r="AH787" s="108"/>
      <c r="AI787" s="108"/>
      <c r="AJ787" s="108"/>
      <c r="AK787" s="108"/>
      <c r="AL787" s="108"/>
      <c r="AM787" s="108"/>
      <c r="AN787" s="108"/>
      <c r="AO787" s="108"/>
      <c r="AP787" s="108"/>
      <c r="AQ787" s="108"/>
      <c r="AR787" s="108"/>
      <c r="AS787" s="108"/>
      <c r="AT787" s="108"/>
      <c r="AU787" s="108"/>
      <c r="AV787" s="108"/>
      <c r="AW787" s="108"/>
      <c r="AX787" s="108"/>
      <c r="AY787" s="108"/>
      <c r="AZ787" s="108"/>
      <c r="BA787" s="108"/>
      <c r="BB787" s="108"/>
    </row>
    <row r="788" spans="3:54" ht="12.75" customHeight="1" x14ac:dyDescent="0.25">
      <c r="C788" s="108"/>
      <c r="D788" s="108"/>
      <c r="E788" s="108"/>
      <c r="F788" s="108"/>
      <c r="G788" s="108"/>
      <c r="H788" s="108"/>
      <c r="I788" s="108"/>
      <c r="J788" s="108"/>
      <c r="K788" s="108"/>
      <c r="L788" s="108"/>
      <c r="M788" s="108"/>
      <c r="N788" s="108"/>
      <c r="O788" s="108"/>
      <c r="P788" s="108"/>
      <c r="Q788" s="108"/>
      <c r="R788" s="108"/>
      <c r="S788" s="108"/>
      <c r="T788" s="108"/>
      <c r="U788" s="108"/>
      <c r="V788" s="108"/>
      <c r="W788" s="108"/>
      <c r="X788" s="108"/>
      <c r="Y788" s="108"/>
      <c r="Z788" s="108"/>
      <c r="AA788" s="108"/>
      <c r="AB788" s="108"/>
      <c r="AC788" s="108"/>
      <c r="AD788" s="108"/>
      <c r="AE788" s="108"/>
      <c r="AF788" s="108"/>
      <c r="AG788" s="108"/>
      <c r="AH788" s="108"/>
      <c r="AI788" s="108"/>
      <c r="AJ788" s="108"/>
      <c r="AK788" s="108"/>
      <c r="AL788" s="108"/>
      <c r="AM788" s="108"/>
      <c r="AN788" s="108"/>
      <c r="AO788" s="108"/>
      <c r="AP788" s="108"/>
      <c r="AQ788" s="108"/>
      <c r="AR788" s="108"/>
      <c r="AS788" s="108"/>
      <c r="AT788" s="108"/>
      <c r="AU788" s="108"/>
      <c r="AV788" s="108"/>
      <c r="AW788" s="108"/>
      <c r="AX788" s="108"/>
      <c r="AY788" s="108"/>
      <c r="AZ788" s="108"/>
      <c r="BA788" s="108"/>
      <c r="BB788" s="108"/>
    </row>
    <row r="789" spans="3:54" ht="12.75" customHeight="1" x14ac:dyDescent="0.25">
      <c r="C789" s="108"/>
      <c r="D789" s="108"/>
      <c r="E789" s="108"/>
      <c r="F789" s="108"/>
      <c r="G789" s="108"/>
      <c r="H789" s="108"/>
      <c r="I789" s="108"/>
      <c r="J789" s="108"/>
      <c r="K789" s="108"/>
      <c r="L789" s="108"/>
      <c r="M789" s="108"/>
      <c r="N789" s="108"/>
      <c r="O789" s="108"/>
      <c r="P789" s="108"/>
      <c r="Q789" s="108"/>
      <c r="R789" s="108"/>
      <c r="S789" s="108"/>
      <c r="T789" s="108"/>
      <c r="U789" s="108"/>
      <c r="V789" s="108"/>
      <c r="W789" s="108"/>
      <c r="X789" s="108"/>
      <c r="Y789" s="108"/>
      <c r="Z789" s="108"/>
      <c r="AA789" s="108"/>
      <c r="AB789" s="108"/>
      <c r="AC789" s="108"/>
      <c r="AD789" s="108"/>
      <c r="AE789" s="108"/>
      <c r="AF789" s="108"/>
      <c r="AG789" s="108"/>
      <c r="AH789" s="108"/>
      <c r="AI789" s="108"/>
      <c r="AJ789" s="108"/>
      <c r="AK789" s="108"/>
      <c r="AL789" s="108"/>
      <c r="AM789" s="108"/>
      <c r="AN789" s="108"/>
      <c r="AO789" s="108"/>
      <c r="AP789" s="108"/>
      <c r="AQ789" s="108"/>
      <c r="AR789" s="108"/>
      <c r="AS789" s="108"/>
      <c r="AT789" s="108"/>
      <c r="AU789" s="108"/>
      <c r="AV789" s="108"/>
      <c r="AW789" s="108"/>
      <c r="AX789" s="108"/>
      <c r="AY789" s="108"/>
      <c r="AZ789" s="108"/>
      <c r="BA789" s="108"/>
      <c r="BB789" s="108"/>
    </row>
    <row r="790" spans="3:54" ht="12.75" customHeight="1" x14ac:dyDescent="0.25">
      <c r="C790" s="108"/>
      <c r="D790" s="108"/>
      <c r="E790" s="108"/>
      <c r="F790" s="108"/>
      <c r="G790" s="108"/>
      <c r="H790" s="108"/>
      <c r="I790" s="108"/>
      <c r="J790" s="108"/>
      <c r="K790" s="108"/>
      <c r="L790" s="108"/>
      <c r="M790" s="108"/>
      <c r="N790" s="108"/>
      <c r="O790" s="108"/>
      <c r="P790" s="108"/>
      <c r="Q790" s="108"/>
      <c r="R790" s="108"/>
      <c r="S790" s="108"/>
      <c r="T790" s="108"/>
      <c r="U790" s="108"/>
      <c r="V790" s="108"/>
      <c r="W790" s="108"/>
      <c r="X790" s="108"/>
      <c r="Y790" s="108"/>
      <c r="Z790" s="108"/>
      <c r="AA790" s="108"/>
      <c r="AB790" s="108"/>
      <c r="AC790" s="108"/>
      <c r="AD790" s="108"/>
      <c r="AE790" s="108"/>
      <c r="AF790" s="108"/>
      <c r="AG790" s="108"/>
      <c r="AH790" s="108"/>
      <c r="AI790" s="108"/>
      <c r="AJ790" s="108"/>
      <c r="AK790" s="108"/>
      <c r="AL790" s="108"/>
      <c r="AM790" s="108"/>
      <c r="AN790" s="108"/>
      <c r="AO790" s="108"/>
      <c r="AP790" s="108"/>
      <c r="AQ790" s="108"/>
      <c r="AR790" s="108"/>
      <c r="AS790" s="108"/>
      <c r="AT790" s="108"/>
      <c r="AU790" s="108"/>
      <c r="AV790" s="108"/>
      <c r="AW790" s="108"/>
      <c r="AX790" s="108"/>
      <c r="AY790" s="108"/>
      <c r="AZ790" s="108"/>
      <c r="BA790" s="108"/>
      <c r="BB790" s="108"/>
    </row>
    <row r="791" spans="3:54" ht="12.75" customHeight="1" x14ac:dyDescent="0.25">
      <c r="C791" s="108"/>
      <c r="D791" s="108"/>
      <c r="E791" s="108"/>
      <c r="F791" s="108"/>
      <c r="G791" s="108"/>
      <c r="H791" s="108"/>
      <c r="I791" s="108"/>
      <c r="J791" s="108"/>
      <c r="K791" s="108"/>
      <c r="L791" s="108"/>
      <c r="M791" s="108"/>
      <c r="N791" s="108"/>
      <c r="O791" s="108"/>
      <c r="P791" s="108"/>
      <c r="Q791" s="108"/>
      <c r="R791" s="108"/>
      <c r="S791" s="108"/>
      <c r="T791" s="108"/>
      <c r="U791" s="108"/>
      <c r="V791" s="108"/>
      <c r="W791" s="108"/>
      <c r="X791" s="108"/>
      <c r="Y791" s="108"/>
      <c r="Z791" s="108"/>
      <c r="AA791" s="108"/>
      <c r="AB791" s="108"/>
      <c r="AC791" s="108"/>
      <c r="AD791" s="108"/>
      <c r="AE791" s="108"/>
      <c r="AF791" s="108"/>
      <c r="AG791" s="108"/>
      <c r="AH791" s="108"/>
      <c r="AI791" s="108"/>
      <c r="AJ791" s="108"/>
      <c r="AK791" s="108"/>
      <c r="AL791" s="108"/>
      <c r="AM791" s="108"/>
      <c r="AN791" s="108"/>
      <c r="AO791" s="108"/>
      <c r="AP791" s="108"/>
      <c r="AQ791" s="108"/>
      <c r="AR791" s="108"/>
      <c r="AS791" s="108"/>
      <c r="AT791" s="108"/>
      <c r="AU791" s="108"/>
      <c r="AV791" s="108"/>
      <c r="AW791" s="108"/>
      <c r="AX791" s="108"/>
      <c r="AY791" s="108"/>
      <c r="AZ791" s="108"/>
      <c r="BA791" s="108"/>
      <c r="BB791" s="108"/>
    </row>
    <row r="792" spans="3:54" ht="12.75" customHeight="1" x14ac:dyDescent="0.25">
      <c r="C792" s="108"/>
      <c r="D792" s="108"/>
      <c r="E792" s="108"/>
      <c r="F792" s="108"/>
      <c r="G792" s="108"/>
      <c r="H792" s="108"/>
      <c r="I792" s="108"/>
      <c r="J792" s="108"/>
      <c r="K792" s="108"/>
      <c r="L792" s="108"/>
      <c r="M792" s="108"/>
      <c r="N792" s="108"/>
      <c r="O792" s="108"/>
      <c r="P792" s="108"/>
      <c r="Q792" s="108"/>
      <c r="R792" s="108"/>
      <c r="S792" s="108"/>
      <c r="T792" s="108"/>
      <c r="U792" s="108"/>
      <c r="V792" s="108"/>
      <c r="W792" s="108"/>
      <c r="X792" s="108"/>
      <c r="Y792" s="108"/>
      <c r="Z792" s="108"/>
      <c r="AA792" s="108"/>
      <c r="AB792" s="108"/>
      <c r="AC792" s="108"/>
      <c r="AD792" s="108"/>
      <c r="AE792" s="108"/>
      <c r="AF792" s="108"/>
      <c r="AG792" s="108"/>
      <c r="AH792" s="108"/>
      <c r="AI792" s="108"/>
      <c r="AJ792" s="108"/>
      <c r="AK792" s="108"/>
      <c r="AL792" s="108"/>
      <c r="AM792" s="108"/>
      <c r="AN792" s="108"/>
      <c r="AO792" s="108"/>
      <c r="AP792" s="108"/>
      <c r="AQ792" s="108"/>
      <c r="AR792" s="108"/>
      <c r="AS792" s="108"/>
      <c r="AT792" s="108"/>
      <c r="AU792" s="108"/>
      <c r="AV792" s="108"/>
      <c r="AW792" s="108"/>
      <c r="AX792" s="108"/>
      <c r="AY792" s="108"/>
      <c r="AZ792" s="108"/>
      <c r="BA792" s="108"/>
      <c r="BB792" s="108"/>
    </row>
    <row r="793" spans="3:54" ht="12.75" customHeight="1" x14ac:dyDescent="0.25">
      <c r="C793" s="108"/>
      <c r="D793" s="108"/>
      <c r="E793" s="108"/>
      <c r="F793" s="108"/>
      <c r="G793" s="108"/>
      <c r="H793" s="108"/>
      <c r="I793" s="108"/>
      <c r="J793" s="108"/>
      <c r="K793" s="108"/>
      <c r="L793" s="108"/>
      <c r="M793" s="108"/>
      <c r="N793" s="108"/>
      <c r="O793" s="108"/>
      <c r="P793" s="108"/>
      <c r="Q793" s="108"/>
      <c r="R793" s="108"/>
      <c r="S793" s="108"/>
      <c r="T793" s="108"/>
      <c r="U793" s="108"/>
      <c r="V793" s="108"/>
      <c r="W793" s="108"/>
      <c r="X793" s="108"/>
      <c r="Y793" s="108"/>
      <c r="Z793" s="108"/>
      <c r="AA793" s="108"/>
      <c r="AB793" s="108"/>
      <c r="AC793" s="108"/>
      <c r="AD793" s="108"/>
      <c r="AE793" s="108"/>
      <c r="AF793" s="108"/>
      <c r="AG793" s="108"/>
      <c r="AH793" s="108"/>
      <c r="AI793" s="108"/>
      <c r="AJ793" s="108"/>
      <c r="AK793" s="108"/>
      <c r="AL793" s="108"/>
      <c r="AM793" s="108"/>
      <c r="AN793" s="108"/>
      <c r="AO793" s="108"/>
      <c r="AP793" s="108"/>
      <c r="AQ793" s="108"/>
      <c r="AR793" s="108"/>
      <c r="AS793" s="108"/>
      <c r="AT793" s="108"/>
      <c r="AU793" s="108"/>
      <c r="AV793" s="108"/>
      <c r="AW793" s="108"/>
      <c r="AX793" s="108"/>
      <c r="AY793" s="108"/>
      <c r="AZ793" s="108"/>
      <c r="BA793" s="108"/>
      <c r="BB793" s="108"/>
    </row>
    <row r="794" spans="3:54" ht="12.75" customHeight="1" x14ac:dyDescent="0.25">
      <c r="C794" s="108"/>
      <c r="D794" s="108"/>
      <c r="E794" s="108"/>
      <c r="F794" s="108"/>
      <c r="G794" s="108"/>
      <c r="H794" s="108"/>
      <c r="I794" s="108"/>
      <c r="J794" s="108"/>
      <c r="K794" s="108"/>
      <c r="L794" s="108"/>
      <c r="M794" s="108"/>
      <c r="N794" s="108"/>
      <c r="O794" s="108"/>
      <c r="P794" s="108"/>
      <c r="Q794" s="108"/>
      <c r="R794" s="108"/>
      <c r="S794" s="108"/>
      <c r="T794" s="108"/>
      <c r="U794" s="108"/>
      <c r="V794" s="108"/>
      <c r="W794" s="108"/>
      <c r="X794" s="108"/>
      <c r="Y794" s="108"/>
      <c r="Z794" s="108"/>
      <c r="AA794" s="108"/>
      <c r="AB794" s="108"/>
      <c r="AC794" s="108"/>
      <c r="AD794" s="108"/>
      <c r="AE794" s="108"/>
      <c r="AF794" s="108"/>
      <c r="AG794" s="108"/>
      <c r="AH794" s="108"/>
      <c r="AI794" s="108"/>
      <c r="AJ794" s="108"/>
      <c r="AK794" s="108"/>
      <c r="AL794" s="108"/>
      <c r="AM794" s="108"/>
      <c r="AN794" s="108"/>
      <c r="AO794" s="108"/>
      <c r="AP794" s="108"/>
      <c r="AQ794" s="108"/>
      <c r="AR794" s="108"/>
      <c r="AS794" s="108"/>
      <c r="AT794" s="108"/>
      <c r="AU794" s="108"/>
      <c r="AV794" s="108"/>
      <c r="AW794" s="108"/>
      <c r="AX794" s="108"/>
      <c r="AY794" s="108"/>
      <c r="AZ794" s="108"/>
      <c r="BA794" s="108"/>
      <c r="BB794" s="108"/>
    </row>
    <row r="795" spans="3:54" ht="12.75" customHeight="1" x14ac:dyDescent="0.25">
      <c r="C795" s="108"/>
      <c r="D795" s="108"/>
      <c r="E795" s="108"/>
      <c r="F795" s="108"/>
      <c r="G795" s="108"/>
      <c r="H795" s="108"/>
      <c r="I795" s="108"/>
      <c r="J795" s="108"/>
      <c r="K795" s="108"/>
      <c r="L795" s="108"/>
      <c r="M795" s="108"/>
      <c r="N795" s="108"/>
      <c r="O795" s="108"/>
      <c r="P795" s="108"/>
      <c r="Q795" s="108"/>
      <c r="R795" s="108"/>
      <c r="S795" s="108"/>
      <c r="T795" s="108"/>
      <c r="U795" s="108"/>
      <c r="V795" s="108"/>
      <c r="W795" s="108"/>
      <c r="X795" s="108"/>
      <c r="Y795" s="108"/>
      <c r="Z795" s="108"/>
      <c r="AA795" s="108"/>
      <c r="AB795" s="108"/>
      <c r="AC795" s="108"/>
      <c r="AD795" s="108"/>
      <c r="AE795" s="108"/>
      <c r="AF795" s="108"/>
      <c r="AG795" s="108"/>
      <c r="AH795" s="108"/>
      <c r="AI795" s="108"/>
      <c r="AJ795" s="108"/>
      <c r="AK795" s="108"/>
      <c r="AL795" s="108"/>
      <c r="AM795" s="108"/>
      <c r="AN795" s="108"/>
      <c r="AO795" s="108"/>
      <c r="AP795" s="108"/>
      <c r="AQ795" s="108"/>
      <c r="AR795" s="108"/>
      <c r="AS795" s="108"/>
      <c r="AT795" s="108"/>
      <c r="AU795" s="108"/>
      <c r="AV795" s="108"/>
      <c r="AW795" s="108"/>
      <c r="AX795" s="108"/>
      <c r="AY795" s="108"/>
      <c r="AZ795" s="108"/>
      <c r="BA795" s="108"/>
      <c r="BB795" s="108"/>
    </row>
    <row r="796" spans="3:54" ht="12.75" customHeight="1" x14ac:dyDescent="0.25">
      <c r="C796" s="108"/>
      <c r="D796" s="108"/>
      <c r="E796" s="108"/>
      <c r="F796" s="108"/>
      <c r="G796" s="108"/>
      <c r="H796" s="108"/>
      <c r="I796" s="108"/>
      <c r="J796" s="108"/>
      <c r="K796" s="108"/>
      <c r="L796" s="108"/>
      <c r="M796" s="108"/>
      <c r="N796" s="108"/>
      <c r="O796" s="108"/>
      <c r="P796" s="108"/>
      <c r="Q796" s="108"/>
      <c r="R796" s="108"/>
      <c r="S796" s="108"/>
      <c r="T796" s="108"/>
      <c r="U796" s="108"/>
      <c r="V796" s="108"/>
      <c r="W796" s="108"/>
      <c r="X796" s="108"/>
      <c r="Y796" s="108"/>
      <c r="Z796" s="108"/>
      <c r="AA796" s="108"/>
      <c r="AB796" s="108"/>
      <c r="AC796" s="108"/>
      <c r="AD796" s="108"/>
      <c r="AE796" s="108"/>
      <c r="AF796" s="108"/>
      <c r="AG796" s="108"/>
      <c r="AH796" s="108"/>
      <c r="AI796" s="108"/>
      <c r="AJ796" s="108"/>
      <c r="AK796" s="108"/>
      <c r="AL796" s="108"/>
      <c r="AM796" s="108"/>
      <c r="AN796" s="108"/>
      <c r="AO796" s="108"/>
      <c r="AP796" s="108"/>
      <c r="AQ796" s="108"/>
      <c r="AR796" s="108"/>
      <c r="AS796" s="108"/>
      <c r="AT796" s="108"/>
      <c r="AU796" s="108"/>
      <c r="AV796" s="108"/>
      <c r="AW796" s="108"/>
      <c r="AX796" s="108"/>
      <c r="AY796" s="108"/>
      <c r="AZ796" s="108"/>
      <c r="BA796" s="108"/>
      <c r="BB796" s="108"/>
    </row>
    <row r="797" spans="3:54" ht="12.75" customHeight="1" x14ac:dyDescent="0.25">
      <c r="C797" s="108"/>
      <c r="D797" s="108"/>
      <c r="E797" s="108"/>
      <c r="F797" s="108"/>
      <c r="G797" s="108"/>
      <c r="H797" s="108"/>
      <c r="I797" s="108"/>
      <c r="J797" s="108"/>
      <c r="K797" s="108"/>
      <c r="L797" s="108"/>
      <c r="M797" s="108"/>
      <c r="N797" s="108"/>
      <c r="O797" s="108"/>
      <c r="P797" s="108"/>
      <c r="Q797" s="108"/>
      <c r="R797" s="108"/>
      <c r="S797" s="108"/>
      <c r="T797" s="108"/>
      <c r="U797" s="108"/>
      <c r="V797" s="108"/>
      <c r="W797" s="108"/>
      <c r="X797" s="108"/>
      <c r="Y797" s="108"/>
      <c r="Z797" s="108"/>
      <c r="AA797" s="108"/>
      <c r="AB797" s="108"/>
      <c r="AC797" s="108"/>
      <c r="AD797" s="108"/>
      <c r="AE797" s="108"/>
      <c r="AF797" s="108"/>
      <c r="AG797" s="108"/>
      <c r="AH797" s="108"/>
      <c r="AI797" s="108"/>
      <c r="AJ797" s="108"/>
      <c r="AK797" s="108"/>
      <c r="AL797" s="108"/>
      <c r="AM797" s="108"/>
      <c r="AN797" s="108"/>
      <c r="AO797" s="108"/>
      <c r="AP797" s="108"/>
      <c r="AQ797" s="108"/>
      <c r="AR797" s="108"/>
      <c r="AS797" s="108"/>
      <c r="AT797" s="108"/>
      <c r="AU797" s="108"/>
      <c r="AV797" s="108"/>
      <c r="AW797" s="108"/>
      <c r="AX797" s="108"/>
      <c r="AY797" s="108"/>
      <c r="AZ797" s="108"/>
      <c r="BA797" s="108"/>
      <c r="BB797" s="108"/>
    </row>
    <row r="798" spans="3:54" ht="12.75" customHeight="1" x14ac:dyDescent="0.25">
      <c r="C798" s="108"/>
      <c r="D798" s="108"/>
      <c r="E798" s="108"/>
      <c r="F798" s="108"/>
      <c r="G798" s="108"/>
      <c r="H798" s="108"/>
      <c r="I798" s="108"/>
      <c r="J798" s="108"/>
      <c r="K798" s="108"/>
      <c r="L798" s="108"/>
      <c r="M798" s="108"/>
      <c r="N798" s="108"/>
      <c r="O798" s="108"/>
      <c r="P798" s="108"/>
      <c r="Q798" s="108"/>
      <c r="R798" s="108"/>
      <c r="S798" s="108"/>
      <c r="T798" s="108"/>
      <c r="U798" s="108"/>
      <c r="V798" s="108"/>
      <c r="W798" s="108"/>
      <c r="X798" s="108"/>
      <c r="Y798" s="108"/>
      <c r="Z798" s="108"/>
      <c r="AA798" s="108"/>
      <c r="AB798" s="108"/>
      <c r="AC798" s="108"/>
      <c r="AD798" s="108"/>
      <c r="AE798" s="108"/>
      <c r="AF798" s="108"/>
      <c r="AG798" s="108"/>
      <c r="AH798" s="108"/>
      <c r="AI798" s="108"/>
      <c r="AJ798" s="108"/>
      <c r="AK798" s="108"/>
      <c r="AL798" s="108"/>
      <c r="AM798" s="108"/>
      <c r="AN798" s="108"/>
      <c r="AO798" s="108"/>
      <c r="AP798" s="108"/>
      <c r="AQ798" s="108"/>
      <c r="AR798" s="108"/>
      <c r="AS798" s="108"/>
      <c r="AT798" s="108"/>
      <c r="AU798" s="108"/>
      <c r="AV798" s="108"/>
      <c r="AW798" s="108"/>
      <c r="AX798" s="108"/>
      <c r="AY798" s="108"/>
      <c r="AZ798" s="108"/>
      <c r="BA798" s="108"/>
      <c r="BB798" s="108"/>
    </row>
    <row r="799" spans="3:54" ht="12.75" customHeight="1" x14ac:dyDescent="0.25">
      <c r="C799" s="108"/>
      <c r="D799" s="108"/>
      <c r="E799" s="108"/>
      <c r="F799" s="108"/>
      <c r="G799" s="108"/>
      <c r="H799" s="108"/>
      <c r="I799" s="108"/>
      <c r="J799" s="108"/>
      <c r="K799" s="108"/>
      <c r="L799" s="108"/>
      <c r="M799" s="108"/>
      <c r="N799" s="108"/>
      <c r="O799" s="108"/>
      <c r="P799" s="108"/>
      <c r="Q799" s="108"/>
      <c r="R799" s="108"/>
      <c r="S799" s="108"/>
      <c r="T799" s="108"/>
      <c r="U799" s="108"/>
      <c r="V799" s="108"/>
      <c r="W799" s="108"/>
      <c r="X799" s="108"/>
      <c r="Y799" s="108"/>
      <c r="Z799" s="108"/>
      <c r="AA799" s="108"/>
      <c r="AB799" s="108"/>
      <c r="AC799" s="108"/>
      <c r="AD799" s="108"/>
      <c r="AE799" s="108"/>
      <c r="AF799" s="108"/>
      <c r="AG799" s="108"/>
      <c r="AH799" s="108"/>
      <c r="AI799" s="108"/>
      <c r="AJ799" s="108"/>
      <c r="AK799" s="108"/>
      <c r="AL799" s="108"/>
      <c r="AM799" s="108"/>
      <c r="AN799" s="108"/>
      <c r="AO799" s="108"/>
      <c r="AP799" s="108"/>
      <c r="AQ799" s="108"/>
      <c r="AR799" s="108"/>
      <c r="AS799" s="108"/>
      <c r="AT799" s="108"/>
      <c r="AU799" s="108"/>
      <c r="AV799" s="108"/>
      <c r="AW799" s="108"/>
      <c r="AX799" s="108"/>
      <c r="AY799" s="108"/>
      <c r="AZ799" s="108"/>
      <c r="BA799" s="108"/>
      <c r="BB799" s="108"/>
    </row>
    <row r="800" spans="3:54" ht="12.75" customHeight="1" x14ac:dyDescent="0.25">
      <c r="C800" s="108"/>
      <c r="D800" s="108"/>
      <c r="E800" s="108"/>
      <c r="F800" s="108"/>
      <c r="G800" s="108"/>
      <c r="H800" s="108"/>
      <c r="I800" s="108"/>
      <c r="J800" s="108"/>
      <c r="K800" s="108"/>
      <c r="L800" s="108"/>
      <c r="M800" s="108"/>
      <c r="N800" s="108"/>
      <c r="O800" s="108"/>
      <c r="P800" s="108"/>
      <c r="Q800" s="108"/>
      <c r="R800" s="108"/>
      <c r="S800" s="108"/>
      <c r="T800" s="108"/>
      <c r="U800" s="108"/>
      <c r="V800" s="108"/>
      <c r="W800" s="108"/>
      <c r="X800" s="108"/>
      <c r="Y800" s="108"/>
      <c r="Z800" s="108"/>
      <c r="AA800" s="108"/>
      <c r="AB800" s="108"/>
      <c r="AC800" s="108"/>
      <c r="AD800" s="108"/>
      <c r="AE800" s="108"/>
      <c r="AF800" s="108"/>
      <c r="AG800" s="108"/>
      <c r="AH800" s="108"/>
      <c r="AI800" s="108"/>
      <c r="AJ800" s="108"/>
      <c r="AK800" s="108"/>
      <c r="AL800" s="108"/>
      <c r="AM800" s="108"/>
      <c r="AN800" s="108"/>
      <c r="AO800" s="108"/>
      <c r="AP800" s="108"/>
      <c r="AQ800" s="108"/>
      <c r="AR800" s="108"/>
      <c r="AS800" s="108"/>
      <c r="AT800" s="108"/>
      <c r="AU800" s="108"/>
      <c r="AV800" s="108"/>
      <c r="AW800" s="108"/>
      <c r="AX800" s="108"/>
      <c r="AY800" s="108"/>
      <c r="AZ800" s="108"/>
      <c r="BA800" s="108"/>
      <c r="BB800" s="108"/>
    </row>
    <row r="801" spans="3:54" ht="12.75" customHeight="1" x14ac:dyDescent="0.25">
      <c r="C801" s="108"/>
      <c r="D801" s="108"/>
      <c r="E801" s="108"/>
      <c r="F801" s="108"/>
      <c r="G801" s="108"/>
      <c r="H801" s="108"/>
      <c r="I801" s="108"/>
      <c r="J801" s="108"/>
      <c r="K801" s="108"/>
      <c r="L801" s="108"/>
      <c r="M801" s="108"/>
      <c r="N801" s="108"/>
      <c r="O801" s="108"/>
      <c r="P801" s="108"/>
      <c r="Q801" s="108"/>
      <c r="R801" s="108"/>
      <c r="S801" s="108"/>
      <c r="T801" s="108"/>
      <c r="U801" s="108"/>
      <c r="V801" s="108"/>
      <c r="W801" s="108"/>
      <c r="X801" s="108"/>
      <c r="Y801" s="108"/>
      <c r="Z801" s="108"/>
      <c r="AA801" s="108"/>
      <c r="AB801" s="108"/>
      <c r="AC801" s="108"/>
      <c r="AD801" s="108"/>
      <c r="AE801" s="108"/>
      <c r="AF801" s="108"/>
      <c r="AG801" s="108"/>
      <c r="AH801" s="108"/>
      <c r="AI801" s="108"/>
      <c r="AJ801" s="108"/>
      <c r="AK801" s="108"/>
      <c r="AL801" s="108"/>
      <c r="AM801" s="108"/>
      <c r="AN801" s="108"/>
      <c r="AO801" s="108"/>
      <c r="AP801" s="108"/>
      <c r="AQ801" s="108"/>
      <c r="AR801" s="108"/>
      <c r="AS801" s="108"/>
      <c r="AT801" s="108"/>
      <c r="AU801" s="108"/>
      <c r="AV801" s="108"/>
      <c r="AW801" s="108"/>
      <c r="AX801" s="108"/>
      <c r="AY801" s="108"/>
      <c r="AZ801" s="108"/>
      <c r="BA801" s="108"/>
      <c r="BB801" s="108"/>
    </row>
    <row r="802" spans="3:54" ht="12.75" customHeight="1" x14ac:dyDescent="0.25">
      <c r="C802" s="108"/>
      <c r="D802" s="108"/>
      <c r="E802" s="108"/>
      <c r="F802" s="108"/>
      <c r="G802" s="108"/>
      <c r="H802" s="108"/>
      <c r="I802" s="108"/>
      <c r="J802" s="108"/>
      <c r="K802" s="108"/>
      <c r="L802" s="108"/>
      <c r="M802" s="108"/>
      <c r="N802" s="108"/>
      <c r="O802" s="108"/>
      <c r="P802" s="108"/>
      <c r="Q802" s="108"/>
      <c r="R802" s="108"/>
      <c r="S802" s="108"/>
      <c r="T802" s="108"/>
      <c r="U802" s="108"/>
      <c r="V802" s="108"/>
      <c r="W802" s="108"/>
      <c r="X802" s="108"/>
      <c r="Y802" s="108"/>
      <c r="Z802" s="108"/>
      <c r="AA802" s="108"/>
      <c r="AB802" s="108"/>
      <c r="AC802" s="108"/>
      <c r="AD802" s="108"/>
      <c r="AE802" s="108"/>
      <c r="AF802" s="108"/>
      <c r="AG802" s="108"/>
      <c r="AH802" s="108"/>
      <c r="AI802" s="108"/>
      <c r="AJ802" s="108"/>
      <c r="AK802" s="108"/>
      <c r="AL802" s="108"/>
      <c r="AM802" s="108"/>
      <c r="AN802" s="108"/>
      <c r="AO802" s="108"/>
      <c r="AP802" s="108"/>
      <c r="AQ802" s="108"/>
      <c r="AR802" s="108"/>
      <c r="AS802" s="108"/>
      <c r="AT802" s="108"/>
      <c r="AU802" s="108"/>
      <c r="AV802" s="108"/>
      <c r="AW802" s="108"/>
      <c r="AX802" s="108"/>
      <c r="AY802" s="108"/>
      <c r="AZ802" s="108"/>
      <c r="BA802" s="108"/>
      <c r="BB802" s="108"/>
    </row>
    <row r="803" spans="3:54" ht="12.75" customHeight="1" x14ac:dyDescent="0.25">
      <c r="C803" s="108"/>
      <c r="D803" s="108"/>
      <c r="E803" s="108"/>
      <c r="F803" s="108"/>
      <c r="G803" s="108"/>
      <c r="H803" s="108"/>
      <c r="I803" s="108"/>
      <c r="J803" s="108"/>
      <c r="K803" s="108"/>
      <c r="L803" s="108"/>
      <c r="M803" s="108"/>
      <c r="N803" s="108"/>
      <c r="O803" s="108"/>
      <c r="P803" s="108"/>
      <c r="Q803" s="108"/>
      <c r="R803" s="108"/>
      <c r="S803" s="108"/>
      <c r="T803" s="108"/>
      <c r="U803" s="108"/>
      <c r="V803" s="108"/>
      <c r="W803" s="108"/>
      <c r="X803" s="108"/>
      <c r="Y803" s="108"/>
      <c r="Z803" s="108"/>
      <c r="AA803" s="108"/>
      <c r="AB803" s="108"/>
      <c r="AC803" s="108"/>
      <c r="AD803" s="108"/>
      <c r="AE803" s="108"/>
      <c r="AF803" s="108"/>
      <c r="AG803" s="108"/>
      <c r="AH803" s="108"/>
      <c r="AI803" s="108"/>
      <c r="AJ803" s="108"/>
      <c r="AK803" s="108"/>
      <c r="AL803" s="108"/>
      <c r="AM803" s="108"/>
      <c r="AN803" s="108"/>
      <c r="AO803" s="108"/>
      <c r="AP803" s="108"/>
      <c r="AQ803" s="108"/>
      <c r="AR803" s="108"/>
      <c r="AS803" s="108"/>
      <c r="AT803" s="108"/>
      <c r="AU803" s="108"/>
      <c r="AV803" s="108"/>
      <c r="AW803" s="108"/>
      <c r="AX803" s="108"/>
      <c r="AY803" s="108"/>
      <c r="AZ803" s="108"/>
      <c r="BA803" s="108"/>
      <c r="BB803" s="108"/>
    </row>
    <row r="804" spans="3:54" ht="12.75" customHeight="1" x14ac:dyDescent="0.25">
      <c r="C804" s="108"/>
      <c r="D804" s="108"/>
      <c r="E804" s="108"/>
      <c r="F804" s="108"/>
      <c r="G804" s="108"/>
      <c r="H804" s="108"/>
      <c r="I804" s="108"/>
      <c r="J804" s="108"/>
      <c r="K804" s="108"/>
      <c r="L804" s="108"/>
      <c r="M804" s="108"/>
      <c r="N804" s="108"/>
      <c r="O804" s="108"/>
      <c r="P804" s="108"/>
      <c r="Q804" s="108"/>
      <c r="R804" s="108"/>
      <c r="S804" s="108"/>
      <c r="T804" s="108"/>
      <c r="U804" s="108"/>
      <c r="V804" s="108"/>
      <c r="W804" s="108"/>
      <c r="X804" s="108"/>
      <c r="Y804" s="108"/>
      <c r="Z804" s="108"/>
      <c r="AA804" s="108"/>
      <c r="AB804" s="108"/>
      <c r="AC804" s="108"/>
      <c r="AD804" s="108"/>
      <c r="AE804" s="108"/>
      <c r="AF804" s="108"/>
      <c r="AG804" s="108"/>
      <c r="AH804" s="108"/>
      <c r="AI804" s="108"/>
      <c r="AJ804" s="108"/>
      <c r="AK804" s="108"/>
      <c r="AL804" s="108"/>
      <c r="AM804" s="108"/>
      <c r="AN804" s="108"/>
      <c r="AO804" s="108"/>
      <c r="AP804" s="108"/>
      <c r="AQ804" s="108"/>
      <c r="AR804" s="108"/>
      <c r="AS804" s="108"/>
      <c r="AT804" s="108"/>
      <c r="AU804" s="108"/>
      <c r="AV804" s="108"/>
      <c r="AW804" s="108"/>
      <c r="AX804" s="108"/>
      <c r="AY804" s="108"/>
      <c r="AZ804" s="108"/>
      <c r="BA804" s="108"/>
      <c r="BB804" s="108"/>
    </row>
    <row r="805" spans="3:54" ht="12.75" customHeight="1" x14ac:dyDescent="0.25">
      <c r="C805" s="108"/>
      <c r="D805" s="108"/>
      <c r="E805" s="108"/>
      <c r="F805" s="108"/>
      <c r="G805" s="108"/>
      <c r="H805" s="108"/>
      <c r="I805" s="108"/>
      <c r="J805" s="108"/>
      <c r="K805" s="108"/>
      <c r="L805" s="108"/>
      <c r="M805" s="108"/>
      <c r="N805" s="108"/>
      <c r="O805" s="108"/>
      <c r="P805" s="108"/>
      <c r="Q805" s="108"/>
      <c r="R805" s="108"/>
      <c r="S805" s="108"/>
      <c r="T805" s="108"/>
      <c r="U805" s="108"/>
      <c r="V805" s="108"/>
      <c r="W805" s="108"/>
      <c r="X805" s="108"/>
      <c r="Y805" s="108"/>
      <c r="Z805" s="108"/>
      <c r="AA805" s="108"/>
      <c r="AB805" s="108"/>
      <c r="AC805" s="108"/>
      <c r="AD805" s="108"/>
      <c r="AE805" s="108"/>
      <c r="AF805" s="108"/>
      <c r="AG805" s="108"/>
      <c r="AH805" s="108"/>
      <c r="AI805" s="108"/>
      <c r="AJ805" s="108"/>
      <c r="AK805" s="108"/>
      <c r="AL805" s="108"/>
      <c r="AM805" s="108"/>
      <c r="AN805" s="108"/>
      <c r="AO805" s="108"/>
      <c r="AP805" s="108"/>
      <c r="AQ805" s="108"/>
      <c r="AR805" s="108"/>
      <c r="AS805" s="108"/>
      <c r="AT805" s="108"/>
      <c r="AU805" s="108"/>
      <c r="AV805" s="108"/>
      <c r="AW805" s="108"/>
      <c r="AX805" s="108"/>
      <c r="AY805" s="108"/>
      <c r="AZ805" s="108"/>
      <c r="BA805" s="108"/>
      <c r="BB805" s="108"/>
    </row>
    <row r="806" spans="3:54" ht="12.75" customHeight="1" x14ac:dyDescent="0.25">
      <c r="C806" s="108"/>
      <c r="D806" s="108"/>
      <c r="E806" s="108"/>
      <c r="F806" s="108"/>
      <c r="G806" s="108"/>
      <c r="H806" s="108"/>
      <c r="I806" s="108"/>
      <c r="J806" s="108"/>
      <c r="K806" s="108"/>
      <c r="L806" s="108"/>
      <c r="M806" s="108"/>
      <c r="N806" s="108"/>
      <c r="O806" s="108"/>
      <c r="P806" s="108"/>
      <c r="Q806" s="108"/>
      <c r="R806" s="108"/>
      <c r="S806" s="108"/>
      <c r="T806" s="108"/>
      <c r="U806" s="108"/>
      <c r="V806" s="108"/>
      <c r="W806" s="108"/>
      <c r="X806" s="108"/>
      <c r="Y806" s="108"/>
      <c r="Z806" s="108"/>
      <c r="AA806" s="108"/>
      <c r="AB806" s="108"/>
      <c r="AC806" s="108"/>
      <c r="AD806" s="108"/>
      <c r="AE806" s="108"/>
      <c r="AF806" s="108"/>
      <c r="AG806" s="108"/>
      <c r="AH806" s="108"/>
      <c r="AI806" s="108"/>
      <c r="AJ806" s="108"/>
      <c r="AK806" s="108"/>
      <c r="AL806" s="108"/>
      <c r="AM806" s="108"/>
      <c r="AN806" s="108"/>
      <c r="AO806" s="108"/>
      <c r="AP806" s="108"/>
      <c r="AQ806" s="108"/>
      <c r="AR806" s="108"/>
      <c r="AS806" s="108"/>
      <c r="AT806" s="108"/>
      <c r="AU806" s="108"/>
      <c r="AV806" s="108"/>
      <c r="AW806" s="108"/>
      <c r="AX806" s="108"/>
      <c r="AY806" s="108"/>
      <c r="AZ806" s="108"/>
      <c r="BA806" s="108"/>
      <c r="BB806" s="108"/>
    </row>
    <row r="807" spans="3:54" ht="12.75" customHeight="1" x14ac:dyDescent="0.25">
      <c r="C807" s="108"/>
      <c r="D807" s="108"/>
      <c r="E807" s="108"/>
      <c r="F807" s="108"/>
      <c r="G807" s="108"/>
      <c r="H807" s="108"/>
      <c r="I807" s="108"/>
      <c r="J807" s="108"/>
      <c r="K807" s="108"/>
      <c r="L807" s="108"/>
      <c r="M807" s="108"/>
      <c r="N807" s="108"/>
      <c r="O807" s="108"/>
      <c r="P807" s="108"/>
      <c r="Q807" s="108"/>
      <c r="R807" s="108"/>
      <c r="S807" s="108"/>
      <c r="T807" s="108"/>
      <c r="U807" s="108"/>
      <c r="V807" s="108"/>
      <c r="W807" s="108"/>
      <c r="X807" s="108"/>
      <c r="Y807" s="108"/>
      <c r="Z807" s="108"/>
      <c r="AA807" s="108"/>
      <c r="AB807" s="108"/>
      <c r="AC807" s="108"/>
      <c r="AD807" s="108"/>
      <c r="AE807" s="108"/>
      <c r="AF807" s="108"/>
      <c r="AG807" s="108"/>
      <c r="AH807" s="108"/>
      <c r="AI807" s="108"/>
      <c r="AJ807" s="108"/>
      <c r="AK807" s="108"/>
      <c r="AL807" s="108"/>
      <c r="AM807" s="108"/>
      <c r="AN807" s="108"/>
      <c r="AO807" s="108"/>
      <c r="AP807" s="108"/>
      <c r="AQ807" s="108"/>
      <c r="AR807" s="108"/>
      <c r="AS807" s="108"/>
      <c r="AT807" s="108"/>
      <c r="AU807" s="108"/>
      <c r="AV807" s="108"/>
      <c r="AW807" s="108"/>
      <c r="AX807" s="108"/>
      <c r="AY807" s="108"/>
      <c r="AZ807" s="108"/>
      <c r="BA807" s="108"/>
      <c r="BB807" s="108"/>
    </row>
    <row r="808" spans="3:54" ht="12.75" customHeight="1" x14ac:dyDescent="0.25">
      <c r="C808" s="108"/>
      <c r="D808" s="108"/>
      <c r="E808" s="108"/>
      <c r="F808" s="108"/>
      <c r="G808" s="108"/>
      <c r="H808" s="108"/>
      <c r="I808" s="108"/>
      <c r="J808" s="108"/>
      <c r="K808" s="108"/>
      <c r="L808" s="108"/>
      <c r="M808" s="108"/>
      <c r="N808" s="108"/>
      <c r="O808" s="108"/>
      <c r="P808" s="108"/>
      <c r="Q808" s="108"/>
      <c r="R808" s="108"/>
      <c r="S808" s="108"/>
      <c r="T808" s="108"/>
      <c r="U808" s="108"/>
      <c r="V808" s="108"/>
      <c r="W808" s="108"/>
      <c r="X808" s="108"/>
      <c r="Y808" s="108"/>
      <c r="Z808" s="108"/>
      <c r="AA808" s="108"/>
      <c r="AB808" s="108"/>
      <c r="AC808" s="108"/>
      <c r="AD808" s="108"/>
      <c r="AE808" s="108"/>
      <c r="AF808" s="108"/>
      <c r="AG808" s="108"/>
      <c r="AH808" s="108"/>
      <c r="AI808" s="108"/>
      <c r="AJ808" s="108"/>
      <c r="AK808" s="108"/>
      <c r="AL808" s="108"/>
      <c r="AM808" s="108"/>
      <c r="AN808" s="108"/>
      <c r="AO808" s="108"/>
      <c r="AP808" s="108"/>
      <c r="AQ808" s="108"/>
      <c r="AR808" s="108"/>
      <c r="AS808" s="108"/>
      <c r="AT808" s="108"/>
      <c r="AU808" s="108"/>
      <c r="AV808" s="108"/>
      <c r="AW808" s="108"/>
      <c r="AX808" s="108"/>
      <c r="AY808" s="108"/>
      <c r="AZ808" s="108"/>
      <c r="BA808" s="108"/>
      <c r="BB808" s="108"/>
    </row>
    <row r="809" spans="3:54" ht="12.75" customHeight="1" x14ac:dyDescent="0.25">
      <c r="C809" s="108"/>
      <c r="D809" s="108"/>
      <c r="E809" s="108"/>
      <c r="F809" s="108"/>
      <c r="G809" s="108"/>
      <c r="H809" s="108"/>
      <c r="I809" s="108"/>
      <c r="J809" s="108"/>
      <c r="K809" s="108"/>
      <c r="L809" s="108"/>
      <c r="M809" s="108"/>
      <c r="N809" s="108"/>
      <c r="O809" s="108"/>
      <c r="P809" s="108"/>
      <c r="Q809" s="108"/>
      <c r="R809" s="108"/>
      <c r="S809" s="108"/>
      <c r="T809" s="108"/>
      <c r="U809" s="108"/>
      <c r="V809" s="108"/>
      <c r="W809" s="108"/>
      <c r="X809" s="108"/>
      <c r="Y809" s="108"/>
      <c r="Z809" s="108"/>
      <c r="AA809" s="108"/>
      <c r="AB809" s="108"/>
      <c r="AC809" s="108"/>
      <c r="AD809" s="108"/>
      <c r="AE809" s="108"/>
      <c r="AF809" s="108"/>
      <c r="AG809" s="108"/>
      <c r="AH809" s="108"/>
      <c r="AI809" s="108"/>
      <c r="AJ809" s="108"/>
      <c r="AK809" s="108"/>
      <c r="AL809" s="108"/>
      <c r="AM809" s="108"/>
      <c r="AN809" s="108"/>
      <c r="AO809" s="108"/>
      <c r="AP809" s="108"/>
      <c r="AQ809" s="108"/>
      <c r="AR809" s="108"/>
      <c r="AS809" s="108"/>
      <c r="AT809" s="108"/>
      <c r="AU809" s="108"/>
      <c r="AV809" s="108"/>
      <c r="AW809" s="108"/>
      <c r="AX809" s="108"/>
      <c r="AY809" s="108"/>
      <c r="AZ809" s="108"/>
      <c r="BA809" s="108"/>
      <c r="BB809" s="108"/>
    </row>
    <row r="810" spans="3:54" ht="12.75" customHeight="1" x14ac:dyDescent="0.25">
      <c r="C810" s="108"/>
      <c r="D810" s="108"/>
      <c r="E810" s="108"/>
      <c r="F810" s="108"/>
      <c r="G810" s="108"/>
      <c r="H810" s="108"/>
      <c r="I810" s="108"/>
      <c r="J810" s="108"/>
      <c r="K810" s="108"/>
      <c r="L810" s="108"/>
      <c r="M810" s="108"/>
      <c r="N810" s="108"/>
      <c r="O810" s="108"/>
      <c r="P810" s="108"/>
      <c r="Q810" s="108"/>
      <c r="R810" s="108"/>
      <c r="S810" s="108"/>
      <c r="T810" s="108"/>
      <c r="U810" s="108"/>
      <c r="V810" s="108"/>
      <c r="W810" s="108"/>
      <c r="X810" s="108"/>
      <c r="Y810" s="108"/>
      <c r="Z810" s="108"/>
      <c r="AA810" s="108"/>
      <c r="AB810" s="108"/>
      <c r="AC810" s="108"/>
      <c r="AD810" s="108"/>
      <c r="AE810" s="108"/>
      <c r="AF810" s="108"/>
      <c r="AG810" s="108"/>
      <c r="AH810" s="108"/>
      <c r="AI810" s="108"/>
      <c r="AJ810" s="108"/>
      <c r="AK810" s="108"/>
      <c r="AL810" s="108"/>
      <c r="AM810" s="108"/>
      <c r="AN810" s="108"/>
      <c r="AO810" s="108"/>
      <c r="AP810" s="108"/>
      <c r="AQ810" s="108"/>
      <c r="AR810" s="108"/>
      <c r="AS810" s="108"/>
      <c r="AT810" s="108"/>
      <c r="AU810" s="108"/>
      <c r="AV810" s="108"/>
      <c r="AW810" s="108"/>
      <c r="AX810" s="108"/>
      <c r="AY810" s="108"/>
      <c r="AZ810" s="108"/>
      <c r="BA810" s="108"/>
      <c r="BB810" s="108"/>
    </row>
    <row r="811" spans="3:54" ht="12.75" customHeight="1" x14ac:dyDescent="0.25">
      <c r="C811" s="108"/>
      <c r="D811" s="108"/>
      <c r="E811" s="108"/>
      <c r="F811" s="108"/>
      <c r="G811" s="108"/>
      <c r="H811" s="108"/>
      <c r="I811" s="108"/>
      <c r="J811" s="108"/>
      <c r="K811" s="108"/>
      <c r="L811" s="108"/>
      <c r="M811" s="108"/>
      <c r="N811" s="108"/>
      <c r="O811" s="108"/>
      <c r="P811" s="108"/>
      <c r="Q811" s="108"/>
      <c r="R811" s="108"/>
      <c r="S811" s="108"/>
      <c r="T811" s="108"/>
      <c r="U811" s="108"/>
      <c r="V811" s="108"/>
      <c r="W811" s="108"/>
      <c r="X811" s="108"/>
      <c r="Y811" s="108"/>
      <c r="Z811" s="108"/>
      <c r="AA811" s="108"/>
      <c r="AB811" s="108"/>
      <c r="AC811" s="108"/>
      <c r="AD811" s="108"/>
      <c r="AE811" s="108"/>
      <c r="AF811" s="108"/>
      <c r="AG811" s="108"/>
      <c r="AH811" s="108"/>
      <c r="AI811" s="108"/>
      <c r="AJ811" s="108"/>
      <c r="AK811" s="108"/>
      <c r="AL811" s="108"/>
      <c r="AM811" s="108"/>
      <c r="AN811" s="108"/>
      <c r="AO811" s="108"/>
      <c r="AP811" s="108"/>
      <c r="AQ811" s="108"/>
      <c r="AR811" s="108"/>
      <c r="AS811" s="108"/>
      <c r="AT811" s="108"/>
      <c r="AU811" s="108"/>
      <c r="AV811" s="108"/>
      <c r="AW811" s="108"/>
      <c r="AX811" s="108"/>
      <c r="AY811" s="108"/>
      <c r="AZ811" s="108"/>
      <c r="BA811" s="108"/>
      <c r="BB811" s="108"/>
    </row>
    <row r="812" spans="3:54" ht="12.75" customHeight="1" x14ac:dyDescent="0.25">
      <c r="C812" s="108"/>
      <c r="D812" s="108"/>
      <c r="E812" s="108"/>
      <c r="F812" s="108"/>
      <c r="G812" s="108"/>
      <c r="H812" s="108"/>
      <c r="I812" s="108"/>
      <c r="J812" s="108"/>
      <c r="K812" s="108"/>
      <c r="L812" s="108"/>
      <c r="M812" s="108"/>
      <c r="N812" s="108"/>
      <c r="O812" s="108"/>
      <c r="P812" s="108"/>
      <c r="Q812" s="108"/>
      <c r="R812" s="108"/>
      <c r="S812" s="108"/>
      <c r="T812" s="108"/>
      <c r="U812" s="108"/>
      <c r="V812" s="108"/>
      <c r="W812" s="108"/>
      <c r="X812" s="108"/>
      <c r="Y812" s="108"/>
      <c r="Z812" s="108"/>
      <c r="AA812" s="108"/>
      <c r="AB812" s="108"/>
      <c r="AC812" s="108"/>
      <c r="AD812" s="108"/>
      <c r="AE812" s="108"/>
      <c r="AF812" s="108"/>
      <c r="AG812" s="108"/>
      <c r="AH812" s="108"/>
      <c r="AI812" s="108"/>
      <c r="AJ812" s="108"/>
      <c r="AK812" s="108"/>
      <c r="AL812" s="108"/>
      <c r="AM812" s="108"/>
      <c r="AN812" s="108"/>
      <c r="AO812" s="108"/>
      <c r="AP812" s="108"/>
      <c r="AQ812" s="108"/>
      <c r="AR812" s="108"/>
      <c r="AS812" s="108"/>
      <c r="AT812" s="108"/>
      <c r="AU812" s="108"/>
      <c r="AV812" s="108"/>
      <c r="AW812" s="108"/>
      <c r="AX812" s="108"/>
      <c r="AY812" s="108"/>
      <c r="AZ812" s="108"/>
      <c r="BA812" s="108"/>
      <c r="BB812" s="108"/>
    </row>
    <row r="813" spans="3:54" ht="12.75" customHeight="1" x14ac:dyDescent="0.25">
      <c r="C813" s="108"/>
      <c r="D813" s="108"/>
      <c r="E813" s="108"/>
      <c r="F813" s="108"/>
      <c r="G813" s="108"/>
      <c r="H813" s="108"/>
      <c r="I813" s="108"/>
      <c r="J813" s="108"/>
      <c r="K813" s="108"/>
      <c r="L813" s="108"/>
      <c r="M813" s="108"/>
      <c r="N813" s="108"/>
      <c r="O813" s="108"/>
      <c r="P813" s="108"/>
      <c r="Q813" s="108"/>
      <c r="R813" s="108"/>
      <c r="S813" s="108"/>
      <c r="T813" s="108"/>
      <c r="U813" s="108"/>
      <c r="V813" s="108"/>
      <c r="W813" s="108"/>
      <c r="X813" s="108"/>
      <c r="Y813" s="108"/>
      <c r="Z813" s="108"/>
      <c r="AA813" s="108"/>
      <c r="AB813" s="108"/>
      <c r="AC813" s="108"/>
      <c r="AD813" s="108"/>
      <c r="AE813" s="108"/>
      <c r="AF813" s="108"/>
      <c r="AG813" s="108"/>
      <c r="AH813" s="108"/>
      <c r="AI813" s="108"/>
      <c r="AJ813" s="108"/>
      <c r="AK813" s="108"/>
      <c r="AL813" s="108"/>
      <c r="AM813" s="108"/>
      <c r="AN813" s="108"/>
      <c r="AO813" s="108"/>
      <c r="AP813" s="108"/>
      <c r="AQ813" s="108"/>
      <c r="AR813" s="108"/>
      <c r="AS813" s="108"/>
      <c r="AT813" s="108"/>
      <c r="AU813" s="108"/>
      <c r="AV813" s="108"/>
      <c r="AW813" s="108"/>
      <c r="AX813" s="108"/>
      <c r="AY813" s="108"/>
      <c r="AZ813" s="108"/>
      <c r="BA813" s="108"/>
      <c r="BB813" s="108"/>
    </row>
    <row r="814" spans="3:54" ht="12.75" customHeight="1" x14ac:dyDescent="0.25">
      <c r="C814" s="108"/>
      <c r="D814" s="108"/>
      <c r="E814" s="108"/>
      <c r="F814" s="108"/>
      <c r="G814" s="108"/>
      <c r="H814" s="108"/>
      <c r="I814" s="108"/>
      <c r="J814" s="108"/>
      <c r="K814" s="108"/>
      <c r="L814" s="108"/>
      <c r="M814" s="108"/>
      <c r="N814" s="108"/>
      <c r="O814" s="108"/>
      <c r="P814" s="108"/>
      <c r="Q814" s="108"/>
      <c r="R814" s="108"/>
      <c r="S814" s="108"/>
      <c r="T814" s="108"/>
      <c r="U814" s="108"/>
      <c r="V814" s="108"/>
      <c r="W814" s="108"/>
      <c r="X814" s="108"/>
      <c r="Y814" s="108"/>
      <c r="Z814" s="108"/>
      <c r="AA814" s="108"/>
      <c r="AB814" s="108"/>
      <c r="AC814" s="108"/>
      <c r="AD814" s="108"/>
      <c r="AE814" s="108"/>
      <c r="AF814" s="108"/>
      <c r="AG814" s="108"/>
      <c r="AH814" s="108"/>
      <c r="AI814" s="108"/>
      <c r="AJ814" s="108"/>
      <c r="AK814" s="108"/>
      <c r="AL814" s="108"/>
      <c r="AM814" s="108"/>
      <c r="AN814" s="108"/>
      <c r="AO814" s="108"/>
      <c r="AP814" s="108"/>
      <c r="AQ814" s="108"/>
      <c r="AR814" s="108"/>
      <c r="AS814" s="108"/>
      <c r="AT814" s="108"/>
      <c r="AU814" s="108"/>
      <c r="AV814" s="108"/>
      <c r="AW814" s="108"/>
      <c r="AX814" s="108"/>
      <c r="AY814" s="108"/>
      <c r="AZ814" s="108"/>
      <c r="BA814" s="108"/>
      <c r="BB814" s="108"/>
    </row>
    <row r="815" spans="3:54" ht="12.75" customHeight="1" x14ac:dyDescent="0.25">
      <c r="C815" s="108"/>
      <c r="D815" s="108"/>
      <c r="E815" s="108"/>
      <c r="F815" s="108"/>
      <c r="G815" s="108"/>
      <c r="H815" s="108"/>
      <c r="I815" s="108"/>
      <c r="J815" s="108"/>
      <c r="K815" s="108"/>
      <c r="L815" s="108"/>
      <c r="M815" s="108"/>
      <c r="N815" s="108"/>
      <c r="O815" s="108"/>
      <c r="P815" s="108"/>
      <c r="Q815" s="108"/>
      <c r="R815" s="108"/>
      <c r="S815" s="108"/>
      <c r="T815" s="108"/>
      <c r="U815" s="108"/>
      <c r="V815" s="108"/>
      <c r="W815" s="108"/>
      <c r="X815" s="108"/>
      <c r="Y815" s="108"/>
      <c r="Z815" s="108"/>
      <c r="AA815" s="108"/>
      <c r="AB815" s="108"/>
      <c r="AC815" s="108"/>
      <c r="AD815" s="108"/>
      <c r="AE815" s="108"/>
      <c r="AF815" s="108"/>
      <c r="AG815" s="108"/>
      <c r="AH815" s="108"/>
      <c r="AI815" s="108"/>
      <c r="AJ815" s="108"/>
      <c r="AK815" s="108"/>
      <c r="AL815" s="108"/>
      <c r="AM815" s="108"/>
      <c r="AN815" s="108"/>
      <c r="AO815" s="108"/>
      <c r="AP815" s="108"/>
      <c r="AQ815" s="108"/>
      <c r="AR815" s="108"/>
      <c r="AS815" s="108"/>
      <c r="AT815" s="108"/>
      <c r="AU815" s="108"/>
      <c r="AV815" s="108"/>
      <c r="AW815" s="108"/>
      <c r="AX815" s="108"/>
      <c r="AY815" s="108"/>
      <c r="AZ815" s="108"/>
      <c r="BA815" s="108"/>
      <c r="BB815" s="108"/>
    </row>
    <row r="816" spans="3:54" ht="12.75" customHeight="1" x14ac:dyDescent="0.25">
      <c r="C816" s="108"/>
      <c r="D816" s="108"/>
      <c r="E816" s="108"/>
      <c r="F816" s="108"/>
      <c r="G816" s="108"/>
      <c r="H816" s="108"/>
      <c r="I816" s="108"/>
      <c r="J816" s="108"/>
      <c r="K816" s="108"/>
      <c r="L816" s="108"/>
      <c r="M816" s="108"/>
      <c r="N816" s="108"/>
      <c r="O816" s="108"/>
      <c r="P816" s="108"/>
      <c r="Q816" s="108"/>
      <c r="R816" s="108"/>
      <c r="S816" s="108"/>
      <c r="T816" s="108"/>
      <c r="U816" s="108"/>
      <c r="V816" s="108"/>
      <c r="W816" s="108"/>
      <c r="X816" s="108"/>
      <c r="Y816" s="108"/>
      <c r="Z816" s="108"/>
      <c r="AA816" s="108"/>
      <c r="AB816" s="108"/>
      <c r="AC816" s="108"/>
      <c r="AD816" s="108"/>
      <c r="AE816" s="108"/>
      <c r="AF816" s="108"/>
      <c r="AG816" s="108"/>
      <c r="AH816" s="108"/>
      <c r="AI816" s="108"/>
      <c r="AJ816" s="108"/>
      <c r="AK816" s="108"/>
      <c r="AL816" s="108"/>
      <c r="AM816" s="108"/>
      <c r="AN816" s="108"/>
      <c r="AO816" s="108"/>
      <c r="AP816" s="108"/>
      <c r="AQ816" s="108"/>
      <c r="AR816" s="108"/>
      <c r="AS816" s="108"/>
      <c r="AT816" s="108"/>
      <c r="AU816" s="108"/>
      <c r="AV816" s="108"/>
      <c r="AW816" s="108"/>
      <c r="AX816" s="108"/>
      <c r="AY816" s="108"/>
      <c r="AZ816" s="108"/>
      <c r="BA816" s="108"/>
      <c r="BB816" s="108"/>
    </row>
    <row r="817" spans="3:54" ht="12.75" customHeight="1" x14ac:dyDescent="0.25">
      <c r="C817" s="108"/>
      <c r="D817" s="108"/>
      <c r="E817" s="108"/>
      <c r="F817" s="108"/>
      <c r="G817" s="108"/>
      <c r="H817" s="108"/>
      <c r="I817" s="108"/>
      <c r="J817" s="108"/>
      <c r="K817" s="108"/>
      <c r="L817" s="108"/>
      <c r="M817" s="108"/>
      <c r="N817" s="108"/>
      <c r="O817" s="108"/>
      <c r="P817" s="108"/>
      <c r="Q817" s="108"/>
      <c r="R817" s="108"/>
      <c r="S817" s="108"/>
      <c r="T817" s="108"/>
      <c r="U817" s="108"/>
      <c r="V817" s="108"/>
      <c r="W817" s="108"/>
      <c r="X817" s="108"/>
      <c r="Y817" s="108"/>
      <c r="Z817" s="108"/>
      <c r="AA817" s="108"/>
      <c r="AB817" s="108"/>
      <c r="AC817" s="108"/>
      <c r="AD817" s="108"/>
      <c r="AE817" s="108"/>
      <c r="AF817" s="108"/>
      <c r="AG817" s="108"/>
      <c r="AH817" s="108"/>
      <c r="AI817" s="108"/>
      <c r="AJ817" s="108"/>
      <c r="AK817" s="108"/>
      <c r="AL817" s="108"/>
      <c r="AM817" s="108"/>
      <c r="AN817" s="108"/>
      <c r="AO817" s="108"/>
      <c r="AP817" s="108"/>
      <c r="AQ817" s="108"/>
      <c r="AR817" s="108"/>
      <c r="AS817" s="108"/>
      <c r="AT817" s="108"/>
      <c r="AU817" s="108"/>
      <c r="AV817" s="108"/>
      <c r="AW817" s="108"/>
      <c r="AX817" s="108"/>
      <c r="AY817" s="108"/>
      <c r="AZ817" s="108"/>
      <c r="BA817" s="108"/>
      <c r="BB817" s="108"/>
    </row>
    <row r="818" spans="3:54" ht="12.75" customHeight="1" x14ac:dyDescent="0.25">
      <c r="C818" s="108"/>
      <c r="D818" s="108"/>
      <c r="E818" s="108"/>
      <c r="F818" s="108"/>
      <c r="G818" s="108"/>
      <c r="H818" s="108"/>
      <c r="I818" s="108"/>
      <c r="J818" s="108"/>
      <c r="K818" s="108"/>
      <c r="L818" s="108"/>
      <c r="M818" s="108"/>
      <c r="N818" s="108"/>
      <c r="O818" s="108"/>
      <c r="P818" s="108"/>
      <c r="Q818" s="108"/>
      <c r="R818" s="108"/>
      <c r="S818" s="108"/>
      <c r="T818" s="108"/>
      <c r="U818" s="108"/>
      <c r="V818" s="108"/>
      <c r="W818" s="108"/>
      <c r="X818" s="108"/>
      <c r="Y818" s="108"/>
      <c r="Z818" s="108"/>
      <c r="AA818" s="108"/>
      <c r="AB818" s="108"/>
      <c r="AC818" s="108"/>
      <c r="AD818" s="108"/>
      <c r="AE818" s="108"/>
      <c r="AF818" s="108"/>
      <c r="AG818" s="108"/>
      <c r="AH818" s="108"/>
      <c r="AI818" s="108"/>
      <c r="AJ818" s="108"/>
      <c r="AK818" s="108"/>
      <c r="AL818" s="108"/>
      <c r="AM818" s="108"/>
      <c r="AN818" s="108"/>
      <c r="AO818" s="108"/>
      <c r="AP818" s="108"/>
      <c r="AQ818" s="108"/>
      <c r="AR818" s="108"/>
      <c r="AS818" s="108"/>
      <c r="AT818" s="108"/>
      <c r="AU818" s="108"/>
      <c r="AV818" s="108"/>
      <c r="AW818" s="108"/>
      <c r="AX818" s="108"/>
      <c r="AY818" s="108"/>
      <c r="AZ818" s="108"/>
      <c r="BA818" s="108"/>
      <c r="BB818" s="108"/>
    </row>
    <row r="819" spans="3:54" ht="12.75" customHeight="1" x14ac:dyDescent="0.25">
      <c r="C819" s="108"/>
      <c r="D819" s="108"/>
      <c r="E819" s="108"/>
      <c r="F819" s="108"/>
      <c r="G819" s="108"/>
      <c r="H819" s="108"/>
      <c r="I819" s="108"/>
      <c r="J819" s="108"/>
      <c r="K819" s="108"/>
      <c r="L819" s="108"/>
      <c r="M819" s="108"/>
      <c r="N819" s="108"/>
      <c r="O819" s="108"/>
      <c r="P819" s="108"/>
      <c r="Q819" s="108"/>
      <c r="R819" s="108"/>
      <c r="S819" s="108"/>
      <c r="T819" s="108"/>
      <c r="U819" s="108"/>
      <c r="V819" s="108"/>
      <c r="W819" s="108"/>
      <c r="X819" s="108"/>
      <c r="Y819" s="108"/>
      <c r="Z819" s="108"/>
      <c r="AA819" s="108"/>
      <c r="AB819" s="108"/>
      <c r="AC819" s="108"/>
      <c r="AD819" s="108"/>
      <c r="AE819" s="108"/>
      <c r="AF819" s="108"/>
      <c r="AG819" s="108"/>
      <c r="AH819" s="108"/>
      <c r="AI819" s="108"/>
      <c r="AJ819" s="108"/>
      <c r="AK819" s="108"/>
      <c r="AL819" s="108"/>
      <c r="AM819" s="108"/>
      <c r="AN819" s="108"/>
      <c r="AO819" s="108"/>
      <c r="AP819" s="108"/>
      <c r="AQ819" s="108"/>
      <c r="AR819" s="108"/>
      <c r="AS819" s="108"/>
      <c r="AT819" s="108"/>
      <c r="AU819" s="108"/>
      <c r="AV819" s="108"/>
      <c r="AW819" s="108"/>
      <c r="AX819" s="108"/>
      <c r="AY819" s="108"/>
      <c r="AZ819" s="108"/>
      <c r="BA819" s="108"/>
      <c r="BB819" s="108"/>
    </row>
    <row r="820" spans="3:54" ht="12.75" customHeight="1" x14ac:dyDescent="0.25">
      <c r="C820" s="108"/>
      <c r="D820" s="108"/>
      <c r="E820" s="108"/>
      <c r="F820" s="108"/>
      <c r="G820" s="108"/>
      <c r="H820" s="108"/>
      <c r="I820" s="108"/>
      <c r="J820" s="108"/>
      <c r="K820" s="108"/>
      <c r="L820" s="108"/>
      <c r="M820" s="108"/>
      <c r="N820" s="108"/>
      <c r="O820" s="108"/>
      <c r="P820" s="108"/>
      <c r="Q820" s="108"/>
      <c r="R820" s="108"/>
      <c r="S820" s="108"/>
      <c r="T820" s="108"/>
      <c r="U820" s="108"/>
      <c r="V820" s="108"/>
      <c r="W820" s="108"/>
      <c r="X820" s="108"/>
      <c r="Y820" s="108"/>
      <c r="Z820" s="108"/>
      <c r="AA820" s="108"/>
      <c r="AB820" s="108"/>
      <c r="AC820" s="108"/>
      <c r="AD820" s="108"/>
      <c r="AE820" s="108"/>
      <c r="AF820" s="108"/>
      <c r="AG820" s="108"/>
      <c r="AH820" s="108"/>
      <c r="AI820" s="108"/>
      <c r="AJ820" s="108"/>
      <c r="AK820" s="108"/>
      <c r="AL820" s="108"/>
      <c r="AM820" s="108"/>
      <c r="AN820" s="108"/>
      <c r="AO820" s="108"/>
      <c r="AP820" s="108"/>
      <c r="AQ820" s="108"/>
      <c r="AR820" s="108"/>
      <c r="AS820" s="108"/>
      <c r="AT820" s="108"/>
      <c r="AU820" s="108"/>
      <c r="AV820" s="108"/>
      <c r="AW820" s="108"/>
      <c r="AX820" s="108"/>
      <c r="AY820" s="108"/>
      <c r="AZ820" s="108"/>
      <c r="BA820" s="108"/>
      <c r="BB820" s="108"/>
    </row>
    <row r="821" spans="3:54" ht="12.75" customHeight="1" x14ac:dyDescent="0.25">
      <c r="C821" s="108"/>
      <c r="D821" s="108"/>
      <c r="E821" s="108"/>
      <c r="F821" s="108"/>
      <c r="G821" s="108"/>
      <c r="H821" s="108"/>
      <c r="I821" s="108"/>
      <c r="J821" s="108"/>
      <c r="K821" s="108"/>
      <c r="L821" s="108"/>
      <c r="M821" s="108"/>
      <c r="N821" s="108"/>
      <c r="O821" s="108"/>
      <c r="P821" s="108"/>
      <c r="Q821" s="108"/>
      <c r="R821" s="108"/>
      <c r="S821" s="108"/>
      <c r="T821" s="108"/>
      <c r="U821" s="108"/>
      <c r="V821" s="108"/>
      <c r="W821" s="108"/>
      <c r="X821" s="108"/>
      <c r="Y821" s="108"/>
      <c r="Z821" s="108"/>
      <c r="AA821" s="108"/>
      <c r="AB821" s="108"/>
      <c r="AC821" s="108"/>
      <c r="AD821" s="108"/>
      <c r="AE821" s="108"/>
      <c r="AF821" s="108"/>
      <c r="AG821" s="108"/>
      <c r="AH821" s="108"/>
      <c r="AI821" s="108"/>
      <c r="AJ821" s="108"/>
      <c r="AK821" s="108"/>
      <c r="AL821" s="108"/>
      <c r="AM821" s="108"/>
      <c r="AN821" s="108"/>
      <c r="AO821" s="108"/>
      <c r="AP821" s="108"/>
      <c r="AQ821" s="108"/>
      <c r="AR821" s="108"/>
      <c r="AS821" s="108"/>
      <c r="AT821" s="108"/>
      <c r="AU821" s="108"/>
      <c r="AV821" s="108"/>
      <c r="AW821" s="108"/>
      <c r="AX821" s="108"/>
      <c r="AY821" s="108"/>
      <c r="AZ821" s="108"/>
      <c r="BA821" s="108"/>
      <c r="BB821" s="108"/>
    </row>
    <row r="822" spans="3:54" ht="12.75" customHeight="1" x14ac:dyDescent="0.25">
      <c r="C822" s="108"/>
      <c r="D822" s="108"/>
      <c r="E822" s="108"/>
      <c r="F822" s="108"/>
      <c r="G822" s="108"/>
      <c r="H822" s="108"/>
      <c r="I822" s="108"/>
      <c r="J822" s="108"/>
      <c r="K822" s="108"/>
      <c r="L822" s="108"/>
      <c r="M822" s="108"/>
      <c r="N822" s="108"/>
      <c r="O822" s="108"/>
      <c r="P822" s="108"/>
      <c r="Q822" s="108"/>
      <c r="R822" s="108"/>
      <c r="S822" s="108"/>
      <c r="T822" s="108"/>
      <c r="U822" s="108"/>
      <c r="V822" s="108"/>
      <c r="W822" s="108"/>
      <c r="X822" s="108"/>
      <c r="Y822" s="108"/>
      <c r="Z822" s="108"/>
      <c r="AA822" s="108"/>
      <c r="AB822" s="108"/>
      <c r="AC822" s="108"/>
      <c r="AD822" s="108"/>
      <c r="AE822" s="108"/>
      <c r="AF822" s="108"/>
      <c r="AG822" s="108"/>
      <c r="AH822" s="108"/>
      <c r="AI822" s="108"/>
      <c r="AJ822" s="108"/>
      <c r="AK822" s="108"/>
      <c r="AL822" s="108"/>
      <c r="AM822" s="108"/>
      <c r="AN822" s="108"/>
      <c r="AO822" s="108"/>
      <c r="AP822" s="108"/>
      <c r="AQ822" s="108"/>
      <c r="AR822" s="108"/>
      <c r="AS822" s="108"/>
      <c r="AT822" s="108"/>
      <c r="AU822" s="108"/>
      <c r="AV822" s="108"/>
      <c r="AW822" s="108"/>
      <c r="AX822" s="108"/>
      <c r="AY822" s="108"/>
      <c r="AZ822" s="108"/>
      <c r="BA822" s="108"/>
      <c r="BB822" s="108"/>
    </row>
    <row r="823" spans="3:54" ht="12.75" customHeight="1" x14ac:dyDescent="0.25">
      <c r="C823" s="108"/>
      <c r="D823" s="108"/>
      <c r="E823" s="108"/>
      <c r="F823" s="108"/>
      <c r="G823" s="108"/>
      <c r="H823" s="108"/>
      <c r="I823" s="108"/>
      <c r="J823" s="108"/>
      <c r="K823" s="108"/>
      <c r="L823" s="108"/>
      <c r="M823" s="108"/>
      <c r="N823" s="108"/>
      <c r="O823" s="108"/>
      <c r="P823" s="108"/>
      <c r="Q823" s="108"/>
      <c r="R823" s="108"/>
      <c r="S823" s="108"/>
      <c r="T823" s="108"/>
      <c r="U823" s="108"/>
      <c r="V823" s="108"/>
      <c r="W823" s="108"/>
      <c r="X823" s="108"/>
      <c r="Y823" s="108"/>
      <c r="Z823" s="108"/>
      <c r="AA823" s="108"/>
      <c r="AB823" s="108"/>
      <c r="AC823" s="108"/>
      <c r="AD823" s="108"/>
      <c r="AE823" s="108"/>
      <c r="AF823" s="108"/>
      <c r="AG823" s="108"/>
      <c r="AH823" s="108"/>
      <c r="AI823" s="108"/>
      <c r="AJ823" s="108"/>
      <c r="AK823" s="108"/>
      <c r="AL823" s="108"/>
      <c r="AM823" s="108"/>
      <c r="AN823" s="108"/>
      <c r="AO823" s="108"/>
      <c r="AP823" s="108"/>
      <c r="AQ823" s="108"/>
      <c r="AR823" s="108"/>
      <c r="AS823" s="108"/>
      <c r="AT823" s="108"/>
      <c r="AU823" s="108"/>
      <c r="AV823" s="108"/>
      <c r="AW823" s="108"/>
      <c r="AX823" s="108"/>
      <c r="AY823" s="108"/>
      <c r="AZ823" s="108"/>
      <c r="BA823" s="108"/>
      <c r="BB823" s="108"/>
    </row>
    <row r="824" spans="3:54" ht="12.75" customHeight="1" x14ac:dyDescent="0.25">
      <c r="C824" s="108"/>
      <c r="D824" s="108"/>
      <c r="E824" s="108"/>
      <c r="F824" s="108"/>
      <c r="G824" s="108"/>
      <c r="H824" s="108"/>
      <c r="I824" s="108"/>
      <c r="J824" s="108"/>
      <c r="K824" s="108"/>
      <c r="L824" s="108"/>
      <c r="M824" s="108"/>
      <c r="N824" s="108"/>
      <c r="O824" s="108"/>
      <c r="P824" s="108"/>
      <c r="Q824" s="108"/>
      <c r="R824" s="108"/>
      <c r="S824" s="108"/>
      <c r="T824" s="108"/>
      <c r="U824" s="108"/>
      <c r="V824" s="108"/>
      <c r="W824" s="108"/>
      <c r="X824" s="108"/>
      <c r="Y824" s="108"/>
      <c r="Z824" s="108"/>
      <c r="AA824" s="108"/>
      <c r="AB824" s="108"/>
      <c r="AC824" s="108"/>
      <c r="AD824" s="108"/>
      <c r="AE824" s="108"/>
      <c r="AF824" s="108"/>
      <c r="AG824" s="108"/>
      <c r="AH824" s="108"/>
      <c r="AI824" s="108"/>
      <c r="AJ824" s="108"/>
      <c r="AK824" s="108"/>
      <c r="AL824" s="108"/>
      <c r="AM824" s="108"/>
      <c r="AN824" s="108"/>
      <c r="AO824" s="108"/>
      <c r="AP824" s="108"/>
      <c r="AQ824" s="108"/>
      <c r="AR824" s="108"/>
      <c r="AS824" s="108"/>
      <c r="AT824" s="108"/>
      <c r="AU824" s="108"/>
      <c r="AV824" s="108"/>
      <c r="AW824" s="108"/>
      <c r="AX824" s="108"/>
      <c r="AY824" s="108"/>
      <c r="AZ824" s="108"/>
      <c r="BA824" s="108"/>
      <c r="BB824" s="108"/>
    </row>
    <row r="825" spans="3:54" ht="12.75" customHeight="1" x14ac:dyDescent="0.25">
      <c r="C825" s="108"/>
      <c r="D825" s="108"/>
      <c r="E825" s="108"/>
      <c r="F825" s="108"/>
      <c r="G825" s="108"/>
      <c r="H825" s="108"/>
      <c r="I825" s="108"/>
      <c r="J825" s="108"/>
      <c r="K825" s="108"/>
      <c r="L825" s="108"/>
      <c r="M825" s="108"/>
      <c r="N825" s="108"/>
      <c r="O825" s="108"/>
      <c r="P825" s="108"/>
      <c r="Q825" s="108"/>
      <c r="R825" s="108"/>
      <c r="S825" s="108"/>
      <c r="T825" s="108"/>
      <c r="U825" s="108"/>
      <c r="V825" s="108"/>
      <c r="W825" s="108"/>
      <c r="X825" s="108"/>
      <c r="Y825" s="108"/>
      <c r="Z825" s="108"/>
      <c r="AA825" s="108"/>
      <c r="AB825" s="108"/>
      <c r="AC825" s="108"/>
      <c r="AD825" s="108"/>
      <c r="AE825" s="108"/>
      <c r="AF825" s="108"/>
      <c r="AG825" s="108"/>
      <c r="AH825" s="108"/>
      <c r="AI825" s="108"/>
      <c r="AJ825" s="108"/>
      <c r="AK825" s="108"/>
      <c r="AL825" s="108"/>
      <c r="AM825" s="108"/>
      <c r="AN825" s="108"/>
      <c r="AO825" s="108"/>
      <c r="AP825" s="108"/>
      <c r="AQ825" s="108"/>
      <c r="AR825" s="108"/>
      <c r="AS825" s="108"/>
      <c r="AT825" s="108"/>
      <c r="AU825" s="108"/>
      <c r="AV825" s="108"/>
      <c r="AW825" s="108"/>
      <c r="AX825" s="108"/>
      <c r="AY825" s="108"/>
      <c r="AZ825" s="108"/>
      <c r="BA825" s="108"/>
      <c r="BB825" s="108"/>
    </row>
    <row r="826" spans="3:54" ht="12.75" customHeight="1" x14ac:dyDescent="0.25">
      <c r="C826" s="108"/>
      <c r="D826" s="108"/>
      <c r="E826" s="108"/>
      <c r="F826" s="108"/>
      <c r="G826" s="108"/>
      <c r="H826" s="108"/>
      <c r="I826" s="108"/>
      <c r="J826" s="108"/>
      <c r="K826" s="108"/>
      <c r="L826" s="108"/>
      <c r="M826" s="108"/>
      <c r="N826" s="108"/>
      <c r="O826" s="108"/>
      <c r="P826" s="108"/>
      <c r="Q826" s="108"/>
      <c r="R826" s="108"/>
      <c r="S826" s="108"/>
      <c r="T826" s="108"/>
      <c r="U826" s="108"/>
      <c r="V826" s="108"/>
      <c r="W826" s="108"/>
      <c r="X826" s="108"/>
      <c r="Y826" s="108"/>
      <c r="Z826" s="108"/>
      <c r="AA826" s="108"/>
      <c r="AB826" s="108"/>
      <c r="AC826" s="108"/>
      <c r="AD826" s="108"/>
      <c r="AE826" s="108"/>
      <c r="AF826" s="108"/>
      <c r="AG826" s="108"/>
      <c r="AH826" s="108"/>
      <c r="AI826" s="108"/>
      <c r="AJ826" s="108"/>
      <c r="AK826" s="108"/>
      <c r="AL826" s="108"/>
      <c r="AM826" s="108"/>
      <c r="AN826" s="108"/>
      <c r="AO826" s="108"/>
      <c r="AP826" s="108"/>
      <c r="AQ826" s="108"/>
      <c r="AR826" s="108"/>
      <c r="AS826" s="108"/>
      <c r="AT826" s="108"/>
      <c r="AU826" s="108"/>
      <c r="AV826" s="108"/>
      <c r="AW826" s="108"/>
      <c r="AX826" s="108"/>
      <c r="AY826" s="108"/>
      <c r="AZ826" s="108"/>
      <c r="BA826" s="108"/>
      <c r="BB826" s="108"/>
    </row>
    <row r="827" spans="3:54" ht="12.75" customHeight="1" x14ac:dyDescent="0.25">
      <c r="C827" s="108"/>
      <c r="D827" s="108"/>
      <c r="E827" s="108"/>
      <c r="F827" s="108"/>
      <c r="G827" s="108"/>
      <c r="H827" s="108"/>
      <c r="I827" s="108"/>
      <c r="J827" s="108"/>
      <c r="K827" s="108"/>
      <c r="L827" s="108"/>
      <c r="M827" s="108"/>
      <c r="N827" s="108"/>
      <c r="O827" s="108"/>
      <c r="P827" s="108"/>
      <c r="Q827" s="108"/>
      <c r="R827" s="108"/>
      <c r="S827" s="108"/>
      <c r="T827" s="108"/>
      <c r="U827" s="108"/>
      <c r="V827" s="108"/>
      <c r="W827" s="108"/>
      <c r="X827" s="108"/>
      <c r="Y827" s="108"/>
      <c r="Z827" s="108"/>
      <c r="AA827" s="108"/>
      <c r="AB827" s="108"/>
      <c r="AC827" s="108"/>
      <c r="AD827" s="108"/>
      <c r="AE827" s="108"/>
      <c r="AF827" s="108"/>
      <c r="AG827" s="108"/>
      <c r="AH827" s="108"/>
      <c r="AI827" s="108"/>
      <c r="AJ827" s="108"/>
      <c r="AK827" s="108"/>
      <c r="AL827" s="108"/>
      <c r="AM827" s="108"/>
      <c r="AN827" s="108"/>
      <c r="AO827" s="108"/>
      <c r="AP827" s="108"/>
      <c r="AQ827" s="108"/>
      <c r="AR827" s="108"/>
      <c r="AS827" s="108"/>
      <c r="AT827" s="108"/>
      <c r="AU827" s="108"/>
      <c r="AV827" s="108"/>
      <c r="AW827" s="108"/>
      <c r="AX827" s="108"/>
      <c r="AY827" s="108"/>
      <c r="AZ827" s="108"/>
      <c r="BA827" s="108"/>
      <c r="BB827" s="108"/>
    </row>
    <row r="828" spans="3:54" ht="12.75" customHeight="1" x14ac:dyDescent="0.25">
      <c r="C828" s="108"/>
      <c r="D828" s="108"/>
      <c r="E828" s="108"/>
      <c r="F828" s="108"/>
      <c r="G828" s="108"/>
      <c r="H828" s="108"/>
      <c r="I828" s="108"/>
      <c r="J828" s="108"/>
      <c r="K828" s="108"/>
      <c r="L828" s="108"/>
      <c r="M828" s="108"/>
      <c r="N828" s="108"/>
      <c r="O828" s="108"/>
      <c r="P828" s="108"/>
      <c r="Q828" s="108"/>
      <c r="R828" s="108"/>
      <c r="S828" s="108"/>
      <c r="T828" s="108"/>
      <c r="U828" s="108"/>
      <c r="V828" s="108"/>
      <c r="W828" s="108"/>
      <c r="X828" s="108"/>
      <c r="Y828" s="108"/>
      <c r="Z828" s="108"/>
      <c r="AA828" s="108"/>
      <c r="AB828" s="108"/>
      <c r="AC828" s="108"/>
      <c r="AD828" s="108"/>
      <c r="AE828" s="108"/>
      <c r="AF828" s="108"/>
      <c r="AG828" s="108"/>
      <c r="AH828" s="108"/>
      <c r="AI828" s="108"/>
      <c r="AJ828" s="108"/>
      <c r="AK828" s="108"/>
      <c r="AL828" s="108"/>
      <c r="AM828" s="108"/>
      <c r="AN828" s="108"/>
      <c r="AO828" s="108"/>
      <c r="AP828" s="108"/>
      <c r="AQ828" s="108"/>
      <c r="AR828" s="108"/>
      <c r="AS828" s="108"/>
      <c r="AT828" s="108"/>
      <c r="AU828" s="108"/>
      <c r="AV828" s="108"/>
      <c r="AW828" s="108"/>
      <c r="AX828" s="108"/>
      <c r="AY828" s="108"/>
      <c r="AZ828" s="108"/>
      <c r="BA828" s="108"/>
      <c r="BB828" s="108"/>
    </row>
    <row r="829" spans="3:54" ht="12.75" customHeight="1" x14ac:dyDescent="0.25">
      <c r="C829" s="108"/>
      <c r="D829" s="108"/>
      <c r="E829" s="108"/>
      <c r="F829" s="108"/>
      <c r="G829" s="108"/>
      <c r="H829" s="108"/>
      <c r="I829" s="108"/>
      <c r="J829" s="108"/>
      <c r="K829" s="108"/>
      <c r="L829" s="108"/>
      <c r="M829" s="108"/>
      <c r="N829" s="108"/>
      <c r="O829" s="108"/>
      <c r="P829" s="108"/>
      <c r="Q829" s="108"/>
      <c r="R829" s="108"/>
      <c r="S829" s="108"/>
      <c r="T829" s="108"/>
      <c r="U829" s="108"/>
      <c r="V829" s="108"/>
      <c r="W829" s="108"/>
      <c r="X829" s="108"/>
      <c r="Y829" s="108"/>
      <c r="Z829" s="108"/>
      <c r="AA829" s="108"/>
      <c r="AB829" s="108"/>
      <c r="AC829" s="108"/>
      <c r="AD829" s="108"/>
      <c r="AE829" s="108"/>
      <c r="AF829" s="108"/>
      <c r="AG829" s="108"/>
      <c r="AH829" s="108"/>
      <c r="AI829" s="108"/>
      <c r="AJ829" s="108"/>
      <c r="AK829" s="108"/>
      <c r="AL829" s="108"/>
      <c r="AM829" s="108"/>
      <c r="AN829" s="108"/>
      <c r="AO829" s="108"/>
      <c r="AP829" s="108"/>
      <c r="AQ829" s="108"/>
      <c r="AR829" s="108"/>
      <c r="AS829" s="108"/>
      <c r="AT829" s="108"/>
      <c r="AU829" s="108"/>
      <c r="AV829" s="108"/>
      <c r="AW829" s="108"/>
      <c r="AX829" s="108"/>
      <c r="AY829" s="108"/>
      <c r="AZ829" s="108"/>
      <c r="BA829" s="108"/>
      <c r="BB829" s="108"/>
    </row>
    <row r="830" spans="3:54" ht="12.75" customHeight="1" x14ac:dyDescent="0.25">
      <c r="C830" s="108"/>
      <c r="D830" s="108"/>
      <c r="E830" s="108"/>
      <c r="F830" s="108"/>
      <c r="G830" s="108"/>
      <c r="H830" s="108"/>
      <c r="I830" s="108"/>
      <c r="J830" s="108"/>
      <c r="K830" s="108"/>
      <c r="L830" s="108"/>
      <c r="M830" s="108"/>
      <c r="N830" s="108"/>
      <c r="O830" s="108"/>
      <c r="P830" s="108"/>
      <c r="Q830" s="108"/>
      <c r="R830" s="108"/>
      <c r="S830" s="108"/>
      <c r="T830" s="108"/>
      <c r="U830" s="108"/>
      <c r="V830" s="108"/>
      <c r="W830" s="108"/>
      <c r="X830" s="108"/>
      <c r="Y830" s="108"/>
      <c r="Z830" s="108"/>
      <c r="AA830" s="108"/>
      <c r="AB830" s="108"/>
      <c r="AC830" s="108"/>
      <c r="AD830" s="108"/>
      <c r="AE830" s="108"/>
      <c r="AF830" s="108"/>
      <c r="AG830" s="108"/>
      <c r="AH830" s="108"/>
      <c r="AI830" s="108"/>
      <c r="AJ830" s="108"/>
      <c r="AK830" s="108"/>
      <c r="AL830" s="108"/>
      <c r="AM830" s="108"/>
      <c r="AN830" s="108"/>
      <c r="AO830" s="108"/>
      <c r="AP830" s="108"/>
      <c r="AQ830" s="108"/>
      <c r="AR830" s="108"/>
      <c r="AS830" s="108"/>
      <c r="AT830" s="108"/>
      <c r="AU830" s="108"/>
      <c r="AV830" s="108"/>
      <c r="AW830" s="108"/>
      <c r="AX830" s="108"/>
      <c r="AY830" s="108"/>
      <c r="AZ830" s="108"/>
      <c r="BA830" s="108"/>
      <c r="BB830" s="108"/>
    </row>
    <row r="831" spans="3:54" ht="12.75" customHeight="1" x14ac:dyDescent="0.25">
      <c r="C831" s="108"/>
      <c r="D831" s="108"/>
      <c r="E831" s="108"/>
      <c r="F831" s="108"/>
      <c r="G831" s="108"/>
      <c r="H831" s="108"/>
      <c r="I831" s="108"/>
      <c r="J831" s="108"/>
      <c r="K831" s="108"/>
      <c r="L831" s="108"/>
      <c r="M831" s="108"/>
      <c r="N831" s="108"/>
      <c r="O831" s="108"/>
      <c r="P831" s="108"/>
      <c r="Q831" s="108"/>
      <c r="R831" s="108"/>
      <c r="S831" s="108"/>
      <c r="T831" s="108"/>
      <c r="U831" s="108"/>
      <c r="V831" s="108"/>
      <c r="W831" s="108"/>
      <c r="X831" s="108"/>
      <c r="Y831" s="108"/>
      <c r="Z831" s="108"/>
      <c r="AA831" s="108"/>
      <c r="AB831" s="108"/>
      <c r="AC831" s="108"/>
      <c r="AD831" s="108"/>
      <c r="AE831" s="108"/>
      <c r="AF831" s="108"/>
      <c r="AG831" s="108"/>
      <c r="AH831" s="108"/>
      <c r="AI831" s="108"/>
      <c r="AJ831" s="108"/>
      <c r="AK831" s="108"/>
      <c r="AL831" s="108"/>
      <c r="AM831" s="108"/>
      <c r="AN831" s="108"/>
      <c r="AO831" s="108"/>
      <c r="AP831" s="108"/>
      <c r="AQ831" s="108"/>
      <c r="AR831" s="108"/>
      <c r="AS831" s="108"/>
      <c r="AT831" s="108"/>
      <c r="AU831" s="108"/>
      <c r="AV831" s="108"/>
      <c r="AW831" s="108"/>
      <c r="AX831" s="108"/>
      <c r="AY831" s="108"/>
      <c r="AZ831" s="108"/>
      <c r="BA831" s="108"/>
      <c r="BB831" s="108"/>
    </row>
    <row r="832" spans="3:54" ht="12.75" customHeight="1" x14ac:dyDescent="0.25">
      <c r="C832" s="108"/>
      <c r="D832" s="108"/>
      <c r="E832" s="108"/>
      <c r="F832" s="108"/>
      <c r="G832" s="108"/>
      <c r="H832" s="108"/>
      <c r="I832" s="108"/>
      <c r="J832" s="108"/>
      <c r="K832" s="108"/>
      <c r="L832" s="108"/>
      <c r="M832" s="108"/>
      <c r="N832" s="108"/>
      <c r="O832" s="108"/>
      <c r="P832" s="108"/>
      <c r="Q832" s="108"/>
      <c r="R832" s="108"/>
      <c r="S832" s="108"/>
      <c r="T832" s="108"/>
      <c r="U832" s="108"/>
      <c r="V832" s="108"/>
      <c r="W832" s="108"/>
      <c r="X832" s="108"/>
      <c r="Y832" s="108"/>
      <c r="Z832" s="108"/>
      <c r="AA832" s="108"/>
      <c r="AB832" s="108"/>
      <c r="AC832" s="108"/>
      <c r="AD832" s="108"/>
      <c r="AE832" s="108"/>
      <c r="AF832" s="108"/>
      <c r="AG832" s="108"/>
      <c r="AH832" s="108"/>
      <c r="AI832" s="108"/>
      <c r="AJ832" s="108"/>
      <c r="AK832" s="108"/>
      <c r="AL832" s="108"/>
      <c r="AM832" s="108"/>
      <c r="AN832" s="108"/>
      <c r="AO832" s="108"/>
      <c r="AP832" s="108"/>
      <c r="AQ832" s="108"/>
      <c r="AR832" s="108"/>
      <c r="AS832" s="108"/>
      <c r="AT832" s="108"/>
      <c r="AU832" s="108"/>
      <c r="AV832" s="108"/>
      <c r="AW832" s="108"/>
      <c r="AX832" s="108"/>
      <c r="AY832" s="108"/>
      <c r="AZ832" s="108"/>
      <c r="BA832" s="108"/>
      <c r="BB832" s="108"/>
    </row>
    <row r="833" spans="3:54" ht="12.75" customHeight="1" x14ac:dyDescent="0.25">
      <c r="C833" s="108"/>
      <c r="D833" s="108"/>
      <c r="E833" s="108"/>
      <c r="F833" s="108"/>
      <c r="G833" s="108"/>
      <c r="H833" s="108"/>
      <c r="I833" s="108"/>
      <c r="J833" s="108"/>
      <c r="K833" s="108"/>
      <c r="L833" s="108"/>
      <c r="M833" s="108"/>
      <c r="N833" s="108"/>
      <c r="O833" s="108"/>
      <c r="P833" s="108"/>
      <c r="Q833" s="108"/>
      <c r="R833" s="108"/>
      <c r="S833" s="108"/>
      <c r="T833" s="108"/>
      <c r="U833" s="108"/>
      <c r="V833" s="108"/>
      <c r="W833" s="108"/>
      <c r="X833" s="108"/>
      <c r="Y833" s="108"/>
      <c r="Z833" s="108"/>
      <c r="AA833" s="108"/>
      <c r="AB833" s="108"/>
      <c r="AC833" s="108"/>
      <c r="AD833" s="108"/>
      <c r="AE833" s="108"/>
      <c r="AF833" s="108"/>
      <c r="AG833" s="108"/>
      <c r="AH833" s="108"/>
      <c r="AI833" s="108"/>
      <c r="AJ833" s="108"/>
      <c r="AK833" s="108"/>
      <c r="AL833" s="108"/>
      <c r="AM833" s="108"/>
      <c r="AN833" s="108"/>
      <c r="AO833" s="108"/>
      <c r="AP833" s="108"/>
      <c r="AQ833" s="108"/>
      <c r="AR833" s="108"/>
      <c r="AS833" s="108"/>
      <c r="AT833" s="108"/>
      <c r="AU833" s="108"/>
      <c r="AV833" s="108"/>
      <c r="AW833" s="108"/>
      <c r="AX833" s="108"/>
      <c r="AY833" s="108"/>
      <c r="AZ833" s="108"/>
      <c r="BA833" s="108"/>
      <c r="BB833" s="108"/>
    </row>
    <row r="834" spans="3:54" ht="12.75" customHeight="1" x14ac:dyDescent="0.25">
      <c r="C834" s="108"/>
      <c r="D834" s="108"/>
      <c r="E834" s="108"/>
      <c r="F834" s="108"/>
      <c r="G834" s="108"/>
      <c r="H834" s="108"/>
      <c r="I834" s="108"/>
      <c r="J834" s="108"/>
      <c r="K834" s="108"/>
      <c r="L834" s="108"/>
      <c r="M834" s="108"/>
      <c r="N834" s="108"/>
      <c r="O834" s="108"/>
      <c r="P834" s="108"/>
      <c r="Q834" s="108"/>
      <c r="R834" s="108"/>
      <c r="S834" s="108"/>
      <c r="T834" s="108"/>
      <c r="U834" s="108"/>
      <c r="V834" s="108"/>
      <c r="W834" s="108"/>
      <c r="X834" s="108"/>
      <c r="Y834" s="108"/>
      <c r="Z834" s="108"/>
      <c r="AA834" s="108"/>
      <c r="AB834" s="108"/>
      <c r="AC834" s="108"/>
      <c r="AD834" s="108"/>
      <c r="AE834" s="108"/>
      <c r="AF834" s="108"/>
      <c r="AG834" s="108"/>
      <c r="AH834" s="108"/>
      <c r="AI834" s="108"/>
      <c r="AJ834" s="108"/>
      <c r="AK834" s="108"/>
      <c r="AL834" s="108"/>
      <c r="AM834" s="108"/>
      <c r="AN834" s="108"/>
      <c r="AO834" s="108"/>
      <c r="AP834" s="108"/>
      <c r="AQ834" s="108"/>
      <c r="AR834" s="108"/>
      <c r="AS834" s="108"/>
      <c r="AT834" s="108"/>
      <c r="AU834" s="108"/>
      <c r="AV834" s="108"/>
      <c r="AW834" s="108"/>
      <c r="AX834" s="108"/>
      <c r="AY834" s="108"/>
      <c r="AZ834" s="108"/>
      <c r="BA834" s="108"/>
      <c r="BB834" s="108"/>
    </row>
    <row r="835" spans="3:54" ht="12.75" customHeight="1" x14ac:dyDescent="0.25">
      <c r="C835" s="108"/>
      <c r="D835" s="108"/>
      <c r="E835" s="108"/>
      <c r="F835" s="108"/>
      <c r="G835" s="108"/>
      <c r="H835" s="108"/>
      <c r="I835" s="108"/>
      <c r="J835" s="108"/>
      <c r="K835" s="108"/>
      <c r="L835" s="108"/>
      <c r="M835" s="108"/>
      <c r="N835" s="108"/>
      <c r="O835" s="108"/>
      <c r="P835" s="108"/>
      <c r="Q835" s="108"/>
      <c r="R835" s="108"/>
      <c r="S835" s="108"/>
      <c r="T835" s="108"/>
      <c r="U835" s="108"/>
      <c r="V835" s="108"/>
      <c r="W835" s="108"/>
      <c r="X835" s="108"/>
      <c r="Y835" s="108"/>
      <c r="Z835" s="108"/>
      <c r="AA835" s="108"/>
      <c r="AB835" s="108"/>
      <c r="AC835" s="108"/>
      <c r="AD835" s="108"/>
      <c r="AE835" s="108"/>
      <c r="AF835" s="108"/>
      <c r="AG835" s="108"/>
      <c r="AH835" s="108"/>
      <c r="AI835" s="108"/>
      <c r="AJ835" s="108"/>
      <c r="AK835" s="108"/>
      <c r="AL835" s="108"/>
      <c r="AM835" s="108"/>
      <c r="AN835" s="108"/>
      <c r="AO835" s="108"/>
      <c r="AP835" s="108"/>
      <c r="AQ835" s="108"/>
      <c r="AR835" s="108"/>
      <c r="AS835" s="108"/>
      <c r="AT835" s="108"/>
      <c r="AU835" s="108"/>
      <c r="AV835" s="108"/>
      <c r="AW835" s="108"/>
      <c r="AX835" s="108"/>
      <c r="AY835" s="108"/>
      <c r="AZ835" s="108"/>
      <c r="BA835" s="108"/>
      <c r="BB835" s="108"/>
    </row>
    <row r="836" spans="3:54" ht="12.75" customHeight="1" x14ac:dyDescent="0.25">
      <c r="C836" s="108"/>
      <c r="D836" s="108"/>
      <c r="E836" s="108"/>
      <c r="F836" s="108"/>
      <c r="G836" s="108"/>
      <c r="H836" s="108"/>
      <c r="I836" s="108"/>
      <c r="J836" s="108"/>
      <c r="K836" s="108"/>
      <c r="L836" s="108"/>
      <c r="M836" s="108"/>
      <c r="N836" s="108"/>
      <c r="O836" s="108"/>
      <c r="P836" s="108"/>
      <c r="Q836" s="108"/>
      <c r="R836" s="108"/>
      <c r="S836" s="108"/>
      <c r="T836" s="108"/>
      <c r="U836" s="108"/>
      <c r="V836" s="108"/>
      <c r="W836" s="108"/>
      <c r="X836" s="108"/>
      <c r="Y836" s="108"/>
      <c r="Z836" s="108"/>
      <c r="AA836" s="108"/>
      <c r="AB836" s="108"/>
      <c r="AC836" s="108"/>
      <c r="AD836" s="108"/>
      <c r="AE836" s="108"/>
      <c r="AF836" s="108"/>
      <c r="AG836" s="108"/>
      <c r="AH836" s="108"/>
      <c r="AI836" s="108"/>
      <c r="AJ836" s="108"/>
      <c r="AK836" s="108"/>
      <c r="AL836" s="108"/>
      <c r="AM836" s="108"/>
      <c r="AN836" s="108"/>
      <c r="AO836" s="108"/>
      <c r="AP836" s="108"/>
      <c r="AQ836" s="108"/>
      <c r="AR836" s="108"/>
      <c r="AS836" s="108"/>
      <c r="AT836" s="108"/>
      <c r="AU836" s="108"/>
      <c r="AV836" s="108"/>
      <c r="AW836" s="108"/>
      <c r="AX836" s="108"/>
      <c r="AY836" s="108"/>
      <c r="AZ836" s="108"/>
      <c r="BA836" s="108"/>
      <c r="BB836" s="108"/>
    </row>
    <row r="837" spans="3:54" ht="12.75" customHeight="1" x14ac:dyDescent="0.25">
      <c r="C837" s="108"/>
      <c r="D837" s="108"/>
      <c r="E837" s="108"/>
      <c r="F837" s="108"/>
      <c r="G837" s="108"/>
      <c r="H837" s="108"/>
      <c r="I837" s="108"/>
      <c r="J837" s="108"/>
      <c r="K837" s="108"/>
      <c r="L837" s="108"/>
      <c r="M837" s="108"/>
      <c r="N837" s="108"/>
      <c r="O837" s="108"/>
      <c r="P837" s="108"/>
      <c r="Q837" s="108"/>
      <c r="R837" s="108"/>
      <c r="S837" s="108"/>
      <c r="T837" s="108"/>
      <c r="U837" s="108"/>
      <c r="V837" s="108"/>
      <c r="W837" s="108"/>
      <c r="X837" s="108"/>
      <c r="Y837" s="108"/>
      <c r="Z837" s="108"/>
      <c r="AA837" s="108"/>
      <c r="AB837" s="108"/>
      <c r="AC837" s="108"/>
      <c r="AD837" s="108"/>
      <c r="AE837" s="108"/>
      <c r="AF837" s="108"/>
      <c r="AG837" s="108"/>
      <c r="AH837" s="108"/>
      <c r="AI837" s="108"/>
      <c r="AJ837" s="108"/>
      <c r="AK837" s="108"/>
      <c r="AL837" s="108"/>
      <c r="AM837" s="108"/>
      <c r="AN837" s="108"/>
      <c r="AO837" s="108"/>
      <c r="AP837" s="108"/>
      <c r="AQ837" s="108"/>
      <c r="AR837" s="108"/>
      <c r="AS837" s="108"/>
      <c r="AT837" s="108"/>
      <c r="AU837" s="108"/>
      <c r="AV837" s="108"/>
      <c r="AW837" s="108"/>
      <c r="AX837" s="108"/>
      <c r="AY837" s="108"/>
      <c r="AZ837" s="108"/>
      <c r="BA837" s="108"/>
      <c r="BB837" s="108"/>
    </row>
    <row r="838" spans="3:54" ht="12.75" customHeight="1" x14ac:dyDescent="0.25">
      <c r="C838" s="108"/>
      <c r="D838" s="108"/>
      <c r="E838" s="108"/>
      <c r="F838" s="108"/>
      <c r="G838" s="108"/>
      <c r="H838" s="108"/>
      <c r="I838" s="108"/>
      <c r="J838" s="108"/>
      <c r="K838" s="108"/>
      <c r="L838" s="108"/>
      <c r="M838" s="108"/>
      <c r="N838" s="108"/>
      <c r="O838" s="108"/>
      <c r="P838" s="108"/>
      <c r="Q838" s="108"/>
      <c r="R838" s="108"/>
      <c r="S838" s="108"/>
      <c r="T838" s="108"/>
      <c r="U838" s="108"/>
      <c r="V838" s="108"/>
      <c r="W838" s="108"/>
      <c r="X838" s="108"/>
      <c r="Y838" s="108"/>
      <c r="Z838" s="108"/>
      <c r="AA838" s="108"/>
      <c r="AB838" s="108"/>
      <c r="AC838" s="108"/>
      <c r="AD838" s="108"/>
      <c r="AE838" s="108"/>
      <c r="AF838" s="108"/>
      <c r="AG838" s="108"/>
      <c r="AH838" s="108"/>
      <c r="AI838" s="108"/>
      <c r="AJ838" s="108"/>
      <c r="AK838" s="108"/>
      <c r="AL838" s="108"/>
      <c r="AM838" s="108"/>
      <c r="AN838" s="108"/>
      <c r="AO838" s="108"/>
      <c r="AP838" s="108"/>
      <c r="AQ838" s="108"/>
      <c r="AR838" s="108"/>
      <c r="AS838" s="108"/>
      <c r="AT838" s="108"/>
      <c r="AU838" s="108"/>
      <c r="AV838" s="108"/>
      <c r="AW838" s="108"/>
      <c r="AX838" s="108"/>
      <c r="AY838" s="108"/>
      <c r="AZ838" s="108"/>
      <c r="BA838" s="108"/>
      <c r="BB838" s="108"/>
    </row>
    <row r="839" spans="3:54" ht="12.75" customHeight="1" x14ac:dyDescent="0.25">
      <c r="C839" s="108"/>
      <c r="D839" s="108"/>
      <c r="E839" s="108"/>
      <c r="F839" s="108"/>
      <c r="G839" s="108"/>
      <c r="H839" s="108"/>
      <c r="I839" s="108"/>
      <c r="J839" s="108"/>
      <c r="K839" s="108"/>
      <c r="L839" s="108"/>
      <c r="M839" s="108"/>
      <c r="N839" s="108"/>
      <c r="O839" s="108"/>
      <c r="P839" s="108"/>
      <c r="Q839" s="108"/>
      <c r="R839" s="108"/>
      <c r="S839" s="108"/>
      <c r="T839" s="108"/>
      <c r="U839" s="108"/>
      <c r="V839" s="108"/>
      <c r="W839" s="108"/>
      <c r="X839" s="108"/>
      <c r="Y839" s="108"/>
      <c r="Z839" s="108"/>
      <c r="AA839" s="108"/>
      <c r="AB839" s="108"/>
      <c r="AC839" s="108"/>
      <c r="AD839" s="108"/>
      <c r="AE839" s="108"/>
      <c r="AF839" s="108"/>
      <c r="AG839" s="108"/>
      <c r="AH839" s="108"/>
      <c r="AI839" s="108"/>
      <c r="AJ839" s="108"/>
      <c r="AK839" s="108"/>
      <c r="AL839" s="108"/>
      <c r="AM839" s="108"/>
      <c r="AN839" s="108"/>
      <c r="AO839" s="108"/>
      <c r="AP839" s="108"/>
      <c r="AQ839" s="108"/>
      <c r="AR839" s="108"/>
      <c r="AS839" s="108"/>
      <c r="AT839" s="108"/>
      <c r="AU839" s="108"/>
      <c r="AV839" s="108"/>
      <c r="AW839" s="108"/>
      <c r="AX839" s="108"/>
      <c r="AY839" s="108"/>
      <c r="AZ839" s="108"/>
      <c r="BA839" s="108"/>
      <c r="BB839" s="108"/>
    </row>
    <row r="840" spans="3:54" ht="12.75" customHeight="1" x14ac:dyDescent="0.25">
      <c r="C840" s="108"/>
      <c r="D840" s="108"/>
      <c r="E840" s="108"/>
      <c r="F840" s="108"/>
      <c r="G840" s="108"/>
      <c r="H840" s="108"/>
      <c r="I840" s="108"/>
      <c r="J840" s="108"/>
      <c r="K840" s="108"/>
      <c r="L840" s="108"/>
      <c r="M840" s="108"/>
      <c r="N840" s="108"/>
      <c r="O840" s="108"/>
      <c r="P840" s="108"/>
      <c r="Q840" s="108"/>
      <c r="R840" s="108"/>
      <c r="S840" s="108"/>
      <c r="T840" s="108"/>
      <c r="U840" s="108"/>
      <c r="V840" s="108"/>
      <c r="W840" s="108"/>
      <c r="X840" s="108"/>
      <c r="Y840" s="108"/>
      <c r="Z840" s="108"/>
      <c r="AA840" s="108"/>
      <c r="AB840" s="108"/>
      <c r="AC840" s="108"/>
      <c r="AD840" s="108"/>
      <c r="AE840" s="108"/>
      <c r="AF840" s="108"/>
      <c r="AG840" s="108"/>
      <c r="AH840" s="108"/>
      <c r="AI840" s="108"/>
      <c r="AJ840" s="108"/>
      <c r="AK840" s="108"/>
      <c r="AL840" s="108"/>
      <c r="AM840" s="108"/>
      <c r="AN840" s="108"/>
      <c r="AO840" s="108"/>
      <c r="AP840" s="108"/>
      <c r="AQ840" s="108"/>
      <c r="AR840" s="108"/>
      <c r="AS840" s="108"/>
      <c r="AT840" s="108"/>
      <c r="AU840" s="108"/>
      <c r="AV840" s="108"/>
      <c r="AW840" s="108"/>
      <c r="AX840" s="108"/>
      <c r="AY840" s="108"/>
      <c r="AZ840" s="108"/>
      <c r="BA840" s="108"/>
      <c r="BB840" s="108"/>
    </row>
    <row r="841" spans="3:54" ht="12.75" customHeight="1" x14ac:dyDescent="0.25">
      <c r="C841" s="108"/>
      <c r="D841" s="108"/>
      <c r="E841" s="108"/>
      <c r="F841" s="108"/>
      <c r="G841" s="108"/>
      <c r="H841" s="108"/>
      <c r="I841" s="108"/>
      <c r="J841" s="108"/>
      <c r="K841" s="108"/>
      <c r="L841" s="108"/>
      <c r="M841" s="108"/>
      <c r="N841" s="108"/>
      <c r="O841" s="108"/>
      <c r="P841" s="108"/>
      <c r="Q841" s="108"/>
      <c r="R841" s="108"/>
      <c r="S841" s="108"/>
      <c r="T841" s="108"/>
      <c r="U841" s="108"/>
      <c r="V841" s="108"/>
      <c r="W841" s="108"/>
      <c r="X841" s="108"/>
      <c r="Y841" s="108"/>
      <c r="Z841" s="108"/>
      <c r="AA841" s="108"/>
      <c r="AB841" s="108"/>
      <c r="AC841" s="108"/>
      <c r="AD841" s="108"/>
      <c r="AE841" s="108"/>
      <c r="AF841" s="108"/>
      <c r="AG841" s="108"/>
      <c r="AH841" s="108"/>
      <c r="AI841" s="108"/>
      <c r="AJ841" s="108"/>
      <c r="AK841" s="108"/>
      <c r="AL841" s="108"/>
      <c r="AM841" s="108"/>
      <c r="AN841" s="108"/>
      <c r="AO841" s="108"/>
      <c r="AP841" s="108"/>
      <c r="AQ841" s="108"/>
      <c r="AR841" s="108"/>
      <c r="AS841" s="108"/>
      <c r="AT841" s="108"/>
      <c r="AU841" s="108"/>
      <c r="AV841" s="108"/>
      <c r="AW841" s="108"/>
      <c r="AX841" s="108"/>
      <c r="AY841" s="108"/>
      <c r="AZ841" s="108"/>
      <c r="BA841" s="108"/>
      <c r="BB841" s="108"/>
    </row>
    <row r="842" spans="3:54" ht="12.75" customHeight="1" x14ac:dyDescent="0.25">
      <c r="C842" s="108"/>
      <c r="D842" s="108"/>
      <c r="E842" s="108"/>
      <c r="F842" s="108"/>
      <c r="G842" s="108"/>
      <c r="H842" s="108"/>
      <c r="I842" s="108"/>
      <c r="J842" s="108"/>
      <c r="K842" s="108"/>
      <c r="L842" s="108"/>
      <c r="M842" s="108"/>
      <c r="N842" s="108"/>
      <c r="O842" s="108"/>
      <c r="P842" s="108"/>
      <c r="Q842" s="108"/>
      <c r="R842" s="108"/>
      <c r="S842" s="108"/>
      <c r="T842" s="108"/>
      <c r="U842" s="108"/>
      <c r="V842" s="108"/>
      <c r="W842" s="108"/>
      <c r="X842" s="108"/>
      <c r="Y842" s="108"/>
      <c r="Z842" s="108"/>
      <c r="AA842" s="108"/>
      <c r="AB842" s="108"/>
      <c r="AC842" s="108"/>
      <c r="AD842" s="108"/>
      <c r="AE842" s="108"/>
      <c r="AF842" s="108"/>
      <c r="AG842" s="108"/>
      <c r="AH842" s="108"/>
      <c r="AI842" s="108"/>
      <c r="AJ842" s="108"/>
      <c r="AK842" s="108"/>
      <c r="AL842" s="108"/>
      <c r="AM842" s="108"/>
      <c r="AN842" s="108"/>
      <c r="AO842" s="108"/>
      <c r="AP842" s="108"/>
      <c r="AQ842" s="108"/>
      <c r="AR842" s="108"/>
      <c r="AS842" s="108"/>
      <c r="AT842" s="108"/>
      <c r="AU842" s="108"/>
      <c r="AV842" s="108"/>
      <c r="AW842" s="108"/>
      <c r="AX842" s="108"/>
      <c r="AY842" s="108"/>
      <c r="AZ842" s="108"/>
      <c r="BA842" s="108"/>
      <c r="BB842" s="108"/>
    </row>
    <row r="843" spans="3:54" ht="12.75" customHeight="1" x14ac:dyDescent="0.25">
      <c r="C843" s="108"/>
      <c r="D843" s="108"/>
      <c r="E843" s="108"/>
      <c r="F843" s="108"/>
      <c r="G843" s="108"/>
      <c r="H843" s="108"/>
      <c r="I843" s="108"/>
      <c r="J843" s="108"/>
      <c r="K843" s="108"/>
      <c r="L843" s="108"/>
      <c r="M843" s="108"/>
      <c r="N843" s="108"/>
      <c r="O843" s="108"/>
      <c r="P843" s="108"/>
      <c r="Q843" s="108"/>
      <c r="R843" s="108"/>
      <c r="S843" s="108"/>
      <c r="T843" s="108"/>
      <c r="U843" s="108"/>
      <c r="V843" s="108"/>
      <c r="W843" s="108"/>
      <c r="X843" s="108"/>
      <c r="Y843" s="108"/>
      <c r="Z843" s="108"/>
      <c r="AA843" s="108"/>
      <c r="AB843" s="108"/>
      <c r="AC843" s="108"/>
      <c r="AD843" s="108"/>
      <c r="AE843" s="108"/>
      <c r="AF843" s="108"/>
      <c r="AG843" s="108"/>
      <c r="AH843" s="108"/>
      <c r="AI843" s="108"/>
      <c r="AJ843" s="108"/>
      <c r="AK843" s="108"/>
      <c r="AL843" s="108"/>
      <c r="AM843" s="108"/>
      <c r="AN843" s="108"/>
      <c r="AO843" s="108"/>
      <c r="AP843" s="108"/>
      <c r="AQ843" s="108"/>
      <c r="AR843" s="108"/>
      <c r="AS843" s="108"/>
      <c r="AT843" s="108"/>
      <c r="AU843" s="108"/>
      <c r="AV843" s="108"/>
      <c r="AW843" s="108"/>
      <c r="AX843" s="108"/>
      <c r="AY843" s="108"/>
      <c r="AZ843" s="108"/>
      <c r="BA843" s="108"/>
      <c r="BB843" s="108"/>
    </row>
    <row r="844" spans="3:54" ht="12.75" customHeight="1" x14ac:dyDescent="0.25">
      <c r="C844" s="108"/>
      <c r="D844" s="108"/>
      <c r="E844" s="108"/>
      <c r="F844" s="108"/>
      <c r="G844" s="108"/>
      <c r="H844" s="108"/>
      <c r="I844" s="108"/>
      <c r="J844" s="108"/>
      <c r="K844" s="108"/>
      <c r="L844" s="108"/>
      <c r="M844" s="108"/>
      <c r="N844" s="108"/>
      <c r="O844" s="108"/>
      <c r="P844" s="108"/>
      <c r="Q844" s="108"/>
      <c r="R844" s="108"/>
      <c r="S844" s="108"/>
      <c r="T844" s="108"/>
      <c r="U844" s="108"/>
      <c r="V844" s="108"/>
      <c r="W844" s="108"/>
      <c r="X844" s="108"/>
      <c r="Y844" s="108"/>
      <c r="Z844" s="108"/>
      <c r="AA844" s="108"/>
      <c r="AB844" s="108"/>
      <c r="AC844" s="108"/>
      <c r="AD844" s="108"/>
      <c r="AE844" s="108"/>
      <c r="AF844" s="108"/>
      <c r="AG844" s="108"/>
      <c r="AH844" s="108"/>
      <c r="AI844" s="108"/>
      <c r="AJ844" s="108"/>
      <c r="AK844" s="108"/>
      <c r="AL844" s="108"/>
      <c r="AM844" s="108"/>
      <c r="AN844" s="108"/>
      <c r="AO844" s="108"/>
      <c r="AP844" s="108"/>
      <c r="AQ844" s="108"/>
      <c r="AR844" s="108"/>
      <c r="AS844" s="108"/>
      <c r="AT844" s="108"/>
      <c r="AU844" s="108"/>
      <c r="AV844" s="108"/>
      <c r="AW844" s="108"/>
      <c r="AX844" s="108"/>
      <c r="AY844" s="108"/>
      <c r="AZ844" s="108"/>
      <c r="BA844" s="108"/>
      <c r="BB844" s="108"/>
    </row>
    <row r="845" spans="3:54" ht="12.75" customHeight="1" x14ac:dyDescent="0.25">
      <c r="C845" s="108"/>
      <c r="D845" s="108"/>
      <c r="E845" s="108"/>
      <c r="F845" s="108"/>
      <c r="G845" s="108"/>
      <c r="H845" s="108"/>
      <c r="I845" s="108"/>
      <c r="J845" s="108"/>
      <c r="K845" s="108"/>
      <c r="L845" s="108"/>
      <c r="M845" s="108"/>
      <c r="N845" s="108"/>
      <c r="O845" s="108"/>
      <c r="P845" s="108"/>
      <c r="Q845" s="108"/>
      <c r="R845" s="108"/>
      <c r="S845" s="108"/>
      <c r="T845" s="108"/>
      <c r="U845" s="108"/>
      <c r="V845" s="108"/>
      <c r="W845" s="108"/>
      <c r="X845" s="108"/>
      <c r="Y845" s="108"/>
      <c r="Z845" s="108"/>
      <c r="AA845" s="108"/>
      <c r="AB845" s="108"/>
      <c r="AC845" s="108"/>
      <c r="AD845" s="108"/>
      <c r="AE845" s="108"/>
      <c r="AF845" s="108"/>
      <c r="AG845" s="108"/>
      <c r="AH845" s="108"/>
      <c r="AI845" s="108"/>
      <c r="AJ845" s="108"/>
      <c r="AK845" s="108"/>
      <c r="AL845" s="108"/>
      <c r="AM845" s="108"/>
      <c r="AN845" s="108"/>
      <c r="AO845" s="108"/>
      <c r="AP845" s="108"/>
      <c r="AQ845" s="108"/>
      <c r="AR845" s="108"/>
      <c r="AS845" s="108"/>
      <c r="AT845" s="108"/>
      <c r="AU845" s="108"/>
      <c r="AV845" s="108"/>
      <c r="AW845" s="108"/>
      <c r="AX845" s="108"/>
      <c r="AY845" s="108"/>
      <c r="AZ845" s="108"/>
      <c r="BA845" s="108"/>
      <c r="BB845" s="108"/>
    </row>
    <row r="846" spans="3:54" ht="12.75" customHeight="1" x14ac:dyDescent="0.25">
      <c r="C846" s="108"/>
      <c r="D846" s="108"/>
      <c r="E846" s="108"/>
      <c r="F846" s="108"/>
      <c r="G846" s="108"/>
      <c r="H846" s="108"/>
      <c r="I846" s="108"/>
      <c r="J846" s="108"/>
      <c r="K846" s="108"/>
      <c r="L846" s="108"/>
      <c r="M846" s="108"/>
      <c r="N846" s="108"/>
      <c r="O846" s="108"/>
      <c r="P846" s="108"/>
      <c r="Q846" s="108"/>
      <c r="R846" s="108"/>
      <c r="S846" s="108"/>
      <c r="T846" s="108"/>
      <c r="U846" s="108"/>
      <c r="V846" s="108"/>
      <c r="W846" s="108"/>
      <c r="X846" s="108"/>
      <c r="Y846" s="108"/>
      <c r="Z846" s="108"/>
      <c r="AA846" s="108"/>
      <c r="AB846" s="108"/>
      <c r="AC846" s="108"/>
      <c r="AD846" s="108"/>
      <c r="AE846" s="108"/>
      <c r="AF846" s="108"/>
      <c r="AG846" s="108"/>
      <c r="AH846" s="108"/>
      <c r="AI846" s="108"/>
      <c r="AJ846" s="108"/>
      <c r="AK846" s="108"/>
      <c r="AL846" s="108"/>
      <c r="AM846" s="108"/>
      <c r="AN846" s="108"/>
      <c r="AO846" s="108"/>
      <c r="AP846" s="108"/>
      <c r="AQ846" s="108"/>
      <c r="AR846" s="108"/>
      <c r="AS846" s="108"/>
      <c r="AT846" s="108"/>
      <c r="AU846" s="108"/>
      <c r="AV846" s="108"/>
      <c r="AW846" s="108"/>
      <c r="AX846" s="108"/>
      <c r="AY846" s="108"/>
      <c r="AZ846" s="108"/>
      <c r="BA846" s="108"/>
      <c r="BB846" s="108"/>
    </row>
    <row r="847" spans="3:54" ht="12.75" customHeight="1" x14ac:dyDescent="0.25">
      <c r="C847" s="108"/>
      <c r="D847" s="108"/>
      <c r="E847" s="108"/>
      <c r="F847" s="108"/>
      <c r="G847" s="108"/>
      <c r="H847" s="108"/>
      <c r="I847" s="108"/>
      <c r="J847" s="108"/>
      <c r="K847" s="108"/>
      <c r="L847" s="108"/>
      <c r="M847" s="108"/>
      <c r="N847" s="108"/>
      <c r="O847" s="108"/>
      <c r="P847" s="108"/>
      <c r="Q847" s="108"/>
      <c r="R847" s="108"/>
      <c r="S847" s="108"/>
      <c r="T847" s="108"/>
      <c r="U847" s="108"/>
      <c r="V847" s="108"/>
      <c r="W847" s="108"/>
      <c r="X847" s="108"/>
      <c r="Y847" s="108"/>
      <c r="Z847" s="108"/>
      <c r="AA847" s="108"/>
      <c r="AB847" s="108"/>
      <c r="AC847" s="108"/>
      <c r="AD847" s="108"/>
      <c r="AE847" s="108"/>
      <c r="AF847" s="108"/>
      <c r="AG847" s="108"/>
      <c r="AH847" s="108"/>
      <c r="AI847" s="108"/>
      <c r="AJ847" s="108"/>
      <c r="AK847" s="108"/>
      <c r="AL847" s="108"/>
      <c r="AM847" s="108"/>
      <c r="AN847" s="108"/>
      <c r="AO847" s="108"/>
      <c r="AP847" s="108"/>
      <c r="AQ847" s="108"/>
      <c r="AR847" s="108"/>
      <c r="AS847" s="108"/>
      <c r="AT847" s="108"/>
      <c r="AU847" s="108"/>
      <c r="AV847" s="108"/>
      <c r="AW847" s="108"/>
      <c r="AX847" s="108"/>
      <c r="AY847" s="108"/>
      <c r="AZ847" s="108"/>
      <c r="BA847" s="108"/>
      <c r="BB847" s="108"/>
    </row>
    <row r="848" spans="3:54" ht="12.75" customHeight="1" x14ac:dyDescent="0.25">
      <c r="C848" s="108"/>
      <c r="D848" s="108"/>
      <c r="E848" s="108"/>
      <c r="F848" s="108"/>
      <c r="G848" s="108"/>
      <c r="H848" s="108"/>
      <c r="I848" s="108"/>
      <c r="J848" s="108"/>
      <c r="K848" s="108"/>
      <c r="L848" s="108"/>
      <c r="M848" s="108"/>
      <c r="N848" s="108"/>
      <c r="O848" s="108"/>
      <c r="P848" s="108"/>
      <c r="Q848" s="108"/>
      <c r="R848" s="108"/>
      <c r="S848" s="108"/>
      <c r="T848" s="108"/>
      <c r="U848" s="108"/>
      <c r="V848" s="108"/>
      <c r="W848" s="108"/>
      <c r="X848" s="108"/>
      <c r="Y848" s="108"/>
      <c r="Z848" s="108"/>
      <c r="AA848" s="108"/>
      <c r="AB848" s="108"/>
      <c r="AC848" s="108"/>
      <c r="AD848" s="108"/>
      <c r="AE848" s="108"/>
      <c r="AF848" s="108"/>
      <c r="AG848" s="108"/>
      <c r="AH848" s="108"/>
      <c r="AI848" s="108"/>
      <c r="AJ848" s="108"/>
      <c r="AK848" s="108"/>
      <c r="AL848" s="108"/>
      <c r="AM848" s="108"/>
      <c r="AN848" s="108"/>
      <c r="AO848" s="108"/>
      <c r="AP848" s="108"/>
      <c r="AQ848" s="108"/>
      <c r="AR848" s="108"/>
      <c r="AS848" s="108"/>
      <c r="AT848" s="108"/>
      <c r="AU848" s="108"/>
      <c r="AV848" s="108"/>
      <c r="AW848" s="108"/>
      <c r="AX848" s="108"/>
      <c r="AY848" s="108"/>
      <c r="AZ848" s="108"/>
      <c r="BA848" s="108"/>
      <c r="BB848" s="108"/>
    </row>
    <row r="849" spans="3:54" ht="12.75" customHeight="1" x14ac:dyDescent="0.25">
      <c r="C849" s="108"/>
      <c r="D849" s="108"/>
      <c r="E849" s="108"/>
      <c r="F849" s="108"/>
      <c r="G849" s="108"/>
      <c r="H849" s="108"/>
      <c r="I849" s="108"/>
      <c r="J849" s="108"/>
      <c r="K849" s="108"/>
      <c r="L849" s="108"/>
      <c r="M849" s="108"/>
      <c r="N849" s="108"/>
      <c r="O849" s="108"/>
      <c r="P849" s="108"/>
      <c r="Q849" s="108"/>
      <c r="R849" s="108"/>
      <c r="S849" s="108"/>
      <c r="T849" s="108"/>
      <c r="U849" s="108"/>
      <c r="V849" s="108"/>
      <c r="W849" s="108"/>
      <c r="X849" s="108"/>
      <c r="Y849" s="108"/>
      <c r="Z849" s="108"/>
      <c r="AA849" s="108"/>
      <c r="AB849" s="108"/>
      <c r="AC849" s="108"/>
      <c r="AD849" s="108"/>
      <c r="AE849" s="108"/>
      <c r="AF849" s="108"/>
      <c r="AG849" s="108"/>
      <c r="AH849" s="108"/>
      <c r="AI849" s="108"/>
      <c r="AJ849" s="108"/>
      <c r="AK849" s="108"/>
      <c r="AL849" s="108"/>
      <c r="AM849" s="108"/>
      <c r="AN849" s="108"/>
      <c r="AO849" s="108"/>
      <c r="AP849" s="108"/>
      <c r="AQ849" s="108"/>
      <c r="AR849" s="108"/>
      <c r="AS849" s="108"/>
      <c r="AT849" s="108"/>
      <c r="AU849" s="108"/>
      <c r="AV849" s="108"/>
      <c r="AW849" s="108"/>
      <c r="AX849" s="108"/>
      <c r="AY849" s="108"/>
      <c r="AZ849" s="108"/>
      <c r="BA849" s="108"/>
      <c r="BB849" s="108"/>
    </row>
    <row r="850" spans="3:54" ht="12.75" customHeight="1" x14ac:dyDescent="0.25">
      <c r="C850" s="108"/>
      <c r="D850" s="108"/>
      <c r="E850" s="108"/>
      <c r="F850" s="108"/>
      <c r="G850" s="108"/>
      <c r="H850" s="108"/>
      <c r="I850" s="108"/>
      <c r="J850" s="108"/>
      <c r="K850" s="108"/>
      <c r="L850" s="108"/>
      <c r="M850" s="108"/>
      <c r="N850" s="108"/>
      <c r="O850" s="108"/>
      <c r="P850" s="108"/>
      <c r="Q850" s="108"/>
      <c r="R850" s="108"/>
      <c r="S850" s="108"/>
      <c r="T850" s="108"/>
      <c r="U850" s="108"/>
      <c r="V850" s="108"/>
      <c r="W850" s="108"/>
      <c r="X850" s="108"/>
      <c r="Y850" s="108"/>
      <c r="Z850" s="108"/>
      <c r="AA850" s="108"/>
      <c r="AB850" s="108"/>
      <c r="AC850" s="108"/>
      <c r="AD850" s="108"/>
      <c r="AE850" s="108"/>
      <c r="AF850" s="108"/>
      <c r="AG850" s="108"/>
      <c r="AH850" s="108"/>
      <c r="AI850" s="108"/>
      <c r="AJ850" s="108"/>
      <c r="AK850" s="108"/>
      <c r="AL850" s="108"/>
      <c r="AM850" s="108"/>
      <c r="AN850" s="108"/>
      <c r="AO850" s="108"/>
      <c r="AP850" s="108"/>
      <c r="AQ850" s="108"/>
      <c r="AR850" s="108"/>
      <c r="AS850" s="108"/>
      <c r="AT850" s="108"/>
      <c r="AU850" s="108"/>
      <c r="AV850" s="108"/>
      <c r="AW850" s="108"/>
      <c r="AX850" s="108"/>
      <c r="AY850" s="108"/>
      <c r="AZ850" s="108"/>
      <c r="BA850" s="108"/>
      <c r="BB850" s="108"/>
    </row>
    <row r="851" spans="3:54" ht="12.75" customHeight="1" x14ac:dyDescent="0.25">
      <c r="C851" s="108"/>
      <c r="D851" s="108"/>
      <c r="E851" s="108"/>
      <c r="F851" s="108"/>
      <c r="G851" s="108"/>
      <c r="H851" s="108"/>
      <c r="I851" s="108"/>
      <c r="J851" s="108"/>
      <c r="K851" s="108"/>
      <c r="L851" s="108"/>
      <c r="M851" s="108"/>
      <c r="N851" s="108"/>
      <c r="O851" s="108"/>
      <c r="P851" s="108"/>
      <c r="Q851" s="108"/>
      <c r="R851" s="108"/>
      <c r="S851" s="108"/>
      <c r="T851" s="108"/>
      <c r="U851" s="108"/>
      <c r="V851" s="108"/>
      <c r="W851" s="108"/>
      <c r="X851" s="108"/>
      <c r="Y851" s="108"/>
      <c r="Z851" s="108"/>
      <c r="AA851" s="108"/>
      <c r="AB851" s="108"/>
      <c r="AC851" s="108"/>
      <c r="AD851" s="108"/>
      <c r="AE851" s="108"/>
      <c r="AF851" s="108"/>
      <c r="AG851" s="108"/>
      <c r="AH851" s="108"/>
      <c r="AI851" s="108"/>
      <c r="AJ851" s="108"/>
      <c r="AK851" s="108"/>
      <c r="AL851" s="108"/>
      <c r="AM851" s="108"/>
      <c r="AN851" s="108"/>
      <c r="AO851" s="108"/>
      <c r="AP851" s="108"/>
      <c r="AQ851" s="108"/>
      <c r="AR851" s="108"/>
      <c r="AS851" s="108"/>
      <c r="AT851" s="108"/>
      <c r="AU851" s="108"/>
      <c r="AV851" s="108"/>
      <c r="AW851" s="108"/>
      <c r="AX851" s="108"/>
      <c r="AY851" s="108"/>
      <c r="AZ851" s="108"/>
      <c r="BA851" s="108"/>
      <c r="BB851" s="108"/>
    </row>
    <row r="852" spans="3:54" ht="12.75" customHeight="1" x14ac:dyDescent="0.25">
      <c r="C852" s="108"/>
      <c r="D852" s="108"/>
      <c r="E852" s="108"/>
      <c r="F852" s="108"/>
      <c r="G852" s="108"/>
      <c r="H852" s="108"/>
      <c r="I852" s="108"/>
      <c r="J852" s="108"/>
      <c r="K852" s="108"/>
      <c r="L852" s="108"/>
      <c r="M852" s="108"/>
      <c r="N852" s="108"/>
      <c r="O852" s="108"/>
      <c r="P852" s="108"/>
      <c r="Q852" s="108"/>
      <c r="R852" s="108"/>
      <c r="S852" s="108"/>
      <c r="T852" s="108"/>
      <c r="U852" s="108"/>
      <c r="V852" s="108"/>
      <c r="W852" s="108"/>
      <c r="X852" s="108"/>
      <c r="Y852" s="108"/>
      <c r="Z852" s="108"/>
      <c r="AA852" s="108"/>
      <c r="AB852" s="108"/>
      <c r="AC852" s="108"/>
      <c r="AD852" s="108"/>
      <c r="AE852" s="108"/>
      <c r="AF852" s="108"/>
      <c r="AG852" s="108"/>
      <c r="AH852" s="108"/>
      <c r="AI852" s="108"/>
      <c r="AJ852" s="108"/>
      <c r="AK852" s="108"/>
      <c r="AL852" s="108"/>
      <c r="AM852" s="108"/>
      <c r="AN852" s="108"/>
      <c r="AO852" s="108"/>
      <c r="AP852" s="108"/>
      <c r="AQ852" s="108"/>
      <c r="AR852" s="108"/>
      <c r="AS852" s="108"/>
      <c r="AT852" s="108"/>
      <c r="AU852" s="108"/>
      <c r="AV852" s="108"/>
      <c r="AW852" s="108"/>
      <c r="AX852" s="108"/>
      <c r="AY852" s="108"/>
      <c r="AZ852" s="108"/>
      <c r="BA852" s="108"/>
      <c r="BB852" s="108"/>
    </row>
    <row r="853" spans="3:54" ht="12.75" customHeight="1" x14ac:dyDescent="0.25">
      <c r="C853" s="108"/>
      <c r="D853" s="108"/>
      <c r="E853" s="108"/>
      <c r="F853" s="108"/>
      <c r="G853" s="108"/>
      <c r="H853" s="108"/>
      <c r="I853" s="108"/>
      <c r="J853" s="108"/>
      <c r="K853" s="108"/>
      <c r="L853" s="108"/>
      <c r="M853" s="108"/>
      <c r="N853" s="108"/>
      <c r="O853" s="108"/>
      <c r="P853" s="108"/>
      <c r="Q853" s="108"/>
      <c r="R853" s="108"/>
      <c r="S853" s="108"/>
      <c r="T853" s="108"/>
      <c r="U853" s="108"/>
      <c r="V853" s="108"/>
      <c r="W853" s="108"/>
      <c r="X853" s="108"/>
      <c r="Y853" s="108"/>
      <c r="Z853" s="108"/>
      <c r="AA853" s="108"/>
      <c r="AB853" s="108"/>
      <c r="AC853" s="108"/>
      <c r="AD853" s="108"/>
      <c r="AE853" s="108"/>
      <c r="AF853" s="108"/>
      <c r="AG853" s="108"/>
      <c r="AH853" s="108"/>
      <c r="AI853" s="108"/>
      <c r="AJ853" s="108"/>
      <c r="AK853" s="108"/>
      <c r="AL853" s="108"/>
      <c r="AM853" s="108"/>
      <c r="AN853" s="108"/>
      <c r="AO853" s="108"/>
      <c r="AP853" s="108"/>
      <c r="AQ853" s="108"/>
      <c r="AR853" s="108"/>
      <c r="AS853" s="108"/>
      <c r="AT853" s="108"/>
      <c r="AU853" s="108"/>
      <c r="AV853" s="108"/>
      <c r="AW853" s="108"/>
      <c r="AX853" s="108"/>
      <c r="AY853" s="108"/>
      <c r="AZ853" s="108"/>
      <c r="BA853" s="108"/>
      <c r="BB853" s="108"/>
    </row>
    <row r="854" spans="3:54" ht="12.75" customHeight="1" x14ac:dyDescent="0.25">
      <c r="C854" s="108"/>
      <c r="D854" s="108"/>
      <c r="E854" s="108"/>
      <c r="F854" s="108"/>
      <c r="G854" s="108"/>
      <c r="H854" s="108"/>
      <c r="I854" s="108"/>
      <c r="J854" s="108"/>
      <c r="K854" s="108"/>
      <c r="L854" s="108"/>
      <c r="M854" s="108"/>
      <c r="N854" s="108"/>
      <c r="O854" s="108"/>
      <c r="P854" s="108"/>
      <c r="Q854" s="108"/>
      <c r="R854" s="108"/>
      <c r="S854" s="108"/>
      <c r="T854" s="108"/>
      <c r="U854" s="108"/>
      <c r="V854" s="108"/>
      <c r="W854" s="108"/>
      <c r="X854" s="108"/>
      <c r="Y854" s="108"/>
      <c r="Z854" s="108"/>
      <c r="AA854" s="108"/>
      <c r="AB854" s="108"/>
      <c r="AC854" s="108"/>
      <c r="AD854" s="108"/>
      <c r="AE854" s="108"/>
      <c r="AF854" s="108"/>
      <c r="AG854" s="108"/>
      <c r="AH854" s="108"/>
      <c r="AI854" s="108"/>
      <c r="AJ854" s="108"/>
      <c r="AK854" s="108"/>
      <c r="AL854" s="108"/>
      <c r="AM854" s="108"/>
      <c r="AN854" s="108"/>
      <c r="AO854" s="108"/>
      <c r="AP854" s="108"/>
      <c r="AQ854" s="108"/>
      <c r="AR854" s="108"/>
      <c r="AS854" s="108"/>
      <c r="AT854" s="108"/>
      <c r="AU854" s="108"/>
      <c r="AV854" s="108"/>
      <c r="AW854" s="108"/>
      <c r="AX854" s="108"/>
      <c r="AY854" s="108"/>
      <c r="AZ854" s="108"/>
      <c r="BA854" s="108"/>
      <c r="BB854" s="108"/>
    </row>
    <row r="855" spans="3:54" ht="12.75" customHeight="1" x14ac:dyDescent="0.25">
      <c r="C855" s="108"/>
      <c r="D855" s="108"/>
      <c r="E855" s="108"/>
      <c r="F855" s="108"/>
      <c r="G855" s="108"/>
      <c r="H855" s="108"/>
      <c r="I855" s="108"/>
      <c r="J855" s="108"/>
      <c r="K855" s="108"/>
      <c r="L855" s="108"/>
      <c r="M855" s="108"/>
      <c r="N855" s="108"/>
      <c r="O855" s="108"/>
      <c r="P855" s="108"/>
      <c r="Q855" s="108"/>
      <c r="R855" s="108"/>
      <c r="S855" s="108"/>
      <c r="T855" s="108"/>
      <c r="U855" s="108"/>
      <c r="V855" s="108"/>
      <c r="W855" s="108"/>
      <c r="X855" s="108"/>
      <c r="Y855" s="108"/>
      <c r="Z855" s="108"/>
      <c r="AA855" s="108"/>
      <c r="AB855" s="108"/>
      <c r="AC855" s="108"/>
      <c r="AD855" s="108"/>
      <c r="AE855" s="108"/>
      <c r="AF855" s="108"/>
      <c r="AG855" s="108"/>
      <c r="AH855" s="108"/>
      <c r="AI855" s="108"/>
      <c r="AJ855" s="108"/>
      <c r="AK855" s="108"/>
      <c r="AL855" s="108"/>
      <c r="AM855" s="108"/>
      <c r="AN855" s="108"/>
      <c r="AO855" s="108"/>
      <c r="AP855" s="108"/>
      <c r="AQ855" s="108"/>
      <c r="AR855" s="108"/>
      <c r="AS855" s="108"/>
      <c r="AT855" s="108"/>
      <c r="AU855" s="108"/>
      <c r="AV855" s="108"/>
      <c r="AW855" s="108"/>
      <c r="AX855" s="108"/>
      <c r="AY855" s="108"/>
      <c r="AZ855" s="108"/>
      <c r="BA855" s="108"/>
      <c r="BB855" s="108"/>
    </row>
    <row r="856" spans="3:54" ht="12.75" customHeight="1" x14ac:dyDescent="0.25">
      <c r="C856" s="108"/>
      <c r="D856" s="108"/>
      <c r="E856" s="108"/>
      <c r="F856" s="108"/>
      <c r="G856" s="108"/>
      <c r="H856" s="108"/>
      <c r="I856" s="108"/>
      <c r="J856" s="108"/>
      <c r="K856" s="108"/>
      <c r="L856" s="108"/>
      <c r="M856" s="108"/>
      <c r="N856" s="108"/>
      <c r="O856" s="108"/>
      <c r="P856" s="108"/>
      <c r="Q856" s="108"/>
      <c r="R856" s="108"/>
      <c r="S856" s="108"/>
      <c r="T856" s="108"/>
      <c r="U856" s="108"/>
      <c r="V856" s="108"/>
      <c r="W856" s="108"/>
      <c r="X856" s="108"/>
      <c r="Y856" s="108"/>
      <c r="Z856" s="108"/>
      <c r="AA856" s="108"/>
      <c r="AB856" s="108"/>
      <c r="AC856" s="108"/>
      <c r="AD856" s="108"/>
      <c r="AE856" s="108"/>
      <c r="AF856" s="108"/>
      <c r="AG856" s="108"/>
      <c r="AH856" s="108"/>
      <c r="AI856" s="108"/>
      <c r="AJ856" s="108"/>
      <c r="AK856" s="108"/>
      <c r="AL856" s="108"/>
      <c r="AM856" s="108"/>
      <c r="AN856" s="108"/>
      <c r="AO856" s="108"/>
      <c r="AP856" s="108"/>
      <c r="AQ856" s="108"/>
      <c r="AR856" s="108"/>
      <c r="AS856" s="108"/>
      <c r="AT856" s="108"/>
      <c r="AU856" s="108"/>
      <c r="AV856" s="108"/>
      <c r="AW856" s="108"/>
      <c r="AX856" s="108"/>
      <c r="AY856" s="108"/>
      <c r="AZ856" s="108"/>
      <c r="BA856" s="108"/>
      <c r="BB856" s="108"/>
    </row>
    <row r="857" spans="3:54" ht="12.75" customHeight="1" x14ac:dyDescent="0.25">
      <c r="C857" s="108"/>
      <c r="D857" s="108"/>
      <c r="E857" s="108"/>
      <c r="F857" s="108"/>
      <c r="G857" s="108"/>
      <c r="H857" s="108"/>
      <c r="I857" s="108"/>
      <c r="J857" s="108"/>
      <c r="K857" s="108"/>
      <c r="L857" s="108"/>
      <c r="M857" s="108"/>
      <c r="N857" s="108"/>
      <c r="O857" s="108"/>
      <c r="P857" s="108"/>
      <c r="Q857" s="108"/>
      <c r="R857" s="108"/>
      <c r="S857" s="108"/>
      <c r="T857" s="108"/>
      <c r="U857" s="108"/>
      <c r="V857" s="108"/>
      <c r="W857" s="108"/>
      <c r="X857" s="108"/>
      <c r="Y857" s="108"/>
      <c r="Z857" s="108"/>
      <c r="AA857" s="108"/>
      <c r="AB857" s="108"/>
      <c r="AC857" s="108"/>
      <c r="AD857" s="108"/>
      <c r="AE857" s="108"/>
      <c r="AF857" s="108"/>
      <c r="AG857" s="108"/>
      <c r="AH857" s="108"/>
      <c r="AI857" s="108"/>
      <c r="AJ857" s="108"/>
      <c r="AK857" s="108"/>
      <c r="AL857" s="108"/>
      <c r="AM857" s="108"/>
      <c r="AN857" s="108"/>
      <c r="AO857" s="108"/>
      <c r="AP857" s="108"/>
      <c r="AQ857" s="108"/>
      <c r="AR857" s="108"/>
      <c r="AS857" s="108"/>
      <c r="AT857" s="108"/>
      <c r="AU857" s="108"/>
      <c r="AV857" s="108"/>
      <c r="AW857" s="108"/>
      <c r="AX857" s="108"/>
      <c r="AY857" s="108"/>
      <c r="AZ857" s="108"/>
      <c r="BA857" s="108"/>
      <c r="BB857" s="108"/>
    </row>
    <row r="858" spans="3:54" ht="12.75" customHeight="1" x14ac:dyDescent="0.25">
      <c r="C858" s="108"/>
      <c r="D858" s="108"/>
      <c r="E858" s="108"/>
      <c r="F858" s="108"/>
      <c r="G858" s="108"/>
      <c r="H858" s="108"/>
      <c r="I858" s="108"/>
      <c r="J858" s="108"/>
      <c r="K858" s="108"/>
      <c r="L858" s="108"/>
      <c r="M858" s="108"/>
      <c r="N858" s="108"/>
      <c r="O858" s="108"/>
      <c r="P858" s="108"/>
      <c r="Q858" s="108"/>
      <c r="R858" s="108"/>
      <c r="S858" s="108"/>
      <c r="T858" s="108"/>
      <c r="U858" s="108"/>
      <c r="V858" s="108"/>
      <c r="W858" s="108"/>
      <c r="X858" s="108"/>
      <c r="Y858" s="108"/>
      <c r="Z858" s="108"/>
      <c r="AA858" s="108"/>
      <c r="AB858" s="108"/>
      <c r="AC858" s="108"/>
      <c r="AD858" s="108"/>
      <c r="AE858" s="108"/>
      <c r="AF858" s="108"/>
      <c r="AG858" s="108"/>
      <c r="AH858" s="108"/>
      <c r="AI858" s="108"/>
      <c r="AJ858" s="108"/>
      <c r="AK858" s="108"/>
      <c r="AL858" s="108"/>
      <c r="AM858" s="108"/>
      <c r="AN858" s="108"/>
      <c r="AO858" s="108"/>
      <c r="AP858" s="108"/>
      <c r="AQ858" s="108"/>
      <c r="AR858" s="108"/>
      <c r="AS858" s="108"/>
      <c r="AT858" s="108"/>
      <c r="AU858" s="108"/>
      <c r="AV858" s="108"/>
      <c r="AW858" s="108"/>
      <c r="AX858" s="108"/>
      <c r="AY858" s="108"/>
      <c r="AZ858" s="108"/>
      <c r="BA858" s="108"/>
      <c r="BB858" s="108"/>
    </row>
    <row r="859" spans="3:54" ht="12.75" customHeight="1" x14ac:dyDescent="0.25">
      <c r="C859" s="108"/>
      <c r="D859" s="108"/>
      <c r="E859" s="108"/>
      <c r="F859" s="108"/>
      <c r="G859" s="108"/>
      <c r="H859" s="108"/>
      <c r="I859" s="108"/>
      <c r="J859" s="108"/>
      <c r="K859" s="108"/>
      <c r="L859" s="108"/>
      <c r="M859" s="108"/>
      <c r="N859" s="108"/>
      <c r="O859" s="108"/>
      <c r="P859" s="108"/>
      <c r="Q859" s="108"/>
      <c r="R859" s="108"/>
      <c r="S859" s="108"/>
      <c r="T859" s="108"/>
      <c r="U859" s="108"/>
      <c r="V859" s="108"/>
      <c r="W859" s="108"/>
      <c r="X859" s="108"/>
      <c r="Y859" s="108"/>
      <c r="Z859" s="108"/>
      <c r="AA859" s="108"/>
      <c r="AB859" s="108"/>
      <c r="AC859" s="108"/>
      <c r="AD859" s="108"/>
      <c r="AE859" s="108"/>
      <c r="AF859" s="108"/>
      <c r="AG859" s="108"/>
      <c r="AH859" s="108"/>
      <c r="AI859" s="108"/>
      <c r="AJ859" s="108"/>
      <c r="AK859" s="108"/>
      <c r="AL859" s="108"/>
      <c r="AM859" s="108"/>
      <c r="AN859" s="108"/>
      <c r="AO859" s="108"/>
      <c r="AP859" s="108"/>
      <c r="AQ859" s="108"/>
      <c r="AR859" s="108"/>
      <c r="AS859" s="108"/>
      <c r="AT859" s="108"/>
      <c r="AU859" s="108"/>
      <c r="AV859" s="108"/>
      <c r="AW859" s="108"/>
      <c r="AX859" s="108"/>
      <c r="AY859" s="108"/>
      <c r="AZ859" s="108"/>
      <c r="BA859" s="108"/>
      <c r="BB859" s="108"/>
    </row>
    <row r="860" spans="3:54" ht="12.75" customHeight="1" x14ac:dyDescent="0.25">
      <c r="C860" s="108"/>
      <c r="D860" s="108"/>
      <c r="E860" s="108"/>
      <c r="F860" s="108"/>
      <c r="G860" s="108"/>
      <c r="H860" s="108"/>
      <c r="I860" s="108"/>
      <c r="J860" s="108"/>
      <c r="K860" s="108"/>
      <c r="L860" s="108"/>
      <c r="M860" s="108"/>
      <c r="N860" s="108"/>
      <c r="O860" s="108"/>
      <c r="P860" s="108"/>
      <c r="Q860" s="108"/>
      <c r="R860" s="108"/>
      <c r="S860" s="108"/>
      <c r="T860" s="108"/>
      <c r="U860" s="108"/>
      <c r="V860" s="108"/>
      <c r="W860" s="108"/>
      <c r="X860" s="108"/>
      <c r="Y860" s="108"/>
      <c r="Z860" s="108"/>
      <c r="AA860" s="108"/>
      <c r="AB860" s="108"/>
      <c r="AC860" s="108"/>
      <c r="AD860" s="108"/>
      <c r="AE860" s="108"/>
      <c r="AF860" s="108"/>
      <c r="AG860" s="108"/>
      <c r="AH860" s="108"/>
      <c r="AI860" s="108"/>
      <c r="AJ860" s="108"/>
      <c r="AK860" s="108"/>
      <c r="AL860" s="108"/>
      <c r="AM860" s="108"/>
      <c r="AN860" s="108"/>
      <c r="AO860" s="108"/>
      <c r="AP860" s="108"/>
      <c r="AQ860" s="108"/>
      <c r="AR860" s="108"/>
      <c r="AS860" s="108"/>
      <c r="AT860" s="108"/>
      <c r="AU860" s="108"/>
      <c r="AV860" s="108"/>
      <c r="AW860" s="108"/>
      <c r="AX860" s="108"/>
      <c r="AY860" s="108"/>
      <c r="AZ860" s="108"/>
      <c r="BA860" s="108"/>
      <c r="BB860" s="108"/>
    </row>
    <row r="861" spans="3:54" ht="12.75" customHeight="1" x14ac:dyDescent="0.25">
      <c r="C861" s="108"/>
      <c r="D861" s="108"/>
      <c r="E861" s="108"/>
      <c r="F861" s="108"/>
      <c r="G861" s="108"/>
      <c r="H861" s="108"/>
      <c r="I861" s="108"/>
      <c r="J861" s="108"/>
      <c r="K861" s="108"/>
      <c r="L861" s="108"/>
      <c r="M861" s="108"/>
      <c r="N861" s="108"/>
      <c r="O861" s="108"/>
      <c r="P861" s="108"/>
      <c r="Q861" s="108"/>
      <c r="R861" s="108"/>
      <c r="S861" s="108"/>
      <c r="T861" s="108"/>
      <c r="U861" s="108"/>
      <c r="V861" s="108"/>
      <c r="W861" s="108"/>
      <c r="X861" s="108"/>
      <c r="Y861" s="108"/>
      <c r="Z861" s="108"/>
      <c r="AA861" s="108"/>
      <c r="AB861" s="108"/>
      <c r="AC861" s="108"/>
      <c r="AD861" s="108"/>
      <c r="AE861" s="108"/>
      <c r="AF861" s="108"/>
      <c r="AG861" s="108"/>
      <c r="AH861" s="108"/>
      <c r="AI861" s="108"/>
      <c r="AJ861" s="108"/>
      <c r="AK861" s="108"/>
      <c r="AL861" s="108"/>
      <c r="AM861" s="108"/>
      <c r="AN861" s="108"/>
      <c r="AO861" s="108"/>
      <c r="AP861" s="108"/>
      <c r="AQ861" s="108"/>
      <c r="AR861" s="108"/>
      <c r="AS861" s="108"/>
      <c r="AT861" s="108"/>
      <c r="AU861" s="108"/>
      <c r="AV861" s="108"/>
      <c r="AW861" s="108"/>
      <c r="AX861" s="108"/>
      <c r="AY861" s="108"/>
      <c r="AZ861" s="108"/>
      <c r="BA861" s="108"/>
      <c r="BB861" s="108"/>
    </row>
    <row r="862" spans="3:54" ht="12.75" customHeight="1" x14ac:dyDescent="0.25">
      <c r="C862" s="108"/>
      <c r="D862" s="108"/>
      <c r="E862" s="108"/>
      <c r="F862" s="108"/>
      <c r="G862" s="108"/>
      <c r="H862" s="108"/>
      <c r="I862" s="108"/>
      <c r="J862" s="108"/>
      <c r="K862" s="108"/>
      <c r="L862" s="108"/>
      <c r="M862" s="108"/>
      <c r="N862" s="108"/>
      <c r="O862" s="108"/>
      <c r="P862" s="108"/>
      <c r="Q862" s="108"/>
      <c r="R862" s="108"/>
      <c r="S862" s="108"/>
      <c r="T862" s="108"/>
      <c r="U862" s="108"/>
      <c r="V862" s="108"/>
      <c r="W862" s="108"/>
      <c r="X862" s="108"/>
      <c r="Y862" s="108"/>
      <c r="Z862" s="108"/>
      <c r="AA862" s="108"/>
      <c r="AB862" s="108"/>
      <c r="AC862" s="108"/>
      <c r="AD862" s="108"/>
      <c r="AE862" s="108"/>
      <c r="AF862" s="108"/>
      <c r="AG862" s="108"/>
      <c r="AH862" s="108"/>
      <c r="AI862" s="108"/>
      <c r="AJ862" s="108"/>
      <c r="AK862" s="108"/>
      <c r="AL862" s="108"/>
      <c r="AM862" s="108"/>
      <c r="AN862" s="108"/>
      <c r="AO862" s="108"/>
      <c r="AP862" s="108"/>
      <c r="AQ862" s="108"/>
      <c r="AR862" s="108"/>
      <c r="AS862" s="108"/>
      <c r="AT862" s="108"/>
      <c r="AU862" s="108"/>
      <c r="AV862" s="108"/>
      <c r="AW862" s="108"/>
      <c r="AX862" s="108"/>
      <c r="AY862" s="108"/>
      <c r="AZ862" s="108"/>
      <c r="BA862" s="108"/>
      <c r="BB862" s="108"/>
    </row>
    <row r="863" spans="3:54" ht="12.75" customHeight="1" x14ac:dyDescent="0.25">
      <c r="C863" s="108"/>
      <c r="D863" s="108"/>
      <c r="E863" s="108"/>
      <c r="F863" s="108"/>
      <c r="G863" s="108"/>
      <c r="H863" s="108"/>
      <c r="I863" s="108"/>
      <c r="J863" s="108"/>
      <c r="K863" s="108"/>
      <c r="L863" s="108"/>
      <c r="M863" s="108"/>
      <c r="N863" s="108"/>
      <c r="O863" s="108"/>
      <c r="P863" s="108"/>
      <c r="Q863" s="108"/>
      <c r="R863" s="108"/>
      <c r="S863" s="108"/>
      <c r="T863" s="108"/>
      <c r="U863" s="108"/>
      <c r="V863" s="108"/>
      <c r="W863" s="108"/>
      <c r="X863" s="108"/>
      <c r="Y863" s="108"/>
      <c r="Z863" s="108"/>
      <c r="AA863" s="108"/>
      <c r="AB863" s="108"/>
      <c r="AC863" s="108"/>
      <c r="AD863" s="108"/>
      <c r="AE863" s="108"/>
      <c r="AF863" s="108"/>
      <c r="AG863" s="108"/>
      <c r="AH863" s="108"/>
      <c r="AI863" s="108"/>
      <c r="AJ863" s="108"/>
      <c r="AK863" s="108"/>
      <c r="AL863" s="108"/>
      <c r="AM863" s="108"/>
      <c r="AN863" s="108"/>
      <c r="AO863" s="108"/>
      <c r="AP863" s="108"/>
      <c r="AQ863" s="108"/>
      <c r="AR863" s="108"/>
      <c r="AS863" s="108"/>
      <c r="AT863" s="108"/>
      <c r="AU863" s="108"/>
      <c r="AV863" s="108"/>
      <c r="AW863" s="108"/>
      <c r="AX863" s="108"/>
      <c r="AY863" s="108"/>
      <c r="AZ863" s="108"/>
      <c r="BA863" s="108"/>
      <c r="BB863" s="108"/>
    </row>
    <row r="864" spans="3:54" ht="12.75" customHeight="1" x14ac:dyDescent="0.25">
      <c r="C864" s="108"/>
      <c r="D864" s="108"/>
      <c r="E864" s="108"/>
      <c r="F864" s="108"/>
      <c r="G864" s="108"/>
      <c r="H864" s="108"/>
      <c r="I864" s="108"/>
      <c r="J864" s="108"/>
      <c r="K864" s="108"/>
      <c r="L864" s="108"/>
      <c r="M864" s="108"/>
      <c r="N864" s="108"/>
      <c r="O864" s="108"/>
      <c r="P864" s="108"/>
      <c r="Q864" s="108"/>
      <c r="R864" s="108"/>
      <c r="S864" s="108"/>
      <c r="T864" s="108"/>
      <c r="U864" s="108"/>
      <c r="V864" s="108"/>
      <c r="W864" s="108"/>
      <c r="X864" s="108"/>
      <c r="Y864" s="108"/>
      <c r="Z864" s="108"/>
      <c r="AA864" s="108"/>
      <c r="AB864" s="108"/>
      <c r="AC864" s="108"/>
      <c r="AD864" s="108"/>
      <c r="AE864" s="108"/>
      <c r="AF864" s="108"/>
      <c r="AG864" s="108"/>
      <c r="AH864" s="108"/>
      <c r="AI864" s="108"/>
      <c r="AJ864" s="108"/>
      <c r="AK864" s="108"/>
      <c r="AL864" s="108"/>
      <c r="AM864" s="108"/>
      <c r="AN864" s="108"/>
      <c r="AO864" s="108"/>
      <c r="AP864" s="108"/>
      <c r="AQ864" s="108"/>
      <c r="AR864" s="108"/>
      <c r="AS864" s="108"/>
      <c r="AT864" s="108"/>
      <c r="AU864" s="108"/>
      <c r="AV864" s="108"/>
      <c r="AW864" s="108"/>
      <c r="AX864" s="108"/>
      <c r="AY864" s="108"/>
      <c r="AZ864" s="108"/>
      <c r="BA864" s="108"/>
      <c r="BB864" s="108"/>
    </row>
    <row r="865" spans="3:54" ht="12.75" customHeight="1" x14ac:dyDescent="0.25">
      <c r="C865" s="108"/>
      <c r="D865" s="108"/>
      <c r="E865" s="108"/>
      <c r="F865" s="108"/>
      <c r="G865" s="108"/>
      <c r="H865" s="108"/>
      <c r="I865" s="108"/>
      <c r="J865" s="108"/>
      <c r="K865" s="108"/>
      <c r="L865" s="108"/>
      <c r="M865" s="108"/>
      <c r="N865" s="108"/>
      <c r="O865" s="108"/>
      <c r="P865" s="108"/>
      <c r="Q865" s="108"/>
      <c r="R865" s="108"/>
      <c r="S865" s="108"/>
      <c r="T865" s="108"/>
      <c r="U865" s="108"/>
      <c r="V865" s="108"/>
      <c r="W865" s="108"/>
      <c r="X865" s="108"/>
      <c r="Y865" s="108"/>
      <c r="Z865" s="108"/>
      <c r="AA865" s="108"/>
      <c r="AB865" s="108"/>
      <c r="AC865" s="108"/>
      <c r="AD865" s="108"/>
      <c r="AE865" s="108"/>
      <c r="AF865" s="108"/>
      <c r="AG865" s="108"/>
      <c r="AH865" s="108"/>
      <c r="AI865" s="108"/>
      <c r="AJ865" s="108"/>
      <c r="AK865" s="108"/>
      <c r="AL865" s="108"/>
      <c r="AM865" s="108"/>
      <c r="AN865" s="108"/>
      <c r="AO865" s="108"/>
      <c r="AP865" s="108"/>
      <c r="AQ865" s="108"/>
      <c r="AR865" s="108"/>
      <c r="AS865" s="108"/>
      <c r="AT865" s="108"/>
      <c r="AU865" s="108"/>
      <c r="AV865" s="108"/>
      <c r="AW865" s="108"/>
      <c r="AX865" s="108"/>
      <c r="AY865" s="108"/>
      <c r="AZ865" s="108"/>
      <c r="BA865" s="108"/>
      <c r="BB865" s="108"/>
    </row>
    <row r="866" spans="3:54" ht="12.75" customHeight="1" x14ac:dyDescent="0.25">
      <c r="C866" s="108"/>
      <c r="D866" s="108"/>
      <c r="E866" s="108"/>
      <c r="F866" s="108"/>
      <c r="G866" s="108"/>
      <c r="H866" s="108"/>
      <c r="I866" s="108"/>
      <c r="J866" s="108"/>
      <c r="K866" s="108"/>
      <c r="L866" s="108"/>
      <c r="M866" s="108"/>
      <c r="N866" s="108"/>
      <c r="O866" s="108"/>
      <c r="P866" s="108"/>
      <c r="Q866" s="108"/>
      <c r="R866" s="108"/>
      <c r="S866" s="108"/>
      <c r="T866" s="108"/>
      <c r="U866" s="108"/>
      <c r="V866" s="108"/>
      <c r="W866" s="108"/>
      <c r="X866" s="108"/>
      <c r="Y866" s="108"/>
      <c r="Z866" s="108"/>
      <c r="AA866" s="108"/>
      <c r="AB866" s="108"/>
      <c r="AC866" s="108"/>
      <c r="AD866" s="108"/>
      <c r="AE866" s="108"/>
      <c r="AF866" s="108"/>
      <c r="AG866" s="108"/>
      <c r="AH866" s="108"/>
      <c r="AI866" s="108"/>
      <c r="AJ866" s="108"/>
      <c r="AK866" s="108"/>
      <c r="AL866" s="108"/>
      <c r="AM866" s="108"/>
      <c r="AN866" s="108"/>
      <c r="AO866" s="108"/>
      <c r="AP866" s="108"/>
      <c r="AQ866" s="108"/>
      <c r="AR866" s="108"/>
      <c r="AS866" s="108"/>
      <c r="AT866" s="108"/>
      <c r="AU866" s="108"/>
      <c r="AV866" s="108"/>
      <c r="AW866" s="108"/>
      <c r="AX866" s="108"/>
      <c r="AY866" s="108"/>
      <c r="AZ866" s="108"/>
      <c r="BA866" s="108"/>
      <c r="BB866" s="108"/>
    </row>
    <row r="867" spans="3:54" ht="12.75" customHeight="1" x14ac:dyDescent="0.25">
      <c r="C867" s="108"/>
      <c r="D867" s="108"/>
      <c r="E867" s="108"/>
      <c r="F867" s="108"/>
      <c r="G867" s="108"/>
      <c r="H867" s="108"/>
      <c r="I867" s="108"/>
      <c r="J867" s="108"/>
      <c r="K867" s="108"/>
      <c r="L867" s="108"/>
      <c r="M867" s="108"/>
      <c r="N867" s="108"/>
      <c r="O867" s="108"/>
      <c r="P867" s="108"/>
      <c r="Q867" s="108"/>
      <c r="R867" s="108"/>
      <c r="S867" s="108"/>
      <c r="T867" s="108"/>
      <c r="U867" s="108"/>
      <c r="V867" s="108"/>
      <c r="W867" s="108"/>
      <c r="X867" s="108"/>
      <c r="Y867" s="108"/>
      <c r="Z867" s="108"/>
      <c r="AA867" s="108"/>
      <c r="AB867" s="108"/>
      <c r="AC867" s="108"/>
      <c r="AD867" s="108"/>
      <c r="AE867" s="108"/>
      <c r="AF867" s="108"/>
      <c r="AG867" s="108"/>
      <c r="AH867" s="108"/>
      <c r="AI867" s="108"/>
      <c r="AJ867" s="108"/>
      <c r="AK867" s="108"/>
      <c r="AL867" s="108"/>
      <c r="AM867" s="108"/>
      <c r="AN867" s="108"/>
      <c r="AO867" s="108"/>
      <c r="AP867" s="108"/>
      <c r="AQ867" s="108"/>
      <c r="AR867" s="108"/>
      <c r="AS867" s="108"/>
      <c r="AT867" s="108"/>
      <c r="AU867" s="108"/>
      <c r="AV867" s="108"/>
      <c r="AW867" s="108"/>
      <c r="AX867" s="108"/>
      <c r="AY867" s="108"/>
      <c r="AZ867" s="108"/>
      <c r="BA867" s="108"/>
      <c r="BB867" s="108"/>
    </row>
    <row r="868" spans="3:54" ht="12.75" customHeight="1" x14ac:dyDescent="0.25">
      <c r="C868" s="108"/>
      <c r="D868" s="108"/>
      <c r="E868" s="108"/>
      <c r="F868" s="108"/>
      <c r="G868" s="108"/>
      <c r="H868" s="108"/>
      <c r="I868" s="108"/>
      <c r="J868" s="108"/>
      <c r="K868" s="108"/>
      <c r="L868" s="108"/>
      <c r="M868" s="108"/>
      <c r="N868" s="108"/>
      <c r="O868" s="108"/>
      <c r="P868" s="108"/>
      <c r="Q868" s="108"/>
      <c r="R868" s="108"/>
      <c r="S868" s="108"/>
      <c r="T868" s="108"/>
      <c r="U868" s="108"/>
      <c r="V868" s="108"/>
      <c r="W868" s="108"/>
      <c r="X868" s="108"/>
      <c r="Y868" s="108"/>
      <c r="Z868" s="108"/>
      <c r="AA868" s="108"/>
      <c r="AB868" s="108"/>
      <c r="AC868" s="108"/>
      <c r="AD868" s="108"/>
      <c r="AE868" s="108"/>
      <c r="AF868" s="108"/>
      <c r="AG868" s="108"/>
      <c r="AH868" s="108"/>
      <c r="AI868" s="108"/>
      <c r="AJ868" s="108"/>
      <c r="AK868" s="108"/>
      <c r="AL868" s="108"/>
      <c r="AM868" s="108"/>
      <c r="AN868" s="108"/>
      <c r="AO868" s="108"/>
      <c r="AP868" s="108"/>
      <c r="AQ868" s="108"/>
      <c r="AR868" s="108"/>
      <c r="AS868" s="108"/>
      <c r="AT868" s="108"/>
      <c r="AU868" s="108"/>
      <c r="AV868" s="108"/>
      <c r="AW868" s="108"/>
      <c r="AX868" s="108"/>
      <c r="AY868" s="108"/>
      <c r="AZ868" s="108"/>
      <c r="BA868" s="108"/>
      <c r="BB868" s="108"/>
    </row>
    <row r="869" spans="3:54" ht="12.75" customHeight="1" x14ac:dyDescent="0.25">
      <c r="C869" s="108"/>
      <c r="D869" s="108"/>
      <c r="E869" s="108"/>
      <c r="F869" s="108"/>
      <c r="G869" s="108"/>
      <c r="H869" s="108"/>
      <c r="I869" s="108"/>
      <c r="J869" s="108"/>
      <c r="K869" s="108"/>
      <c r="L869" s="108"/>
      <c r="M869" s="108"/>
      <c r="N869" s="108"/>
      <c r="O869" s="108"/>
      <c r="P869" s="108"/>
      <c r="Q869" s="108"/>
      <c r="R869" s="108"/>
      <c r="S869" s="108"/>
      <c r="T869" s="108"/>
      <c r="U869" s="108"/>
      <c r="V869" s="108"/>
      <c r="W869" s="108"/>
      <c r="X869" s="108"/>
      <c r="Y869" s="108"/>
      <c r="Z869" s="108"/>
      <c r="AA869" s="108"/>
      <c r="AB869" s="108"/>
      <c r="AC869" s="108"/>
      <c r="AD869" s="108"/>
      <c r="AE869" s="108"/>
      <c r="AF869" s="108"/>
      <c r="AG869" s="108"/>
      <c r="AH869" s="108"/>
      <c r="AI869" s="108"/>
      <c r="AJ869" s="108"/>
      <c r="AK869" s="108"/>
      <c r="AL869" s="108"/>
      <c r="AM869" s="108"/>
      <c r="AN869" s="108"/>
      <c r="AO869" s="108"/>
      <c r="AP869" s="108"/>
      <c r="AQ869" s="108"/>
      <c r="AR869" s="108"/>
      <c r="AS869" s="108"/>
      <c r="AT869" s="108"/>
      <c r="AU869" s="108"/>
      <c r="AV869" s="108"/>
      <c r="AW869" s="108"/>
      <c r="AX869" s="108"/>
      <c r="AY869" s="108"/>
      <c r="AZ869" s="108"/>
      <c r="BA869" s="108"/>
      <c r="BB869" s="108"/>
    </row>
    <row r="870" spans="3:54" ht="12.75" customHeight="1" x14ac:dyDescent="0.25">
      <c r="C870" s="108"/>
      <c r="D870" s="108"/>
      <c r="E870" s="108"/>
      <c r="F870" s="108"/>
      <c r="G870" s="108"/>
      <c r="H870" s="108"/>
      <c r="I870" s="108"/>
      <c r="J870" s="108"/>
      <c r="K870" s="108"/>
      <c r="L870" s="108"/>
      <c r="M870" s="108"/>
      <c r="N870" s="108"/>
      <c r="O870" s="108"/>
      <c r="P870" s="108"/>
      <c r="Q870" s="108"/>
      <c r="R870" s="108"/>
      <c r="S870" s="108"/>
      <c r="T870" s="108"/>
      <c r="U870" s="108"/>
      <c r="V870" s="108"/>
      <c r="W870" s="108"/>
      <c r="X870" s="108"/>
      <c r="Y870" s="108"/>
      <c r="Z870" s="108"/>
      <c r="AA870" s="108"/>
      <c r="AB870" s="108"/>
      <c r="AC870" s="108"/>
      <c r="AD870" s="108"/>
      <c r="AE870" s="108"/>
      <c r="AF870" s="108"/>
      <c r="AG870" s="108"/>
      <c r="AH870" s="108"/>
      <c r="AI870" s="108"/>
      <c r="AJ870" s="108"/>
      <c r="AK870" s="108"/>
      <c r="AL870" s="108"/>
      <c r="AM870" s="108"/>
      <c r="AN870" s="108"/>
      <c r="AO870" s="108"/>
      <c r="AP870" s="108"/>
      <c r="AQ870" s="108"/>
      <c r="AR870" s="108"/>
      <c r="AS870" s="108"/>
      <c r="AT870" s="108"/>
      <c r="AU870" s="108"/>
      <c r="AV870" s="108"/>
      <c r="AW870" s="108"/>
      <c r="AX870" s="108"/>
      <c r="AY870" s="108"/>
      <c r="AZ870" s="108"/>
      <c r="BA870" s="108"/>
      <c r="BB870" s="108"/>
    </row>
    <row r="871" spans="3:54" ht="12.75" customHeight="1" x14ac:dyDescent="0.25">
      <c r="C871" s="108"/>
      <c r="D871" s="108"/>
      <c r="E871" s="108"/>
      <c r="F871" s="108"/>
      <c r="G871" s="108"/>
      <c r="H871" s="108"/>
      <c r="I871" s="108"/>
      <c r="J871" s="108"/>
      <c r="K871" s="108"/>
      <c r="L871" s="108"/>
      <c r="M871" s="108"/>
      <c r="N871" s="108"/>
      <c r="O871" s="108"/>
      <c r="P871" s="108"/>
      <c r="Q871" s="108"/>
      <c r="R871" s="108"/>
      <c r="S871" s="108"/>
      <c r="T871" s="108"/>
      <c r="U871" s="108"/>
      <c r="V871" s="108"/>
      <c r="W871" s="108"/>
      <c r="X871" s="108"/>
      <c r="Y871" s="108"/>
      <c r="Z871" s="108"/>
      <c r="AA871" s="108"/>
      <c r="AB871" s="108"/>
      <c r="AC871" s="108"/>
      <c r="AD871" s="108"/>
      <c r="AE871" s="108"/>
      <c r="AF871" s="108"/>
      <c r="AG871" s="108"/>
      <c r="AH871" s="108"/>
      <c r="AI871" s="108"/>
      <c r="AJ871" s="108"/>
      <c r="AK871" s="108"/>
      <c r="AL871" s="108"/>
      <c r="AM871" s="108"/>
      <c r="AN871" s="108"/>
      <c r="AO871" s="108"/>
      <c r="AP871" s="108"/>
      <c r="AQ871" s="108"/>
      <c r="AR871" s="108"/>
      <c r="AS871" s="108"/>
      <c r="AT871" s="108"/>
      <c r="AU871" s="108"/>
      <c r="AV871" s="108"/>
      <c r="AW871" s="108"/>
      <c r="AX871" s="108"/>
      <c r="AY871" s="108"/>
      <c r="AZ871" s="108"/>
      <c r="BA871" s="108"/>
      <c r="BB871" s="108"/>
    </row>
    <row r="872" spans="3:54" ht="12.75" customHeight="1" x14ac:dyDescent="0.25">
      <c r="C872" s="108"/>
      <c r="D872" s="108"/>
      <c r="E872" s="108"/>
      <c r="F872" s="108"/>
      <c r="G872" s="108"/>
      <c r="H872" s="108"/>
      <c r="I872" s="108"/>
      <c r="J872" s="108"/>
      <c r="K872" s="108"/>
      <c r="L872" s="108"/>
      <c r="M872" s="108"/>
      <c r="N872" s="108"/>
      <c r="O872" s="108"/>
      <c r="P872" s="108"/>
      <c r="Q872" s="108"/>
      <c r="R872" s="108"/>
      <c r="S872" s="108"/>
      <c r="T872" s="108"/>
      <c r="U872" s="108"/>
      <c r="V872" s="108"/>
      <c r="W872" s="108"/>
      <c r="X872" s="108"/>
      <c r="Y872" s="108"/>
      <c r="Z872" s="108"/>
      <c r="AA872" s="108"/>
      <c r="AB872" s="108"/>
      <c r="AC872" s="108"/>
      <c r="AD872" s="108"/>
      <c r="AE872" s="108"/>
      <c r="AF872" s="108"/>
      <c r="AG872" s="108"/>
      <c r="AH872" s="108"/>
      <c r="AI872" s="108"/>
      <c r="AJ872" s="108"/>
      <c r="AK872" s="108"/>
      <c r="AL872" s="108"/>
      <c r="AM872" s="108"/>
      <c r="AN872" s="108"/>
      <c r="AO872" s="108"/>
      <c r="AP872" s="108"/>
      <c r="AQ872" s="108"/>
      <c r="AR872" s="108"/>
      <c r="AS872" s="108"/>
      <c r="AT872" s="108"/>
      <c r="AU872" s="108"/>
      <c r="AV872" s="108"/>
      <c r="AW872" s="108"/>
      <c r="AX872" s="108"/>
      <c r="AY872" s="108"/>
      <c r="AZ872" s="108"/>
      <c r="BA872" s="108"/>
      <c r="BB872" s="108"/>
    </row>
    <row r="873" spans="3:54" ht="12.75" customHeight="1" x14ac:dyDescent="0.25">
      <c r="C873" s="108"/>
      <c r="D873" s="108"/>
      <c r="E873" s="108"/>
      <c r="F873" s="108"/>
      <c r="G873" s="108"/>
      <c r="H873" s="108"/>
      <c r="I873" s="108"/>
      <c r="J873" s="108"/>
      <c r="K873" s="108"/>
      <c r="L873" s="108"/>
      <c r="M873" s="108"/>
      <c r="N873" s="108"/>
      <c r="O873" s="108"/>
      <c r="P873" s="108"/>
      <c r="Q873" s="108"/>
      <c r="R873" s="108"/>
      <c r="S873" s="108"/>
      <c r="T873" s="108"/>
      <c r="U873" s="108"/>
      <c r="V873" s="108"/>
      <c r="W873" s="108"/>
      <c r="X873" s="108"/>
      <c r="Y873" s="108"/>
      <c r="Z873" s="108"/>
      <c r="AA873" s="108"/>
      <c r="AB873" s="108"/>
      <c r="AC873" s="108"/>
      <c r="AD873" s="108"/>
      <c r="AE873" s="108"/>
      <c r="AF873" s="108"/>
      <c r="AG873" s="108"/>
      <c r="AH873" s="108"/>
      <c r="AI873" s="108"/>
      <c r="AJ873" s="108"/>
      <c r="AK873" s="108"/>
      <c r="AL873" s="108"/>
      <c r="AM873" s="108"/>
      <c r="AN873" s="108"/>
      <c r="AO873" s="108"/>
      <c r="AP873" s="108"/>
      <c r="AQ873" s="108"/>
      <c r="AR873" s="108"/>
      <c r="AS873" s="108"/>
      <c r="AT873" s="108"/>
      <c r="AU873" s="108"/>
      <c r="AV873" s="108"/>
      <c r="AW873" s="108"/>
      <c r="AX873" s="108"/>
      <c r="AY873" s="108"/>
      <c r="AZ873" s="108"/>
      <c r="BA873" s="108"/>
      <c r="BB873" s="108"/>
    </row>
    <row r="874" spans="3:54" ht="12.75" customHeight="1" x14ac:dyDescent="0.25">
      <c r="C874" s="108"/>
      <c r="D874" s="108"/>
      <c r="E874" s="108"/>
      <c r="F874" s="108"/>
      <c r="G874" s="108"/>
      <c r="H874" s="108"/>
      <c r="I874" s="108"/>
      <c r="J874" s="108"/>
      <c r="K874" s="108"/>
      <c r="L874" s="108"/>
      <c r="M874" s="108"/>
      <c r="N874" s="108"/>
      <c r="O874" s="108"/>
      <c r="P874" s="108"/>
      <c r="Q874" s="108"/>
      <c r="R874" s="108"/>
      <c r="S874" s="108"/>
      <c r="T874" s="108"/>
      <c r="U874" s="108"/>
      <c r="V874" s="108"/>
      <c r="W874" s="108"/>
      <c r="X874" s="108"/>
      <c r="Y874" s="108"/>
      <c r="Z874" s="108"/>
      <c r="AA874" s="108"/>
      <c r="AB874" s="108"/>
      <c r="AC874" s="108"/>
      <c r="AD874" s="108"/>
      <c r="AE874" s="108"/>
      <c r="AF874" s="108"/>
      <c r="AG874" s="108"/>
      <c r="AH874" s="108"/>
      <c r="AI874" s="108"/>
      <c r="AJ874" s="108"/>
      <c r="AK874" s="108"/>
      <c r="AL874" s="108"/>
      <c r="AM874" s="108"/>
      <c r="AN874" s="108"/>
      <c r="AO874" s="108"/>
      <c r="AP874" s="108"/>
      <c r="AQ874" s="108"/>
      <c r="AR874" s="108"/>
      <c r="AS874" s="108"/>
      <c r="AT874" s="108"/>
      <c r="AU874" s="108"/>
      <c r="AV874" s="108"/>
      <c r="AW874" s="108"/>
      <c r="AX874" s="108"/>
      <c r="AY874" s="108"/>
      <c r="AZ874" s="108"/>
      <c r="BA874" s="108"/>
      <c r="BB874" s="108"/>
    </row>
    <row r="875" spans="3:54" ht="12.75" customHeight="1" x14ac:dyDescent="0.25">
      <c r="C875" s="108"/>
      <c r="D875" s="108"/>
      <c r="E875" s="108"/>
      <c r="F875" s="108"/>
      <c r="G875" s="108"/>
      <c r="H875" s="108"/>
      <c r="I875" s="108"/>
      <c r="J875" s="108"/>
      <c r="K875" s="108"/>
      <c r="L875" s="108"/>
      <c r="M875" s="108"/>
      <c r="N875" s="108"/>
      <c r="O875" s="108"/>
      <c r="P875" s="108"/>
      <c r="Q875" s="108"/>
      <c r="R875" s="108"/>
      <c r="S875" s="108"/>
      <c r="T875" s="108"/>
      <c r="U875" s="108"/>
      <c r="V875" s="108"/>
      <c r="W875" s="108"/>
      <c r="X875" s="108"/>
      <c r="Y875" s="108"/>
      <c r="Z875" s="108"/>
      <c r="AA875" s="108"/>
      <c r="AB875" s="108"/>
      <c r="AC875" s="108"/>
      <c r="AD875" s="108"/>
      <c r="AE875" s="108"/>
      <c r="AF875" s="108"/>
      <c r="AG875" s="108"/>
      <c r="AH875" s="108"/>
      <c r="AI875" s="108"/>
      <c r="AJ875" s="108"/>
      <c r="AK875" s="108"/>
      <c r="AL875" s="108"/>
      <c r="AM875" s="108"/>
      <c r="AN875" s="108"/>
      <c r="AO875" s="108"/>
      <c r="AP875" s="108"/>
      <c r="AQ875" s="108"/>
      <c r="AR875" s="108"/>
      <c r="AS875" s="108"/>
      <c r="AT875" s="108"/>
      <c r="AU875" s="108"/>
      <c r="AV875" s="108"/>
      <c r="AW875" s="108"/>
      <c r="AX875" s="108"/>
      <c r="AY875" s="108"/>
      <c r="AZ875" s="108"/>
      <c r="BA875" s="108"/>
      <c r="BB875" s="108"/>
    </row>
    <row r="876" spans="3:54" ht="12.75" customHeight="1" x14ac:dyDescent="0.25">
      <c r="C876" s="108"/>
      <c r="D876" s="108"/>
      <c r="E876" s="108"/>
      <c r="F876" s="108"/>
      <c r="G876" s="108"/>
      <c r="H876" s="108"/>
      <c r="I876" s="108"/>
      <c r="J876" s="108"/>
      <c r="K876" s="108"/>
      <c r="L876" s="108"/>
      <c r="M876" s="108"/>
      <c r="N876" s="108"/>
      <c r="O876" s="108"/>
      <c r="P876" s="108"/>
      <c r="Q876" s="108"/>
      <c r="R876" s="108"/>
      <c r="S876" s="108"/>
      <c r="T876" s="108"/>
      <c r="U876" s="108"/>
      <c r="V876" s="108"/>
      <c r="W876" s="108"/>
      <c r="X876" s="108"/>
      <c r="Y876" s="108"/>
      <c r="Z876" s="108"/>
      <c r="AA876" s="108"/>
      <c r="AB876" s="108"/>
      <c r="AC876" s="108"/>
      <c r="AD876" s="108"/>
      <c r="AE876" s="108"/>
      <c r="AF876" s="108"/>
      <c r="AG876" s="108"/>
      <c r="AH876" s="108"/>
      <c r="AI876" s="108"/>
      <c r="AJ876" s="108"/>
      <c r="AK876" s="108"/>
      <c r="AL876" s="108"/>
      <c r="AM876" s="108"/>
      <c r="AN876" s="108"/>
      <c r="AO876" s="108"/>
      <c r="AP876" s="108"/>
      <c r="AQ876" s="108"/>
      <c r="AR876" s="108"/>
      <c r="AS876" s="108"/>
      <c r="AT876" s="108"/>
      <c r="AU876" s="108"/>
      <c r="AV876" s="108"/>
      <c r="AW876" s="108"/>
      <c r="AX876" s="108"/>
      <c r="AY876" s="108"/>
      <c r="AZ876" s="108"/>
      <c r="BA876" s="108"/>
      <c r="BB876" s="108"/>
    </row>
    <row r="877" spans="3:54" ht="12.75" customHeight="1" x14ac:dyDescent="0.25">
      <c r="C877" s="108"/>
      <c r="D877" s="108"/>
      <c r="E877" s="108"/>
      <c r="F877" s="108"/>
      <c r="G877" s="108"/>
      <c r="H877" s="108"/>
      <c r="I877" s="108"/>
      <c r="J877" s="108"/>
      <c r="K877" s="108"/>
      <c r="L877" s="108"/>
      <c r="M877" s="108"/>
      <c r="N877" s="108"/>
      <c r="O877" s="108"/>
      <c r="P877" s="108"/>
      <c r="Q877" s="108"/>
      <c r="R877" s="108"/>
      <c r="S877" s="108"/>
      <c r="T877" s="108"/>
      <c r="U877" s="108"/>
      <c r="V877" s="108"/>
      <c r="W877" s="108"/>
      <c r="X877" s="108"/>
      <c r="Y877" s="108"/>
      <c r="Z877" s="108"/>
      <c r="AA877" s="108"/>
      <c r="AB877" s="108"/>
      <c r="AC877" s="108"/>
      <c r="AD877" s="108"/>
      <c r="AE877" s="108"/>
      <c r="AF877" s="108"/>
      <c r="AG877" s="108"/>
      <c r="AH877" s="108"/>
      <c r="AI877" s="108"/>
      <c r="AJ877" s="108"/>
      <c r="AK877" s="108"/>
      <c r="AL877" s="108"/>
      <c r="AM877" s="108"/>
      <c r="AN877" s="108"/>
      <c r="AO877" s="108"/>
      <c r="AP877" s="108"/>
      <c r="AQ877" s="108"/>
      <c r="AR877" s="108"/>
      <c r="AS877" s="108"/>
      <c r="AT877" s="108"/>
      <c r="AU877" s="108"/>
      <c r="AV877" s="108"/>
      <c r="AW877" s="108"/>
      <c r="AX877" s="108"/>
      <c r="AY877" s="108"/>
      <c r="AZ877" s="108"/>
      <c r="BA877" s="108"/>
      <c r="BB877" s="108"/>
    </row>
    <row r="878" spans="3:54" ht="12.75" customHeight="1" x14ac:dyDescent="0.25">
      <c r="C878" s="108"/>
      <c r="D878" s="108"/>
      <c r="E878" s="108"/>
      <c r="F878" s="108"/>
      <c r="G878" s="108"/>
      <c r="H878" s="108"/>
      <c r="I878" s="108"/>
      <c r="J878" s="108"/>
      <c r="K878" s="108"/>
      <c r="L878" s="108"/>
      <c r="M878" s="108"/>
      <c r="N878" s="108"/>
      <c r="O878" s="108"/>
      <c r="P878" s="108"/>
      <c r="Q878" s="108"/>
      <c r="R878" s="108"/>
      <c r="S878" s="108"/>
      <c r="T878" s="108"/>
      <c r="U878" s="108"/>
      <c r="V878" s="108"/>
      <c r="W878" s="108"/>
      <c r="X878" s="108"/>
      <c r="Y878" s="108"/>
      <c r="Z878" s="108"/>
      <c r="AA878" s="108"/>
      <c r="AB878" s="108"/>
      <c r="AC878" s="108"/>
      <c r="AD878" s="108"/>
      <c r="AE878" s="108"/>
      <c r="AF878" s="108"/>
      <c r="AG878" s="108"/>
      <c r="AH878" s="108"/>
      <c r="AI878" s="108"/>
      <c r="AJ878" s="108"/>
      <c r="AK878" s="108"/>
      <c r="AL878" s="108"/>
      <c r="AM878" s="108"/>
      <c r="AN878" s="108"/>
      <c r="AO878" s="108"/>
      <c r="AP878" s="108"/>
      <c r="AQ878" s="108"/>
      <c r="AR878" s="108"/>
      <c r="AS878" s="108"/>
      <c r="AT878" s="108"/>
      <c r="AU878" s="108"/>
      <c r="AV878" s="108"/>
      <c r="AW878" s="108"/>
      <c r="AX878" s="108"/>
      <c r="AY878" s="108"/>
      <c r="AZ878" s="108"/>
      <c r="BA878" s="108"/>
      <c r="BB878" s="108"/>
    </row>
    <row r="879" spans="3:54" ht="12.75" customHeight="1" x14ac:dyDescent="0.25">
      <c r="C879" s="108"/>
      <c r="D879" s="108"/>
      <c r="E879" s="108"/>
      <c r="F879" s="108"/>
      <c r="G879" s="108"/>
      <c r="H879" s="108"/>
      <c r="I879" s="108"/>
      <c r="J879" s="108"/>
      <c r="K879" s="108"/>
      <c r="L879" s="108"/>
      <c r="M879" s="108"/>
      <c r="N879" s="108"/>
      <c r="O879" s="108"/>
      <c r="P879" s="108"/>
      <c r="Q879" s="108"/>
      <c r="R879" s="108"/>
      <c r="S879" s="108"/>
      <c r="T879" s="108"/>
      <c r="U879" s="108"/>
      <c r="V879" s="108"/>
      <c r="W879" s="108"/>
      <c r="X879" s="108"/>
      <c r="Y879" s="108"/>
      <c r="Z879" s="108"/>
      <c r="AA879" s="108"/>
      <c r="AB879" s="108"/>
      <c r="AC879" s="108"/>
      <c r="AD879" s="108"/>
      <c r="AE879" s="108"/>
      <c r="AF879" s="108"/>
      <c r="AG879" s="108"/>
      <c r="AH879" s="108"/>
      <c r="AI879" s="108"/>
      <c r="AJ879" s="108"/>
      <c r="AK879" s="108"/>
      <c r="AL879" s="108"/>
      <c r="AM879" s="108"/>
      <c r="AN879" s="108"/>
      <c r="AO879" s="108"/>
      <c r="AP879" s="108"/>
      <c r="AQ879" s="108"/>
      <c r="AR879" s="108"/>
      <c r="AS879" s="108"/>
      <c r="AT879" s="108"/>
      <c r="AU879" s="108"/>
      <c r="AV879" s="108"/>
      <c r="AW879" s="108"/>
      <c r="AX879" s="108"/>
      <c r="AY879" s="108"/>
      <c r="AZ879" s="108"/>
      <c r="BA879" s="108"/>
      <c r="BB879" s="108"/>
    </row>
    <row r="880" spans="3:54" ht="12.75" customHeight="1" x14ac:dyDescent="0.25">
      <c r="C880" s="108"/>
      <c r="D880" s="108"/>
      <c r="E880" s="108"/>
      <c r="F880" s="108"/>
      <c r="G880" s="108"/>
      <c r="H880" s="108"/>
      <c r="I880" s="108"/>
      <c r="J880" s="108"/>
      <c r="K880" s="108"/>
      <c r="L880" s="108"/>
      <c r="M880" s="108"/>
      <c r="N880" s="108"/>
      <c r="O880" s="108"/>
      <c r="P880" s="108"/>
      <c r="Q880" s="108"/>
      <c r="R880" s="108"/>
      <c r="S880" s="108"/>
      <c r="T880" s="108"/>
      <c r="U880" s="108"/>
      <c r="V880" s="108"/>
      <c r="W880" s="108"/>
      <c r="X880" s="108"/>
      <c r="Y880" s="108"/>
      <c r="Z880" s="108"/>
      <c r="AA880" s="108"/>
      <c r="AB880" s="108"/>
      <c r="AC880" s="108"/>
      <c r="AD880" s="108"/>
      <c r="AE880" s="108"/>
      <c r="AF880" s="108"/>
      <c r="AG880" s="108"/>
      <c r="AH880" s="108"/>
      <c r="AI880" s="108"/>
      <c r="AJ880" s="108"/>
      <c r="AK880" s="108"/>
      <c r="AL880" s="108"/>
      <c r="AM880" s="108"/>
      <c r="AN880" s="108"/>
      <c r="AO880" s="108"/>
      <c r="AP880" s="108"/>
      <c r="AQ880" s="108"/>
      <c r="AR880" s="108"/>
      <c r="AS880" s="108"/>
      <c r="AT880" s="108"/>
      <c r="AU880" s="108"/>
      <c r="AV880" s="108"/>
      <c r="AW880" s="108"/>
      <c r="AX880" s="108"/>
      <c r="AY880" s="108"/>
      <c r="AZ880" s="108"/>
      <c r="BA880" s="108"/>
      <c r="BB880" s="108"/>
    </row>
    <row r="881" spans="3:54" ht="12.75" customHeight="1" x14ac:dyDescent="0.25">
      <c r="C881" s="108"/>
      <c r="D881" s="108"/>
      <c r="E881" s="108"/>
      <c r="F881" s="108"/>
      <c r="G881" s="108"/>
      <c r="H881" s="108"/>
      <c r="I881" s="108"/>
      <c r="J881" s="108"/>
      <c r="K881" s="108"/>
      <c r="L881" s="108"/>
      <c r="M881" s="108"/>
      <c r="N881" s="108"/>
      <c r="O881" s="108"/>
      <c r="P881" s="108"/>
      <c r="Q881" s="108"/>
      <c r="R881" s="108"/>
      <c r="S881" s="108"/>
      <c r="T881" s="108"/>
      <c r="U881" s="108"/>
      <c r="V881" s="108"/>
      <c r="W881" s="108"/>
      <c r="X881" s="108"/>
      <c r="Y881" s="108"/>
      <c r="Z881" s="108"/>
      <c r="AA881" s="108"/>
      <c r="AB881" s="108"/>
      <c r="AC881" s="108"/>
      <c r="AD881" s="108"/>
      <c r="AE881" s="108"/>
      <c r="AF881" s="108"/>
      <c r="AG881" s="108"/>
      <c r="AH881" s="108"/>
      <c r="AI881" s="108"/>
      <c r="AJ881" s="108"/>
      <c r="AK881" s="108"/>
      <c r="AL881" s="108"/>
      <c r="AM881" s="108"/>
      <c r="AN881" s="108"/>
      <c r="AO881" s="108"/>
      <c r="AP881" s="108"/>
      <c r="AQ881" s="108"/>
      <c r="AR881" s="108"/>
      <c r="AS881" s="108"/>
      <c r="AT881" s="108"/>
      <c r="AU881" s="108"/>
      <c r="AV881" s="108"/>
      <c r="AW881" s="108"/>
      <c r="AX881" s="108"/>
      <c r="AY881" s="108"/>
      <c r="AZ881" s="108"/>
      <c r="BA881" s="108"/>
      <c r="BB881" s="108"/>
    </row>
    <row r="882" spans="3:54" ht="12.75" customHeight="1" x14ac:dyDescent="0.25">
      <c r="C882" s="108"/>
      <c r="D882" s="108"/>
      <c r="E882" s="108"/>
      <c r="F882" s="108"/>
      <c r="G882" s="108"/>
      <c r="H882" s="108"/>
      <c r="I882" s="108"/>
      <c r="J882" s="108"/>
      <c r="K882" s="108"/>
      <c r="L882" s="108"/>
      <c r="M882" s="108"/>
      <c r="N882" s="108"/>
      <c r="O882" s="108"/>
      <c r="P882" s="108"/>
      <c r="Q882" s="108"/>
      <c r="R882" s="108"/>
      <c r="S882" s="108"/>
      <c r="T882" s="108"/>
      <c r="U882" s="108"/>
      <c r="V882" s="108"/>
      <c r="W882" s="108"/>
      <c r="X882" s="108"/>
      <c r="Y882" s="108"/>
      <c r="Z882" s="108"/>
      <c r="AA882" s="108"/>
      <c r="AB882" s="108"/>
      <c r="AC882" s="108"/>
      <c r="AD882" s="108"/>
      <c r="AE882" s="108"/>
      <c r="AF882" s="108"/>
      <c r="AG882" s="108"/>
      <c r="AH882" s="108"/>
      <c r="AI882" s="108"/>
      <c r="AJ882" s="108"/>
      <c r="AK882" s="108"/>
      <c r="AL882" s="108"/>
      <c r="AM882" s="108"/>
      <c r="AN882" s="108"/>
      <c r="AO882" s="108"/>
      <c r="AP882" s="108"/>
      <c r="AQ882" s="108"/>
      <c r="AR882" s="108"/>
      <c r="AS882" s="108"/>
      <c r="AT882" s="108"/>
      <c r="AU882" s="108"/>
      <c r="AV882" s="108"/>
      <c r="AW882" s="108"/>
      <c r="AX882" s="108"/>
      <c r="AY882" s="108"/>
      <c r="AZ882" s="108"/>
      <c r="BA882" s="108"/>
      <c r="BB882" s="108"/>
    </row>
    <row r="883" spans="3:54" ht="12.75" customHeight="1" x14ac:dyDescent="0.25">
      <c r="C883" s="108"/>
      <c r="D883" s="108"/>
      <c r="E883" s="108"/>
      <c r="F883" s="108"/>
      <c r="G883" s="108"/>
      <c r="H883" s="108"/>
      <c r="I883" s="108"/>
      <c r="J883" s="108"/>
      <c r="K883" s="108"/>
      <c r="L883" s="108"/>
      <c r="M883" s="108"/>
      <c r="N883" s="108"/>
      <c r="O883" s="108"/>
      <c r="P883" s="108"/>
      <c r="Q883" s="108"/>
      <c r="R883" s="108"/>
      <c r="S883" s="108"/>
      <c r="T883" s="108"/>
      <c r="U883" s="108"/>
      <c r="V883" s="108"/>
      <c r="W883" s="108"/>
      <c r="X883" s="108"/>
      <c r="Y883" s="108"/>
      <c r="Z883" s="108"/>
      <c r="AA883" s="108"/>
      <c r="AB883" s="108"/>
      <c r="AC883" s="108"/>
      <c r="AD883" s="108"/>
      <c r="AE883" s="108"/>
      <c r="AF883" s="108"/>
      <c r="AG883" s="108"/>
      <c r="AH883" s="108"/>
      <c r="AI883" s="108"/>
      <c r="AJ883" s="108"/>
      <c r="AK883" s="108"/>
      <c r="AL883" s="108"/>
      <c r="AM883" s="108"/>
      <c r="AN883" s="108"/>
      <c r="AO883" s="108"/>
      <c r="AP883" s="108"/>
      <c r="AQ883" s="108"/>
      <c r="AR883" s="108"/>
      <c r="AS883" s="108"/>
      <c r="AT883" s="108"/>
      <c r="AU883" s="108"/>
      <c r="AV883" s="108"/>
      <c r="AW883" s="108"/>
      <c r="AX883" s="108"/>
      <c r="AY883" s="108"/>
      <c r="AZ883" s="108"/>
      <c r="BA883" s="108"/>
      <c r="BB883" s="108"/>
    </row>
    <row r="884" spans="3:54" ht="12.75" customHeight="1" x14ac:dyDescent="0.25">
      <c r="C884" s="108"/>
      <c r="D884" s="108"/>
      <c r="E884" s="108"/>
      <c r="F884" s="108"/>
      <c r="G884" s="108"/>
      <c r="H884" s="108"/>
      <c r="I884" s="108"/>
      <c r="J884" s="108"/>
      <c r="K884" s="108"/>
      <c r="L884" s="108"/>
      <c r="M884" s="108"/>
      <c r="N884" s="108"/>
      <c r="O884" s="108"/>
      <c r="P884" s="108"/>
      <c r="Q884" s="108"/>
      <c r="R884" s="108"/>
      <c r="S884" s="108"/>
      <c r="T884" s="108"/>
      <c r="U884" s="108"/>
      <c r="V884" s="108"/>
      <c r="W884" s="108"/>
      <c r="X884" s="108"/>
      <c r="Y884" s="108"/>
      <c r="Z884" s="108"/>
      <c r="AA884" s="108"/>
      <c r="AB884" s="108"/>
      <c r="AC884" s="108"/>
      <c r="AD884" s="108"/>
      <c r="AE884" s="108"/>
      <c r="AF884" s="108"/>
      <c r="AG884" s="108"/>
      <c r="AH884" s="108"/>
      <c r="AI884" s="108"/>
      <c r="AJ884" s="108"/>
      <c r="AK884" s="108"/>
      <c r="AL884" s="108"/>
      <c r="AM884" s="108"/>
      <c r="AN884" s="108"/>
      <c r="AO884" s="108"/>
      <c r="AP884" s="108"/>
      <c r="AQ884" s="108"/>
      <c r="AR884" s="108"/>
      <c r="AS884" s="108"/>
      <c r="AT884" s="108"/>
      <c r="AU884" s="108"/>
      <c r="AV884" s="108"/>
      <c r="AW884" s="108"/>
      <c r="AX884" s="108"/>
      <c r="AY884" s="108"/>
      <c r="AZ884" s="108"/>
      <c r="BA884" s="108"/>
      <c r="BB884" s="108"/>
    </row>
    <row r="885" spans="3:54" ht="12.75" customHeight="1" x14ac:dyDescent="0.25">
      <c r="C885" s="108"/>
      <c r="D885" s="108"/>
      <c r="E885" s="108"/>
      <c r="F885" s="108"/>
      <c r="G885" s="108"/>
      <c r="H885" s="108"/>
      <c r="I885" s="108"/>
      <c r="J885" s="108"/>
      <c r="K885" s="108"/>
      <c r="L885" s="108"/>
      <c r="M885" s="108"/>
      <c r="N885" s="108"/>
      <c r="O885" s="108"/>
      <c r="P885" s="108"/>
      <c r="Q885" s="108"/>
      <c r="R885" s="108"/>
      <c r="S885" s="108"/>
      <c r="T885" s="108"/>
      <c r="U885" s="108"/>
      <c r="V885" s="108"/>
      <c r="W885" s="108"/>
      <c r="X885" s="108"/>
      <c r="Y885" s="108"/>
      <c r="Z885" s="108"/>
      <c r="AA885" s="108"/>
      <c r="AB885" s="108"/>
      <c r="AC885" s="108"/>
      <c r="AD885" s="108"/>
      <c r="AE885" s="108"/>
      <c r="AF885" s="108"/>
      <c r="AG885" s="108"/>
      <c r="AH885" s="108"/>
      <c r="AI885" s="108"/>
      <c r="AJ885" s="108"/>
      <c r="AK885" s="108"/>
      <c r="AL885" s="108"/>
      <c r="AM885" s="108"/>
      <c r="AN885" s="108"/>
      <c r="AO885" s="108"/>
      <c r="AP885" s="108"/>
      <c r="AQ885" s="108"/>
      <c r="AR885" s="108"/>
      <c r="AS885" s="108"/>
      <c r="AT885" s="108"/>
      <c r="AU885" s="108"/>
      <c r="AV885" s="108"/>
      <c r="AW885" s="108"/>
      <c r="AX885" s="108"/>
      <c r="AY885" s="108"/>
      <c r="AZ885" s="108"/>
      <c r="BA885" s="108"/>
      <c r="BB885" s="108"/>
    </row>
    <row r="886" spans="3:54" ht="12.75" customHeight="1" x14ac:dyDescent="0.25">
      <c r="C886" s="108"/>
      <c r="D886" s="108"/>
      <c r="E886" s="108"/>
      <c r="F886" s="108"/>
      <c r="G886" s="108"/>
      <c r="H886" s="108"/>
      <c r="I886" s="108"/>
      <c r="J886" s="108"/>
      <c r="K886" s="108"/>
      <c r="L886" s="108"/>
      <c r="M886" s="108"/>
      <c r="N886" s="108"/>
      <c r="O886" s="108"/>
      <c r="P886" s="108"/>
      <c r="Q886" s="108"/>
      <c r="R886" s="108"/>
      <c r="S886" s="108"/>
      <c r="T886" s="108"/>
      <c r="U886" s="108"/>
      <c r="V886" s="108"/>
      <c r="W886" s="108"/>
      <c r="X886" s="108"/>
      <c r="Y886" s="108"/>
      <c r="Z886" s="108"/>
      <c r="AA886" s="108"/>
      <c r="AB886" s="108"/>
      <c r="AC886" s="108"/>
      <c r="AD886" s="108"/>
      <c r="AE886" s="108"/>
      <c r="AF886" s="108"/>
      <c r="AG886" s="108"/>
      <c r="AH886" s="108"/>
      <c r="AI886" s="108"/>
      <c r="AJ886" s="108"/>
      <c r="AK886" s="108"/>
      <c r="AL886" s="108"/>
      <c r="AM886" s="108"/>
      <c r="AN886" s="108"/>
      <c r="AO886" s="108"/>
      <c r="AP886" s="108"/>
      <c r="AQ886" s="108"/>
      <c r="AR886" s="108"/>
      <c r="AS886" s="108"/>
      <c r="AT886" s="108"/>
      <c r="AU886" s="108"/>
      <c r="AV886" s="108"/>
      <c r="AW886" s="108"/>
      <c r="AX886" s="108"/>
      <c r="AY886" s="108"/>
      <c r="AZ886" s="108"/>
      <c r="BA886" s="108"/>
      <c r="BB886" s="108"/>
    </row>
    <row r="887" spans="3:54" ht="12.75" customHeight="1" x14ac:dyDescent="0.25">
      <c r="C887" s="108"/>
      <c r="D887" s="108"/>
      <c r="E887" s="108"/>
      <c r="F887" s="108"/>
      <c r="G887" s="108"/>
      <c r="H887" s="108"/>
      <c r="I887" s="108"/>
      <c r="J887" s="108"/>
      <c r="K887" s="108"/>
      <c r="L887" s="108"/>
      <c r="M887" s="108"/>
      <c r="N887" s="108"/>
      <c r="O887" s="108"/>
      <c r="P887" s="108"/>
      <c r="Q887" s="108"/>
      <c r="R887" s="108"/>
      <c r="S887" s="108"/>
      <c r="T887" s="108"/>
      <c r="U887" s="108"/>
      <c r="V887" s="108"/>
      <c r="W887" s="108"/>
      <c r="X887" s="108"/>
      <c r="Y887" s="108"/>
      <c r="Z887" s="108"/>
      <c r="AA887" s="108"/>
      <c r="AB887" s="108"/>
      <c r="AC887" s="108"/>
      <c r="AD887" s="108"/>
      <c r="AE887" s="108"/>
      <c r="AF887" s="108"/>
      <c r="AG887" s="108"/>
      <c r="AH887" s="108"/>
      <c r="AI887" s="108"/>
      <c r="AJ887" s="108"/>
      <c r="AK887" s="108"/>
      <c r="AL887" s="108"/>
      <c r="AM887" s="108"/>
      <c r="AN887" s="108"/>
      <c r="AO887" s="108"/>
      <c r="AP887" s="108"/>
      <c r="AQ887" s="108"/>
      <c r="AR887" s="108"/>
      <c r="AS887" s="108"/>
      <c r="AT887" s="108"/>
      <c r="AU887" s="108"/>
      <c r="AV887" s="108"/>
      <c r="AW887" s="108"/>
      <c r="AX887" s="108"/>
      <c r="AY887" s="108"/>
      <c r="AZ887" s="108"/>
      <c r="BA887" s="108"/>
      <c r="BB887" s="108"/>
    </row>
    <row r="888" spans="3:54" ht="12.75" customHeight="1" x14ac:dyDescent="0.25">
      <c r="C888" s="108"/>
      <c r="D888" s="108"/>
      <c r="E888" s="108"/>
      <c r="F888" s="108"/>
      <c r="G888" s="108"/>
      <c r="H888" s="108"/>
      <c r="I888" s="108"/>
      <c r="J888" s="108"/>
      <c r="K888" s="108"/>
      <c r="L888" s="108"/>
      <c r="M888" s="108"/>
      <c r="N888" s="108"/>
      <c r="O888" s="108"/>
      <c r="P888" s="108"/>
      <c r="Q888" s="108"/>
      <c r="R888" s="108"/>
      <c r="S888" s="108"/>
      <c r="T888" s="108"/>
      <c r="U888" s="108"/>
      <c r="V888" s="108"/>
      <c r="W888" s="108"/>
      <c r="X888" s="108"/>
      <c r="Y888" s="108"/>
      <c r="Z888" s="108"/>
      <c r="AA888" s="108"/>
      <c r="AB888" s="108"/>
      <c r="AC888" s="108"/>
      <c r="AD888" s="108"/>
      <c r="AE888" s="108"/>
      <c r="AF888" s="108"/>
      <c r="AG888" s="108"/>
      <c r="AH888" s="108"/>
      <c r="AI888" s="108"/>
      <c r="AJ888" s="108"/>
      <c r="AK888" s="108"/>
      <c r="AL888" s="108"/>
      <c r="AM888" s="108"/>
      <c r="AN888" s="108"/>
      <c r="AO888" s="108"/>
      <c r="AP888" s="108"/>
      <c r="AQ888" s="108"/>
      <c r="AR888" s="108"/>
      <c r="AS888" s="108"/>
      <c r="AT888" s="108"/>
      <c r="AU888" s="108"/>
      <c r="AV888" s="108"/>
      <c r="AW888" s="108"/>
      <c r="AX888" s="108"/>
      <c r="AY888" s="108"/>
      <c r="AZ888" s="108"/>
      <c r="BA888" s="108"/>
      <c r="BB888" s="108"/>
    </row>
    <row r="889" spans="3:54" ht="12.75" customHeight="1" x14ac:dyDescent="0.25">
      <c r="C889" s="108"/>
      <c r="D889" s="108"/>
      <c r="E889" s="108"/>
      <c r="F889" s="108"/>
      <c r="G889" s="108"/>
      <c r="H889" s="108"/>
      <c r="I889" s="108"/>
      <c r="J889" s="108"/>
      <c r="K889" s="108"/>
      <c r="L889" s="108"/>
      <c r="M889" s="108"/>
      <c r="N889" s="108"/>
      <c r="O889" s="108"/>
      <c r="P889" s="108"/>
      <c r="Q889" s="108"/>
      <c r="R889" s="108"/>
      <c r="S889" s="108"/>
      <c r="T889" s="108"/>
      <c r="U889" s="108"/>
      <c r="V889" s="108"/>
      <c r="W889" s="108"/>
      <c r="X889" s="108"/>
      <c r="Y889" s="108"/>
      <c r="Z889" s="108"/>
      <c r="AA889" s="108"/>
      <c r="AB889" s="108"/>
      <c r="AC889" s="108"/>
      <c r="AD889" s="108"/>
      <c r="AE889" s="108"/>
      <c r="AF889" s="108"/>
      <c r="AG889" s="108"/>
      <c r="AH889" s="108"/>
      <c r="AI889" s="108"/>
      <c r="AJ889" s="108"/>
      <c r="AK889" s="108"/>
      <c r="AL889" s="108"/>
      <c r="AM889" s="108"/>
      <c r="AN889" s="108"/>
      <c r="AO889" s="108"/>
      <c r="AP889" s="108"/>
      <c r="AQ889" s="108"/>
      <c r="AR889" s="108"/>
      <c r="AS889" s="108"/>
      <c r="AT889" s="108"/>
      <c r="AU889" s="108"/>
      <c r="AV889" s="108"/>
      <c r="AW889" s="108"/>
      <c r="AX889" s="108"/>
      <c r="AY889" s="108"/>
      <c r="AZ889" s="108"/>
      <c r="BA889" s="108"/>
      <c r="BB889" s="108"/>
    </row>
    <row r="890" spans="3:54" ht="12.75" customHeight="1" x14ac:dyDescent="0.25">
      <c r="C890" s="108"/>
      <c r="D890" s="108"/>
      <c r="E890" s="108"/>
      <c r="F890" s="108"/>
      <c r="G890" s="108"/>
      <c r="H890" s="108"/>
      <c r="I890" s="108"/>
      <c r="J890" s="108"/>
      <c r="K890" s="108"/>
      <c r="L890" s="108"/>
      <c r="M890" s="108"/>
      <c r="N890" s="108"/>
      <c r="O890" s="108"/>
      <c r="P890" s="108"/>
      <c r="Q890" s="108"/>
      <c r="R890" s="108"/>
      <c r="S890" s="108"/>
      <c r="T890" s="108"/>
      <c r="U890" s="108"/>
      <c r="V890" s="108"/>
      <c r="W890" s="108"/>
      <c r="X890" s="108"/>
      <c r="Y890" s="108"/>
      <c r="Z890" s="108"/>
      <c r="AA890" s="108"/>
      <c r="AB890" s="108"/>
      <c r="AC890" s="108"/>
      <c r="AD890" s="108"/>
      <c r="AE890" s="108"/>
      <c r="AF890" s="108"/>
      <c r="AG890" s="108"/>
      <c r="AH890" s="108"/>
      <c r="AI890" s="108"/>
      <c r="AJ890" s="108"/>
      <c r="AK890" s="108"/>
      <c r="AL890" s="108"/>
      <c r="AM890" s="108"/>
      <c r="AN890" s="108"/>
      <c r="AO890" s="108"/>
      <c r="AP890" s="108"/>
      <c r="AQ890" s="108"/>
      <c r="AR890" s="108"/>
      <c r="AS890" s="108"/>
      <c r="AT890" s="108"/>
      <c r="AU890" s="108"/>
      <c r="AV890" s="108"/>
      <c r="AW890" s="108"/>
      <c r="AX890" s="108"/>
      <c r="AY890" s="108"/>
      <c r="AZ890" s="108"/>
      <c r="BA890" s="108"/>
      <c r="BB890" s="108"/>
    </row>
    <row r="891" spans="3:54" ht="12.75" customHeight="1" x14ac:dyDescent="0.25">
      <c r="C891" s="108"/>
      <c r="D891" s="108"/>
      <c r="E891" s="108"/>
      <c r="F891" s="108"/>
      <c r="G891" s="108"/>
      <c r="H891" s="108"/>
      <c r="I891" s="108"/>
      <c r="J891" s="108"/>
      <c r="K891" s="108"/>
      <c r="L891" s="108"/>
      <c r="M891" s="108"/>
      <c r="N891" s="108"/>
      <c r="O891" s="108"/>
      <c r="P891" s="108"/>
      <c r="Q891" s="108"/>
      <c r="R891" s="108"/>
      <c r="S891" s="108"/>
      <c r="T891" s="108"/>
      <c r="U891" s="108"/>
      <c r="V891" s="108"/>
      <c r="W891" s="108"/>
      <c r="X891" s="108"/>
      <c r="Y891" s="108"/>
      <c r="Z891" s="108"/>
      <c r="AA891" s="108"/>
      <c r="AB891" s="108"/>
      <c r="AC891" s="108"/>
      <c r="AD891" s="108"/>
      <c r="AE891" s="108"/>
      <c r="AF891" s="108"/>
      <c r="AG891" s="108"/>
      <c r="AH891" s="108"/>
      <c r="AI891" s="108"/>
      <c r="AJ891" s="108"/>
      <c r="AK891" s="108"/>
      <c r="AL891" s="108"/>
      <c r="AM891" s="108"/>
      <c r="AN891" s="108"/>
      <c r="AO891" s="108"/>
      <c r="AP891" s="108"/>
      <c r="AQ891" s="108"/>
      <c r="AR891" s="108"/>
      <c r="AS891" s="108"/>
      <c r="AT891" s="108"/>
      <c r="AU891" s="108"/>
      <c r="AV891" s="108"/>
      <c r="AW891" s="108"/>
      <c r="AX891" s="108"/>
      <c r="AY891" s="108"/>
      <c r="AZ891" s="108"/>
      <c r="BA891" s="108"/>
      <c r="BB891" s="108"/>
    </row>
    <row r="892" spans="3:54" ht="12.75" customHeight="1" x14ac:dyDescent="0.25">
      <c r="C892" s="108"/>
      <c r="D892" s="108"/>
      <c r="E892" s="108"/>
      <c r="F892" s="108"/>
      <c r="G892" s="108"/>
      <c r="H892" s="108"/>
      <c r="I892" s="108"/>
      <c r="J892" s="108"/>
      <c r="K892" s="108"/>
      <c r="L892" s="108"/>
      <c r="M892" s="108"/>
      <c r="N892" s="108"/>
      <c r="O892" s="108"/>
      <c r="P892" s="108"/>
      <c r="Q892" s="108"/>
      <c r="R892" s="108"/>
      <c r="S892" s="108"/>
      <c r="T892" s="108"/>
      <c r="U892" s="108"/>
      <c r="V892" s="108"/>
      <c r="W892" s="108"/>
      <c r="X892" s="108"/>
      <c r="Y892" s="108"/>
      <c r="Z892" s="108"/>
      <c r="AA892" s="108"/>
      <c r="AB892" s="108"/>
      <c r="AC892" s="108"/>
      <c r="AD892" s="108"/>
      <c r="AE892" s="108"/>
      <c r="AF892" s="108"/>
      <c r="AG892" s="108"/>
      <c r="AH892" s="108"/>
      <c r="AI892" s="108"/>
      <c r="AJ892" s="108"/>
      <c r="AK892" s="108"/>
      <c r="AL892" s="108"/>
      <c r="AM892" s="108"/>
      <c r="AN892" s="108"/>
      <c r="AO892" s="108"/>
      <c r="AP892" s="108"/>
      <c r="AQ892" s="108"/>
      <c r="AR892" s="108"/>
      <c r="AS892" s="108"/>
      <c r="AT892" s="108"/>
      <c r="AU892" s="108"/>
      <c r="AV892" s="108"/>
      <c r="AW892" s="108"/>
      <c r="AX892" s="108"/>
      <c r="AY892" s="108"/>
      <c r="AZ892" s="108"/>
      <c r="BA892" s="108"/>
      <c r="BB892" s="108"/>
    </row>
    <row r="893" spans="3:54" ht="12.75" customHeight="1" x14ac:dyDescent="0.25">
      <c r="C893" s="108"/>
      <c r="D893" s="108"/>
      <c r="E893" s="108"/>
      <c r="F893" s="108"/>
      <c r="G893" s="108"/>
      <c r="H893" s="108"/>
      <c r="I893" s="108"/>
      <c r="J893" s="108"/>
      <c r="K893" s="108"/>
      <c r="L893" s="108"/>
      <c r="M893" s="108"/>
      <c r="N893" s="108"/>
      <c r="O893" s="108"/>
      <c r="P893" s="108"/>
      <c r="Q893" s="108"/>
      <c r="R893" s="108"/>
      <c r="S893" s="108"/>
      <c r="T893" s="108"/>
      <c r="U893" s="108"/>
      <c r="V893" s="108"/>
      <c r="W893" s="108"/>
      <c r="X893" s="108"/>
      <c r="Y893" s="108"/>
      <c r="Z893" s="108"/>
      <c r="AA893" s="108"/>
      <c r="AB893" s="108"/>
      <c r="AC893" s="108"/>
      <c r="AD893" s="108"/>
      <c r="AE893" s="108"/>
      <c r="AF893" s="108"/>
      <c r="AG893" s="108"/>
      <c r="AH893" s="108"/>
      <c r="AI893" s="108"/>
      <c r="AJ893" s="108"/>
      <c r="AK893" s="108"/>
      <c r="AL893" s="108"/>
      <c r="AM893" s="108"/>
      <c r="AN893" s="108"/>
      <c r="AO893" s="108"/>
      <c r="AP893" s="108"/>
      <c r="AQ893" s="108"/>
      <c r="AR893" s="108"/>
      <c r="AS893" s="108"/>
      <c r="AT893" s="108"/>
      <c r="AU893" s="108"/>
      <c r="AV893" s="108"/>
      <c r="AW893" s="108"/>
      <c r="AX893" s="108"/>
      <c r="AY893" s="108"/>
      <c r="AZ893" s="108"/>
      <c r="BA893" s="108"/>
      <c r="BB893" s="108"/>
    </row>
    <row r="894" spans="3:54" ht="12.75" customHeight="1" x14ac:dyDescent="0.25">
      <c r="C894" s="108"/>
      <c r="D894" s="108"/>
      <c r="E894" s="108"/>
      <c r="F894" s="108"/>
      <c r="G894" s="108"/>
      <c r="H894" s="108"/>
      <c r="I894" s="108"/>
      <c r="J894" s="108"/>
      <c r="K894" s="108"/>
      <c r="L894" s="108"/>
      <c r="M894" s="108"/>
      <c r="N894" s="108"/>
      <c r="O894" s="108"/>
      <c r="P894" s="108"/>
      <c r="Q894" s="108"/>
      <c r="R894" s="108"/>
      <c r="S894" s="108"/>
      <c r="T894" s="108"/>
      <c r="U894" s="108"/>
      <c r="V894" s="108"/>
      <c r="W894" s="108"/>
      <c r="X894" s="108"/>
      <c r="Y894" s="108"/>
      <c r="Z894" s="108"/>
      <c r="AA894" s="108"/>
      <c r="AB894" s="108"/>
      <c r="AC894" s="108"/>
      <c r="AD894" s="108"/>
      <c r="AE894" s="108"/>
      <c r="AF894" s="108"/>
      <c r="AG894" s="108"/>
      <c r="AH894" s="108"/>
      <c r="AI894" s="108"/>
      <c r="AJ894" s="108"/>
      <c r="AK894" s="108"/>
      <c r="AL894" s="108"/>
      <c r="AM894" s="108"/>
      <c r="AN894" s="108"/>
      <c r="AO894" s="108"/>
      <c r="AP894" s="108"/>
      <c r="AQ894" s="108"/>
      <c r="AR894" s="108"/>
      <c r="AS894" s="108"/>
      <c r="AT894" s="108"/>
      <c r="AU894" s="108"/>
      <c r="AV894" s="108"/>
      <c r="AW894" s="108"/>
      <c r="AX894" s="108"/>
      <c r="AY894" s="108"/>
      <c r="AZ894" s="108"/>
      <c r="BA894" s="108"/>
      <c r="BB894" s="108"/>
    </row>
    <row r="895" spans="3:54" ht="12.75" customHeight="1" x14ac:dyDescent="0.25">
      <c r="C895" s="108"/>
      <c r="D895" s="108"/>
      <c r="E895" s="108"/>
      <c r="F895" s="108"/>
      <c r="G895" s="108"/>
      <c r="H895" s="108"/>
      <c r="I895" s="108"/>
      <c r="J895" s="108"/>
      <c r="K895" s="108"/>
      <c r="L895" s="108"/>
      <c r="M895" s="108"/>
      <c r="N895" s="108"/>
      <c r="O895" s="108"/>
      <c r="P895" s="108"/>
      <c r="Q895" s="108"/>
      <c r="R895" s="108"/>
      <c r="S895" s="108"/>
      <c r="T895" s="108"/>
      <c r="U895" s="108"/>
      <c r="V895" s="108"/>
      <c r="W895" s="108"/>
      <c r="X895" s="108"/>
      <c r="Y895" s="108"/>
      <c r="Z895" s="108"/>
      <c r="AA895" s="108"/>
      <c r="AB895" s="108"/>
      <c r="AC895" s="108"/>
      <c r="AD895" s="108"/>
      <c r="AE895" s="108"/>
      <c r="AF895" s="108"/>
      <c r="AG895" s="108"/>
      <c r="AH895" s="108"/>
      <c r="AI895" s="108"/>
      <c r="AJ895" s="108"/>
      <c r="AK895" s="108"/>
      <c r="AL895" s="108"/>
      <c r="AM895" s="108"/>
      <c r="AN895" s="108"/>
      <c r="AO895" s="108"/>
      <c r="AP895" s="108"/>
      <c r="AQ895" s="108"/>
      <c r="AR895" s="108"/>
      <c r="AS895" s="108"/>
      <c r="AT895" s="108"/>
      <c r="AU895" s="108"/>
      <c r="AV895" s="108"/>
      <c r="AW895" s="108"/>
      <c r="AX895" s="108"/>
      <c r="AY895" s="108"/>
      <c r="AZ895" s="108"/>
      <c r="BA895" s="108"/>
      <c r="BB895" s="108"/>
    </row>
    <row r="896" spans="3:54" ht="12.75" customHeight="1" x14ac:dyDescent="0.25">
      <c r="C896" s="108"/>
      <c r="D896" s="108"/>
      <c r="E896" s="108"/>
      <c r="F896" s="108"/>
      <c r="G896" s="108"/>
      <c r="H896" s="108"/>
      <c r="I896" s="108"/>
      <c r="J896" s="108"/>
      <c r="K896" s="108"/>
      <c r="L896" s="108"/>
      <c r="M896" s="108"/>
      <c r="N896" s="108"/>
      <c r="O896" s="108"/>
      <c r="P896" s="108"/>
      <c r="Q896" s="108"/>
      <c r="R896" s="108"/>
      <c r="S896" s="108"/>
      <c r="T896" s="108"/>
      <c r="U896" s="108"/>
      <c r="V896" s="108"/>
      <c r="W896" s="108"/>
      <c r="X896" s="108"/>
      <c r="Y896" s="108"/>
      <c r="Z896" s="108"/>
      <c r="AA896" s="108"/>
      <c r="AB896" s="108"/>
      <c r="AC896" s="108"/>
      <c r="AD896" s="108"/>
      <c r="AE896" s="108"/>
      <c r="AF896" s="108"/>
      <c r="AG896" s="108"/>
      <c r="AH896" s="108"/>
      <c r="AI896" s="108"/>
      <c r="AJ896" s="108"/>
      <c r="AK896" s="108"/>
      <c r="AL896" s="108"/>
      <c r="AM896" s="108"/>
      <c r="AN896" s="108"/>
      <c r="AO896" s="108"/>
      <c r="AP896" s="108"/>
      <c r="AQ896" s="108"/>
      <c r="AR896" s="108"/>
      <c r="AS896" s="108"/>
      <c r="AT896" s="108"/>
      <c r="AU896" s="108"/>
      <c r="AV896" s="108"/>
      <c r="AW896" s="108"/>
      <c r="AX896" s="108"/>
      <c r="AY896" s="108"/>
      <c r="AZ896" s="108"/>
      <c r="BA896" s="108"/>
      <c r="BB896" s="108"/>
    </row>
    <row r="897" spans="3:54" ht="12.75" customHeight="1" x14ac:dyDescent="0.25">
      <c r="C897" s="108"/>
      <c r="D897" s="108"/>
      <c r="E897" s="108"/>
      <c r="F897" s="108"/>
      <c r="G897" s="108"/>
      <c r="H897" s="108"/>
      <c r="I897" s="108"/>
      <c r="J897" s="108"/>
      <c r="K897" s="108"/>
      <c r="L897" s="108"/>
      <c r="M897" s="108"/>
      <c r="N897" s="108"/>
      <c r="O897" s="108"/>
      <c r="P897" s="108"/>
      <c r="Q897" s="108"/>
      <c r="R897" s="108"/>
      <c r="S897" s="108"/>
      <c r="T897" s="108"/>
      <c r="U897" s="108"/>
      <c r="V897" s="108"/>
      <c r="W897" s="108"/>
      <c r="X897" s="108"/>
      <c r="Y897" s="108"/>
      <c r="Z897" s="108"/>
      <c r="AA897" s="108"/>
      <c r="AB897" s="108"/>
      <c r="AC897" s="108"/>
      <c r="AD897" s="108"/>
      <c r="AE897" s="108"/>
      <c r="AF897" s="108"/>
      <c r="AG897" s="108"/>
      <c r="AH897" s="108"/>
      <c r="AI897" s="108"/>
      <c r="AJ897" s="108"/>
      <c r="AK897" s="108"/>
      <c r="AL897" s="108"/>
      <c r="AM897" s="108"/>
      <c r="AN897" s="108"/>
      <c r="AO897" s="108"/>
      <c r="AP897" s="108"/>
      <c r="AQ897" s="108"/>
      <c r="AR897" s="108"/>
      <c r="AS897" s="108"/>
      <c r="AT897" s="108"/>
      <c r="AU897" s="108"/>
      <c r="AV897" s="108"/>
      <c r="AW897" s="108"/>
      <c r="AX897" s="108"/>
      <c r="AY897" s="108"/>
      <c r="AZ897" s="108"/>
      <c r="BA897" s="108"/>
      <c r="BB897" s="108"/>
    </row>
    <row r="898" spans="3:54" ht="12.75" customHeight="1" x14ac:dyDescent="0.25">
      <c r="C898" s="108"/>
      <c r="D898" s="108"/>
      <c r="E898" s="108"/>
      <c r="F898" s="108"/>
      <c r="G898" s="108"/>
      <c r="H898" s="108"/>
      <c r="I898" s="108"/>
      <c r="J898" s="108"/>
      <c r="K898" s="108"/>
      <c r="L898" s="108"/>
      <c r="M898" s="108"/>
      <c r="N898" s="108"/>
      <c r="O898" s="108"/>
      <c r="P898" s="108"/>
      <c r="Q898" s="108"/>
      <c r="R898" s="108"/>
      <c r="S898" s="108"/>
      <c r="T898" s="108"/>
      <c r="U898" s="108"/>
      <c r="V898" s="108"/>
      <c r="W898" s="108"/>
      <c r="X898" s="108"/>
      <c r="Y898" s="108"/>
      <c r="Z898" s="108"/>
      <c r="AA898" s="108"/>
      <c r="AB898" s="108"/>
      <c r="AC898" s="108"/>
      <c r="AD898" s="108"/>
      <c r="AE898" s="108"/>
      <c r="AF898" s="108"/>
      <c r="AG898" s="108"/>
      <c r="AH898" s="108"/>
      <c r="AI898" s="108"/>
      <c r="AJ898" s="108"/>
      <c r="AK898" s="108"/>
      <c r="AL898" s="108"/>
      <c r="AM898" s="108"/>
      <c r="AN898" s="108"/>
      <c r="AO898" s="108"/>
      <c r="AP898" s="108"/>
      <c r="AQ898" s="108"/>
      <c r="AR898" s="108"/>
      <c r="AS898" s="108"/>
      <c r="AT898" s="108"/>
      <c r="AU898" s="108"/>
      <c r="AV898" s="108"/>
      <c r="AW898" s="108"/>
      <c r="AX898" s="108"/>
      <c r="AY898" s="108"/>
      <c r="AZ898" s="108"/>
      <c r="BA898" s="108"/>
      <c r="BB898" s="108"/>
    </row>
    <row r="899" spans="3:54" ht="12.75" customHeight="1" x14ac:dyDescent="0.25">
      <c r="C899" s="108"/>
      <c r="D899" s="108"/>
      <c r="E899" s="108"/>
      <c r="F899" s="108"/>
      <c r="G899" s="108"/>
      <c r="H899" s="108"/>
      <c r="I899" s="108"/>
      <c r="J899" s="108"/>
      <c r="K899" s="108"/>
      <c r="L899" s="108"/>
      <c r="M899" s="108"/>
      <c r="N899" s="108"/>
      <c r="O899" s="108"/>
      <c r="P899" s="108"/>
      <c r="Q899" s="108"/>
      <c r="R899" s="108"/>
      <c r="S899" s="108"/>
      <c r="T899" s="108"/>
      <c r="U899" s="108"/>
      <c r="V899" s="108"/>
      <c r="W899" s="108"/>
      <c r="X899" s="108"/>
      <c r="Y899" s="108"/>
      <c r="Z899" s="108"/>
      <c r="AA899" s="108"/>
      <c r="AB899" s="108"/>
      <c r="AC899" s="108"/>
      <c r="AD899" s="108"/>
      <c r="AE899" s="108"/>
      <c r="AF899" s="108"/>
      <c r="AG899" s="108"/>
      <c r="AH899" s="108"/>
      <c r="AI899" s="108"/>
      <c r="AJ899" s="108"/>
      <c r="AK899" s="108"/>
      <c r="AL899" s="108"/>
      <c r="AM899" s="108"/>
      <c r="AN899" s="108"/>
      <c r="AO899" s="108"/>
      <c r="AP899" s="108"/>
      <c r="AQ899" s="108"/>
      <c r="AR899" s="108"/>
      <c r="AS899" s="108"/>
      <c r="AT899" s="108"/>
      <c r="AU899" s="108"/>
      <c r="AV899" s="108"/>
      <c r="AW899" s="108"/>
      <c r="AX899" s="108"/>
      <c r="AY899" s="108"/>
      <c r="AZ899" s="108"/>
      <c r="BA899" s="108"/>
      <c r="BB899" s="108"/>
    </row>
    <row r="900" spans="3:54" ht="12.75" customHeight="1" x14ac:dyDescent="0.25">
      <c r="C900" s="108"/>
      <c r="D900" s="108"/>
      <c r="E900" s="108"/>
      <c r="F900" s="108"/>
      <c r="G900" s="108"/>
      <c r="H900" s="108"/>
      <c r="I900" s="108"/>
      <c r="J900" s="108"/>
      <c r="K900" s="108"/>
      <c r="L900" s="108"/>
      <c r="M900" s="108"/>
      <c r="N900" s="108"/>
      <c r="O900" s="108"/>
      <c r="P900" s="108"/>
      <c r="Q900" s="108"/>
      <c r="R900" s="108"/>
      <c r="S900" s="108"/>
      <c r="T900" s="108"/>
      <c r="U900" s="108"/>
      <c r="V900" s="108"/>
      <c r="W900" s="108"/>
      <c r="X900" s="108"/>
      <c r="Y900" s="108"/>
      <c r="Z900" s="108"/>
      <c r="AA900" s="108"/>
      <c r="AB900" s="108"/>
      <c r="AC900" s="108"/>
      <c r="AD900" s="108"/>
      <c r="AE900" s="108"/>
      <c r="AF900" s="108"/>
      <c r="AG900" s="108"/>
      <c r="AH900" s="108"/>
      <c r="AI900" s="108"/>
      <c r="AJ900" s="108"/>
      <c r="AK900" s="108"/>
      <c r="AL900" s="108"/>
      <c r="AM900" s="108"/>
      <c r="AN900" s="108"/>
      <c r="AO900" s="108"/>
      <c r="AP900" s="108"/>
      <c r="AQ900" s="108"/>
      <c r="AR900" s="108"/>
      <c r="AS900" s="108"/>
      <c r="AT900" s="108"/>
      <c r="AU900" s="108"/>
      <c r="AV900" s="108"/>
      <c r="AW900" s="108"/>
      <c r="AX900" s="108"/>
      <c r="AY900" s="108"/>
      <c r="AZ900" s="108"/>
      <c r="BA900" s="108"/>
      <c r="BB900" s="108"/>
    </row>
    <row r="901" spans="3:54" ht="12.75" customHeight="1" x14ac:dyDescent="0.25">
      <c r="C901" s="108"/>
      <c r="D901" s="108"/>
      <c r="E901" s="108"/>
      <c r="F901" s="108"/>
      <c r="G901" s="108"/>
      <c r="H901" s="108"/>
      <c r="I901" s="108"/>
      <c r="J901" s="108"/>
      <c r="K901" s="108"/>
      <c r="L901" s="108"/>
      <c r="M901" s="108"/>
      <c r="N901" s="108"/>
      <c r="O901" s="108"/>
      <c r="P901" s="108"/>
      <c r="Q901" s="108"/>
      <c r="R901" s="108"/>
      <c r="S901" s="108"/>
      <c r="T901" s="108"/>
      <c r="U901" s="108"/>
      <c r="V901" s="108"/>
      <c r="W901" s="108"/>
      <c r="X901" s="108"/>
      <c r="Y901" s="108"/>
      <c r="Z901" s="108"/>
      <c r="AA901" s="108"/>
      <c r="AB901" s="108"/>
      <c r="AC901" s="108"/>
      <c r="AD901" s="108"/>
      <c r="AE901" s="108"/>
      <c r="AF901" s="108"/>
      <c r="AG901" s="108"/>
      <c r="AH901" s="108"/>
      <c r="AI901" s="108"/>
      <c r="AJ901" s="108"/>
      <c r="AK901" s="108"/>
      <c r="AL901" s="108"/>
      <c r="AM901" s="108"/>
      <c r="AN901" s="108"/>
      <c r="AO901" s="108"/>
      <c r="AP901" s="108"/>
      <c r="AQ901" s="108"/>
      <c r="AR901" s="108"/>
      <c r="AS901" s="108"/>
      <c r="AT901" s="108"/>
      <c r="AU901" s="108"/>
      <c r="AV901" s="108"/>
      <c r="AW901" s="108"/>
      <c r="AX901" s="108"/>
      <c r="AY901" s="108"/>
      <c r="AZ901" s="108"/>
      <c r="BA901" s="108"/>
      <c r="BB901" s="108"/>
    </row>
    <row r="902" spans="3:54" ht="12.75" customHeight="1" x14ac:dyDescent="0.25">
      <c r="C902" s="108"/>
      <c r="D902" s="108"/>
      <c r="E902" s="108"/>
      <c r="F902" s="108"/>
      <c r="G902" s="108"/>
      <c r="H902" s="108"/>
      <c r="I902" s="108"/>
      <c r="J902" s="108"/>
      <c r="K902" s="108"/>
      <c r="L902" s="108"/>
      <c r="M902" s="108"/>
      <c r="N902" s="108"/>
      <c r="O902" s="108"/>
      <c r="P902" s="108"/>
      <c r="Q902" s="108"/>
      <c r="R902" s="108"/>
      <c r="S902" s="108"/>
      <c r="T902" s="108"/>
      <c r="U902" s="108"/>
      <c r="V902" s="108"/>
      <c r="W902" s="108"/>
      <c r="X902" s="108"/>
      <c r="Y902" s="108"/>
      <c r="Z902" s="108"/>
      <c r="AA902" s="108"/>
      <c r="AB902" s="108"/>
      <c r="AC902" s="108"/>
      <c r="AD902" s="108"/>
      <c r="AE902" s="108"/>
      <c r="AF902" s="108"/>
      <c r="AG902" s="108"/>
      <c r="AH902" s="108"/>
      <c r="AI902" s="108"/>
      <c r="AJ902" s="108"/>
      <c r="AK902" s="108"/>
      <c r="AL902" s="108"/>
      <c r="AM902" s="108"/>
      <c r="AN902" s="108"/>
      <c r="AO902" s="108"/>
      <c r="AP902" s="108"/>
      <c r="AQ902" s="108"/>
      <c r="AR902" s="108"/>
      <c r="AS902" s="108"/>
      <c r="AT902" s="108"/>
      <c r="AU902" s="108"/>
      <c r="AV902" s="108"/>
      <c r="AW902" s="108"/>
      <c r="AX902" s="108"/>
      <c r="AY902" s="108"/>
      <c r="AZ902" s="108"/>
      <c r="BA902" s="108"/>
      <c r="BB902" s="108"/>
    </row>
    <row r="903" spans="3:54" ht="12.75" customHeight="1" x14ac:dyDescent="0.25">
      <c r="C903" s="108"/>
      <c r="D903" s="108"/>
      <c r="E903" s="108"/>
      <c r="F903" s="108"/>
      <c r="G903" s="108"/>
      <c r="H903" s="108"/>
      <c r="I903" s="108"/>
      <c r="J903" s="108"/>
      <c r="K903" s="108"/>
      <c r="L903" s="108"/>
      <c r="M903" s="108"/>
      <c r="N903" s="108"/>
      <c r="O903" s="108"/>
      <c r="P903" s="108"/>
      <c r="Q903" s="108"/>
      <c r="R903" s="108"/>
      <c r="S903" s="108"/>
      <c r="T903" s="108"/>
      <c r="U903" s="108"/>
      <c r="V903" s="108"/>
      <c r="W903" s="108"/>
      <c r="X903" s="108"/>
      <c r="Y903" s="108"/>
      <c r="Z903" s="108"/>
      <c r="AA903" s="108"/>
      <c r="AB903" s="108"/>
      <c r="AC903" s="108"/>
      <c r="AD903" s="108"/>
      <c r="AE903" s="108"/>
      <c r="AF903" s="108"/>
      <c r="AG903" s="108"/>
      <c r="AH903" s="108"/>
      <c r="AI903" s="108"/>
      <c r="AJ903" s="108"/>
      <c r="AK903" s="108"/>
      <c r="AL903" s="108"/>
      <c r="AM903" s="108"/>
      <c r="AN903" s="108"/>
      <c r="AO903" s="108"/>
      <c r="AP903" s="108"/>
      <c r="AQ903" s="108"/>
      <c r="AR903" s="108"/>
      <c r="AS903" s="108"/>
      <c r="AT903" s="108"/>
      <c r="AU903" s="108"/>
      <c r="AV903" s="108"/>
      <c r="AW903" s="108"/>
      <c r="AX903" s="108"/>
      <c r="AY903" s="108"/>
      <c r="AZ903" s="108"/>
      <c r="BA903" s="108"/>
      <c r="BB903" s="108"/>
    </row>
    <row r="904" spans="3:54" ht="12.75" customHeight="1" x14ac:dyDescent="0.25">
      <c r="C904" s="108"/>
      <c r="D904" s="108"/>
      <c r="E904" s="108"/>
      <c r="F904" s="108"/>
      <c r="G904" s="108"/>
      <c r="H904" s="108"/>
      <c r="I904" s="108"/>
      <c r="J904" s="108"/>
      <c r="K904" s="108"/>
      <c r="L904" s="108"/>
      <c r="M904" s="108"/>
      <c r="N904" s="108"/>
      <c r="O904" s="108"/>
      <c r="P904" s="108"/>
      <c r="Q904" s="108"/>
      <c r="R904" s="108"/>
      <c r="S904" s="108"/>
      <c r="T904" s="108"/>
      <c r="U904" s="108"/>
      <c r="V904" s="108"/>
      <c r="W904" s="108"/>
      <c r="X904" s="108"/>
      <c r="Y904" s="108"/>
      <c r="Z904" s="108"/>
      <c r="AA904" s="108"/>
      <c r="AB904" s="108"/>
      <c r="AC904" s="108"/>
      <c r="AD904" s="108"/>
      <c r="AE904" s="108"/>
      <c r="AF904" s="108"/>
      <c r="AG904" s="108"/>
      <c r="AH904" s="108"/>
      <c r="AI904" s="108"/>
      <c r="AJ904" s="108"/>
      <c r="AK904" s="108"/>
      <c r="AL904" s="108"/>
      <c r="AM904" s="108"/>
      <c r="AN904" s="108"/>
      <c r="AO904" s="108"/>
      <c r="AP904" s="108"/>
      <c r="AQ904" s="108"/>
      <c r="AR904" s="108"/>
      <c r="AS904" s="108"/>
      <c r="AT904" s="108"/>
      <c r="AU904" s="108"/>
      <c r="AV904" s="108"/>
      <c r="AW904" s="108"/>
      <c r="AX904" s="108"/>
      <c r="AY904" s="108"/>
      <c r="AZ904" s="108"/>
      <c r="BA904" s="108"/>
      <c r="BB904" s="108"/>
    </row>
    <row r="905" spans="3:54" ht="12.75" customHeight="1" x14ac:dyDescent="0.25">
      <c r="C905" s="108"/>
      <c r="D905" s="108"/>
      <c r="E905" s="108"/>
      <c r="F905" s="108"/>
      <c r="G905" s="108"/>
      <c r="H905" s="108"/>
      <c r="I905" s="108"/>
      <c r="J905" s="108"/>
      <c r="K905" s="108"/>
      <c r="L905" s="108"/>
      <c r="M905" s="108"/>
      <c r="N905" s="108"/>
      <c r="O905" s="108"/>
      <c r="P905" s="108"/>
      <c r="Q905" s="108"/>
      <c r="R905" s="108"/>
      <c r="S905" s="108"/>
      <c r="T905" s="108"/>
      <c r="U905" s="108"/>
      <c r="V905" s="108"/>
      <c r="W905" s="108"/>
      <c r="X905" s="108"/>
      <c r="Y905" s="108"/>
      <c r="Z905" s="108"/>
      <c r="AA905" s="108"/>
      <c r="AB905" s="108"/>
      <c r="AC905" s="108"/>
      <c r="AD905" s="108"/>
      <c r="AE905" s="108"/>
      <c r="AF905" s="108"/>
      <c r="AG905" s="108"/>
      <c r="AH905" s="108"/>
      <c r="AI905" s="108"/>
      <c r="AJ905" s="108"/>
      <c r="AK905" s="108"/>
      <c r="AL905" s="108"/>
      <c r="AM905" s="108"/>
      <c r="AN905" s="108"/>
      <c r="AO905" s="108"/>
      <c r="AP905" s="108"/>
      <c r="AQ905" s="108"/>
      <c r="AR905" s="108"/>
      <c r="AS905" s="108"/>
      <c r="AT905" s="108"/>
      <c r="AU905" s="108"/>
      <c r="AV905" s="108"/>
      <c r="AW905" s="108"/>
      <c r="AX905" s="108"/>
      <c r="AY905" s="108"/>
      <c r="AZ905" s="108"/>
      <c r="BA905" s="108"/>
      <c r="BB905" s="108"/>
    </row>
    <row r="906" spans="3:54" ht="12.75" customHeight="1" x14ac:dyDescent="0.25">
      <c r="C906" s="108"/>
      <c r="D906" s="108"/>
      <c r="E906" s="108"/>
      <c r="F906" s="108"/>
      <c r="G906" s="108"/>
      <c r="H906" s="108"/>
      <c r="I906" s="108"/>
      <c r="J906" s="108"/>
      <c r="K906" s="108"/>
      <c r="L906" s="108"/>
      <c r="M906" s="108"/>
      <c r="N906" s="108"/>
      <c r="O906" s="108"/>
      <c r="P906" s="108"/>
      <c r="Q906" s="108"/>
      <c r="R906" s="108"/>
      <c r="S906" s="108"/>
      <c r="T906" s="108"/>
      <c r="U906" s="108"/>
      <c r="V906" s="108"/>
      <c r="W906" s="108"/>
      <c r="X906" s="108"/>
      <c r="Y906" s="108"/>
      <c r="Z906" s="108"/>
      <c r="AA906" s="108"/>
      <c r="AB906" s="108"/>
      <c r="AC906" s="108"/>
      <c r="AD906" s="108"/>
      <c r="AE906" s="108"/>
      <c r="AF906" s="108"/>
      <c r="AG906" s="108"/>
      <c r="AH906" s="108"/>
      <c r="AI906" s="108"/>
      <c r="AJ906" s="108"/>
      <c r="AK906" s="108"/>
      <c r="AL906" s="108"/>
      <c r="AM906" s="108"/>
      <c r="AN906" s="108"/>
      <c r="AO906" s="108"/>
      <c r="AP906" s="108"/>
      <c r="AQ906" s="108"/>
      <c r="AR906" s="108"/>
      <c r="AS906" s="108"/>
      <c r="AT906" s="108"/>
      <c r="AU906" s="108"/>
      <c r="AV906" s="108"/>
      <c r="AW906" s="108"/>
      <c r="AX906" s="108"/>
      <c r="AY906" s="108"/>
      <c r="AZ906" s="108"/>
      <c r="BA906" s="108"/>
      <c r="BB906" s="108"/>
    </row>
    <row r="907" spans="3:54" ht="12.75" customHeight="1" x14ac:dyDescent="0.25">
      <c r="C907" s="108"/>
      <c r="D907" s="108"/>
      <c r="E907" s="108"/>
      <c r="F907" s="108"/>
      <c r="G907" s="108"/>
      <c r="H907" s="108"/>
      <c r="I907" s="108"/>
      <c r="J907" s="108"/>
      <c r="K907" s="108"/>
      <c r="L907" s="108"/>
      <c r="M907" s="108"/>
      <c r="N907" s="108"/>
      <c r="O907" s="108"/>
      <c r="P907" s="108"/>
      <c r="Q907" s="108"/>
      <c r="R907" s="108"/>
      <c r="S907" s="108"/>
      <c r="T907" s="108"/>
      <c r="U907" s="108"/>
      <c r="V907" s="108"/>
      <c r="W907" s="108"/>
      <c r="X907" s="108"/>
      <c r="Y907" s="108"/>
      <c r="Z907" s="108"/>
      <c r="AA907" s="108"/>
      <c r="AB907" s="108"/>
      <c r="AC907" s="108"/>
      <c r="AD907" s="108"/>
      <c r="AE907" s="108"/>
      <c r="AF907" s="108"/>
      <c r="AG907" s="108"/>
      <c r="AH907" s="108"/>
      <c r="AI907" s="108"/>
      <c r="AJ907" s="108"/>
      <c r="AK907" s="108"/>
      <c r="AL907" s="108"/>
      <c r="AM907" s="108"/>
      <c r="AN907" s="108"/>
      <c r="AO907" s="108"/>
      <c r="AP907" s="108"/>
      <c r="AQ907" s="108"/>
      <c r="AR907" s="108"/>
      <c r="AS907" s="108"/>
      <c r="AT907" s="108"/>
      <c r="AU907" s="108"/>
      <c r="AV907" s="108"/>
      <c r="AW907" s="108"/>
      <c r="AX907" s="108"/>
      <c r="AY907" s="108"/>
      <c r="AZ907" s="108"/>
      <c r="BA907" s="108"/>
      <c r="BB907" s="108"/>
    </row>
    <row r="908" spans="3:54" ht="12.75" customHeight="1" x14ac:dyDescent="0.25">
      <c r="C908" s="108"/>
      <c r="D908" s="108"/>
      <c r="E908" s="108"/>
      <c r="F908" s="108"/>
      <c r="G908" s="108"/>
      <c r="H908" s="108"/>
      <c r="I908" s="108"/>
      <c r="J908" s="108"/>
      <c r="K908" s="108"/>
      <c r="L908" s="108"/>
      <c r="M908" s="108"/>
      <c r="N908" s="108"/>
      <c r="O908" s="108"/>
      <c r="P908" s="108"/>
      <c r="Q908" s="108"/>
      <c r="R908" s="108"/>
      <c r="S908" s="108"/>
      <c r="T908" s="108"/>
      <c r="U908" s="108"/>
      <c r="V908" s="108"/>
      <c r="W908" s="108"/>
      <c r="X908" s="108"/>
      <c r="Y908" s="108"/>
      <c r="Z908" s="108"/>
      <c r="AA908" s="108"/>
      <c r="AB908" s="108"/>
      <c r="AC908" s="108"/>
      <c r="AD908" s="108"/>
      <c r="AE908" s="108"/>
      <c r="AF908" s="108"/>
      <c r="AG908" s="108"/>
      <c r="AH908" s="108"/>
      <c r="AI908" s="108"/>
      <c r="AJ908" s="108"/>
      <c r="AK908" s="108"/>
      <c r="AL908" s="108"/>
      <c r="AM908" s="108"/>
      <c r="AN908" s="108"/>
      <c r="AO908" s="108"/>
      <c r="AP908" s="108"/>
      <c r="AQ908" s="108"/>
      <c r="AR908" s="108"/>
      <c r="AS908" s="108"/>
      <c r="AT908" s="108"/>
      <c r="AU908" s="108"/>
      <c r="AV908" s="108"/>
      <c r="AW908" s="108"/>
      <c r="AX908" s="108"/>
      <c r="AY908" s="108"/>
      <c r="AZ908" s="108"/>
      <c r="BA908" s="108"/>
      <c r="BB908" s="108"/>
    </row>
    <row r="909" spans="3:54" ht="12.75" customHeight="1" x14ac:dyDescent="0.25">
      <c r="C909" s="108"/>
      <c r="D909" s="108"/>
      <c r="E909" s="108"/>
      <c r="F909" s="108"/>
      <c r="G909" s="108"/>
      <c r="H909" s="108"/>
      <c r="I909" s="108"/>
      <c r="J909" s="108"/>
      <c r="K909" s="108"/>
      <c r="L909" s="108"/>
      <c r="M909" s="108"/>
      <c r="N909" s="108"/>
      <c r="O909" s="108"/>
      <c r="P909" s="108"/>
      <c r="Q909" s="108"/>
      <c r="R909" s="108"/>
      <c r="S909" s="108"/>
      <c r="T909" s="108"/>
      <c r="U909" s="108"/>
      <c r="V909" s="108"/>
      <c r="W909" s="108"/>
      <c r="X909" s="108"/>
      <c r="Y909" s="108"/>
      <c r="Z909" s="108"/>
      <c r="AA909" s="108"/>
      <c r="AB909" s="108"/>
      <c r="AC909" s="108"/>
      <c r="AD909" s="108"/>
      <c r="AE909" s="108"/>
      <c r="AF909" s="108"/>
      <c r="AG909" s="108"/>
      <c r="AH909" s="108"/>
      <c r="AI909" s="108"/>
      <c r="AJ909" s="108"/>
      <c r="AK909" s="108"/>
      <c r="AL909" s="108"/>
      <c r="AM909" s="108"/>
      <c r="AN909" s="108"/>
      <c r="AO909" s="108"/>
      <c r="AP909" s="108"/>
      <c r="AQ909" s="108"/>
      <c r="AR909" s="108"/>
      <c r="AS909" s="108"/>
      <c r="AT909" s="108"/>
      <c r="AU909" s="108"/>
      <c r="AV909" s="108"/>
      <c r="AW909" s="108"/>
      <c r="AX909" s="108"/>
      <c r="AY909" s="108"/>
      <c r="AZ909" s="108"/>
      <c r="BA909" s="108"/>
      <c r="BB909" s="108"/>
    </row>
    <row r="910" spans="3:54" ht="12.75" customHeight="1" x14ac:dyDescent="0.25">
      <c r="C910" s="108"/>
      <c r="D910" s="108"/>
      <c r="E910" s="108"/>
      <c r="F910" s="108"/>
      <c r="G910" s="108"/>
      <c r="H910" s="108"/>
      <c r="I910" s="108"/>
      <c r="J910" s="108"/>
      <c r="K910" s="108"/>
      <c r="L910" s="108"/>
      <c r="M910" s="108"/>
      <c r="N910" s="108"/>
      <c r="O910" s="108"/>
      <c r="P910" s="108"/>
      <c r="Q910" s="108"/>
      <c r="R910" s="108"/>
      <c r="S910" s="108"/>
      <c r="T910" s="108"/>
      <c r="U910" s="108"/>
      <c r="V910" s="108"/>
      <c r="W910" s="108"/>
      <c r="X910" s="108"/>
      <c r="Y910" s="108"/>
      <c r="Z910" s="108"/>
      <c r="AA910" s="108"/>
      <c r="AB910" s="108"/>
      <c r="AC910" s="108"/>
      <c r="AD910" s="108"/>
      <c r="AE910" s="108"/>
      <c r="AF910" s="108"/>
      <c r="AG910" s="108"/>
      <c r="AH910" s="108"/>
      <c r="AI910" s="108"/>
      <c r="AJ910" s="108"/>
      <c r="AK910" s="108"/>
      <c r="AL910" s="108"/>
      <c r="AM910" s="108"/>
      <c r="AN910" s="108"/>
      <c r="AO910" s="108"/>
      <c r="AP910" s="108"/>
      <c r="AQ910" s="108"/>
      <c r="AR910" s="108"/>
      <c r="AS910" s="108"/>
      <c r="AT910" s="108"/>
      <c r="AU910" s="108"/>
      <c r="AV910" s="108"/>
      <c r="AW910" s="108"/>
      <c r="AX910" s="108"/>
      <c r="AY910" s="108"/>
      <c r="AZ910" s="108"/>
      <c r="BA910" s="108"/>
      <c r="BB910" s="108"/>
    </row>
    <row r="911" spans="3:54" ht="12.75" customHeight="1" x14ac:dyDescent="0.25">
      <c r="C911" s="108"/>
      <c r="D911" s="108"/>
      <c r="E911" s="108"/>
      <c r="F911" s="108"/>
      <c r="G911" s="108"/>
      <c r="H911" s="108"/>
      <c r="I911" s="108"/>
      <c r="J911" s="108"/>
      <c r="K911" s="108"/>
      <c r="L911" s="108"/>
      <c r="M911" s="108"/>
      <c r="N911" s="108"/>
      <c r="O911" s="108"/>
      <c r="P911" s="108"/>
      <c r="Q911" s="108"/>
      <c r="R911" s="108"/>
      <c r="S911" s="108"/>
      <c r="T911" s="108"/>
      <c r="U911" s="108"/>
      <c r="V911" s="108"/>
      <c r="W911" s="108"/>
      <c r="X911" s="108"/>
      <c r="Y911" s="108"/>
      <c r="Z911" s="108"/>
      <c r="AA911" s="108"/>
      <c r="AB911" s="108"/>
      <c r="AC911" s="108"/>
      <c r="AD911" s="108"/>
      <c r="AE911" s="108"/>
      <c r="AF911" s="108"/>
      <c r="AG911" s="108"/>
      <c r="AH911" s="108"/>
      <c r="AI911" s="108"/>
      <c r="AJ911" s="108"/>
      <c r="AK911" s="108"/>
      <c r="AL911" s="108"/>
      <c r="AM911" s="108"/>
      <c r="AN911" s="108"/>
      <c r="AO911" s="108"/>
      <c r="AP911" s="108"/>
      <c r="AQ911" s="108"/>
      <c r="AR911" s="108"/>
      <c r="AS911" s="108"/>
      <c r="AT911" s="108"/>
      <c r="AU911" s="108"/>
      <c r="AV911" s="108"/>
      <c r="AW911" s="108"/>
      <c r="AX911" s="108"/>
      <c r="AY911" s="108"/>
      <c r="AZ911" s="108"/>
      <c r="BA911" s="108"/>
      <c r="BB911" s="108"/>
    </row>
    <row r="912" spans="3:54" ht="12.75" customHeight="1" x14ac:dyDescent="0.25">
      <c r="C912" s="108"/>
      <c r="D912" s="108"/>
      <c r="E912" s="108"/>
      <c r="F912" s="108"/>
      <c r="G912" s="108"/>
      <c r="H912" s="108"/>
      <c r="I912" s="108"/>
      <c r="J912" s="108"/>
      <c r="K912" s="108"/>
      <c r="L912" s="108"/>
      <c r="M912" s="108"/>
      <c r="N912" s="108"/>
      <c r="O912" s="108"/>
      <c r="P912" s="108"/>
      <c r="Q912" s="108"/>
      <c r="R912" s="108"/>
      <c r="S912" s="108"/>
      <c r="T912" s="108"/>
      <c r="U912" s="108"/>
      <c r="V912" s="108"/>
      <c r="W912" s="108"/>
      <c r="X912" s="108"/>
      <c r="Y912" s="108"/>
      <c r="Z912" s="108"/>
      <c r="AA912" s="108"/>
      <c r="AB912" s="108"/>
      <c r="AC912" s="108"/>
      <c r="AD912" s="108"/>
      <c r="AE912" s="108"/>
      <c r="AF912" s="108"/>
      <c r="AG912" s="108"/>
      <c r="AH912" s="108"/>
      <c r="AI912" s="108"/>
      <c r="AJ912" s="108"/>
      <c r="AK912" s="108"/>
      <c r="AL912" s="108"/>
      <c r="AM912" s="108"/>
      <c r="AN912" s="108"/>
      <c r="AO912" s="108"/>
      <c r="AP912" s="108"/>
      <c r="AQ912" s="108"/>
      <c r="AR912" s="108"/>
      <c r="AS912" s="108"/>
      <c r="AT912" s="108"/>
      <c r="AU912" s="108"/>
      <c r="AV912" s="108"/>
      <c r="AW912" s="108"/>
      <c r="AX912" s="108"/>
      <c r="AY912" s="108"/>
      <c r="AZ912" s="108"/>
      <c r="BA912" s="108"/>
      <c r="BB912" s="108"/>
    </row>
    <row r="913" spans="3:54" ht="12.75" customHeight="1" x14ac:dyDescent="0.25">
      <c r="C913" s="108"/>
      <c r="D913" s="108"/>
      <c r="E913" s="108"/>
      <c r="F913" s="108"/>
      <c r="G913" s="108"/>
      <c r="H913" s="108"/>
      <c r="I913" s="108"/>
      <c r="J913" s="108"/>
      <c r="K913" s="108"/>
      <c r="L913" s="108"/>
      <c r="M913" s="108"/>
      <c r="N913" s="108"/>
      <c r="O913" s="108"/>
      <c r="P913" s="108"/>
      <c r="Q913" s="108"/>
      <c r="R913" s="108"/>
      <c r="S913" s="108"/>
      <c r="T913" s="108"/>
      <c r="U913" s="108"/>
      <c r="V913" s="108"/>
      <c r="W913" s="108"/>
      <c r="X913" s="108"/>
      <c r="Y913" s="108"/>
      <c r="Z913" s="108"/>
      <c r="AA913" s="108"/>
      <c r="AB913" s="108"/>
      <c r="AC913" s="108"/>
      <c r="AD913" s="108"/>
      <c r="AE913" s="108"/>
      <c r="AF913" s="108"/>
      <c r="AG913" s="108"/>
      <c r="AH913" s="108"/>
      <c r="AI913" s="108"/>
      <c r="AJ913" s="108"/>
      <c r="AK913" s="108"/>
      <c r="AL913" s="108"/>
      <c r="AM913" s="108"/>
      <c r="AN913" s="108"/>
      <c r="AO913" s="108"/>
      <c r="AP913" s="108"/>
      <c r="AQ913" s="108"/>
      <c r="AR913" s="108"/>
      <c r="AS913" s="108"/>
      <c r="AT913" s="108"/>
      <c r="AU913" s="108"/>
      <c r="AV913" s="108"/>
      <c r="AW913" s="108"/>
      <c r="AX913" s="108"/>
      <c r="AY913" s="108"/>
      <c r="AZ913" s="108"/>
      <c r="BA913" s="108"/>
      <c r="BB913" s="108"/>
    </row>
    <row r="914" spans="3:54" ht="12.75" customHeight="1" x14ac:dyDescent="0.25">
      <c r="C914" s="108"/>
      <c r="D914" s="108"/>
      <c r="E914" s="108"/>
      <c r="F914" s="108"/>
      <c r="G914" s="108"/>
      <c r="H914" s="108"/>
      <c r="I914" s="108"/>
      <c r="J914" s="108"/>
      <c r="K914" s="108"/>
      <c r="L914" s="108"/>
      <c r="M914" s="108"/>
      <c r="N914" s="108"/>
      <c r="O914" s="108"/>
      <c r="P914" s="108"/>
      <c r="Q914" s="108"/>
      <c r="R914" s="108"/>
      <c r="S914" s="108"/>
      <c r="T914" s="108"/>
      <c r="U914" s="108"/>
      <c r="V914" s="108"/>
      <c r="W914" s="108"/>
      <c r="X914" s="108"/>
      <c r="Y914" s="108"/>
      <c r="Z914" s="108"/>
      <c r="AA914" s="108"/>
      <c r="AB914" s="108"/>
      <c r="AC914" s="108"/>
      <c r="AD914" s="108"/>
      <c r="AE914" s="108"/>
      <c r="AF914" s="108"/>
      <c r="AG914" s="108"/>
      <c r="AH914" s="108"/>
      <c r="AI914" s="108"/>
      <c r="AJ914" s="108"/>
      <c r="AK914" s="108"/>
      <c r="AL914" s="108"/>
      <c r="AM914" s="108"/>
      <c r="AN914" s="108"/>
      <c r="AO914" s="108"/>
      <c r="AP914" s="108"/>
      <c r="AQ914" s="108"/>
      <c r="AR914" s="108"/>
      <c r="AS914" s="108"/>
      <c r="AT914" s="108"/>
      <c r="AU914" s="108"/>
      <c r="AV914" s="108"/>
      <c r="AW914" s="108"/>
      <c r="AX914" s="108"/>
      <c r="AY914" s="108"/>
      <c r="AZ914" s="108"/>
      <c r="BA914" s="108"/>
      <c r="BB914" s="108"/>
    </row>
    <row r="915" spans="3:54" ht="12.75" customHeight="1" x14ac:dyDescent="0.25">
      <c r="C915" s="108"/>
      <c r="D915" s="108"/>
      <c r="E915" s="108"/>
      <c r="F915" s="108"/>
      <c r="G915" s="108"/>
      <c r="H915" s="108"/>
      <c r="I915" s="108"/>
      <c r="J915" s="108"/>
      <c r="K915" s="108"/>
      <c r="L915" s="108"/>
      <c r="M915" s="108"/>
      <c r="N915" s="108"/>
      <c r="O915" s="108"/>
      <c r="P915" s="108"/>
      <c r="Q915" s="108"/>
      <c r="R915" s="108"/>
      <c r="S915" s="108"/>
      <c r="T915" s="108"/>
      <c r="U915" s="108"/>
      <c r="V915" s="108"/>
      <c r="W915" s="108"/>
      <c r="X915" s="108"/>
      <c r="Y915" s="108"/>
      <c r="Z915" s="108"/>
      <c r="AA915" s="108"/>
      <c r="AB915" s="108"/>
      <c r="AC915" s="108"/>
      <c r="AD915" s="108"/>
      <c r="AE915" s="108"/>
      <c r="AF915" s="108"/>
      <c r="AG915" s="108"/>
      <c r="AH915" s="108"/>
      <c r="AI915" s="108"/>
      <c r="AJ915" s="108"/>
      <c r="AK915" s="108"/>
      <c r="AL915" s="108"/>
      <c r="AM915" s="108"/>
      <c r="AN915" s="108"/>
      <c r="AO915" s="108"/>
      <c r="AP915" s="108"/>
      <c r="AQ915" s="108"/>
      <c r="AR915" s="108"/>
      <c r="AS915" s="108"/>
      <c r="AT915" s="108"/>
      <c r="AU915" s="108"/>
      <c r="AV915" s="108"/>
      <c r="AW915" s="108"/>
      <c r="AX915" s="108"/>
      <c r="AY915" s="108"/>
      <c r="AZ915" s="108"/>
      <c r="BA915" s="108"/>
      <c r="BB915" s="108"/>
    </row>
    <row r="916" spans="3:54" ht="12.75" customHeight="1" x14ac:dyDescent="0.25">
      <c r="C916" s="108"/>
      <c r="D916" s="108"/>
      <c r="E916" s="108"/>
      <c r="F916" s="108"/>
      <c r="G916" s="108"/>
      <c r="H916" s="108"/>
      <c r="I916" s="108"/>
      <c r="J916" s="108"/>
      <c r="K916" s="108"/>
      <c r="L916" s="108"/>
      <c r="M916" s="108"/>
      <c r="N916" s="108"/>
      <c r="O916" s="108"/>
      <c r="P916" s="108"/>
      <c r="Q916" s="108"/>
      <c r="R916" s="108"/>
      <c r="S916" s="108"/>
      <c r="T916" s="108"/>
      <c r="U916" s="108"/>
      <c r="V916" s="108"/>
      <c r="W916" s="108"/>
      <c r="X916" s="108"/>
      <c r="Y916" s="108"/>
      <c r="Z916" s="108"/>
      <c r="AA916" s="108"/>
      <c r="AB916" s="108"/>
      <c r="AC916" s="108"/>
      <c r="AD916" s="108"/>
      <c r="AE916" s="108"/>
      <c r="AF916" s="108"/>
      <c r="AG916" s="108"/>
      <c r="AH916" s="108"/>
      <c r="AI916" s="108"/>
      <c r="AJ916" s="108"/>
      <c r="AK916" s="108"/>
      <c r="AL916" s="108"/>
      <c r="AM916" s="108"/>
      <c r="AN916" s="108"/>
      <c r="AO916" s="108"/>
      <c r="AP916" s="108"/>
      <c r="AQ916" s="108"/>
      <c r="AR916" s="108"/>
      <c r="AS916" s="108"/>
      <c r="AT916" s="108"/>
      <c r="AU916" s="108"/>
      <c r="AV916" s="108"/>
      <c r="AW916" s="108"/>
      <c r="AX916" s="108"/>
      <c r="AY916" s="108"/>
      <c r="AZ916" s="108"/>
      <c r="BA916" s="108"/>
      <c r="BB916" s="108"/>
    </row>
    <row r="917" spans="3:54" ht="12.75" customHeight="1" x14ac:dyDescent="0.25">
      <c r="C917" s="108"/>
      <c r="D917" s="108"/>
      <c r="E917" s="108"/>
      <c r="F917" s="108"/>
      <c r="G917" s="108"/>
      <c r="H917" s="108"/>
      <c r="I917" s="108"/>
      <c r="J917" s="108"/>
      <c r="K917" s="108"/>
      <c r="L917" s="108"/>
      <c r="M917" s="108"/>
      <c r="N917" s="108"/>
      <c r="O917" s="108"/>
      <c r="P917" s="108"/>
      <c r="Q917" s="108"/>
      <c r="R917" s="108"/>
      <c r="S917" s="108"/>
      <c r="T917" s="108"/>
      <c r="U917" s="108"/>
      <c r="V917" s="108"/>
      <c r="W917" s="108"/>
      <c r="X917" s="108"/>
      <c r="Y917" s="108"/>
      <c r="Z917" s="108"/>
      <c r="AA917" s="108"/>
      <c r="AB917" s="108"/>
      <c r="AC917" s="108"/>
      <c r="AD917" s="108"/>
      <c r="AE917" s="108"/>
      <c r="AF917" s="108"/>
      <c r="AG917" s="108"/>
      <c r="AH917" s="108"/>
      <c r="AI917" s="108"/>
      <c r="AJ917" s="108"/>
      <c r="AK917" s="108"/>
      <c r="AL917" s="108"/>
      <c r="AM917" s="108"/>
      <c r="AN917" s="108"/>
      <c r="AO917" s="108"/>
      <c r="AP917" s="108"/>
      <c r="AQ917" s="108"/>
      <c r="AR917" s="108"/>
      <c r="AS917" s="108"/>
      <c r="AT917" s="108"/>
      <c r="AU917" s="108"/>
      <c r="AV917" s="108"/>
      <c r="AW917" s="108"/>
      <c r="AX917" s="108"/>
      <c r="AY917" s="108"/>
      <c r="AZ917" s="108"/>
      <c r="BA917" s="108"/>
      <c r="BB917" s="108"/>
    </row>
    <row r="918" spans="3:54" ht="12.75" customHeight="1" x14ac:dyDescent="0.25">
      <c r="C918" s="108"/>
      <c r="D918" s="108"/>
      <c r="E918" s="108"/>
      <c r="F918" s="108"/>
      <c r="G918" s="108"/>
      <c r="H918" s="108"/>
      <c r="I918" s="108"/>
      <c r="J918" s="108"/>
      <c r="K918" s="108"/>
      <c r="L918" s="108"/>
      <c r="M918" s="108"/>
      <c r="N918" s="108"/>
      <c r="O918" s="108"/>
      <c r="P918" s="108"/>
      <c r="Q918" s="108"/>
      <c r="R918" s="108"/>
      <c r="S918" s="108"/>
      <c r="T918" s="108"/>
      <c r="U918" s="108"/>
      <c r="V918" s="108"/>
      <c r="W918" s="108"/>
      <c r="X918" s="108"/>
      <c r="Y918" s="108"/>
      <c r="Z918" s="108"/>
      <c r="AA918" s="108"/>
      <c r="AB918" s="108"/>
      <c r="AC918" s="108"/>
      <c r="AD918" s="108"/>
      <c r="AE918" s="108"/>
      <c r="AF918" s="108"/>
      <c r="AG918" s="108"/>
      <c r="AH918" s="108"/>
      <c r="AI918" s="108"/>
      <c r="AJ918" s="108"/>
      <c r="AK918" s="108"/>
      <c r="AL918" s="108"/>
      <c r="AM918" s="108"/>
      <c r="AN918" s="108"/>
      <c r="AO918" s="108"/>
      <c r="AP918" s="108"/>
      <c r="AQ918" s="108"/>
      <c r="AR918" s="108"/>
      <c r="AS918" s="108"/>
      <c r="AT918" s="108"/>
      <c r="AU918" s="108"/>
      <c r="AV918" s="108"/>
      <c r="AW918" s="108"/>
      <c r="AX918" s="108"/>
      <c r="AY918" s="108"/>
      <c r="AZ918" s="108"/>
      <c r="BA918" s="108"/>
      <c r="BB918" s="108"/>
    </row>
    <row r="919" spans="3:54" ht="12.75" customHeight="1" x14ac:dyDescent="0.25">
      <c r="C919" s="108"/>
      <c r="D919" s="108"/>
      <c r="E919" s="108"/>
      <c r="F919" s="108"/>
      <c r="G919" s="108"/>
      <c r="H919" s="108"/>
      <c r="I919" s="108"/>
      <c r="J919" s="108"/>
      <c r="K919" s="108"/>
      <c r="L919" s="108"/>
      <c r="M919" s="108"/>
      <c r="N919" s="108"/>
      <c r="O919" s="108"/>
      <c r="P919" s="108"/>
      <c r="Q919" s="108"/>
      <c r="R919" s="108"/>
      <c r="S919" s="108"/>
      <c r="T919" s="108"/>
      <c r="U919" s="108"/>
      <c r="V919" s="108"/>
      <c r="W919" s="108"/>
      <c r="X919" s="108"/>
      <c r="Y919" s="108"/>
      <c r="Z919" s="108"/>
      <c r="AA919" s="108"/>
      <c r="AB919" s="108"/>
      <c r="AC919" s="108"/>
      <c r="AD919" s="108"/>
      <c r="AE919" s="108"/>
      <c r="AF919" s="108"/>
      <c r="AG919" s="108"/>
      <c r="AH919" s="108"/>
      <c r="AI919" s="108"/>
      <c r="AJ919" s="108"/>
      <c r="AK919" s="108"/>
      <c r="AL919" s="108"/>
      <c r="AM919" s="108"/>
      <c r="AN919" s="108"/>
      <c r="AO919" s="108"/>
      <c r="AP919" s="108"/>
      <c r="AQ919" s="108"/>
      <c r="AR919" s="108"/>
      <c r="AS919" s="108"/>
      <c r="AT919" s="108"/>
      <c r="AU919" s="108"/>
      <c r="AV919" s="108"/>
      <c r="AW919" s="108"/>
      <c r="AX919" s="108"/>
      <c r="AY919" s="108"/>
      <c r="AZ919" s="108"/>
      <c r="BA919" s="108"/>
      <c r="BB919" s="108"/>
    </row>
    <row r="920" spans="3:54" ht="12.75" customHeight="1" x14ac:dyDescent="0.25">
      <c r="C920" s="108"/>
      <c r="D920" s="108"/>
      <c r="E920" s="108"/>
      <c r="F920" s="108"/>
      <c r="G920" s="108"/>
      <c r="H920" s="108"/>
      <c r="I920" s="108"/>
      <c r="J920" s="108"/>
      <c r="K920" s="108"/>
      <c r="L920" s="108"/>
      <c r="M920" s="108"/>
      <c r="N920" s="108"/>
      <c r="O920" s="108"/>
      <c r="P920" s="108"/>
      <c r="Q920" s="108"/>
      <c r="R920" s="108"/>
      <c r="S920" s="108"/>
      <c r="T920" s="108"/>
      <c r="U920" s="108"/>
      <c r="V920" s="108"/>
      <c r="W920" s="108"/>
      <c r="X920" s="108"/>
      <c r="Y920" s="108"/>
      <c r="Z920" s="108"/>
      <c r="AA920" s="108"/>
      <c r="AB920" s="108"/>
      <c r="AC920" s="108"/>
      <c r="AD920" s="108"/>
      <c r="AE920" s="108"/>
      <c r="AF920" s="108"/>
      <c r="AG920" s="108"/>
      <c r="AH920" s="108"/>
      <c r="AI920" s="108"/>
      <c r="AJ920" s="108"/>
      <c r="AK920" s="108"/>
      <c r="AL920" s="108"/>
      <c r="AM920" s="108"/>
      <c r="AN920" s="108"/>
      <c r="AO920" s="108"/>
      <c r="AP920" s="108"/>
      <c r="AQ920" s="108"/>
      <c r="AR920" s="108"/>
      <c r="AS920" s="108"/>
      <c r="AT920" s="108"/>
      <c r="AU920" s="108"/>
      <c r="AV920" s="108"/>
      <c r="AW920" s="108"/>
      <c r="AX920" s="108"/>
      <c r="AY920" s="108"/>
      <c r="AZ920" s="108"/>
      <c r="BA920" s="108"/>
      <c r="BB920" s="108"/>
    </row>
    <row r="921" spans="3:54" ht="12.75" customHeight="1" x14ac:dyDescent="0.25">
      <c r="C921" s="108"/>
      <c r="D921" s="108"/>
      <c r="E921" s="108"/>
      <c r="F921" s="108"/>
      <c r="G921" s="108"/>
      <c r="H921" s="108"/>
      <c r="I921" s="108"/>
      <c r="J921" s="108"/>
      <c r="K921" s="108"/>
      <c r="L921" s="108"/>
      <c r="M921" s="108"/>
      <c r="N921" s="108"/>
      <c r="O921" s="108"/>
      <c r="P921" s="108"/>
      <c r="Q921" s="108"/>
      <c r="R921" s="108"/>
      <c r="S921" s="108"/>
      <c r="T921" s="108"/>
      <c r="U921" s="108"/>
      <c r="V921" s="108"/>
      <c r="W921" s="108"/>
      <c r="X921" s="108"/>
      <c r="Y921" s="108"/>
      <c r="Z921" s="108"/>
      <c r="AA921" s="108"/>
      <c r="AB921" s="108"/>
      <c r="AC921" s="108"/>
      <c r="AD921" s="108"/>
      <c r="AE921" s="108"/>
      <c r="AF921" s="108"/>
      <c r="AG921" s="108"/>
      <c r="AH921" s="108"/>
      <c r="AI921" s="108"/>
      <c r="AJ921" s="108"/>
      <c r="AK921" s="108"/>
      <c r="AL921" s="108"/>
      <c r="AM921" s="108"/>
      <c r="AN921" s="108"/>
      <c r="AO921" s="108"/>
      <c r="AP921" s="108"/>
      <c r="AQ921" s="108"/>
      <c r="AR921" s="108"/>
      <c r="AS921" s="108"/>
      <c r="AT921" s="108"/>
      <c r="AU921" s="108"/>
      <c r="AV921" s="108"/>
      <c r="AW921" s="108"/>
      <c r="AX921" s="108"/>
      <c r="AY921" s="108"/>
      <c r="AZ921" s="108"/>
      <c r="BA921" s="108"/>
      <c r="BB921" s="108"/>
    </row>
    <row r="922" spans="3:54" ht="12.75" customHeight="1" x14ac:dyDescent="0.25">
      <c r="C922" s="108"/>
      <c r="D922" s="108"/>
      <c r="E922" s="108"/>
      <c r="F922" s="108"/>
      <c r="G922" s="108"/>
      <c r="H922" s="108"/>
      <c r="I922" s="108"/>
      <c r="J922" s="108"/>
      <c r="K922" s="108"/>
      <c r="L922" s="108"/>
      <c r="M922" s="108"/>
      <c r="N922" s="108"/>
      <c r="O922" s="108"/>
      <c r="P922" s="108"/>
      <c r="Q922" s="108"/>
      <c r="R922" s="108"/>
      <c r="S922" s="108"/>
      <c r="T922" s="108"/>
      <c r="U922" s="108"/>
      <c r="V922" s="108"/>
      <c r="W922" s="108"/>
      <c r="X922" s="108"/>
      <c r="Y922" s="108"/>
      <c r="Z922" s="108"/>
      <c r="AA922" s="108"/>
      <c r="AB922" s="108"/>
      <c r="AC922" s="108"/>
      <c r="AD922" s="108"/>
      <c r="AE922" s="108"/>
      <c r="AF922" s="108"/>
      <c r="AG922" s="108"/>
      <c r="AH922" s="108"/>
      <c r="AI922" s="108"/>
      <c r="AJ922" s="108"/>
      <c r="AK922" s="108"/>
      <c r="AL922" s="108"/>
      <c r="AM922" s="108"/>
      <c r="AN922" s="108"/>
      <c r="AO922" s="108"/>
      <c r="AP922" s="108"/>
      <c r="AQ922" s="108"/>
      <c r="AR922" s="108"/>
      <c r="AS922" s="108"/>
      <c r="AT922" s="108"/>
      <c r="AU922" s="108"/>
      <c r="AV922" s="108"/>
      <c r="AW922" s="108"/>
      <c r="AX922" s="108"/>
      <c r="AY922" s="108"/>
      <c r="AZ922" s="108"/>
      <c r="BA922" s="108"/>
      <c r="BB922" s="108"/>
    </row>
    <row r="923" spans="3:54" ht="12.75" customHeight="1" x14ac:dyDescent="0.25">
      <c r="C923" s="108"/>
      <c r="D923" s="108"/>
      <c r="E923" s="108"/>
      <c r="F923" s="108"/>
      <c r="G923" s="108"/>
      <c r="H923" s="108"/>
      <c r="I923" s="108"/>
      <c r="J923" s="108"/>
      <c r="K923" s="108"/>
      <c r="L923" s="108"/>
      <c r="M923" s="108"/>
      <c r="N923" s="108"/>
      <c r="O923" s="108"/>
      <c r="P923" s="108"/>
      <c r="Q923" s="108"/>
      <c r="R923" s="108"/>
      <c r="S923" s="108"/>
      <c r="T923" s="108"/>
      <c r="U923" s="108"/>
      <c r="V923" s="108"/>
      <c r="W923" s="108"/>
      <c r="X923" s="108"/>
      <c r="Y923" s="108"/>
      <c r="Z923" s="108"/>
      <c r="AA923" s="108"/>
      <c r="AB923" s="108"/>
      <c r="AC923" s="108"/>
      <c r="AD923" s="108"/>
      <c r="AE923" s="108"/>
      <c r="AF923" s="108"/>
      <c r="AG923" s="108"/>
      <c r="AH923" s="108"/>
      <c r="AI923" s="108"/>
      <c r="AJ923" s="108"/>
      <c r="AK923" s="108"/>
      <c r="AL923" s="108"/>
      <c r="AM923" s="108"/>
      <c r="AN923" s="108"/>
      <c r="AO923" s="108"/>
      <c r="AP923" s="108"/>
      <c r="AQ923" s="108"/>
      <c r="AR923" s="108"/>
      <c r="AS923" s="108"/>
      <c r="AT923" s="108"/>
      <c r="AU923" s="108"/>
      <c r="AV923" s="108"/>
      <c r="AW923" s="108"/>
      <c r="AX923" s="108"/>
      <c r="AY923" s="108"/>
      <c r="AZ923" s="108"/>
      <c r="BA923" s="108"/>
      <c r="BB923" s="108"/>
    </row>
    <row r="924" spans="3:54" ht="12.75" customHeight="1" x14ac:dyDescent="0.25">
      <c r="C924" s="108"/>
      <c r="D924" s="108"/>
      <c r="E924" s="108"/>
      <c r="F924" s="108"/>
      <c r="G924" s="108"/>
      <c r="H924" s="108"/>
      <c r="I924" s="108"/>
      <c r="J924" s="108"/>
      <c r="K924" s="108"/>
      <c r="L924" s="108"/>
      <c r="M924" s="108"/>
      <c r="N924" s="108"/>
      <c r="O924" s="108"/>
      <c r="P924" s="108"/>
      <c r="Q924" s="108"/>
      <c r="R924" s="108"/>
      <c r="S924" s="108"/>
      <c r="T924" s="108"/>
      <c r="U924" s="108"/>
      <c r="V924" s="108"/>
      <c r="W924" s="108"/>
      <c r="X924" s="108"/>
      <c r="Y924" s="108"/>
      <c r="Z924" s="108"/>
      <c r="AA924" s="108"/>
      <c r="AB924" s="108"/>
      <c r="AC924" s="108"/>
      <c r="AD924" s="108"/>
      <c r="AE924" s="108"/>
      <c r="AF924" s="108"/>
      <c r="AG924" s="108"/>
      <c r="AH924" s="108"/>
      <c r="AI924" s="108"/>
      <c r="AJ924" s="108"/>
      <c r="AK924" s="108"/>
      <c r="AL924" s="108"/>
      <c r="AM924" s="108"/>
      <c r="AN924" s="108"/>
      <c r="AO924" s="108"/>
      <c r="AP924" s="108"/>
      <c r="AQ924" s="108"/>
      <c r="AR924" s="108"/>
      <c r="AS924" s="108"/>
      <c r="AT924" s="108"/>
      <c r="AU924" s="108"/>
      <c r="AV924" s="108"/>
      <c r="AW924" s="108"/>
      <c r="AX924" s="108"/>
      <c r="AY924" s="108"/>
      <c r="AZ924" s="108"/>
      <c r="BA924" s="108"/>
      <c r="BB924" s="108"/>
    </row>
    <row r="925" spans="3:54" ht="12.75" customHeight="1" x14ac:dyDescent="0.25">
      <c r="C925" s="108"/>
      <c r="D925" s="108"/>
      <c r="E925" s="108"/>
      <c r="F925" s="108"/>
      <c r="G925" s="108"/>
      <c r="H925" s="108"/>
      <c r="I925" s="108"/>
      <c r="J925" s="108"/>
      <c r="K925" s="108"/>
      <c r="L925" s="108"/>
      <c r="M925" s="108"/>
      <c r="N925" s="108"/>
      <c r="O925" s="108"/>
      <c r="P925" s="108"/>
      <c r="Q925" s="108"/>
      <c r="R925" s="108"/>
      <c r="S925" s="108"/>
      <c r="T925" s="108"/>
      <c r="U925" s="108"/>
      <c r="V925" s="108"/>
      <c r="W925" s="108"/>
      <c r="X925" s="108"/>
      <c r="Y925" s="108"/>
      <c r="Z925" s="108"/>
      <c r="AA925" s="108"/>
      <c r="AB925" s="108"/>
      <c r="AC925" s="108"/>
      <c r="AD925" s="108"/>
      <c r="AE925" s="108"/>
      <c r="AF925" s="108"/>
      <c r="AG925" s="108"/>
      <c r="AH925" s="108"/>
      <c r="AI925" s="108"/>
      <c r="AJ925" s="108"/>
      <c r="AK925" s="108"/>
      <c r="AL925" s="108"/>
      <c r="AM925" s="108"/>
      <c r="AN925" s="108"/>
      <c r="AO925" s="108"/>
      <c r="AP925" s="108"/>
      <c r="AQ925" s="108"/>
      <c r="AR925" s="108"/>
      <c r="AS925" s="108"/>
      <c r="AT925" s="108"/>
      <c r="AU925" s="108"/>
      <c r="AV925" s="108"/>
      <c r="AW925" s="108"/>
      <c r="AX925" s="108"/>
      <c r="AY925" s="108"/>
      <c r="AZ925" s="108"/>
      <c r="BA925" s="108"/>
      <c r="BB925" s="108"/>
    </row>
    <row r="926" spans="3:54" ht="12.75" customHeight="1" x14ac:dyDescent="0.25">
      <c r="C926" s="108"/>
      <c r="D926" s="108"/>
      <c r="E926" s="108"/>
      <c r="F926" s="108"/>
      <c r="G926" s="108"/>
      <c r="H926" s="108"/>
      <c r="I926" s="108"/>
      <c r="J926" s="108"/>
      <c r="K926" s="108"/>
      <c r="L926" s="108"/>
      <c r="M926" s="108"/>
      <c r="N926" s="108"/>
      <c r="O926" s="108"/>
      <c r="P926" s="108"/>
      <c r="Q926" s="108"/>
      <c r="R926" s="108"/>
      <c r="S926" s="108"/>
      <c r="T926" s="108"/>
      <c r="U926" s="108"/>
      <c r="V926" s="108"/>
      <c r="W926" s="108"/>
      <c r="X926" s="108"/>
      <c r="Y926" s="108"/>
      <c r="Z926" s="108"/>
      <c r="AA926" s="108"/>
      <c r="AB926" s="108"/>
      <c r="AC926" s="108"/>
      <c r="AD926" s="108"/>
      <c r="AE926" s="108"/>
      <c r="AF926" s="108"/>
      <c r="AG926" s="108"/>
      <c r="AH926" s="108"/>
      <c r="AI926" s="108"/>
      <c r="AJ926" s="108"/>
      <c r="AK926" s="108"/>
      <c r="AL926" s="108"/>
      <c r="AM926" s="108"/>
      <c r="AN926" s="108"/>
      <c r="AO926" s="108"/>
      <c r="AP926" s="108"/>
      <c r="AQ926" s="108"/>
      <c r="AR926" s="108"/>
      <c r="AS926" s="108"/>
      <c r="AT926" s="108"/>
      <c r="AU926" s="108"/>
      <c r="AV926" s="108"/>
      <c r="AW926" s="108"/>
      <c r="AX926" s="108"/>
      <c r="AY926" s="108"/>
      <c r="AZ926" s="108"/>
      <c r="BA926" s="108"/>
      <c r="BB926" s="108"/>
    </row>
    <row r="927" spans="3:54" ht="12.75" customHeight="1" x14ac:dyDescent="0.25">
      <c r="C927" s="108"/>
      <c r="D927" s="108"/>
      <c r="E927" s="108"/>
      <c r="F927" s="108"/>
      <c r="G927" s="108"/>
      <c r="H927" s="108"/>
      <c r="I927" s="108"/>
      <c r="J927" s="108"/>
      <c r="K927" s="108"/>
      <c r="L927" s="108"/>
      <c r="M927" s="108"/>
      <c r="N927" s="108"/>
      <c r="O927" s="108"/>
      <c r="P927" s="108"/>
      <c r="Q927" s="108"/>
      <c r="R927" s="108"/>
      <c r="S927" s="108"/>
      <c r="T927" s="108"/>
      <c r="U927" s="108"/>
      <c r="V927" s="108"/>
      <c r="W927" s="108"/>
      <c r="X927" s="108"/>
      <c r="Y927" s="108"/>
      <c r="Z927" s="108"/>
      <c r="AA927" s="108"/>
      <c r="AB927" s="108"/>
      <c r="AC927" s="108"/>
      <c r="AD927" s="108"/>
      <c r="AE927" s="108"/>
      <c r="AF927" s="108"/>
      <c r="AG927" s="108"/>
      <c r="AH927" s="108"/>
      <c r="AI927" s="108"/>
      <c r="AJ927" s="108"/>
      <c r="AK927" s="108"/>
      <c r="AL927" s="108"/>
      <c r="AM927" s="108"/>
      <c r="AN927" s="108"/>
      <c r="AO927" s="108"/>
      <c r="AP927" s="108"/>
      <c r="AQ927" s="108"/>
      <c r="AR927" s="108"/>
      <c r="AS927" s="108"/>
      <c r="AT927" s="108"/>
      <c r="AU927" s="108"/>
      <c r="AV927" s="108"/>
      <c r="AW927" s="108"/>
      <c r="AX927" s="108"/>
      <c r="AY927" s="108"/>
      <c r="AZ927" s="108"/>
      <c r="BA927" s="108"/>
      <c r="BB927" s="108"/>
    </row>
    <row r="928" spans="3:54" ht="12.75" customHeight="1" x14ac:dyDescent="0.25">
      <c r="C928" s="108"/>
      <c r="D928" s="108"/>
      <c r="E928" s="108"/>
      <c r="F928" s="108"/>
      <c r="G928" s="108"/>
      <c r="H928" s="108"/>
      <c r="I928" s="108"/>
      <c r="J928" s="108"/>
      <c r="K928" s="108"/>
      <c r="L928" s="108"/>
      <c r="M928" s="108"/>
      <c r="N928" s="108"/>
      <c r="O928" s="108"/>
      <c r="P928" s="108"/>
      <c r="Q928" s="108"/>
      <c r="R928" s="108"/>
      <c r="S928" s="108"/>
      <c r="T928" s="108"/>
      <c r="U928" s="108"/>
      <c r="V928" s="108"/>
      <c r="W928" s="108"/>
      <c r="X928" s="108"/>
      <c r="Y928" s="108"/>
      <c r="Z928" s="108"/>
      <c r="AA928" s="108"/>
      <c r="AB928" s="108"/>
      <c r="AC928" s="108"/>
      <c r="AD928" s="108"/>
      <c r="AE928" s="108"/>
      <c r="AF928" s="108"/>
      <c r="AG928" s="108"/>
      <c r="AH928" s="108"/>
      <c r="AI928" s="108"/>
      <c r="AJ928" s="108"/>
      <c r="AK928" s="108"/>
      <c r="AL928" s="108"/>
      <c r="AM928" s="108"/>
      <c r="AN928" s="108"/>
      <c r="AO928" s="108"/>
      <c r="AP928" s="108"/>
      <c r="AQ928" s="108"/>
      <c r="AR928" s="108"/>
      <c r="AS928" s="108"/>
      <c r="AT928" s="108"/>
      <c r="AU928" s="108"/>
      <c r="AV928" s="108"/>
      <c r="AW928" s="108"/>
      <c r="AX928" s="108"/>
      <c r="AY928" s="108"/>
      <c r="AZ928" s="108"/>
      <c r="BA928" s="108"/>
      <c r="BB928" s="108"/>
    </row>
    <row r="929" spans="3:54" ht="12.75" customHeight="1" x14ac:dyDescent="0.25">
      <c r="C929" s="108"/>
      <c r="D929" s="108"/>
      <c r="E929" s="108"/>
      <c r="F929" s="108"/>
      <c r="G929" s="108"/>
      <c r="H929" s="108"/>
      <c r="I929" s="108"/>
      <c r="J929" s="108"/>
      <c r="K929" s="108"/>
      <c r="L929" s="108"/>
      <c r="M929" s="108"/>
      <c r="N929" s="108"/>
      <c r="O929" s="108"/>
      <c r="P929" s="108"/>
      <c r="Q929" s="108"/>
      <c r="R929" s="108"/>
      <c r="S929" s="108"/>
      <c r="T929" s="108"/>
      <c r="U929" s="108"/>
      <c r="V929" s="108"/>
      <c r="W929" s="108"/>
      <c r="X929" s="108"/>
      <c r="Y929" s="108"/>
      <c r="Z929" s="108"/>
      <c r="AA929" s="108"/>
      <c r="AB929" s="108"/>
      <c r="AC929" s="108"/>
      <c r="AD929" s="108"/>
      <c r="AE929" s="108"/>
      <c r="AF929" s="108"/>
      <c r="AG929" s="108"/>
      <c r="AH929" s="108"/>
      <c r="AI929" s="108"/>
      <c r="AJ929" s="108"/>
      <c r="AK929" s="108"/>
      <c r="AL929" s="108"/>
      <c r="AM929" s="108"/>
      <c r="AN929" s="108"/>
      <c r="AO929" s="108"/>
      <c r="AP929" s="108"/>
      <c r="AQ929" s="108"/>
      <c r="AR929" s="108"/>
      <c r="AS929" s="108"/>
      <c r="AT929" s="108"/>
      <c r="AU929" s="108"/>
      <c r="AV929" s="108"/>
      <c r="AW929" s="108"/>
      <c r="AX929" s="108"/>
      <c r="AY929" s="108"/>
      <c r="AZ929" s="108"/>
      <c r="BA929" s="108"/>
      <c r="BB929" s="108"/>
    </row>
    <row r="930" spans="3:54" ht="12.75" customHeight="1" x14ac:dyDescent="0.25">
      <c r="C930" s="108"/>
      <c r="D930" s="108"/>
      <c r="E930" s="108"/>
      <c r="F930" s="108"/>
      <c r="G930" s="108"/>
      <c r="H930" s="108"/>
      <c r="I930" s="108"/>
      <c r="J930" s="108"/>
      <c r="K930" s="108"/>
      <c r="L930" s="108"/>
      <c r="M930" s="108"/>
      <c r="N930" s="108"/>
      <c r="O930" s="108"/>
      <c r="P930" s="108"/>
      <c r="Q930" s="108"/>
      <c r="R930" s="108"/>
      <c r="S930" s="108"/>
      <c r="T930" s="108"/>
      <c r="U930" s="108"/>
      <c r="V930" s="108"/>
      <c r="W930" s="108"/>
      <c r="X930" s="108"/>
      <c r="Y930" s="108"/>
      <c r="Z930" s="108"/>
      <c r="AA930" s="108"/>
      <c r="AB930" s="108"/>
      <c r="AC930" s="108"/>
      <c r="AD930" s="108"/>
      <c r="AE930" s="108"/>
      <c r="AF930" s="108"/>
      <c r="AG930" s="108"/>
      <c r="AH930" s="108"/>
      <c r="AI930" s="108"/>
      <c r="AJ930" s="108"/>
      <c r="AK930" s="108"/>
      <c r="AL930" s="108"/>
      <c r="AM930" s="108"/>
      <c r="AN930" s="108"/>
      <c r="AO930" s="108"/>
      <c r="AP930" s="108"/>
      <c r="AQ930" s="108"/>
      <c r="AR930" s="108"/>
      <c r="AS930" s="108"/>
      <c r="AT930" s="108"/>
      <c r="AU930" s="108"/>
      <c r="AV930" s="108"/>
      <c r="AW930" s="108"/>
      <c r="AX930" s="108"/>
      <c r="AY930" s="108"/>
      <c r="AZ930" s="108"/>
      <c r="BA930" s="108"/>
      <c r="BB930" s="108"/>
    </row>
    <row r="931" spans="3:54" ht="12.75" customHeight="1" x14ac:dyDescent="0.25">
      <c r="C931" s="108"/>
      <c r="D931" s="108"/>
      <c r="E931" s="108"/>
      <c r="F931" s="108"/>
      <c r="G931" s="108"/>
      <c r="H931" s="108"/>
      <c r="I931" s="108"/>
      <c r="J931" s="108"/>
      <c r="K931" s="108"/>
      <c r="L931" s="108"/>
      <c r="M931" s="108"/>
      <c r="N931" s="108"/>
      <c r="O931" s="108"/>
      <c r="P931" s="108"/>
      <c r="Q931" s="108"/>
      <c r="R931" s="108"/>
      <c r="S931" s="108"/>
      <c r="T931" s="108"/>
      <c r="U931" s="108"/>
      <c r="V931" s="108"/>
      <c r="W931" s="108"/>
      <c r="X931" s="108"/>
      <c r="Y931" s="108"/>
      <c r="Z931" s="108"/>
      <c r="AA931" s="108"/>
      <c r="AB931" s="108"/>
      <c r="AC931" s="108"/>
      <c r="AD931" s="108"/>
      <c r="AE931" s="108"/>
      <c r="AF931" s="108"/>
      <c r="AG931" s="108"/>
      <c r="AH931" s="108"/>
      <c r="AI931" s="108"/>
      <c r="AJ931" s="108"/>
      <c r="AK931" s="108"/>
      <c r="AL931" s="108"/>
      <c r="AM931" s="108"/>
      <c r="AN931" s="108"/>
      <c r="AO931" s="108"/>
      <c r="AP931" s="108"/>
      <c r="AQ931" s="108"/>
      <c r="AR931" s="108"/>
      <c r="AS931" s="108"/>
      <c r="AT931" s="108"/>
      <c r="AU931" s="108"/>
      <c r="AV931" s="108"/>
      <c r="AW931" s="108"/>
      <c r="AX931" s="108"/>
      <c r="AY931" s="108"/>
      <c r="AZ931" s="108"/>
      <c r="BA931" s="108"/>
      <c r="BB931" s="108"/>
    </row>
    <row r="932" spans="3:54" ht="12.75" customHeight="1" x14ac:dyDescent="0.25">
      <c r="C932" s="108"/>
      <c r="D932" s="108"/>
      <c r="E932" s="108"/>
      <c r="F932" s="108"/>
      <c r="G932" s="108"/>
      <c r="H932" s="108"/>
      <c r="I932" s="108"/>
      <c r="J932" s="108"/>
      <c r="K932" s="108"/>
      <c r="L932" s="108"/>
      <c r="M932" s="108"/>
      <c r="N932" s="108"/>
      <c r="O932" s="108"/>
      <c r="P932" s="108"/>
      <c r="Q932" s="108"/>
      <c r="R932" s="108"/>
      <c r="S932" s="108"/>
      <c r="T932" s="108"/>
      <c r="U932" s="108"/>
      <c r="V932" s="108"/>
      <c r="W932" s="108"/>
      <c r="X932" s="108"/>
      <c r="Y932" s="108"/>
      <c r="Z932" s="108"/>
      <c r="AA932" s="108"/>
      <c r="AB932" s="108"/>
      <c r="AC932" s="108"/>
      <c r="AD932" s="108"/>
      <c r="AE932" s="108"/>
      <c r="AF932" s="108"/>
      <c r="AG932" s="108"/>
      <c r="AH932" s="108"/>
      <c r="AI932" s="108"/>
      <c r="AJ932" s="108"/>
      <c r="AK932" s="108"/>
      <c r="AL932" s="108"/>
      <c r="AM932" s="108"/>
      <c r="AN932" s="108"/>
      <c r="AO932" s="108"/>
      <c r="AP932" s="108"/>
      <c r="AQ932" s="108"/>
      <c r="AR932" s="108"/>
      <c r="AS932" s="108"/>
      <c r="AT932" s="108"/>
      <c r="AU932" s="108"/>
      <c r="AV932" s="108"/>
      <c r="AW932" s="108"/>
      <c r="AX932" s="108"/>
      <c r="AY932" s="108"/>
      <c r="AZ932" s="108"/>
      <c r="BA932" s="108"/>
      <c r="BB932" s="108"/>
    </row>
    <row r="933" spans="3:54" ht="12.75" customHeight="1" x14ac:dyDescent="0.25">
      <c r="C933" s="108"/>
      <c r="D933" s="108"/>
      <c r="E933" s="108"/>
      <c r="F933" s="108"/>
      <c r="G933" s="108"/>
      <c r="H933" s="108"/>
      <c r="I933" s="108"/>
      <c r="J933" s="108"/>
      <c r="K933" s="108"/>
      <c r="L933" s="108"/>
      <c r="M933" s="108"/>
      <c r="N933" s="108"/>
      <c r="O933" s="108"/>
      <c r="P933" s="108"/>
      <c r="Q933" s="108"/>
      <c r="R933" s="108"/>
      <c r="S933" s="108"/>
      <c r="T933" s="108"/>
      <c r="U933" s="108"/>
      <c r="V933" s="108"/>
      <c r="W933" s="108"/>
      <c r="X933" s="108"/>
      <c r="Y933" s="108"/>
      <c r="Z933" s="108"/>
      <c r="AA933" s="108"/>
      <c r="AB933" s="108"/>
      <c r="AC933" s="108"/>
      <c r="AD933" s="108"/>
      <c r="AE933" s="108"/>
      <c r="AF933" s="108"/>
      <c r="AG933" s="108"/>
      <c r="AH933" s="108"/>
      <c r="AI933" s="108"/>
      <c r="AJ933" s="108"/>
      <c r="AK933" s="108"/>
      <c r="AL933" s="108"/>
      <c r="AM933" s="108"/>
      <c r="AN933" s="108"/>
      <c r="AO933" s="108"/>
      <c r="AP933" s="108"/>
      <c r="AQ933" s="108"/>
      <c r="AR933" s="108"/>
      <c r="AS933" s="108"/>
      <c r="AT933" s="108"/>
      <c r="AU933" s="108"/>
      <c r="AV933" s="108"/>
      <c r="AW933" s="108"/>
      <c r="AX933" s="108"/>
      <c r="AY933" s="108"/>
      <c r="AZ933" s="108"/>
      <c r="BA933" s="108"/>
      <c r="BB933" s="108"/>
    </row>
    <row r="934" spans="3:54" ht="12.75" customHeight="1" x14ac:dyDescent="0.25">
      <c r="C934" s="108"/>
      <c r="D934" s="108"/>
      <c r="E934" s="108"/>
      <c r="F934" s="108"/>
      <c r="G934" s="108"/>
      <c r="H934" s="108"/>
      <c r="I934" s="108"/>
      <c r="J934" s="108"/>
      <c r="K934" s="108"/>
      <c r="L934" s="108"/>
      <c r="M934" s="108"/>
      <c r="N934" s="108"/>
      <c r="O934" s="108"/>
      <c r="P934" s="108"/>
      <c r="Q934" s="108"/>
      <c r="R934" s="108"/>
      <c r="S934" s="108"/>
      <c r="T934" s="108"/>
      <c r="U934" s="108"/>
      <c r="V934" s="108"/>
      <c r="W934" s="108"/>
      <c r="X934" s="108"/>
      <c r="Y934" s="108"/>
      <c r="Z934" s="108"/>
      <c r="AA934" s="108"/>
      <c r="AB934" s="108"/>
      <c r="AC934" s="108"/>
      <c r="AD934" s="108"/>
      <c r="AE934" s="108"/>
      <c r="AF934" s="108"/>
      <c r="AG934" s="108"/>
      <c r="AH934" s="108"/>
      <c r="AI934" s="108"/>
      <c r="AJ934" s="108"/>
      <c r="AK934" s="108"/>
      <c r="AL934" s="108"/>
      <c r="AM934" s="108"/>
      <c r="AN934" s="108"/>
      <c r="AO934" s="108"/>
      <c r="AP934" s="108"/>
      <c r="AQ934" s="108"/>
      <c r="AR934" s="108"/>
      <c r="AS934" s="108"/>
      <c r="AT934" s="108"/>
      <c r="AU934" s="108"/>
      <c r="AV934" s="108"/>
      <c r="AW934" s="108"/>
      <c r="AX934" s="108"/>
      <c r="AY934" s="108"/>
      <c r="AZ934" s="108"/>
      <c r="BA934" s="108"/>
      <c r="BB934" s="108"/>
    </row>
    <row r="935" spans="3:54" ht="12.75" customHeight="1" x14ac:dyDescent="0.25">
      <c r="C935" s="108"/>
      <c r="D935" s="108"/>
      <c r="E935" s="108"/>
      <c r="F935" s="108"/>
      <c r="G935" s="108"/>
      <c r="H935" s="108"/>
      <c r="I935" s="108"/>
      <c r="J935" s="108"/>
      <c r="K935" s="108"/>
      <c r="L935" s="108"/>
      <c r="M935" s="108"/>
      <c r="N935" s="108"/>
      <c r="O935" s="108"/>
      <c r="P935" s="108"/>
      <c r="Q935" s="108"/>
      <c r="R935" s="108"/>
      <c r="S935" s="108"/>
      <c r="T935" s="108"/>
      <c r="U935" s="108"/>
      <c r="V935" s="108"/>
      <c r="W935" s="108"/>
      <c r="X935" s="108"/>
      <c r="Y935" s="108"/>
      <c r="Z935" s="108"/>
      <c r="AA935" s="108"/>
      <c r="AB935" s="108"/>
      <c r="AC935" s="108"/>
      <c r="AD935" s="108"/>
      <c r="AE935" s="108"/>
      <c r="AF935" s="108"/>
      <c r="AG935" s="108"/>
      <c r="AH935" s="108"/>
      <c r="AI935" s="108"/>
      <c r="AJ935" s="108"/>
      <c r="AK935" s="108"/>
      <c r="AL935" s="108"/>
      <c r="AM935" s="108"/>
      <c r="AN935" s="108"/>
      <c r="AO935" s="108"/>
      <c r="AP935" s="108"/>
      <c r="AQ935" s="108"/>
      <c r="AR935" s="108"/>
      <c r="AS935" s="108"/>
      <c r="AT935" s="108"/>
      <c r="AU935" s="108"/>
      <c r="AV935" s="108"/>
      <c r="AW935" s="108"/>
      <c r="AX935" s="108"/>
      <c r="AY935" s="108"/>
      <c r="AZ935" s="108"/>
      <c r="BA935" s="108"/>
      <c r="BB935" s="108"/>
    </row>
    <row r="936" spans="3:54" ht="12.75" customHeight="1" x14ac:dyDescent="0.25">
      <c r="C936" s="108"/>
      <c r="D936" s="108"/>
      <c r="E936" s="108"/>
      <c r="F936" s="108"/>
      <c r="G936" s="108"/>
      <c r="H936" s="108"/>
      <c r="I936" s="108"/>
      <c r="J936" s="108"/>
      <c r="K936" s="108"/>
      <c r="L936" s="108"/>
      <c r="M936" s="108"/>
      <c r="N936" s="108"/>
      <c r="O936" s="108"/>
      <c r="P936" s="108"/>
      <c r="Q936" s="108"/>
      <c r="R936" s="108"/>
      <c r="S936" s="108"/>
      <c r="T936" s="108"/>
      <c r="U936" s="108"/>
      <c r="V936" s="108"/>
      <c r="W936" s="108"/>
      <c r="X936" s="108"/>
      <c r="Y936" s="108"/>
      <c r="Z936" s="108"/>
      <c r="AA936" s="108"/>
      <c r="AB936" s="108"/>
      <c r="AC936" s="108"/>
      <c r="AD936" s="108"/>
      <c r="AE936" s="108"/>
      <c r="AF936" s="108"/>
      <c r="AG936" s="108"/>
      <c r="AH936" s="108"/>
      <c r="AI936" s="108"/>
      <c r="AJ936" s="108"/>
      <c r="AK936" s="108"/>
      <c r="AL936" s="108"/>
      <c r="AM936" s="108"/>
      <c r="AN936" s="108"/>
      <c r="AO936" s="108"/>
      <c r="AP936" s="108"/>
      <c r="AQ936" s="108"/>
      <c r="AR936" s="108"/>
      <c r="AS936" s="108"/>
      <c r="AT936" s="108"/>
      <c r="AU936" s="108"/>
      <c r="AV936" s="108"/>
      <c r="AW936" s="108"/>
      <c r="AX936" s="108"/>
      <c r="AY936" s="108"/>
      <c r="AZ936" s="108"/>
      <c r="BA936" s="108"/>
      <c r="BB936" s="108"/>
    </row>
    <row r="937" spans="3:54" ht="12.75" customHeight="1" x14ac:dyDescent="0.25">
      <c r="C937" s="108"/>
      <c r="D937" s="108"/>
      <c r="E937" s="108"/>
      <c r="F937" s="108"/>
      <c r="G937" s="108"/>
      <c r="H937" s="108"/>
      <c r="I937" s="108"/>
      <c r="J937" s="108"/>
      <c r="K937" s="108"/>
      <c r="L937" s="108"/>
      <c r="M937" s="108"/>
      <c r="N937" s="108"/>
      <c r="O937" s="108"/>
      <c r="P937" s="108"/>
      <c r="Q937" s="108"/>
      <c r="R937" s="108"/>
      <c r="S937" s="108"/>
      <c r="T937" s="108"/>
      <c r="U937" s="108"/>
      <c r="V937" s="108"/>
      <c r="W937" s="108"/>
      <c r="X937" s="108"/>
      <c r="Y937" s="108"/>
      <c r="Z937" s="108"/>
      <c r="AA937" s="108"/>
      <c r="AB937" s="108"/>
      <c r="AC937" s="108"/>
      <c r="AD937" s="108"/>
      <c r="AE937" s="108"/>
      <c r="AF937" s="108"/>
      <c r="AG937" s="108"/>
      <c r="AH937" s="108"/>
      <c r="AI937" s="108"/>
      <c r="AJ937" s="108"/>
      <c r="AK937" s="108"/>
      <c r="AL937" s="108"/>
      <c r="AM937" s="108"/>
      <c r="AN937" s="108"/>
      <c r="AO937" s="108"/>
      <c r="AP937" s="108"/>
      <c r="AQ937" s="108"/>
      <c r="AR937" s="108"/>
      <c r="AS937" s="108"/>
      <c r="AT937" s="108"/>
      <c r="AU937" s="108"/>
      <c r="AV937" s="108"/>
      <c r="AW937" s="108"/>
      <c r="AX937" s="108"/>
      <c r="AY937" s="108"/>
      <c r="AZ937" s="108"/>
      <c r="BA937" s="108"/>
      <c r="BB937" s="108"/>
    </row>
    <row r="938" spans="3:54" ht="12.75" customHeight="1" x14ac:dyDescent="0.25">
      <c r="C938" s="108"/>
      <c r="D938" s="108"/>
      <c r="E938" s="108"/>
      <c r="F938" s="108"/>
      <c r="G938" s="108"/>
      <c r="H938" s="108"/>
      <c r="I938" s="108"/>
      <c r="J938" s="108"/>
      <c r="K938" s="108"/>
      <c r="L938" s="108"/>
      <c r="M938" s="108"/>
      <c r="N938" s="108"/>
      <c r="O938" s="108"/>
      <c r="P938" s="108"/>
      <c r="Q938" s="108"/>
      <c r="R938" s="108"/>
      <c r="S938" s="108"/>
      <c r="T938" s="108"/>
      <c r="U938" s="108"/>
      <c r="V938" s="108"/>
      <c r="W938" s="108"/>
      <c r="X938" s="108"/>
      <c r="Y938" s="108"/>
      <c r="Z938" s="108"/>
      <c r="AA938" s="108"/>
      <c r="AB938" s="108"/>
      <c r="AC938" s="108"/>
      <c r="AD938" s="108"/>
      <c r="AE938" s="108"/>
      <c r="AF938" s="108"/>
      <c r="AG938" s="108"/>
      <c r="AH938" s="108"/>
      <c r="AI938" s="108"/>
      <c r="AJ938" s="108"/>
      <c r="AK938" s="108"/>
      <c r="AL938" s="108"/>
      <c r="AM938" s="108"/>
      <c r="AN938" s="108"/>
      <c r="AO938" s="108"/>
      <c r="AP938" s="108"/>
      <c r="AQ938" s="108"/>
      <c r="AR938" s="108"/>
      <c r="AS938" s="108"/>
      <c r="AT938" s="108"/>
      <c r="AU938" s="108"/>
      <c r="AV938" s="108"/>
      <c r="AW938" s="108"/>
      <c r="AX938" s="108"/>
      <c r="AY938" s="108"/>
      <c r="AZ938" s="108"/>
      <c r="BA938" s="108"/>
      <c r="BB938" s="108"/>
    </row>
    <row r="939" spans="3:54" ht="12.75" customHeight="1" x14ac:dyDescent="0.25">
      <c r="C939" s="108"/>
      <c r="D939" s="108"/>
      <c r="E939" s="108"/>
      <c r="F939" s="108"/>
      <c r="G939" s="108"/>
      <c r="H939" s="108"/>
      <c r="I939" s="108"/>
      <c r="J939" s="108"/>
      <c r="K939" s="108"/>
      <c r="L939" s="108"/>
      <c r="M939" s="108"/>
      <c r="N939" s="108"/>
      <c r="O939" s="108"/>
      <c r="P939" s="108"/>
      <c r="Q939" s="108"/>
      <c r="R939" s="108"/>
      <c r="S939" s="108"/>
      <c r="T939" s="108"/>
      <c r="U939" s="108"/>
      <c r="V939" s="108"/>
      <c r="W939" s="108"/>
      <c r="X939" s="108"/>
      <c r="Y939" s="108"/>
      <c r="Z939" s="108"/>
      <c r="AA939" s="108"/>
      <c r="AB939" s="108"/>
      <c r="AC939" s="108"/>
      <c r="AD939" s="108"/>
      <c r="AE939" s="108"/>
      <c r="AF939" s="108"/>
      <c r="AG939" s="108"/>
      <c r="AH939" s="108"/>
      <c r="AI939" s="108"/>
      <c r="AJ939" s="108"/>
      <c r="AK939" s="108"/>
      <c r="AL939" s="108"/>
      <c r="AM939" s="108"/>
      <c r="AN939" s="108"/>
      <c r="AO939" s="108"/>
      <c r="AP939" s="108"/>
      <c r="AQ939" s="108"/>
      <c r="AR939" s="108"/>
      <c r="AS939" s="108"/>
      <c r="AT939" s="108"/>
      <c r="AU939" s="108"/>
      <c r="AV939" s="108"/>
      <c r="AW939" s="108"/>
      <c r="AX939" s="108"/>
      <c r="AY939" s="108"/>
      <c r="AZ939" s="108"/>
      <c r="BA939" s="108"/>
      <c r="BB939" s="108"/>
    </row>
    <row r="940" spans="3:54" ht="12.75" customHeight="1" x14ac:dyDescent="0.25">
      <c r="C940" s="108"/>
      <c r="D940" s="108"/>
      <c r="E940" s="108"/>
      <c r="F940" s="108"/>
      <c r="G940" s="108"/>
      <c r="H940" s="108"/>
      <c r="I940" s="108"/>
      <c r="J940" s="108"/>
      <c r="K940" s="108"/>
      <c r="L940" s="108"/>
      <c r="M940" s="108"/>
      <c r="N940" s="108"/>
      <c r="O940" s="108"/>
      <c r="P940" s="108"/>
      <c r="Q940" s="108"/>
      <c r="R940" s="108"/>
      <c r="S940" s="108"/>
      <c r="T940" s="108"/>
      <c r="U940" s="108"/>
      <c r="V940" s="108"/>
      <c r="W940" s="108"/>
      <c r="X940" s="108"/>
      <c r="Y940" s="108"/>
      <c r="Z940" s="108"/>
      <c r="AA940" s="108"/>
      <c r="AB940" s="108"/>
      <c r="AC940" s="108"/>
      <c r="AD940" s="108"/>
      <c r="AE940" s="108"/>
      <c r="AF940" s="108"/>
      <c r="AG940" s="108"/>
      <c r="AH940" s="108"/>
      <c r="AI940" s="108"/>
      <c r="AJ940" s="108"/>
      <c r="AK940" s="108"/>
      <c r="AL940" s="108"/>
      <c r="AM940" s="108"/>
      <c r="AN940" s="108"/>
      <c r="AO940" s="108"/>
      <c r="AP940" s="108"/>
      <c r="AQ940" s="108"/>
      <c r="AR940" s="108"/>
      <c r="AS940" s="108"/>
      <c r="AT940" s="108"/>
      <c r="AU940" s="108"/>
      <c r="AV940" s="108"/>
      <c r="AW940" s="108"/>
      <c r="AX940" s="108"/>
      <c r="AY940" s="108"/>
      <c r="AZ940" s="108"/>
      <c r="BA940" s="108"/>
      <c r="BB940" s="108"/>
    </row>
    <row r="941" spans="3:54" ht="12.75" customHeight="1" x14ac:dyDescent="0.25">
      <c r="C941" s="108"/>
      <c r="D941" s="108"/>
      <c r="E941" s="108"/>
      <c r="F941" s="108"/>
      <c r="G941" s="108"/>
      <c r="H941" s="108"/>
      <c r="I941" s="108"/>
      <c r="J941" s="108"/>
      <c r="K941" s="108"/>
      <c r="L941" s="108"/>
      <c r="M941" s="108"/>
      <c r="N941" s="108"/>
      <c r="O941" s="108"/>
      <c r="P941" s="108"/>
      <c r="Q941" s="108"/>
      <c r="R941" s="108"/>
      <c r="S941" s="108"/>
      <c r="T941" s="108"/>
      <c r="U941" s="108"/>
      <c r="V941" s="108"/>
      <c r="W941" s="108"/>
      <c r="X941" s="108"/>
      <c r="Y941" s="108"/>
      <c r="Z941" s="108"/>
      <c r="AA941" s="108"/>
      <c r="AB941" s="108"/>
      <c r="AC941" s="108"/>
      <c r="AD941" s="108"/>
      <c r="AE941" s="108"/>
      <c r="AF941" s="108"/>
      <c r="AG941" s="108"/>
      <c r="AH941" s="108"/>
      <c r="AI941" s="108"/>
      <c r="AJ941" s="108"/>
      <c r="AK941" s="108"/>
      <c r="AL941" s="108"/>
      <c r="AM941" s="108"/>
      <c r="AN941" s="108"/>
      <c r="AO941" s="108"/>
      <c r="AP941" s="108"/>
      <c r="AQ941" s="108"/>
      <c r="AR941" s="108"/>
      <c r="AS941" s="108"/>
      <c r="AT941" s="108"/>
      <c r="AU941" s="108"/>
      <c r="AV941" s="108"/>
      <c r="AW941" s="108"/>
      <c r="AX941" s="108"/>
      <c r="AY941" s="108"/>
      <c r="AZ941" s="108"/>
      <c r="BA941" s="108"/>
      <c r="BB941" s="108"/>
    </row>
    <row r="942" spans="3:54" ht="12.75" customHeight="1" x14ac:dyDescent="0.25">
      <c r="C942" s="108"/>
      <c r="D942" s="108"/>
      <c r="E942" s="108"/>
      <c r="F942" s="108"/>
      <c r="G942" s="108"/>
      <c r="H942" s="108"/>
      <c r="I942" s="108"/>
      <c r="J942" s="108"/>
      <c r="K942" s="108"/>
      <c r="L942" s="108"/>
      <c r="M942" s="108"/>
      <c r="N942" s="108"/>
      <c r="O942" s="108"/>
      <c r="P942" s="108"/>
      <c r="Q942" s="108"/>
      <c r="R942" s="108"/>
      <c r="S942" s="108"/>
      <c r="T942" s="108"/>
      <c r="U942" s="108"/>
      <c r="V942" s="108"/>
      <c r="W942" s="108"/>
      <c r="X942" s="108"/>
      <c r="Y942" s="108"/>
      <c r="Z942" s="108"/>
      <c r="AA942" s="108"/>
      <c r="AB942" s="108"/>
      <c r="AC942" s="108"/>
      <c r="AD942" s="108"/>
      <c r="AE942" s="108"/>
      <c r="AF942" s="108"/>
      <c r="AG942" s="108"/>
      <c r="AH942" s="108"/>
      <c r="AI942" s="108"/>
      <c r="AJ942" s="108"/>
      <c r="AK942" s="108"/>
      <c r="AL942" s="108"/>
      <c r="AM942" s="108"/>
      <c r="AN942" s="108"/>
      <c r="AO942" s="108"/>
      <c r="AP942" s="108"/>
      <c r="AQ942" s="108"/>
      <c r="AR942" s="108"/>
      <c r="AS942" s="108"/>
      <c r="AT942" s="108"/>
      <c r="AU942" s="108"/>
      <c r="AV942" s="108"/>
      <c r="AW942" s="108"/>
      <c r="AX942" s="108"/>
      <c r="AY942" s="108"/>
      <c r="AZ942" s="108"/>
      <c r="BA942" s="108"/>
      <c r="BB942" s="108"/>
    </row>
    <row r="943" spans="3:54" ht="12.75" customHeight="1" x14ac:dyDescent="0.25">
      <c r="C943" s="108"/>
      <c r="D943" s="108"/>
      <c r="E943" s="108"/>
      <c r="F943" s="108"/>
      <c r="G943" s="108"/>
      <c r="H943" s="108"/>
      <c r="I943" s="108"/>
      <c r="J943" s="108"/>
      <c r="K943" s="108"/>
      <c r="L943" s="108"/>
      <c r="M943" s="108"/>
      <c r="N943" s="108"/>
      <c r="O943" s="108"/>
      <c r="P943" s="108"/>
      <c r="Q943" s="108"/>
      <c r="R943" s="108"/>
      <c r="S943" s="108"/>
      <c r="T943" s="108"/>
      <c r="U943" s="108"/>
      <c r="V943" s="108"/>
      <c r="W943" s="108"/>
      <c r="X943" s="108"/>
      <c r="Y943" s="108"/>
      <c r="Z943" s="108"/>
      <c r="AA943" s="108"/>
      <c r="AB943" s="108"/>
      <c r="AC943" s="108"/>
      <c r="AD943" s="108"/>
      <c r="AE943" s="108"/>
      <c r="AF943" s="108"/>
      <c r="AG943" s="108"/>
      <c r="AH943" s="108"/>
      <c r="AI943" s="108"/>
      <c r="AJ943" s="108"/>
      <c r="AK943" s="108"/>
      <c r="AL943" s="108"/>
      <c r="AM943" s="108"/>
      <c r="AN943" s="108"/>
      <c r="AO943" s="108"/>
      <c r="AP943" s="108"/>
      <c r="AQ943" s="108"/>
      <c r="AR943" s="108"/>
      <c r="AS943" s="108"/>
      <c r="AT943" s="108"/>
      <c r="AU943" s="108"/>
      <c r="AV943" s="108"/>
      <c r="AW943" s="108"/>
      <c r="AX943" s="108"/>
      <c r="AY943" s="108"/>
      <c r="AZ943" s="108"/>
      <c r="BA943" s="108"/>
      <c r="BB943" s="108"/>
    </row>
    <row r="944" spans="3:54" ht="12.75" customHeight="1" x14ac:dyDescent="0.25">
      <c r="C944" s="108"/>
      <c r="D944" s="108"/>
      <c r="E944" s="108"/>
      <c r="F944" s="108"/>
      <c r="G944" s="108"/>
      <c r="H944" s="108"/>
      <c r="I944" s="108"/>
      <c r="J944" s="108"/>
      <c r="K944" s="108"/>
      <c r="L944" s="108"/>
      <c r="M944" s="108"/>
      <c r="N944" s="108"/>
      <c r="O944" s="108"/>
      <c r="P944" s="108"/>
      <c r="Q944" s="108"/>
      <c r="R944" s="108"/>
      <c r="S944" s="108"/>
      <c r="T944" s="108"/>
      <c r="U944" s="108"/>
      <c r="V944" s="108"/>
      <c r="W944" s="108"/>
      <c r="X944" s="108"/>
      <c r="Y944" s="108"/>
      <c r="Z944" s="108"/>
      <c r="AA944" s="108"/>
      <c r="AB944" s="108"/>
      <c r="AC944" s="108"/>
      <c r="AD944" s="108"/>
      <c r="AE944" s="108"/>
      <c r="AF944" s="108"/>
      <c r="AG944" s="108"/>
      <c r="AH944" s="108"/>
      <c r="AI944" s="108"/>
      <c r="AJ944" s="108"/>
      <c r="AK944" s="108"/>
      <c r="AL944" s="108"/>
      <c r="AM944" s="108"/>
      <c r="AN944" s="108"/>
      <c r="AO944" s="108"/>
      <c r="AP944" s="108"/>
      <c r="AQ944" s="108"/>
      <c r="AR944" s="108"/>
      <c r="AS944" s="108"/>
      <c r="AT944" s="108"/>
      <c r="AU944" s="108"/>
      <c r="AV944" s="108"/>
      <c r="AW944" s="108"/>
      <c r="AX944" s="108"/>
      <c r="AY944" s="108"/>
      <c r="AZ944" s="108"/>
      <c r="BA944" s="108"/>
      <c r="BB944" s="108"/>
    </row>
    <row r="945" spans="3:54" ht="12.75" customHeight="1" x14ac:dyDescent="0.25">
      <c r="C945" s="108"/>
      <c r="D945" s="108"/>
      <c r="E945" s="108"/>
      <c r="F945" s="108"/>
      <c r="G945" s="108"/>
      <c r="H945" s="108"/>
      <c r="I945" s="108"/>
      <c r="J945" s="108"/>
      <c r="K945" s="108"/>
      <c r="L945" s="108"/>
      <c r="M945" s="108"/>
      <c r="N945" s="108"/>
      <c r="O945" s="108"/>
      <c r="P945" s="108"/>
      <c r="Q945" s="108"/>
      <c r="R945" s="108"/>
      <c r="S945" s="108"/>
      <c r="T945" s="108"/>
      <c r="U945" s="108"/>
      <c r="V945" s="108"/>
      <c r="W945" s="108"/>
      <c r="X945" s="108"/>
      <c r="Y945" s="108"/>
      <c r="Z945" s="108"/>
      <c r="AA945" s="108"/>
      <c r="AB945" s="108"/>
      <c r="AC945" s="108"/>
      <c r="AD945" s="108"/>
      <c r="AE945" s="108"/>
      <c r="AF945" s="108"/>
      <c r="AG945" s="108"/>
      <c r="AH945" s="108"/>
      <c r="AI945" s="108"/>
      <c r="AJ945" s="108"/>
      <c r="AK945" s="108"/>
      <c r="AL945" s="108"/>
      <c r="AM945" s="108"/>
      <c r="AN945" s="108"/>
      <c r="AO945" s="108"/>
      <c r="AP945" s="108"/>
      <c r="AQ945" s="108"/>
      <c r="AR945" s="108"/>
      <c r="AS945" s="108"/>
      <c r="AT945" s="108"/>
      <c r="AU945" s="108"/>
      <c r="AV945" s="108"/>
      <c r="AW945" s="108"/>
      <c r="AX945" s="108"/>
      <c r="AY945" s="108"/>
      <c r="AZ945" s="108"/>
      <c r="BA945" s="108"/>
      <c r="BB945" s="108"/>
    </row>
    <row r="946" spans="3:54" ht="12.75" customHeight="1" x14ac:dyDescent="0.25">
      <c r="C946" s="108"/>
      <c r="D946" s="108"/>
      <c r="E946" s="108"/>
      <c r="F946" s="108"/>
      <c r="G946" s="108"/>
      <c r="H946" s="108"/>
      <c r="I946" s="108"/>
      <c r="J946" s="108"/>
      <c r="K946" s="108"/>
      <c r="L946" s="108"/>
      <c r="M946" s="108"/>
      <c r="N946" s="108"/>
      <c r="O946" s="108"/>
      <c r="P946" s="108"/>
      <c r="Q946" s="108"/>
      <c r="R946" s="108"/>
      <c r="S946" s="108"/>
      <c r="T946" s="108"/>
      <c r="U946" s="108"/>
      <c r="V946" s="108"/>
      <c r="W946" s="108"/>
      <c r="X946" s="108"/>
      <c r="Y946" s="108"/>
      <c r="Z946" s="108"/>
      <c r="AA946" s="108"/>
      <c r="AB946" s="108"/>
      <c r="AC946" s="108"/>
      <c r="AD946" s="108"/>
      <c r="AE946" s="108"/>
      <c r="AF946" s="108"/>
      <c r="AG946" s="108"/>
      <c r="AH946" s="108"/>
      <c r="AI946" s="108"/>
      <c r="AJ946" s="108"/>
      <c r="AK946" s="108"/>
      <c r="AL946" s="108"/>
      <c r="AM946" s="108"/>
      <c r="AN946" s="108"/>
      <c r="AO946" s="108"/>
      <c r="AP946" s="108"/>
      <c r="AQ946" s="108"/>
      <c r="AR946" s="108"/>
      <c r="AS946" s="108"/>
      <c r="AT946" s="108"/>
      <c r="AU946" s="108"/>
      <c r="AV946" s="108"/>
      <c r="AW946" s="108"/>
      <c r="AX946" s="108"/>
      <c r="AY946" s="108"/>
      <c r="AZ946" s="108"/>
      <c r="BA946" s="108"/>
      <c r="BB946" s="108"/>
    </row>
    <row r="947" spans="3:54" ht="12.75" customHeight="1" x14ac:dyDescent="0.25">
      <c r="C947" s="108"/>
      <c r="D947" s="108"/>
      <c r="E947" s="108"/>
      <c r="F947" s="108"/>
      <c r="G947" s="108"/>
      <c r="H947" s="108"/>
      <c r="I947" s="108"/>
      <c r="J947" s="108"/>
      <c r="K947" s="108"/>
      <c r="L947" s="108"/>
      <c r="M947" s="108"/>
      <c r="N947" s="108"/>
      <c r="O947" s="108"/>
      <c r="P947" s="108"/>
      <c r="Q947" s="108"/>
      <c r="R947" s="108"/>
      <c r="S947" s="108"/>
      <c r="T947" s="108"/>
      <c r="U947" s="108"/>
      <c r="V947" s="108"/>
      <c r="W947" s="108"/>
      <c r="X947" s="108"/>
      <c r="Y947" s="108"/>
      <c r="Z947" s="108"/>
      <c r="AA947" s="108"/>
      <c r="AB947" s="108"/>
      <c r="AC947" s="108"/>
      <c r="AD947" s="108"/>
      <c r="AE947" s="108"/>
      <c r="AF947" s="108"/>
      <c r="AG947" s="108"/>
      <c r="AH947" s="108"/>
      <c r="AI947" s="108"/>
      <c r="AJ947" s="108"/>
      <c r="AK947" s="108"/>
      <c r="AL947" s="108"/>
      <c r="AM947" s="108"/>
      <c r="AN947" s="108"/>
      <c r="AO947" s="108"/>
      <c r="AP947" s="108"/>
      <c r="AQ947" s="108"/>
      <c r="AR947" s="108"/>
      <c r="AS947" s="108"/>
      <c r="AT947" s="108"/>
      <c r="AU947" s="108"/>
      <c r="AV947" s="108"/>
      <c r="AW947" s="108"/>
      <c r="AX947" s="108"/>
      <c r="AY947" s="108"/>
      <c r="AZ947" s="108"/>
      <c r="BA947" s="108"/>
      <c r="BB947" s="108"/>
    </row>
    <row r="948" spans="3:54" ht="12.75" customHeight="1" x14ac:dyDescent="0.25">
      <c r="C948" s="108"/>
      <c r="D948" s="108"/>
      <c r="E948" s="108"/>
      <c r="F948" s="108"/>
      <c r="G948" s="108"/>
      <c r="H948" s="108"/>
      <c r="I948" s="108"/>
      <c r="J948" s="108"/>
      <c r="K948" s="108"/>
      <c r="L948" s="108"/>
      <c r="M948" s="108"/>
      <c r="N948" s="108"/>
      <c r="O948" s="108"/>
      <c r="P948" s="108"/>
      <c r="Q948" s="108"/>
      <c r="R948" s="108"/>
      <c r="S948" s="108"/>
      <c r="T948" s="108"/>
      <c r="U948" s="108"/>
      <c r="V948" s="108"/>
      <c r="W948" s="108"/>
      <c r="X948" s="108"/>
      <c r="Y948" s="108"/>
      <c r="Z948" s="108"/>
      <c r="AA948" s="108"/>
      <c r="AB948" s="108"/>
      <c r="AC948" s="108"/>
      <c r="AD948" s="108"/>
      <c r="AE948" s="108"/>
      <c r="AF948" s="108"/>
      <c r="AG948" s="108"/>
      <c r="AH948" s="108"/>
      <c r="AI948" s="108"/>
      <c r="AJ948" s="108"/>
      <c r="AK948" s="108"/>
      <c r="AL948" s="108"/>
      <c r="AM948" s="108"/>
      <c r="AN948" s="108"/>
      <c r="AO948" s="108"/>
      <c r="AP948" s="108"/>
      <c r="AQ948" s="108"/>
      <c r="AR948" s="108"/>
      <c r="AS948" s="108"/>
      <c r="AT948" s="108"/>
      <c r="AU948" s="108"/>
      <c r="AV948" s="108"/>
      <c r="AW948" s="108"/>
      <c r="AX948" s="108"/>
      <c r="AY948" s="108"/>
      <c r="AZ948" s="108"/>
      <c r="BA948" s="108"/>
      <c r="BB948" s="108"/>
    </row>
    <row r="949" spans="3:54" ht="12.75" customHeight="1" x14ac:dyDescent="0.25">
      <c r="C949" s="108"/>
      <c r="D949" s="108"/>
      <c r="E949" s="108"/>
      <c r="F949" s="108"/>
      <c r="G949" s="108"/>
      <c r="H949" s="108"/>
      <c r="I949" s="108"/>
      <c r="J949" s="108"/>
      <c r="K949" s="108"/>
      <c r="L949" s="108"/>
      <c r="M949" s="108"/>
      <c r="N949" s="108"/>
      <c r="O949" s="108"/>
      <c r="P949" s="108"/>
      <c r="Q949" s="108"/>
      <c r="R949" s="108"/>
      <c r="S949" s="108"/>
      <c r="T949" s="108"/>
      <c r="U949" s="108"/>
      <c r="V949" s="108"/>
      <c r="W949" s="108"/>
      <c r="X949" s="108"/>
      <c r="Y949" s="108"/>
      <c r="Z949" s="108"/>
      <c r="AA949" s="108"/>
      <c r="AB949" s="108"/>
      <c r="AC949" s="108"/>
      <c r="AD949" s="108"/>
      <c r="AE949" s="108"/>
      <c r="AF949" s="108"/>
      <c r="AG949" s="108"/>
      <c r="AH949" s="108"/>
      <c r="AI949" s="108"/>
      <c r="AJ949" s="108"/>
      <c r="AK949" s="108"/>
      <c r="AL949" s="108"/>
      <c r="AM949" s="108"/>
      <c r="AN949" s="108"/>
      <c r="AO949" s="108"/>
      <c r="AP949" s="108"/>
      <c r="AQ949" s="108"/>
      <c r="AR949" s="108"/>
      <c r="AS949" s="108"/>
      <c r="AT949" s="108"/>
      <c r="AU949" s="108"/>
      <c r="AV949" s="108"/>
      <c r="AW949" s="108"/>
      <c r="AX949" s="108"/>
      <c r="AY949" s="108"/>
      <c r="AZ949" s="108"/>
      <c r="BA949" s="108"/>
      <c r="BB949" s="108"/>
    </row>
    <row r="950" spans="3:54" ht="12.75" customHeight="1" x14ac:dyDescent="0.25">
      <c r="C950" s="108"/>
      <c r="D950" s="108"/>
      <c r="E950" s="108"/>
      <c r="F950" s="108"/>
      <c r="G950" s="108"/>
      <c r="H950" s="108"/>
      <c r="I950" s="108"/>
      <c r="J950" s="108"/>
      <c r="K950" s="108"/>
      <c r="L950" s="108"/>
      <c r="M950" s="108"/>
      <c r="N950" s="108"/>
      <c r="O950" s="108"/>
      <c r="P950" s="108"/>
      <c r="Q950" s="108"/>
      <c r="R950" s="108"/>
      <c r="S950" s="108"/>
      <c r="T950" s="108"/>
      <c r="U950" s="108"/>
      <c r="V950" s="108"/>
      <c r="W950" s="108"/>
      <c r="X950" s="108"/>
      <c r="Y950" s="108"/>
      <c r="Z950" s="108"/>
      <c r="AA950" s="108"/>
      <c r="AB950" s="108"/>
      <c r="AC950" s="108"/>
      <c r="AD950" s="108"/>
      <c r="AE950" s="108"/>
      <c r="AF950" s="108"/>
      <c r="AG950" s="108"/>
      <c r="AH950" s="108"/>
      <c r="AI950" s="108"/>
      <c r="AJ950" s="108"/>
      <c r="AK950" s="108"/>
      <c r="AL950" s="108"/>
      <c r="AM950" s="108"/>
      <c r="AN950" s="108"/>
      <c r="AO950" s="108"/>
      <c r="AP950" s="108"/>
      <c r="AQ950" s="108"/>
      <c r="AR950" s="108"/>
      <c r="AS950" s="108"/>
      <c r="AT950" s="108"/>
      <c r="AU950" s="108"/>
      <c r="AV950" s="108"/>
      <c r="AW950" s="108"/>
      <c r="AX950" s="108"/>
      <c r="AY950" s="108"/>
      <c r="AZ950" s="108"/>
      <c r="BA950" s="108"/>
      <c r="BB950" s="108"/>
    </row>
    <row r="951" spans="3:54" ht="12.75" customHeight="1" x14ac:dyDescent="0.25">
      <c r="C951" s="108"/>
      <c r="D951" s="108"/>
      <c r="E951" s="108"/>
      <c r="F951" s="108"/>
      <c r="G951" s="108"/>
      <c r="H951" s="108"/>
      <c r="I951" s="108"/>
      <c r="J951" s="108"/>
      <c r="K951" s="108"/>
      <c r="L951" s="108"/>
      <c r="M951" s="108"/>
      <c r="N951" s="108"/>
      <c r="O951" s="108"/>
      <c r="P951" s="108"/>
      <c r="Q951" s="108"/>
      <c r="R951" s="108"/>
      <c r="S951" s="108"/>
      <c r="T951" s="108"/>
      <c r="U951" s="108"/>
      <c r="V951" s="108"/>
      <c r="W951" s="108"/>
      <c r="X951" s="108"/>
      <c r="Y951" s="108"/>
      <c r="Z951" s="108"/>
      <c r="AA951" s="108"/>
      <c r="AB951" s="108"/>
      <c r="AC951" s="108"/>
      <c r="AD951" s="108"/>
      <c r="AE951" s="108"/>
      <c r="AF951" s="108"/>
      <c r="AG951" s="108"/>
      <c r="AH951" s="108"/>
      <c r="AI951" s="108"/>
      <c r="AJ951" s="108"/>
      <c r="AK951" s="108"/>
      <c r="AL951" s="108"/>
      <c r="AM951" s="108"/>
      <c r="AN951" s="108"/>
      <c r="AO951" s="108"/>
      <c r="AP951" s="108"/>
      <c r="AQ951" s="108"/>
      <c r="AR951" s="108"/>
      <c r="AS951" s="108"/>
      <c r="AT951" s="108"/>
      <c r="AU951" s="108"/>
      <c r="AV951" s="108"/>
      <c r="AW951" s="108"/>
      <c r="AX951" s="108"/>
      <c r="AY951" s="108"/>
      <c r="AZ951" s="108"/>
      <c r="BA951" s="108"/>
      <c r="BB951" s="108"/>
    </row>
    <row r="952" spans="3:54" ht="12.75" customHeight="1" x14ac:dyDescent="0.25">
      <c r="C952" s="108"/>
      <c r="D952" s="108"/>
      <c r="E952" s="108"/>
      <c r="F952" s="108"/>
      <c r="G952" s="108"/>
      <c r="H952" s="108"/>
      <c r="I952" s="108"/>
      <c r="J952" s="108"/>
      <c r="K952" s="108"/>
      <c r="L952" s="108"/>
      <c r="M952" s="108"/>
      <c r="N952" s="108"/>
      <c r="O952" s="108"/>
      <c r="P952" s="108"/>
      <c r="Q952" s="108"/>
      <c r="R952" s="108"/>
      <c r="S952" s="108"/>
      <c r="T952" s="108"/>
      <c r="U952" s="108"/>
      <c r="V952" s="108"/>
      <c r="W952" s="108"/>
      <c r="X952" s="108"/>
      <c r="Y952" s="108"/>
      <c r="Z952" s="108"/>
      <c r="AA952" s="108"/>
      <c r="AB952" s="108"/>
      <c r="AC952" s="108"/>
      <c r="AD952" s="108"/>
      <c r="AE952" s="108"/>
      <c r="AF952" s="108"/>
      <c r="AG952" s="108"/>
      <c r="AH952" s="108"/>
      <c r="AI952" s="108"/>
      <c r="AJ952" s="108"/>
      <c r="AK952" s="108"/>
      <c r="AL952" s="108"/>
      <c r="AM952" s="108"/>
      <c r="AN952" s="108"/>
      <c r="AO952" s="108"/>
      <c r="AP952" s="108"/>
      <c r="AQ952" s="108"/>
      <c r="AR952" s="108"/>
      <c r="AS952" s="108"/>
      <c r="AT952" s="108"/>
      <c r="AU952" s="108"/>
      <c r="AV952" s="108"/>
      <c r="AW952" s="108"/>
      <c r="AX952" s="108"/>
      <c r="AY952" s="108"/>
      <c r="AZ952" s="108"/>
      <c r="BA952" s="108"/>
      <c r="BB952" s="108"/>
    </row>
    <row r="953" spans="3:54" ht="12.75" customHeight="1" x14ac:dyDescent="0.25">
      <c r="C953" s="108"/>
      <c r="D953" s="108"/>
      <c r="E953" s="108"/>
      <c r="F953" s="108"/>
      <c r="G953" s="108"/>
      <c r="H953" s="108"/>
      <c r="I953" s="108"/>
      <c r="J953" s="108"/>
      <c r="K953" s="108"/>
      <c r="L953" s="108"/>
      <c r="M953" s="108"/>
      <c r="N953" s="108"/>
      <c r="O953" s="108"/>
      <c r="P953" s="108"/>
      <c r="Q953" s="108"/>
      <c r="R953" s="108"/>
      <c r="S953" s="108"/>
      <c r="T953" s="108"/>
      <c r="U953" s="108"/>
      <c r="V953" s="108"/>
      <c r="W953" s="108"/>
      <c r="X953" s="108"/>
      <c r="Y953" s="108"/>
      <c r="Z953" s="108"/>
      <c r="AA953" s="108"/>
      <c r="AB953" s="108"/>
      <c r="AC953" s="108"/>
      <c r="AD953" s="108"/>
      <c r="AE953" s="108"/>
      <c r="AF953" s="108"/>
      <c r="AG953" s="108"/>
      <c r="AH953" s="108"/>
      <c r="AI953" s="108"/>
      <c r="AJ953" s="108"/>
      <c r="AK953" s="108"/>
      <c r="AL953" s="108"/>
      <c r="AM953" s="108"/>
      <c r="AN953" s="108"/>
      <c r="AO953" s="108"/>
      <c r="AP953" s="108"/>
      <c r="AQ953" s="108"/>
      <c r="AR953" s="108"/>
      <c r="AS953" s="108"/>
      <c r="AT953" s="108"/>
      <c r="AU953" s="108"/>
      <c r="AV953" s="108"/>
      <c r="AW953" s="108"/>
      <c r="AX953" s="108"/>
      <c r="AY953" s="108"/>
      <c r="AZ953" s="108"/>
      <c r="BA953" s="108"/>
      <c r="BB953" s="108"/>
    </row>
    <row r="954" spans="3:54" ht="12.75" customHeight="1" x14ac:dyDescent="0.25">
      <c r="C954" s="108"/>
      <c r="D954" s="108"/>
      <c r="E954" s="108"/>
      <c r="F954" s="108"/>
      <c r="G954" s="108"/>
      <c r="H954" s="108"/>
      <c r="I954" s="108"/>
      <c r="J954" s="108"/>
      <c r="K954" s="108"/>
      <c r="L954" s="108"/>
      <c r="M954" s="108"/>
      <c r="N954" s="108"/>
      <c r="O954" s="108"/>
      <c r="P954" s="108"/>
      <c r="Q954" s="108"/>
      <c r="R954" s="108"/>
      <c r="S954" s="108"/>
      <c r="T954" s="108"/>
      <c r="U954" s="108"/>
      <c r="V954" s="108"/>
      <c r="W954" s="108"/>
      <c r="X954" s="108"/>
      <c r="Y954" s="108"/>
      <c r="Z954" s="108"/>
      <c r="AA954" s="108"/>
      <c r="AB954" s="108"/>
      <c r="AC954" s="108"/>
      <c r="AD954" s="108"/>
      <c r="AE954" s="108"/>
      <c r="AF954" s="108"/>
      <c r="AG954" s="108"/>
      <c r="AH954" s="108"/>
      <c r="AI954" s="108"/>
      <c r="AJ954" s="108"/>
      <c r="AK954" s="108"/>
      <c r="AL954" s="108"/>
      <c r="AM954" s="108"/>
      <c r="AN954" s="108"/>
      <c r="AO954" s="108"/>
      <c r="AP954" s="108"/>
      <c r="AQ954" s="108"/>
      <c r="AR954" s="108"/>
      <c r="AS954" s="108"/>
      <c r="AT954" s="108"/>
      <c r="AU954" s="108"/>
      <c r="AV954" s="108"/>
      <c r="AW954" s="108"/>
      <c r="AX954" s="108"/>
      <c r="AY954" s="108"/>
      <c r="AZ954" s="108"/>
      <c r="BA954" s="108"/>
      <c r="BB954" s="108"/>
    </row>
    <row r="955" spans="3:54" ht="12.75" customHeight="1" x14ac:dyDescent="0.25">
      <c r="C955" s="108"/>
      <c r="D955" s="108"/>
      <c r="E955" s="108"/>
      <c r="F955" s="108"/>
      <c r="G955" s="108"/>
      <c r="H955" s="108"/>
      <c r="I955" s="108"/>
      <c r="J955" s="108"/>
      <c r="K955" s="108"/>
      <c r="L955" s="108"/>
      <c r="M955" s="108"/>
      <c r="N955" s="108"/>
      <c r="O955" s="108"/>
      <c r="P955" s="108"/>
      <c r="Q955" s="108"/>
      <c r="R955" s="108"/>
      <c r="S955" s="108"/>
      <c r="T955" s="108"/>
      <c r="U955" s="108"/>
      <c r="V955" s="108"/>
      <c r="W955" s="108"/>
      <c r="X955" s="108"/>
      <c r="Y955" s="108"/>
      <c r="Z955" s="108"/>
      <c r="AA955" s="108"/>
      <c r="AB955" s="108"/>
      <c r="AC955" s="108"/>
      <c r="AD955" s="108"/>
      <c r="AE955" s="108"/>
      <c r="AF955" s="108"/>
      <c r="AG955" s="108"/>
      <c r="AH955" s="108"/>
      <c r="AI955" s="108"/>
      <c r="AJ955" s="108"/>
      <c r="AK955" s="108"/>
      <c r="AL955" s="108"/>
      <c r="AM955" s="108"/>
      <c r="AN955" s="108"/>
      <c r="AO955" s="108"/>
      <c r="AP955" s="108"/>
      <c r="AQ955" s="108"/>
      <c r="AR955" s="108"/>
      <c r="AS955" s="108"/>
      <c r="AT955" s="108"/>
      <c r="AU955" s="108"/>
      <c r="AV955" s="108"/>
      <c r="AW955" s="108"/>
      <c r="AX955" s="108"/>
      <c r="AY955" s="108"/>
      <c r="AZ955" s="108"/>
      <c r="BA955" s="108"/>
      <c r="BB955" s="108"/>
    </row>
    <row r="956" spans="3:54" ht="12.75" customHeight="1" x14ac:dyDescent="0.25">
      <c r="C956" s="108"/>
      <c r="D956" s="108"/>
      <c r="E956" s="108"/>
      <c r="F956" s="108"/>
      <c r="G956" s="108"/>
      <c r="H956" s="108"/>
      <c r="I956" s="108"/>
      <c r="J956" s="108"/>
      <c r="K956" s="108"/>
      <c r="L956" s="108"/>
      <c r="M956" s="108"/>
      <c r="N956" s="108"/>
      <c r="O956" s="108"/>
      <c r="P956" s="108"/>
      <c r="Q956" s="108"/>
      <c r="R956" s="108"/>
      <c r="S956" s="108"/>
      <c r="T956" s="108"/>
      <c r="U956" s="108"/>
      <c r="V956" s="108"/>
      <c r="W956" s="108"/>
      <c r="X956" s="108"/>
      <c r="Y956" s="108"/>
      <c r="Z956" s="108"/>
      <c r="AA956" s="108"/>
      <c r="AB956" s="108"/>
      <c r="AC956" s="108"/>
      <c r="AD956" s="108"/>
      <c r="AE956" s="108"/>
      <c r="AF956" s="108"/>
      <c r="AG956" s="108"/>
      <c r="AH956" s="108"/>
      <c r="AI956" s="108"/>
      <c r="AJ956" s="108"/>
      <c r="AK956" s="108"/>
      <c r="AL956" s="108"/>
      <c r="AM956" s="108"/>
      <c r="AN956" s="108"/>
      <c r="AO956" s="108"/>
      <c r="AP956" s="108"/>
      <c r="AQ956" s="108"/>
      <c r="AR956" s="108"/>
      <c r="AS956" s="108"/>
      <c r="AT956" s="108"/>
      <c r="AU956" s="108"/>
      <c r="AV956" s="108"/>
      <c r="AW956" s="108"/>
      <c r="AX956" s="108"/>
      <c r="AY956" s="108"/>
      <c r="AZ956" s="108"/>
      <c r="BA956" s="108"/>
      <c r="BB956" s="108"/>
    </row>
    <row r="957" spans="3:54" ht="12.75" customHeight="1" x14ac:dyDescent="0.25">
      <c r="C957" s="108"/>
      <c r="D957" s="108"/>
      <c r="E957" s="108"/>
      <c r="F957" s="108"/>
      <c r="G957" s="108"/>
      <c r="H957" s="108"/>
      <c r="I957" s="108"/>
      <c r="J957" s="108"/>
      <c r="K957" s="108"/>
      <c r="L957" s="108"/>
      <c r="M957" s="108"/>
      <c r="N957" s="108"/>
      <c r="O957" s="108"/>
      <c r="P957" s="108"/>
      <c r="Q957" s="108"/>
      <c r="R957" s="108"/>
      <c r="S957" s="108"/>
      <c r="T957" s="108"/>
      <c r="U957" s="108"/>
      <c r="V957" s="108"/>
      <c r="W957" s="108"/>
      <c r="X957" s="108"/>
      <c r="Y957" s="108"/>
      <c r="Z957" s="108"/>
      <c r="AA957" s="108"/>
      <c r="AB957" s="108"/>
      <c r="AC957" s="108"/>
      <c r="AD957" s="108"/>
      <c r="AE957" s="108"/>
      <c r="AF957" s="108"/>
      <c r="AG957" s="108"/>
      <c r="AH957" s="108"/>
      <c r="AI957" s="108"/>
      <c r="AJ957" s="108"/>
      <c r="AK957" s="108"/>
      <c r="AL957" s="108"/>
      <c r="AM957" s="108"/>
      <c r="AN957" s="108"/>
      <c r="AO957" s="108"/>
      <c r="AP957" s="108"/>
      <c r="AQ957" s="108"/>
      <c r="AR957" s="108"/>
      <c r="AS957" s="108"/>
      <c r="AT957" s="108"/>
      <c r="AU957" s="108"/>
      <c r="AV957" s="108"/>
      <c r="AW957" s="108"/>
      <c r="AX957" s="108"/>
      <c r="AY957" s="108"/>
      <c r="AZ957" s="108"/>
      <c r="BA957" s="108"/>
      <c r="BB957" s="108"/>
    </row>
    <row r="958" spans="3:54" ht="12.75" customHeight="1" x14ac:dyDescent="0.25">
      <c r="C958" s="108"/>
      <c r="D958" s="108"/>
      <c r="E958" s="108"/>
      <c r="F958" s="108"/>
      <c r="G958" s="108"/>
      <c r="H958" s="108"/>
      <c r="I958" s="108"/>
      <c r="J958" s="108"/>
      <c r="K958" s="108"/>
      <c r="L958" s="108"/>
      <c r="M958" s="108"/>
      <c r="N958" s="108"/>
      <c r="O958" s="108"/>
      <c r="P958" s="108"/>
      <c r="Q958" s="108"/>
      <c r="R958" s="108"/>
      <c r="S958" s="108"/>
      <c r="T958" s="108"/>
      <c r="U958" s="108"/>
      <c r="V958" s="108"/>
      <c r="W958" s="108"/>
      <c r="X958" s="108"/>
      <c r="Y958" s="108"/>
      <c r="Z958" s="108"/>
      <c r="AA958" s="108"/>
      <c r="AB958" s="108"/>
      <c r="AC958" s="108"/>
      <c r="AD958" s="108"/>
      <c r="AE958" s="108"/>
      <c r="AF958" s="108"/>
      <c r="AG958" s="108"/>
      <c r="AH958" s="108"/>
      <c r="AI958" s="108"/>
      <c r="AJ958" s="108"/>
      <c r="AK958" s="108"/>
      <c r="AL958" s="108"/>
      <c r="AM958" s="108"/>
      <c r="AN958" s="108"/>
      <c r="AO958" s="108"/>
      <c r="AP958" s="108"/>
      <c r="AQ958" s="108"/>
      <c r="AR958" s="108"/>
      <c r="AS958" s="108"/>
      <c r="AT958" s="108"/>
      <c r="AU958" s="108"/>
      <c r="AV958" s="108"/>
      <c r="AW958" s="108"/>
      <c r="AX958" s="108"/>
      <c r="AY958" s="108"/>
      <c r="AZ958" s="108"/>
      <c r="BA958" s="108"/>
      <c r="BB958" s="108"/>
    </row>
    <row r="959" spans="3:54" ht="12.75" customHeight="1" x14ac:dyDescent="0.25">
      <c r="C959" s="108"/>
      <c r="D959" s="108"/>
      <c r="E959" s="108"/>
      <c r="F959" s="108"/>
      <c r="G959" s="108"/>
      <c r="H959" s="108"/>
      <c r="I959" s="108"/>
      <c r="J959" s="108"/>
      <c r="K959" s="108"/>
      <c r="L959" s="108"/>
      <c r="M959" s="108"/>
      <c r="N959" s="108"/>
      <c r="O959" s="108"/>
      <c r="P959" s="108"/>
      <c r="Q959" s="108"/>
      <c r="R959" s="108"/>
      <c r="S959" s="108"/>
      <c r="T959" s="108"/>
      <c r="U959" s="108"/>
      <c r="V959" s="108"/>
      <c r="W959" s="108"/>
      <c r="X959" s="108"/>
      <c r="Y959" s="108"/>
      <c r="Z959" s="108"/>
      <c r="AA959" s="108"/>
      <c r="AB959" s="108"/>
      <c r="AC959" s="108"/>
      <c r="AD959" s="108"/>
      <c r="AE959" s="108"/>
      <c r="AF959" s="108"/>
      <c r="AG959" s="108"/>
      <c r="AH959" s="108"/>
      <c r="AI959" s="108"/>
      <c r="AJ959" s="108"/>
      <c r="AK959" s="108"/>
      <c r="AL959" s="108"/>
      <c r="AM959" s="108"/>
      <c r="AN959" s="108"/>
      <c r="AO959" s="108"/>
      <c r="AP959" s="108"/>
      <c r="AQ959" s="108"/>
      <c r="AR959" s="108"/>
      <c r="AS959" s="108"/>
      <c r="AT959" s="108"/>
      <c r="AU959" s="108"/>
      <c r="AV959" s="108"/>
      <c r="AW959" s="108"/>
      <c r="AX959" s="108"/>
      <c r="AY959" s="108"/>
      <c r="AZ959" s="108"/>
      <c r="BA959" s="108"/>
      <c r="BB959" s="108"/>
    </row>
    <row r="960" spans="3:54" ht="12.75" customHeight="1" x14ac:dyDescent="0.25">
      <c r="C960" s="108"/>
      <c r="D960" s="108"/>
      <c r="E960" s="108"/>
      <c r="F960" s="108"/>
      <c r="G960" s="108"/>
      <c r="H960" s="108"/>
      <c r="I960" s="108"/>
      <c r="J960" s="108"/>
      <c r="K960" s="108"/>
      <c r="L960" s="108"/>
      <c r="M960" s="108"/>
      <c r="N960" s="108"/>
      <c r="O960" s="108"/>
      <c r="P960" s="108"/>
      <c r="Q960" s="108"/>
      <c r="R960" s="108"/>
      <c r="S960" s="108"/>
      <c r="T960" s="108"/>
      <c r="U960" s="108"/>
      <c r="V960" s="108"/>
      <c r="W960" s="108"/>
      <c r="X960" s="108"/>
      <c r="Y960" s="108"/>
      <c r="Z960" s="108"/>
      <c r="AA960" s="108"/>
      <c r="AB960" s="108"/>
      <c r="AC960" s="108"/>
      <c r="AD960" s="108"/>
      <c r="AE960" s="108"/>
      <c r="AF960" s="108"/>
      <c r="AG960" s="108"/>
      <c r="AH960" s="108"/>
      <c r="AI960" s="108"/>
      <c r="AJ960" s="108"/>
      <c r="AK960" s="108"/>
      <c r="AL960" s="108"/>
      <c r="AM960" s="108"/>
      <c r="AN960" s="108"/>
      <c r="AO960" s="108"/>
      <c r="AP960" s="108"/>
      <c r="AQ960" s="108"/>
      <c r="AR960" s="108"/>
      <c r="AS960" s="108"/>
      <c r="AT960" s="108"/>
      <c r="AU960" s="108"/>
      <c r="AV960" s="108"/>
      <c r="AW960" s="108"/>
      <c r="AX960" s="108"/>
      <c r="AY960" s="108"/>
      <c r="AZ960" s="108"/>
      <c r="BA960" s="108"/>
      <c r="BB960" s="108"/>
    </row>
    <row r="961" spans="3:54" ht="12.75" customHeight="1" x14ac:dyDescent="0.25">
      <c r="C961" s="108"/>
      <c r="D961" s="108"/>
      <c r="E961" s="108"/>
      <c r="F961" s="108"/>
      <c r="G961" s="108"/>
      <c r="H961" s="108"/>
      <c r="I961" s="108"/>
      <c r="J961" s="108"/>
      <c r="K961" s="108"/>
      <c r="L961" s="108"/>
      <c r="M961" s="108"/>
      <c r="N961" s="108"/>
      <c r="O961" s="108"/>
      <c r="P961" s="108"/>
      <c r="Q961" s="108"/>
      <c r="R961" s="108"/>
      <c r="S961" s="108"/>
      <c r="T961" s="108"/>
      <c r="U961" s="108"/>
      <c r="V961" s="108"/>
      <c r="W961" s="108"/>
      <c r="X961" s="108"/>
      <c r="Y961" s="108"/>
      <c r="Z961" s="108"/>
      <c r="AA961" s="108"/>
      <c r="AB961" s="108"/>
      <c r="AC961" s="108"/>
      <c r="AD961" s="108"/>
      <c r="AE961" s="108"/>
      <c r="AF961" s="108"/>
      <c r="AG961" s="108"/>
      <c r="AH961" s="108"/>
      <c r="AI961" s="108"/>
      <c r="AJ961" s="108"/>
      <c r="AK961" s="108"/>
      <c r="AL961" s="108"/>
      <c r="AM961" s="108"/>
      <c r="AN961" s="108"/>
      <c r="AO961" s="108"/>
      <c r="AP961" s="108"/>
      <c r="AQ961" s="108"/>
      <c r="AR961" s="108"/>
      <c r="AS961" s="108"/>
      <c r="AT961" s="108"/>
      <c r="AU961" s="108"/>
      <c r="AV961" s="108"/>
      <c r="AW961" s="108"/>
      <c r="AX961" s="108"/>
      <c r="AY961" s="108"/>
      <c r="AZ961" s="108"/>
      <c r="BA961" s="108"/>
      <c r="BB961" s="108"/>
    </row>
    <row r="962" spans="3:54" ht="12.75" customHeight="1" x14ac:dyDescent="0.25">
      <c r="C962" s="108"/>
      <c r="D962" s="108"/>
      <c r="E962" s="108"/>
      <c r="F962" s="108"/>
      <c r="G962" s="108"/>
      <c r="H962" s="108"/>
      <c r="I962" s="108"/>
      <c r="J962" s="108"/>
      <c r="K962" s="108"/>
      <c r="L962" s="108"/>
      <c r="M962" s="108"/>
      <c r="N962" s="108"/>
      <c r="O962" s="108"/>
      <c r="P962" s="108"/>
      <c r="Q962" s="108"/>
      <c r="R962" s="108"/>
      <c r="S962" s="108"/>
      <c r="T962" s="108"/>
      <c r="U962" s="108"/>
      <c r="V962" s="108"/>
      <c r="W962" s="108"/>
      <c r="X962" s="108"/>
      <c r="Y962" s="108"/>
      <c r="Z962" s="108"/>
      <c r="AA962" s="108"/>
      <c r="AB962" s="108"/>
      <c r="AC962" s="108"/>
      <c r="AD962" s="108"/>
      <c r="AE962" s="108"/>
      <c r="AF962" s="108"/>
      <c r="AG962" s="108"/>
      <c r="AH962" s="108"/>
      <c r="AI962" s="108"/>
      <c r="AJ962" s="108"/>
      <c r="AK962" s="108"/>
      <c r="AL962" s="108"/>
      <c r="AM962" s="108"/>
      <c r="AN962" s="108"/>
      <c r="AO962" s="108"/>
      <c r="AP962" s="108"/>
      <c r="AQ962" s="108"/>
      <c r="AR962" s="108"/>
      <c r="AS962" s="108"/>
      <c r="AT962" s="108"/>
      <c r="AU962" s="108"/>
      <c r="AV962" s="108"/>
      <c r="AW962" s="108"/>
      <c r="AX962" s="108"/>
      <c r="AY962" s="108"/>
      <c r="AZ962" s="108"/>
      <c r="BA962" s="108"/>
      <c r="BB962" s="108"/>
    </row>
    <row r="963" spans="3:54" ht="12.75" customHeight="1" x14ac:dyDescent="0.25">
      <c r="C963" s="108"/>
      <c r="D963" s="108"/>
      <c r="E963" s="108"/>
      <c r="F963" s="108"/>
      <c r="G963" s="108"/>
      <c r="H963" s="108"/>
      <c r="I963" s="108"/>
      <c r="J963" s="108"/>
      <c r="K963" s="108"/>
      <c r="L963" s="108"/>
      <c r="M963" s="108"/>
      <c r="N963" s="108"/>
      <c r="O963" s="108"/>
      <c r="P963" s="108"/>
      <c r="Q963" s="108"/>
      <c r="R963" s="108"/>
      <c r="S963" s="108"/>
      <c r="T963" s="108"/>
      <c r="U963" s="108"/>
      <c r="V963" s="108"/>
      <c r="W963" s="108"/>
      <c r="X963" s="108"/>
      <c r="Y963" s="108"/>
      <c r="Z963" s="108"/>
      <c r="AA963" s="108"/>
      <c r="AB963" s="108"/>
      <c r="AC963" s="108"/>
      <c r="AD963" s="108"/>
      <c r="AE963" s="108"/>
      <c r="AF963" s="108"/>
      <c r="AG963" s="108"/>
      <c r="AH963" s="108"/>
      <c r="AI963" s="108"/>
      <c r="AJ963" s="108"/>
      <c r="AK963" s="108"/>
      <c r="AL963" s="108"/>
      <c r="AM963" s="108"/>
      <c r="AN963" s="108"/>
      <c r="AO963" s="108"/>
      <c r="AP963" s="108"/>
      <c r="AQ963" s="108"/>
      <c r="AR963" s="108"/>
      <c r="AS963" s="108"/>
      <c r="AT963" s="108"/>
      <c r="AU963" s="108"/>
      <c r="AV963" s="108"/>
      <c r="AW963" s="108"/>
      <c r="AX963" s="108"/>
      <c r="AY963" s="108"/>
      <c r="AZ963" s="108"/>
      <c r="BA963" s="108"/>
      <c r="BB963" s="108"/>
    </row>
    <row r="964" spans="3:54" ht="12.75" customHeight="1" x14ac:dyDescent="0.25">
      <c r="C964" s="108"/>
      <c r="D964" s="108"/>
      <c r="E964" s="108"/>
      <c r="F964" s="108"/>
      <c r="G964" s="108"/>
      <c r="H964" s="108"/>
      <c r="I964" s="108"/>
      <c r="J964" s="108"/>
      <c r="K964" s="108"/>
      <c r="L964" s="108"/>
      <c r="M964" s="108"/>
      <c r="N964" s="108"/>
      <c r="O964" s="108"/>
      <c r="P964" s="108"/>
      <c r="Q964" s="108"/>
      <c r="R964" s="108"/>
      <c r="S964" s="108"/>
      <c r="T964" s="108"/>
      <c r="U964" s="108"/>
      <c r="V964" s="108"/>
      <c r="W964" s="108"/>
      <c r="X964" s="108"/>
      <c r="Y964" s="108"/>
      <c r="Z964" s="108"/>
      <c r="AA964" s="108"/>
      <c r="AB964" s="108"/>
      <c r="AC964" s="108"/>
      <c r="AD964" s="108"/>
      <c r="AE964" s="108"/>
      <c r="AF964" s="108"/>
      <c r="AG964" s="108"/>
      <c r="AH964" s="108"/>
      <c r="AI964" s="108"/>
      <c r="AJ964" s="108"/>
      <c r="AK964" s="108"/>
      <c r="AL964" s="108"/>
      <c r="AM964" s="108"/>
      <c r="AN964" s="108"/>
      <c r="AO964" s="108"/>
      <c r="AP964" s="108"/>
      <c r="AQ964" s="108"/>
      <c r="AR964" s="108"/>
      <c r="AS964" s="108"/>
      <c r="AT964" s="108"/>
      <c r="AU964" s="108"/>
      <c r="AV964" s="108"/>
      <c r="AW964" s="108"/>
      <c r="AX964" s="108"/>
      <c r="AY964" s="108"/>
      <c r="AZ964" s="108"/>
      <c r="BA964" s="108"/>
      <c r="BB964" s="108"/>
    </row>
    <row r="965" spans="3:54" ht="12.75" customHeight="1" x14ac:dyDescent="0.25">
      <c r="C965" s="108"/>
      <c r="D965" s="108"/>
      <c r="E965" s="108"/>
      <c r="F965" s="108"/>
      <c r="G965" s="108"/>
      <c r="H965" s="108"/>
      <c r="I965" s="108"/>
      <c r="J965" s="108"/>
      <c r="K965" s="108"/>
      <c r="L965" s="108"/>
      <c r="M965" s="108"/>
      <c r="N965" s="108"/>
      <c r="O965" s="108"/>
      <c r="P965" s="108"/>
      <c r="Q965" s="108"/>
      <c r="R965" s="108"/>
      <c r="S965" s="108"/>
      <c r="T965" s="108"/>
      <c r="U965" s="108"/>
      <c r="V965" s="108"/>
      <c r="W965" s="108"/>
      <c r="X965" s="108"/>
      <c r="Y965" s="108"/>
      <c r="Z965" s="108"/>
      <c r="AA965" s="108"/>
      <c r="AB965" s="108"/>
      <c r="AC965" s="108"/>
      <c r="AD965" s="108"/>
      <c r="AE965" s="108"/>
      <c r="AF965" s="108"/>
      <c r="AG965" s="108"/>
      <c r="AH965" s="108"/>
      <c r="AI965" s="108"/>
      <c r="AJ965" s="108"/>
      <c r="AK965" s="108"/>
      <c r="AL965" s="108"/>
      <c r="AM965" s="108"/>
      <c r="AN965" s="108"/>
      <c r="AO965" s="108"/>
      <c r="AP965" s="108"/>
      <c r="AQ965" s="108"/>
      <c r="AR965" s="108"/>
      <c r="AS965" s="108"/>
      <c r="AT965" s="108"/>
      <c r="AU965" s="108"/>
      <c r="AV965" s="108"/>
      <c r="AW965" s="108"/>
      <c r="AX965" s="108"/>
      <c r="AY965" s="108"/>
      <c r="AZ965" s="108"/>
      <c r="BA965" s="108"/>
      <c r="BB965" s="108"/>
    </row>
    <row r="966" spans="3:54" ht="12.75" customHeight="1" x14ac:dyDescent="0.25">
      <c r="C966" s="108"/>
      <c r="D966" s="108"/>
      <c r="E966" s="108"/>
      <c r="F966" s="108"/>
      <c r="G966" s="108"/>
      <c r="H966" s="108"/>
      <c r="I966" s="108"/>
      <c r="J966" s="108"/>
      <c r="K966" s="108"/>
      <c r="L966" s="108"/>
      <c r="M966" s="108"/>
      <c r="N966" s="108"/>
      <c r="O966" s="108"/>
      <c r="P966" s="108"/>
      <c r="Q966" s="108"/>
      <c r="R966" s="108"/>
      <c r="S966" s="108"/>
      <c r="T966" s="108"/>
      <c r="U966" s="108"/>
      <c r="V966" s="108"/>
      <c r="W966" s="108"/>
      <c r="X966" s="108"/>
      <c r="Y966" s="108"/>
      <c r="Z966" s="108"/>
      <c r="AA966" s="108"/>
      <c r="AB966" s="108"/>
      <c r="AC966" s="108"/>
      <c r="AD966" s="108"/>
      <c r="AE966" s="108"/>
      <c r="AF966" s="108"/>
      <c r="AG966" s="108"/>
      <c r="AH966" s="108"/>
      <c r="AI966" s="108"/>
      <c r="AJ966" s="108"/>
      <c r="AK966" s="108"/>
      <c r="AL966" s="108"/>
      <c r="AM966" s="108"/>
      <c r="AN966" s="108"/>
      <c r="AO966" s="108"/>
      <c r="AP966" s="108"/>
      <c r="AQ966" s="108"/>
      <c r="AR966" s="108"/>
      <c r="AS966" s="108"/>
      <c r="AT966" s="108"/>
      <c r="AU966" s="108"/>
      <c r="AV966" s="108"/>
      <c r="AW966" s="108"/>
      <c r="AX966" s="108"/>
      <c r="AY966" s="108"/>
      <c r="AZ966" s="108"/>
      <c r="BA966" s="108"/>
      <c r="BB966" s="108"/>
    </row>
    <row r="967" spans="3:54" ht="12.75" customHeight="1" x14ac:dyDescent="0.25">
      <c r="C967" s="108"/>
      <c r="D967" s="108"/>
      <c r="E967" s="108"/>
      <c r="F967" s="108"/>
      <c r="G967" s="108"/>
      <c r="H967" s="108"/>
      <c r="I967" s="108"/>
      <c r="J967" s="108"/>
      <c r="K967" s="108"/>
      <c r="L967" s="108"/>
      <c r="M967" s="108"/>
      <c r="N967" s="108"/>
      <c r="O967" s="108"/>
      <c r="P967" s="108"/>
      <c r="Q967" s="108"/>
      <c r="R967" s="108"/>
      <c r="S967" s="108"/>
      <c r="T967" s="108"/>
      <c r="U967" s="108"/>
      <c r="V967" s="108"/>
      <c r="W967" s="108"/>
      <c r="X967" s="108"/>
      <c r="Y967" s="108"/>
      <c r="Z967" s="108"/>
      <c r="AA967" s="108"/>
      <c r="AB967" s="108"/>
      <c r="AC967" s="108"/>
      <c r="AD967" s="108"/>
      <c r="AE967" s="108"/>
      <c r="AF967" s="108"/>
      <c r="AG967" s="108"/>
      <c r="AH967" s="108"/>
      <c r="AI967" s="108"/>
      <c r="AJ967" s="108"/>
      <c r="AK967" s="108"/>
      <c r="AL967" s="108"/>
      <c r="AM967" s="108"/>
      <c r="AN967" s="108"/>
      <c r="AO967" s="108"/>
      <c r="AP967" s="108"/>
      <c r="AQ967" s="108"/>
      <c r="AR967" s="108"/>
      <c r="AS967" s="108"/>
      <c r="AT967" s="108"/>
      <c r="AU967" s="108"/>
      <c r="AV967" s="108"/>
      <c r="AW967" s="108"/>
      <c r="AX967" s="108"/>
      <c r="AY967" s="108"/>
      <c r="AZ967" s="108"/>
      <c r="BA967" s="108"/>
      <c r="BB967" s="108"/>
    </row>
    <row r="968" spans="3:54" ht="12.75" customHeight="1" x14ac:dyDescent="0.25">
      <c r="C968" s="108"/>
      <c r="D968" s="108"/>
      <c r="E968" s="108"/>
      <c r="F968" s="108"/>
      <c r="G968" s="108"/>
      <c r="H968" s="108"/>
      <c r="I968" s="108"/>
      <c r="J968" s="108"/>
      <c r="K968" s="108"/>
      <c r="L968" s="108"/>
      <c r="M968" s="108"/>
      <c r="N968" s="108"/>
      <c r="O968" s="108"/>
      <c r="P968" s="108"/>
      <c r="Q968" s="108"/>
      <c r="R968" s="108"/>
      <c r="S968" s="108"/>
      <c r="T968" s="108"/>
      <c r="U968" s="108"/>
      <c r="V968" s="108"/>
      <c r="W968" s="108"/>
      <c r="X968" s="108"/>
      <c r="Y968" s="108"/>
      <c r="Z968" s="108"/>
      <c r="AA968" s="108"/>
      <c r="AB968" s="108"/>
      <c r="AC968" s="108"/>
      <c r="AD968" s="108"/>
      <c r="AE968" s="108"/>
      <c r="AF968" s="108"/>
      <c r="AG968" s="108"/>
      <c r="AH968" s="108"/>
      <c r="AI968" s="108"/>
      <c r="AJ968" s="108"/>
      <c r="AK968" s="108"/>
      <c r="AL968" s="108"/>
      <c r="AM968" s="108"/>
      <c r="AN968" s="108"/>
      <c r="AO968" s="108"/>
      <c r="AP968" s="108"/>
      <c r="AQ968" s="108"/>
      <c r="AR968" s="108"/>
      <c r="AS968" s="108"/>
      <c r="AT968" s="108"/>
      <c r="AU968" s="108"/>
      <c r="AV968" s="108"/>
      <c r="AW968" s="108"/>
      <c r="AX968" s="108"/>
      <c r="AY968" s="108"/>
      <c r="AZ968" s="108"/>
      <c r="BA968" s="108"/>
      <c r="BB968" s="108"/>
    </row>
    <row r="969" spans="3:54" ht="12.75" customHeight="1" x14ac:dyDescent="0.25">
      <c r="C969" s="108"/>
      <c r="D969" s="108"/>
      <c r="E969" s="108"/>
      <c r="F969" s="108"/>
      <c r="G969" s="108"/>
      <c r="H969" s="108"/>
      <c r="I969" s="108"/>
      <c r="J969" s="108"/>
      <c r="K969" s="108"/>
      <c r="L969" s="108"/>
      <c r="M969" s="108"/>
      <c r="N969" s="108"/>
      <c r="O969" s="108"/>
      <c r="P969" s="108"/>
      <c r="Q969" s="108"/>
      <c r="R969" s="108"/>
      <c r="S969" s="108"/>
      <c r="T969" s="108"/>
      <c r="U969" s="108"/>
      <c r="V969" s="108"/>
      <c r="W969" s="108"/>
      <c r="X969" s="108"/>
      <c r="Y969" s="108"/>
      <c r="Z969" s="108"/>
      <c r="AA969" s="108"/>
      <c r="AB969" s="108"/>
      <c r="AC969" s="108"/>
      <c r="AD969" s="108"/>
      <c r="AE969" s="108"/>
      <c r="AF969" s="108"/>
      <c r="AG969" s="108"/>
      <c r="AH969" s="108"/>
      <c r="AI969" s="108"/>
      <c r="AJ969" s="108"/>
      <c r="AK969" s="108"/>
      <c r="AL969" s="108"/>
      <c r="AM969" s="108"/>
      <c r="AN969" s="108"/>
      <c r="AO969" s="108"/>
      <c r="AP969" s="108"/>
      <c r="AQ969" s="108"/>
      <c r="AR969" s="108"/>
      <c r="AS969" s="108"/>
      <c r="AT969" s="108"/>
      <c r="AU969" s="108"/>
      <c r="AV969" s="108"/>
      <c r="AW969" s="108"/>
      <c r="AX969" s="108"/>
      <c r="AY969" s="108"/>
      <c r="AZ969" s="108"/>
      <c r="BA969" s="108"/>
      <c r="BB969" s="108"/>
    </row>
    <row r="970" spans="3:54" ht="12.75" customHeight="1" x14ac:dyDescent="0.25">
      <c r="C970" s="108"/>
      <c r="D970" s="108"/>
      <c r="E970" s="108"/>
      <c r="F970" s="108"/>
      <c r="G970" s="108"/>
      <c r="H970" s="108"/>
      <c r="I970" s="108"/>
      <c r="J970" s="108"/>
      <c r="K970" s="108"/>
      <c r="L970" s="108"/>
      <c r="M970" s="108"/>
      <c r="N970" s="108"/>
      <c r="O970" s="108"/>
      <c r="P970" s="108"/>
      <c r="Q970" s="108"/>
      <c r="R970" s="108"/>
      <c r="S970" s="108"/>
      <c r="T970" s="108"/>
      <c r="U970" s="108"/>
      <c r="V970" s="108"/>
      <c r="W970" s="108"/>
      <c r="X970" s="108"/>
      <c r="Y970" s="108"/>
      <c r="Z970" s="108"/>
      <c r="AA970" s="108"/>
      <c r="AB970" s="108"/>
      <c r="AC970" s="108"/>
      <c r="AD970" s="108"/>
      <c r="AE970" s="108"/>
      <c r="AF970" s="108"/>
      <c r="AG970" s="108"/>
      <c r="AH970" s="108"/>
      <c r="AI970" s="108"/>
      <c r="AJ970" s="108"/>
      <c r="AK970" s="108"/>
      <c r="AL970" s="108"/>
      <c r="AM970" s="108"/>
      <c r="AN970" s="108"/>
      <c r="AO970" s="108"/>
      <c r="AP970" s="108"/>
      <c r="AQ970" s="108"/>
      <c r="AR970" s="108"/>
      <c r="AS970" s="108"/>
      <c r="AT970" s="108"/>
      <c r="AU970" s="108"/>
      <c r="AV970" s="108"/>
      <c r="AW970" s="108"/>
      <c r="AX970" s="108"/>
      <c r="AY970" s="108"/>
      <c r="AZ970" s="108"/>
      <c r="BA970" s="108"/>
      <c r="BB970" s="108"/>
    </row>
    <row r="971" spans="3:54" ht="12.75" customHeight="1" x14ac:dyDescent="0.25">
      <c r="C971" s="108"/>
      <c r="D971" s="108"/>
      <c r="E971" s="108"/>
      <c r="F971" s="108"/>
      <c r="G971" s="108"/>
      <c r="H971" s="108"/>
      <c r="I971" s="108"/>
      <c r="J971" s="108"/>
      <c r="K971" s="108"/>
      <c r="L971" s="108"/>
      <c r="M971" s="108"/>
      <c r="N971" s="108"/>
      <c r="O971" s="108"/>
      <c r="P971" s="108"/>
      <c r="Q971" s="108"/>
      <c r="R971" s="108"/>
      <c r="S971" s="108"/>
      <c r="T971" s="108"/>
      <c r="U971" s="108"/>
      <c r="V971" s="108"/>
      <c r="W971" s="108"/>
      <c r="X971" s="108"/>
      <c r="Y971" s="108"/>
      <c r="Z971" s="108"/>
      <c r="AA971" s="108"/>
      <c r="AB971" s="108"/>
      <c r="AC971" s="108"/>
      <c r="AD971" s="108"/>
      <c r="AE971" s="108"/>
      <c r="AF971" s="108"/>
      <c r="AG971" s="108"/>
      <c r="AH971" s="108"/>
      <c r="AI971" s="108"/>
      <c r="AJ971" s="108"/>
      <c r="AK971" s="108"/>
      <c r="AL971" s="108"/>
      <c r="AM971" s="108"/>
      <c r="AN971" s="108"/>
      <c r="AO971" s="108"/>
      <c r="AP971" s="108"/>
      <c r="AQ971" s="108"/>
      <c r="AR971" s="108"/>
      <c r="AS971" s="108"/>
      <c r="AT971" s="108"/>
      <c r="AU971" s="108"/>
      <c r="AV971" s="108"/>
      <c r="AW971" s="108"/>
      <c r="AX971" s="108"/>
      <c r="AY971" s="108"/>
      <c r="AZ971" s="108"/>
      <c r="BA971" s="108"/>
      <c r="BB971" s="108"/>
    </row>
    <row r="972" spans="3:54" ht="12.75" customHeight="1" x14ac:dyDescent="0.25">
      <c r="C972" s="108"/>
      <c r="D972" s="108"/>
      <c r="E972" s="108"/>
      <c r="F972" s="108"/>
      <c r="G972" s="108"/>
      <c r="H972" s="108"/>
      <c r="I972" s="108"/>
      <c r="J972" s="108"/>
      <c r="K972" s="108"/>
      <c r="L972" s="108"/>
      <c r="M972" s="108"/>
      <c r="N972" s="108"/>
      <c r="O972" s="108"/>
      <c r="P972" s="108"/>
      <c r="Q972" s="108"/>
      <c r="R972" s="108"/>
      <c r="S972" s="108"/>
      <c r="T972" s="108"/>
      <c r="U972" s="108"/>
      <c r="V972" s="108"/>
      <c r="W972" s="108"/>
      <c r="X972" s="108"/>
      <c r="Y972" s="108"/>
      <c r="Z972" s="108"/>
      <c r="AA972" s="108"/>
      <c r="AB972" s="108"/>
      <c r="AC972" s="108"/>
      <c r="AD972" s="108"/>
      <c r="AE972" s="108"/>
      <c r="AF972" s="108"/>
      <c r="AG972" s="108"/>
      <c r="AH972" s="108"/>
      <c r="AI972" s="108"/>
      <c r="AJ972" s="108"/>
      <c r="AK972" s="108"/>
      <c r="AL972" s="108"/>
      <c r="AM972" s="108"/>
      <c r="AN972" s="108"/>
      <c r="AO972" s="108"/>
      <c r="AP972" s="108"/>
      <c r="AQ972" s="108"/>
      <c r="AR972" s="108"/>
      <c r="AS972" s="108"/>
      <c r="AT972" s="108"/>
      <c r="AU972" s="108"/>
      <c r="AV972" s="108"/>
      <c r="AW972" s="108"/>
      <c r="AX972" s="108"/>
      <c r="AY972" s="108"/>
      <c r="AZ972" s="108"/>
      <c r="BA972" s="108"/>
      <c r="BB972" s="108"/>
    </row>
    <row r="973" spans="3:54" ht="12.75" customHeight="1" x14ac:dyDescent="0.25">
      <c r="C973" s="108"/>
      <c r="D973" s="108"/>
      <c r="E973" s="108"/>
      <c r="F973" s="108"/>
      <c r="G973" s="108"/>
      <c r="H973" s="108"/>
      <c r="I973" s="108"/>
      <c r="J973" s="108"/>
      <c r="K973" s="108"/>
      <c r="L973" s="108"/>
      <c r="M973" s="108"/>
      <c r="N973" s="108"/>
      <c r="O973" s="108"/>
      <c r="P973" s="108"/>
      <c r="Q973" s="108"/>
      <c r="R973" s="108"/>
      <c r="S973" s="108"/>
      <c r="T973" s="108"/>
      <c r="U973" s="108"/>
      <c r="V973" s="108"/>
      <c r="W973" s="108"/>
      <c r="X973" s="108"/>
      <c r="Y973" s="108"/>
      <c r="Z973" s="108"/>
      <c r="AA973" s="108"/>
      <c r="AB973" s="108"/>
      <c r="AC973" s="108"/>
      <c r="AD973" s="108"/>
      <c r="AE973" s="108"/>
      <c r="AF973" s="108"/>
      <c r="AG973" s="108"/>
      <c r="AH973" s="108"/>
      <c r="AI973" s="108"/>
      <c r="AJ973" s="108"/>
      <c r="AK973" s="108"/>
      <c r="AL973" s="108"/>
      <c r="AM973" s="108"/>
      <c r="AN973" s="108"/>
      <c r="AO973" s="108"/>
      <c r="AP973" s="108"/>
      <c r="AQ973" s="108"/>
      <c r="AR973" s="108"/>
      <c r="AS973" s="108"/>
      <c r="AT973" s="108"/>
      <c r="AU973" s="108"/>
      <c r="AV973" s="108"/>
      <c r="AW973" s="108"/>
      <c r="AX973" s="108"/>
      <c r="AY973" s="108"/>
      <c r="AZ973" s="108"/>
      <c r="BA973" s="108"/>
      <c r="BB973" s="108"/>
    </row>
    <row r="974" spans="3:54" ht="12.75" customHeight="1" x14ac:dyDescent="0.25">
      <c r="C974" s="108"/>
      <c r="D974" s="108"/>
      <c r="E974" s="108"/>
      <c r="F974" s="108"/>
      <c r="G974" s="108"/>
      <c r="H974" s="108"/>
      <c r="I974" s="108"/>
      <c r="J974" s="108"/>
      <c r="K974" s="108"/>
      <c r="L974" s="108"/>
      <c r="M974" s="108"/>
      <c r="N974" s="108"/>
      <c r="O974" s="108"/>
      <c r="P974" s="108"/>
      <c r="Q974" s="108"/>
      <c r="R974" s="108"/>
      <c r="S974" s="108"/>
      <c r="T974" s="108"/>
      <c r="U974" s="108"/>
      <c r="V974" s="108"/>
      <c r="W974" s="108"/>
      <c r="X974" s="108"/>
      <c r="Y974" s="108"/>
      <c r="Z974" s="108"/>
      <c r="AA974" s="108"/>
      <c r="AB974" s="108"/>
      <c r="AC974" s="108"/>
      <c r="AD974" s="108"/>
      <c r="AE974" s="108"/>
      <c r="AF974" s="108"/>
      <c r="AG974" s="108"/>
      <c r="AH974" s="108"/>
      <c r="AI974" s="108"/>
      <c r="AJ974" s="108"/>
      <c r="AK974" s="108"/>
      <c r="AL974" s="108"/>
      <c r="AM974" s="108"/>
      <c r="AN974" s="108"/>
      <c r="AO974" s="108"/>
      <c r="AP974" s="108"/>
      <c r="AQ974" s="108"/>
      <c r="AR974" s="108"/>
      <c r="AS974" s="108"/>
      <c r="AT974" s="108"/>
      <c r="AU974" s="108"/>
      <c r="AV974" s="108"/>
      <c r="AW974" s="108"/>
      <c r="AX974" s="108"/>
      <c r="AY974" s="108"/>
      <c r="AZ974" s="108"/>
      <c r="BA974" s="108"/>
      <c r="BB974" s="108"/>
    </row>
    <row r="975" spans="3:54" ht="12.75" customHeight="1" x14ac:dyDescent="0.25">
      <c r="C975" s="108"/>
      <c r="D975" s="108"/>
      <c r="E975" s="108"/>
      <c r="F975" s="108"/>
      <c r="G975" s="108"/>
      <c r="H975" s="108"/>
      <c r="I975" s="108"/>
      <c r="J975" s="108"/>
      <c r="K975" s="108"/>
      <c r="L975" s="108"/>
      <c r="M975" s="108"/>
      <c r="N975" s="108"/>
      <c r="O975" s="108"/>
      <c r="P975" s="108"/>
      <c r="Q975" s="108"/>
      <c r="R975" s="108"/>
      <c r="S975" s="108"/>
      <c r="T975" s="108"/>
      <c r="U975" s="108"/>
      <c r="V975" s="108"/>
      <c r="W975" s="108"/>
      <c r="X975" s="108"/>
      <c r="Y975" s="108"/>
      <c r="Z975" s="108"/>
      <c r="AA975" s="108"/>
      <c r="AB975" s="108"/>
      <c r="AC975" s="108"/>
      <c r="AD975" s="108"/>
      <c r="AE975" s="108"/>
      <c r="AF975" s="108"/>
      <c r="AG975" s="108"/>
      <c r="AH975" s="108"/>
      <c r="AI975" s="108"/>
      <c r="AJ975" s="108"/>
      <c r="AK975" s="108"/>
      <c r="AL975" s="108"/>
      <c r="AM975" s="108"/>
      <c r="AN975" s="108"/>
      <c r="AO975" s="108"/>
      <c r="AP975" s="108"/>
      <c r="AQ975" s="108"/>
      <c r="AR975" s="108"/>
      <c r="AS975" s="108"/>
      <c r="AT975" s="108"/>
      <c r="AU975" s="108"/>
      <c r="AV975" s="108"/>
      <c r="AW975" s="108"/>
      <c r="AX975" s="108"/>
      <c r="AY975" s="108"/>
      <c r="AZ975" s="108"/>
      <c r="BA975" s="108"/>
      <c r="BB975" s="108"/>
    </row>
    <row r="976" spans="3:54" ht="12.75" customHeight="1" x14ac:dyDescent="0.25">
      <c r="C976" s="108"/>
      <c r="D976" s="108"/>
      <c r="E976" s="108"/>
      <c r="F976" s="108"/>
      <c r="G976" s="108"/>
      <c r="H976" s="108"/>
      <c r="I976" s="108"/>
      <c r="J976" s="108"/>
      <c r="K976" s="108"/>
      <c r="L976" s="108"/>
      <c r="M976" s="108"/>
      <c r="N976" s="108"/>
      <c r="O976" s="108"/>
      <c r="P976" s="108"/>
      <c r="Q976" s="108"/>
      <c r="R976" s="108"/>
      <c r="S976" s="108"/>
      <c r="T976" s="108"/>
      <c r="U976" s="108"/>
      <c r="V976" s="108"/>
      <c r="W976" s="108"/>
      <c r="X976" s="108"/>
      <c r="Y976" s="108"/>
      <c r="Z976" s="108"/>
      <c r="AA976" s="108"/>
      <c r="AB976" s="108"/>
      <c r="AC976" s="108"/>
      <c r="AD976" s="108"/>
      <c r="AE976" s="108"/>
      <c r="AF976" s="108"/>
      <c r="AG976" s="108"/>
      <c r="AH976" s="108"/>
      <c r="AI976" s="108"/>
      <c r="AJ976" s="108"/>
      <c r="AK976" s="108"/>
      <c r="AL976" s="108"/>
      <c r="AM976" s="108"/>
      <c r="AN976" s="108"/>
      <c r="AO976" s="108"/>
      <c r="AP976" s="108"/>
      <c r="AQ976" s="108"/>
      <c r="AR976" s="108"/>
      <c r="AS976" s="108"/>
      <c r="AT976" s="108"/>
      <c r="AU976" s="108"/>
      <c r="AV976" s="108"/>
      <c r="AW976" s="108"/>
      <c r="AX976" s="108"/>
      <c r="AY976" s="108"/>
      <c r="AZ976" s="108"/>
      <c r="BA976" s="108"/>
      <c r="BB976" s="108"/>
    </row>
    <row r="977" spans="3:54" ht="12.75" customHeight="1" x14ac:dyDescent="0.25">
      <c r="C977" s="108"/>
      <c r="D977" s="108"/>
      <c r="E977" s="108"/>
      <c r="F977" s="108"/>
      <c r="G977" s="108"/>
      <c r="H977" s="108"/>
      <c r="I977" s="108"/>
      <c r="J977" s="108"/>
      <c r="K977" s="108"/>
      <c r="L977" s="108"/>
      <c r="M977" s="108"/>
      <c r="N977" s="108"/>
      <c r="O977" s="108"/>
      <c r="P977" s="108"/>
      <c r="Q977" s="108"/>
      <c r="R977" s="108"/>
      <c r="S977" s="108"/>
      <c r="T977" s="108"/>
      <c r="U977" s="108"/>
      <c r="V977" s="108"/>
      <c r="W977" s="108"/>
      <c r="X977" s="108"/>
      <c r="Y977" s="108"/>
      <c r="Z977" s="108"/>
      <c r="AA977" s="108"/>
      <c r="AB977" s="108"/>
      <c r="AC977" s="108"/>
      <c r="AD977" s="108"/>
      <c r="AE977" s="108"/>
      <c r="AF977" s="108"/>
      <c r="AG977" s="108"/>
      <c r="AH977" s="108"/>
      <c r="AI977" s="108"/>
      <c r="AJ977" s="108"/>
      <c r="AK977" s="108"/>
      <c r="AL977" s="108"/>
      <c r="AM977" s="108"/>
      <c r="AN977" s="108"/>
      <c r="AO977" s="108"/>
      <c r="AP977" s="108"/>
      <c r="AQ977" s="108"/>
      <c r="AR977" s="108"/>
      <c r="AS977" s="108"/>
      <c r="AT977" s="108"/>
      <c r="AU977" s="108"/>
      <c r="AV977" s="108"/>
      <c r="AW977" s="108"/>
      <c r="AX977" s="108"/>
      <c r="AY977" s="108"/>
      <c r="AZ977" s="108"/>
      <c r="BA977" s="108"/>
      <c r="BB977" s="108"/>
    </row>
    <row r="978" spans="3:54" ht="12.75" customHeight="1" x14ac:dyDescent="0.25">
      <c r="C978" s="108"/>
      <c r="D978" s="108"/>
      <c r="E978" s="108"/>
      <c r="F978" s="108"/>
      <c r="G978" s="108"/>
      <c r="H978" s="108"/>
      <c r="I978" s="108"/>
      <c r="J978" s="108"/>
      <c r="K978" s="108"/>
      <c r="L978" s="108"/>
      <c r="M978" s="108"/>
      <c r="N978" s="108"/>
      <c r="O978" s="108"/>
      <c r="P978" s="108"/>
      <c r="Q978" s="108"/>
      <c r="R978" s="108"/>
      <c r="S978" s="108"/>
      <c r="T978" s="108"/>
      <c r="U978" s="108"/>
      <c r="V978" s="108"/>
      <c r="W978" s="108"/>
      <c r="X978" s="108"/>
      <c r="Y978" s="108"/>
      <c r="Z978" s="108"/>
      <c r="AA978" s="108"/>
      <c r="AB978" s="108"/>
      <c r="AC978" s="108"/>
      <c r="AD978" s="108"/>
      <c r="AE978" s="108"/>
      <c r="AF978" s="108"/>
      <c r="AG978" s="108"/>
      <c r="AH978" s="108"/>
      <c r="AI978" s="108"/>
      <c r="AJ978" s="108"/>
      <c r="AK978" s="108"/>
      <c r="AL978" s="108"/>
      <c r="AM978" s="108"/>
      <c r="AN978" s="108"/>
      <c r="AO978" s="108"/>
      <c r="AP978" s="108"/>
      <c r="AQ978" s="108"/>
      <c r="AR978" s="108"/>
      <c r="AS978" s="108"/>
      <c r="AT978" s="108"/>
      <c r="AU978" s="108"/>
      <c r="AV978" s="108"/>
      <c r="AW978" s="108"/>
      <c r="AX978" s="108"/>
      <c r="AY978" s="108"/>
      <c r="AZ978" s="108"/>
      <c r="BA978" s="108"/>
      <c r="BB978" s="108"/>
    </row>
    <row r="979" spans="3:54" ht="12.75" customHeight="1" x14ac:dyDescent="0.25">
      <c r="C979" s="108"/>
      <c r="D979" s="108"/>
      <c r="E979" s="108"/>
      <c r="F979" s="108"/>
      <c r="G979" s="108"/>
      <c r="H979" s="108"/>
      <c r="I979" s="108"/>
      <c r="J979" s="108"/>
      <c r="K979" s="108"/>
      <c r="L979" s="108"/>
      <c r="M979" s="108"/>
      <c r="N979" s="108"/>
      <c r="O979" s="108"/>
      <c r="P979" s="108"/>
      <c r="Q979" s="108"/>
      <c r="R979" s="108"/>
      <c r="S979" s="108"/>
      <c r="T979" s="108"/>
      <c r="U979" s="108"/>
      <c r="V979" s="108"/>
      <c r="W979" s="108"/>
      <c r="X979" s="108"/>
      <c r="Y979" s="108"/>
      <c r="Z979" s="108"/>
      <c r="AA979" s="108"/>
      <c r="AB979" s="108"/>
      <c r="AC979" s="108"/>
      <c r="AD979" s="108"/>
      <c r="AE979" s="108"/>
      <c r="AF979" s="108"/>
      <c r="AG979" s="108"/>
      <c r="AH979" s="108"/>
      <c r="AI979" s="108"/>
      <c r="AJ979" s="108"/>
      <c r="AK979" s="108"/>
      <c r="AL979" s="108"/>
      <c r="AM979" s="108"/>
      <c r="AN979" s="108"/>
      <c r="AO979" s="108"/>
      <c r="AP979" s="108"/>
      <c r="AQ979" s="108"/>
      <c r="AR979" s="108"/>
      <c r="AS979" s="108"/>
      <c r="AT979" s="108"/>
      <c r="AU979" s="108"/>
      <c r="AV979" s="108"/>
      <c r="AW979" s="108"/>
      <c r="AX979" s="108"/>
      <c r="AY979" s="108"/>
      <c r="AZ979" s="108"/>
      <c r="BA979" s="108"/>
      <c r="BB979" s="108"/>
    </row>
    <row r="980" spans="3:54" ht="12.75" customHeight="1" x14ac:dyDescent="0.25">
      <c r="C980" s="108"/>
      <c r="D980" s="108"/>
      <c r="E980" s="108"/>
      <c r="F980" s="108"/>
      <c r="G980" s="108"/>
      <c r="H980" s="108"/>
      <c r="I980" s="108"/>
      <c r="J980" s="108"/>
      <c r="K980" s="108"/>
      <c r="L980" s="108"/>
      <c r="M980" s="108"/>
      <c r="N980" s="108"/>
      <c r="O980" s="108"/>
      <c r="P980" s="108"/>
      <c r="Q980" s="108"/>
      <c r="R980" s="108"/>
      <c r="S980" s="108"/>
      <c r="T980" s="108"/>
      <c r="U980" s="108"/>
      <c r="V980" s="108"/>
      <c r="W980" s="108"/>
      <c r="X980" s="108"/>
      <c r="Y980" s="108"/>
      <c r="Z980" s="108"/>
      <c r="AA980" s="108"/>
      <c r="AB980" s="108"/>
      <c r="AC980" s="108"/>
      <c r="AD980" s="108"/>
      <c r="AE980" s="108"/>
      <c r="AF980" s="108"/>
      <c r="AG980" s="108"/>
      <c r="AH980" s="108"/>
      <c r="AI980" s="108"/>
      <c r="AJ980" s="108"/>
      <c r="AK980" s="108"/>
      <c r="AL980" s="108"/>
      <c r="AM980" s="108"/>
      <c r="AN980" s="108"/>
      <c r="AO980" s="108"/>
      <c r="AP980" s="108"/>
      <c r="AQ980" s="108"/>
      <c r="AR980" s="108"/>
      <c r="AS980" s="108"/>
      <c r="AT980" s="108"/>
      <c r="AU980" s="108"/>
      <c r="AV980" s="108"/>
      <c r="AW980" s="108"/>
      <c r="AX980" s="108"/>
      <c r="AY980" s="108"/>
      <c r="AZ980" s="108"/>
      <c r="BA980" s="108"/>
      <c r="BB980" s="108"/>
    </row>
    <row r="981" spans="3:54" ht="12.75" customHeight="1" x14ac:dyDescent="0.25">
      <c r="C981" s="108"/>
      <c r="D981" s="108"/>
      <c r="E981" s="108"/>
      <c r="F981" s="108"/>
      <c r="G981" s="108"/>
      <c r="H981" s="108"/>
      <c r="I981" s="108"/>
      <c r="J981" s="108"/>
      <c r="K981" s="108"/>
      <c r="L981" s="108"/>
      <c r="M981" s="108"/>
      <c r="N981" s="108"/>
      <c r="O981" s="108"/>
      <c r="P981" s="108"/>
      <c r="Q981" s="108"/>
      <c r="R981" s="108"/>
      <c r="S981" s="108"/>
      <c r="T981" s="108"/>
      <c r="U981" s="108"/>
      <c r="V981" s="108"/>
      <c r="W981" s="108"/>
      <c r="X981" s="108"/>
      <c r="Y981" s="108"/>
      <c r="Z981" s="108"/>
      <c r="AA981" s="108"/>
      <c r="AB981" s="108"/>
      <c r="AC981" s="108"/>
      <c r="AD981" s="108"/>
      <c r="AE981" s="108"/>
      <c r="AF981" s="108"/>
      <c r="AG981" s="108"/>
      <c r="AH981" s="108"/>
      <c r="AI981" s="108"/>
      <c r="AJ981" s="108"/>
      <c r="AK981" s="108"/>
      <c r="AL981" s="108"/>
      <c r="AM981" s="108"/>
      <c r="AN981" s="108"/>
      <c r="AO981" s="108"/>
      <c r="AP981" s="108"/>
      <c r="AQ981" s="108"/>
      <c r="AR981" s="108"/>
      <c r="AS981" s="108"/>
      <c r="AT981" s="108"/>
      <c r="AU981" s="108"/>
      <c r="AV981" s="108"/>
      <c r="AW981" s="108"/>
      <c r="AX981" s="108"/>
      <c r="AY981" s="108"/>
      <c r="AZ981" s="108"/>
      <c r="BA981" s="108"/>
      <c r="BB981" s="108"/>
    </row>
    <row r="982" spans="3:54" ht="12.75" customHeight="1" x14ac:dyDescent="0.25">
      <c r="C982" s="108"/>
      <c r="D982" s="108"/>
      <c r="E982" s="108"/>
      <c r="F982" s="108"/>
      <c r="G982" s="108"/>
      <c r="H982" s="108"/>
      <c r="I982" s="108"/>
      <c r="J982" s="108"/>
      <c r="K982" s="108"/>
      <c r="L982" s="108"/>
      <c r="M982" s="108"/>
      <c r="N982" s="108"/>
      <c r="O982" s="108"/>
      <c r="P982" s="108"/>
      <c r="Q982" s="108"/>
      <c r="R982" s="108"/>
      <c r="S982" s="108"/>
      <c r="T982" s="108"/>
      <c r="U982" s="108"/>
      <c r="V982" s="108"/>
      <c r="W982" s="108"/>
      <c r="X982" s="108"/>
      <c r="Y982" s="108"/>
      <c r="Z982" s="108"/>
      <c r="AA982" s="108"/>
      <c r="AB982" s="108"/>
      <c r="AC982" s="108"/>
      <c r="AD982" s="108"/>
      <c r="AE982" s="108"/>
      <c r="AF982" s="108"/>
      <c r="AG982" s="108"/>
      <c r="AH982" s="108"/>
      <c r="AI982" s="108"/>
      <c r="AJ982" s="108"/>
      <c r="AK982" s="108"/>
      <c r="AL982" s="108"/>
      <c r="AM982" s="108"/>
      <c r="AN982" s="108"/>
      <c r="AO982" s="108"/>
      <c r="AP982" s="108"/>
      <c r="AQ982" s="108"/>
      <c r="AR982" s="108"/>
      <c r="AS982" s="108"/>
      <c r="AT982" s="108"/>
      <c r="AU982" s="108"/>
      <c r="AV982" s="108"/>
      <c r="AW982" s="108"/>
      <c r="AX982" s="108"/>
      <c r="AY982" s="108"/>
      <c r="AZ982" s="108"/>
      <c r="BA982" s="108"/>
      <c r="BB982" s="108"/>
    </row>
    <row r="983" spans="3:54" ht="12.75" customHeight="1" x14ac:dyDescent="0.25">
      <c r="C983" s="108"/>
      <c r="D983" s="108"/>
      <c r="E983" s="108"/>
      <c r="F983" s="108"/>
      <c r="G983" s="108"/>
      <c r="H983" s="108"/>
      <c r="I983" s="108"/>
      <c r="J983" s="108"/>
      <c r="K983" s="108"/>
      <c r="L983" s="108"/>
      <c r="M983" s="108"/>
      <c r="N983" s="108"/>
      <c r="O983" s="108"/>
      <c r="P983" s="108"/>
      <c r="Q983" s="108"/>
      <c r="R983" s="108"/>
      <c r="S983" s="108"/>
      <c r="T983" s="108"/>
      <c r="U983" s="108"/>
      <c r="V983" s="108"/>
      <c r="W983" s="108"/>
      <c r="X983" s="108"/>
      <c r="Y983" s="108"/>
      <c r="Z983" s="108"/>
      <c r="AA983" s="108"/>
      <c r="AB983" s="108"/>
      <c r="AC983" s="108"/>
      <c r="AD983" s="108"/>
      <c r="AE983" s="108"/>
      <c r="AF983" s="108"/>
      <c r="AG983" s="108"/>
      <c r="AH983" s="108"/>
      <c r="AI983" s="108"/>
      <c r="AJ983" s="108"/>
      <c r="AK983" s="108"/>
      <c r="AL983" s="108"/>
      <c r="AM983" s="108"/>
      <c r="AN983" s="108"/>
      <c r="AO983" s="108"/>
      <c r="AP983" s="108"/>
      <c r="AQ983" s="108"/>
      <c r="AR983" s="108"/>
      <c r="AS983" s="108"/>
      <c r="AT983" s="108"/>
      <c r="AU983" s="108"/>
      <c r="AV983" s="108"/>
      <c r="AW983" s="108"/>
      <c r="AX983" s="108"/>
      <c r="AY983" s="108"/>
      <c r="AZ983" s="108"/>
      <c r="BA983" s="108"/>
      <c r="BB983" s="108"/>
    </row>
    <row r="984" spans="3:54" ht="12.75" customHeight="1" x14ac:dyDescent="0.25">
      <c r="C984" s="108"/>
      <c r="D984" s="108"/>
      <c r="E984" s="108"/>
      <c r="F984" s="108"/>
      <c r="G984" s="108"/>
      <c r="H984" s="108"/>
      <c r="I984" s="108"/>
      <c r="J984" s="108"/>
      <c r="K984" s="108"/>
      <c r="L984" s="108"/>
      <c r="M984" s="108"/>
      <c r="N984" s="108"/>
      <c r="O984" s="108"/>
      <c r="P984" s="108"/>
      <c r="Q984" s="108"/>
      <c r="R984" s="108"/>
      <c r="S984" s="108"/>
      <c r="T984" s="108"/>
      <c r="U984" s="108"/>
      <c r="V984" s="108"/>
      <c r="W984" s="108"/>
      <c r="X984" s="108"/>
      <c r="Y984" s="108"/>
      <c r="Z984" s="108"/>
      <c r="AA984" s="108"/>
      <c r="AB984" s="108"/>
      <c r="AC984" s="108"/>
      <c r="AD984" s="108"/>
      <c r="AE984" s="108"/>
      <c r="AF984" s="108"/>
      <c r="AG984" s="108"/>
      <c r="AH984" s="108"/>
      <c r="AI984" s="108"/>
      <c r="AJ984" s="108"/>
      <c r="AK984" s="108"/>
      <c r="AL984" s="108"/>
      <c r="AM984" s="108"/>
      <c r="AN984" s="108"/>
      <c r="AO984" s="108"/>
      <c r="AP984" s="108"/>
      <c r="AQ984" s="108"/>
      <c r="AR984" s="108"/>
      <c r="AS984" s="108"/>
      <c r="AT984" s="108"/>
      <c r="AU984" s="108"/>
      <c r="AV984" s="108"/>
      <c r="AW984" s="108"/>
      <c r="AX984" s="108"/>
      <c r="AY984" s="108"/>
      <c r="AZ984" s="108"/>
      <c r="BA984" s="108"/>
      <c r="BB984" s="108"/>
    </row>
    <row r="985" spans="3:54" ht="12.75" customHeight="1" x14ac:dyDescent="0.25">
      <c r="C985" s="108"/>
      <c r="D985" s="108"/>
      <c r="E985" s="108"/>
      <c r="F985" s="108"/>
      <c r="G985" s="108"/>
      <c r="H985" s="108"/>
      <c r="I985" s="108"/>
      <c r="J985" s="108"/>
      <c r="K985" s="108"/>
      <c r="L985" s="108"/>
      <c r="M985" s="108"/>
      <c r="N985" s="108"/>
      <c r="O985" s="108"/>
      <c r="P985" s="108"/>
      <c r="Q985" s="108"/>
      <c r="R985" s="108"/>
      <c r="S985" s="108"/>
      <c r="T985" s="108"/>
      <c r="U985" s="108"/>
      <c r="V985" s="108"/>
      <c r="W985" s="108"/>
      <c r="X985" s="108"/>
      <c r="Y985" s="108"/>
      <c r="Z985" s="108"/>
      <c r="AA985" s="108"/>
      <c r="AB985" s="108"/>
      <c r="AC985" s="108"/>
      <c r="AD985" s="108"/>
      <c r="AE985" s="108"/>
      <c r="AF985" s="108"/>
      <c r="AG985" s="108"/>
      <c r="AH985" s="108"/>
      <c r="AI985" s="108"/>
      <c r="AJ985" s="108"/>
      <c r="AK985" s="108"/>
      <c r="AL985" s="108"/>
      <c r="AM985" s="108"/>
      <c r="AN985" s="108"/>
      <c r="AO985" s="108"/>
      <c r="AP985" s="108"/>
      <c r="AQ985" s="108"/>
      <c r="AR985" s="108"/>
      <c r="AS985" s="108"/>
      <c r="AT985" s="108"/>
      <c r="AU985" s="108"/>
      <c r="AV985" s="108"/>
      <c r="AW985" s="108"/>
      <c r="AX985" s="108"/>
      <c r="AY985" s="108"/>
      <c r="AZ985" s="108"/>
      <c r="BA985" s="108"/>
      <c r="BB985" s="108"/>
    </row>
    <row r="986" spans="3:54" ht="12.75" customHeight="1" x14ac:dyDescent="0.25">
      <c r="C986" s="108"/>
      <c r="D986" s="108"/>
      <c r="E986" s="108"/>
      <c r="F986" s="108"/>
      <c r="G986" s="108"/>
      <c r="H986" s="108"/>
      <c r="I986" s="108"/>
      <c r="J986" s="108"/>
      <c r="K986" s="108"/>
      <c r="L986" s="108"/>
      <c r="M986" s="108"/>
      <c r="N986" s="108"/>
      <c r="O986" s="108"/>
      <c r="P986" s="108"/>
      <c r="Q986" s="108"/>
      <c r="R986" s="108"/>
      <c r="S986" s="108"/>
      <c r="T986" s="108"/>
      <c r="U986" s="108"/>
      <c r="V986" s="108"/>
      <c r="W986" s="108"/>
      <c r="X986" s="108"/>
      <c r="Y986" s="108"/>
      <c r="Z986" s="108"/>
      <c r="AA986" s="108"/>
      <c r="AB986" s="108"/>
      <c r="AC986" s="108"/>
      <c r="AD986" s="108"/>
      <c r="AE986" s="108"/>
      <c r="AF986" s="108"/>
      <c r="AG986" s="108"/>
      <c r="AH986" s="108"/>
      <c r="AI986" s="108"/>
      <c r="AJ986" s="108"/>
      <c r="AK986" s="108"/>
      <c r="AL986" s="108"/>
      <c r="AM986" s="108"/>
      <c r="AN986" s="108"/>
      <c r="AO986" s="108"/>
      <c r="AP986" s="108"/>
      <c r="AQ986" s="108"/>
      <c r="AR986" s="108"/>
      <c r="AS986" s="108"/>
      <c r="AT986" s="108"/>
      <c r="AU986" s="108"/>
      <c r="AV986" s="108"/>
      <c r="AW986" s="108"/>
      <c r="AX986" s="108"/>
      <c r="AY986" s="108"/>
      <c r="AZ986" s="108"/>
      <c r="BA986" s="108"/>
      <c r="BB986" s="108"/>
    </row>
    <row r="987" spans="3:54" ht="12.75" customHeight="1" x14ac:dyDescent="0.25">
      <c r="C987" s="108"/>
      <c r="D987" s="108"/>
      <c r="E987" s="108"/>
      <c r="F987" s="108"/>
      <c r="G987" s="108"/>
      <c r="H987" s="108"/>
      <c r="I987" s="108"/>
      <c r="J987" s="108"/>
      <c r="K987" s="108"/>
      <c r="L987" s="108"/>
      <c r="M987" s="108"/>
      <c r="N987" s="108"/>
      <c r="O987" s="108"/>
      <c r="P987" s="108"/>
      <c r="Q987" s="108"/>
      <c r="R987" s="108"/>
      <c r="S987" s="108"/>
      <c r="T987" s="108"/>
      <c r="U987" s="108"/>
      <c r="V987" s="108"/>
      <c r="W987" s="108"/>
      <c r="X987" s="108"/>
      <c r="Y987" s="108"/>
      <c r="Z987" s="108"/>
      <c r="AA987" s="108"/>
      <c r="AB987" s="108"/>
      <c r="AC987" s="108"/>
      <c r="AD987" s="108"/>
      <c r="AE987" s="108"/>
      <c r="AF987" s="108"/>
      <c r="AG987" s="108"/>
      <c r="AH987" s="108"/>
      <c r="AI987" s="108"/>
      <c r="AJ987" s="108"/>
      <c r="AK987" s="108"/>
      <c r="AL987" s="108"/>
      <c r="AM987" s="108"/>
      <c r="AN987" s="108"/>
      <c r="AO987" s="108"/>
      <c r="AP987" s="108"/>
      <c r="AQ987" s="108"/>
      <c r="AR987" s="108"/>
      <c r="AS987" s="108"/>
      <c r="AT987" s="108"/>
      <c r="AU987" s="108"/>
      <c r="AV987" s="108"/>
      <c r="AW987" s="108"/>
      <c r="AX987" s="108"/>
      <c r="AY987" s="108"/>
      <c r="AZ987" s="108"/>
      <c r="BA987" s="108"/>
      <c r="BB987" s="108"/>
    </row>
    <row r="988" spans="3:54" ht="12.75" customHeight="1" x14ac:dyDescent="0.25">
      <c r="C988" s="108"/>
      <c r="D988" s="108"/>
      <c r="E988" s="108"/>
      <c r="F988" s="108"/>
      <c r="G988" s="108"/>
      <c r="H988" s="108"/>
      <c r="I988" s="108"/>
      <c r="J988" s="108"/>
      <c r="K988" s="108"/>
      <c r="L988" s="108"/>
      <c r="M988" s="108"/>
      <c r="N988" s="108"/>
      <c r="O988" s="108"/>
      <c r="P988" s="108"/>
      <c r="Q988" s="108"/>
      <c r="R988" s="108"/>
      <c r="S988" s="108"/>
      <c r="T988" s="108"/>
      <c r="U988" s="108"/>
      <c r="V988" s="108"/>
      <c r="W988" s="108"/>
      <c r="X988" s="108"/>
      <c r="Y988" s="108"/>
      <c r="Z988" s="108"/>
      <c r="AA988" s="108"/>
      <c r="AB988" s="108"/>
      <c r="AC988" s="108"/>
      <c r="AD988" s="108"/>
      <c r="AE988" s="108"/>
      <c r="AF988" s="108"/>
      <c r="AG988" s="108"/>
      <c r="AH988" s="108"/>
      <c r="AI988" s="108"/>
      <c r="AJ988" s="108"/>
      <c r="AK988" s="108"/>
      <c r="AL988" s="108"/>
      <c r="AM988" s="108"/>
      <c r="AN988" s="108"/>
      <c r="AO988" s="108"/>
      <c r="AP988" s="108"/>
      <c r="AQ988" s="108"/>
      <c r="AR988" s="108"/>
      <c r="AS988" s="108"/>
      <c r="AT988" s="108"/>
      <c r="AU988" s="108"/>
      <c r="AV988" s="108"/>
      <c r="AW988" s="108"/>
      <c r="AX988" s="108"/>
      <c r="AY988" s="108"/>
      <c r="AZ988" s="108"/>
      <c r="BA988" s="108"/>
      <c r="BB988" s="108"/>
    </row>
    <row r="989" spans="3:54" ht="12.75" customHeight="1" x14ac:dyDescent="0.25">
      <c r="C989" s="108"/>
      <c r="D989" s="108"/>
      <c r="E989" s="108"/>
      <c r="F989" s="108"/>
      <c r="G989" s="108"/>
      <c r="H989" s="108"/>
      <c r="I989" s="108"/>
      <c r="J989" s="108"/>
      <c r="K989" s="108"/>
      <c r="L989" s="108"/>
      <c r="M989" s="108"/>
      <c r="N989" s="108"/>
      <c r="O989" s="108"/>
      <c r="P989" s="108"/>
      <c r="Q989" s="108"/>
      <c r="R989" s="108"/>
      <c r="S989" s="108"/>
      <c r="T989" s="108"/>
      <c r="U989" s="108"/>
      <c r="V989" s="108"/>
      <c r="W989" s="108"/>
      <c r="X989" s="108"/>
      <c r="Y989" s="108"/>
      <c r="Z989" s="108"/>
      <c r="AA989" s="108"/>
      <c r="AB989" s="108"/>
      <c r="AC989" s="108"/>
      <c r="AD989" s="108"/>
      <c r="AE989" s="108"/>
      <c r="AF989" s="108"/>
      <c r="AG989" s="108"/>
      <c r="AH989" s="108"/>
      <c r="AI989" s="108"/>
      <c r="AJ989" s="108"/>
      <c r="AK989" s="108"/>
      <c r="AL989" s="108"/>
      <c r="AM989" s="108"/>
      <c r="AN989" s="108"/>
      <c r="AO989" s="108"/>
      <c r="AP989" s="108"/>
      <c r="AQ989" s="108"/>
      <c r="AR989" s="108"/>
      <c r="AS989" s="108"/>
      <c r="AT989" s="108"/>
      <c r="AU989" s="108"/>
      <c r="AV989" s="108"/>
      <c r="AW989" s="108"/>
      <c r="AX989" s="108"/>
      <c r="AY989" s="108"/>
      <c r="AZ989" s="108"/>
      <c r="BA989" s="108"/>
      <c r="BB989" s="108"/>
    </row>
    <row r="990" spans="3:54" ht="12.75" customHeight="1" x14ac:dyDescent="0.25">
      <c r="C990" s="108"/>
      <c r="D990" s="108"/>
      <c r="E990" s="108"/>
      <c r="F990" s="108"/>
      <c r="G990" s="108"/>
      <c r="H990" s="108"/>
      <c r="I990" s="108"/>
      <c r="J990" s="108"/>
      <c r="K990" s="108"/>
      <c r="L990" s="108"/>
      <c r="M990" s="108"/>
      <c r="N990" s="108"/>
      <c r="O990" s="108"/>
      <c r="P990" s="108"/>
      <c r="Q990" s="108"/>
      <c r="R990" s="108"/>
      <c r="S990" s="108"/>
      <c r="T990" s="108"/>
      <c r="U990" s="108"/>
      <c r="V990" s="108"/>
      <c r="W990" s="108"/>
      <c r="X990" s="108"/>
      <c r="Y990" s="108"/>
      <c r="Z990" s="108"/>
      <c r="AA990" s="108"/>
      <c r="AB990" s="108"/>
      <c r="AC990" s="108"/>
      <c r="AD990" s="108"/>
      <c r="AE990" s="108"/>
      <c r="AF990" s="108"/>
      <c r="AG990" s="108"/>
      <c r="AH990" s="108"/>
      <c r="AI990" s="108"/>
      <c r="AJ990" s="108"/>
      <c r="AK990" s="108"/>
      <c r="AL990" s="108"/>
      <c r="AM990" s="108"/>
      <c r="AN990" s="108"/>
      <c r="AO990" s="108"/>
      <c r="AP990" s="108"/>
      <c r="AQ990" s="108"/>
      <c r="AR990" s="108"/>
      <c r="AS990" s="108"/>
      <c r="AT990" s="108"/>
      <c r="AU990" s="108"/>
      <c r="AV990" s="108"/>
      <c r="AW990" s="108"/>
      <c r="AX990" s="108"/>
      <c r="AY990" s="108"/>
      <c r="AZ990" s="108"/>
      <c r="BA990" s="108"/>
      <c r="BB990" s="108"/>
    </row>
    <row r="991" spans="3:54" ht="12.75" customHeight="1" x14ac:dyDescent="0.25">
      <c r="C991" s="108"/>
      <c r="D991" s="108"/>
      <c r="E991" s="108"/>
      <c r="F991" s="108"/>
      <c r="G991" s="108"/>
      <c r="H991" s="108"/>
      <c r="I991" s="108"/>
      <c r="J991" s="108"/>
      <c r="K991" s="108"/>
      <c r="L991" s="108"/>
      <c r="M991" s="108"/>
      <c r="N991" s="108"/>
      <c r="O991" s="108"/>
      <c r="P991" s="108"/>
      <c r="Q991" s="108"/>
      <c r="R991" s="108"/>
      <c r="S991" s="108"/>
      <c r="T991" s="108"/>
      <c r="U991" s="108"/>
      <c r="V991" s="108"/>
      <c r="W991" s="108"/>
      <c r="X991" s="108"/>
      <c r="Y991" s="108"/>
      <c r="Z991" s="108"/>
      <c r="AA991" s="108"/>
      <c r="AB991" s="108"/>
      <c r="AC991" s="108"/>
      <c r="AD991" s="108"/>
      <c r="AE991" s="108"/>
      <c r="AF991" s="108"/>
      <c r="AG991" s="108"/>
      <c r="AH991" s="108"/>
      <c r="AI991" s="108"/>
      <c r="AJ991" s="108"/>
      <c r="AK991" s="108"/>
      <c r="AL991" s="108"/>
      <c r="AM991" s="108"/>
      <c r="AN991" s="108"/>
      <c r="AO991" s="108"/>
      <c r="AP991" s="108"/>
      <c r="AQ991" s="108"/>
      <c r="AR991" s="108"/>
      <c r="AS991" s="108"/>
      <c r="AT991" s="108"/>
      <c r="AU991" s="108"/>
      <c r="AV991" s="108"/>
      <c r="AW991" s="108"/>
      <c r="AX991" s="108"/>
      <c r="AY991" s="108"/>
      <c r="AZ991" s="108"/>
      <c r="BA991" s="108"/>
      <c r="BB991" s="108"/>
    </row>
    <row r="992" spans="3:54" ht="12.75" customHeight="1" x14ac:dyDescent="0.25">
      <c r="C992" s="108"/>
      <c r="D992" s="108"/>
      <c r="E992" s="108"/>
      <c r="F992" s="108"/>
      <c r="G992" s="108"/>
      <c r="H992" s="108"/>
      <c r="I992" s="108"/>
      <c r="J992" s="108"/>
      <c r="K992" s="108"/>
      <c r="L992" s="108"/>
      <c r="M992" s="108"/>
      <c r="N992" s="108"/>
      <c r="O992" s="108"/>
      <c r="P992" s="108"/>
      <c r="Q992" s="108"/>
      <c r="R992" s="108"/>
      <c r="S992" s="108"/>
      <c r="T992" s="108"/>
      <c r="U992" s="108"/>
      <c r="V992" s="108"/>
      <c r="W992" s="108"/>
      <c r="X992" s="108"/>
      <c r="Y992" s="108"/>
      <c r="Z992" s="108"/>
      <c r="AA992" s="108"/>
      <c r="AB992" s="108"/>
      <c r="AC992" s="108"/>
      <c r="AD992" s="108"/>
      <c r="AE992" s="108"/>
      <c r="AF992" s="108"/>
      <c r="AG992" s="108"/>
      <c r="AH992" s="108"/>
      <c r="AI992" s="108"/>
      <c r="AJ992" s="108"/>
      <c r="AK992" s="108"/>
      <c r="AL992" s="108"/>
      <c r="AM992" s="108"/>
      <c r="AN992" s="108"/>
      <c r="AO992" s="108"/>
      <c r="AP992" s="108"/>
      <c r="AQ992" s="108"/>
      <c r="AR992" s="108"/>
      <c r="AS992" s="108"/>
      <c r="AT992" s="108"/>
      <c r="AU992" s="108"/>
      <c r="AV992" s="108"/>
      <c r="AW992" s="108"/>
      <c r="AX992" s="108"/>
      <c r="AY992" s="108"/>
      <c r="AZ992" s="108"/>
      <c r="BA992" s="108"/>
      <c r="BB992" s="108"/>
    </row>
    <row r="993" spans="3:54" ht="12.75" customHeight="1" x14ac:dyDescent="0.25">
      <c r="C993" s="108"/>
      <c r="D993" s="108"/>
      <c r="E993" s="108"/>
      <c r="F993" s="108"/>
      <c r="G993" s="108"/>
      <c r="H993" s="108"/>
      <c r="I993" s="108"/>
      <c r="J993" s="108"/>
      <c r="K993" s="108"/>
      <c r="L993" s="108"/>
      <c r="M993" s="108"/>
      <c r="N993" s="108"/>
      <c r="O993" s="108"/>
      <c r="P993" s="108"/>
      <c r="Q993" s="108"/>
      <c r="R993" s="108"/>
      <c r="S993" s="108"/>
      <c r="T993" s="108"/>
      <c r="U993" s="108"/>
      <c r="V993" s="108"/>
      <c r="W993" s="108"/>
      <c r="X993" s="108"/>
      <c r="Y993" s="108"/>
      <c r="Z993" s="108"/>
      <c r="AA993" s="108"/>
      <c r="AB993" s="108"/>
      <c r="AC993" s="108"/>
      <c r="AD993" s="108"/>
      <c r="AE993" s="108"/>
      <c r="AF993" s="108"/>
      <c r="AG993" s="108"/>
      <c r="AH993" s="108"/>
      <c r="AI993" s="108"/>
      <c r="AJ993" s="108"/>
      <c r="AK993" s="108"/>
      <c r="AL993" s="108"/>
      <c r="AM993" s="108"/>
      <c r="AN993" s="108"/>
      <c r="AO993" s="108"/>
      <c r="AP993" s="108"/>
      <c r="AQ993" s="108"/>
      <c r="AR993" s="108"/>
      <c r="AS993" s="108"/>
      <c r="AT993" s="108"/>
      <c r="AU993" s="108"/>
      <c r="AV993" s="108"/>
      <c r="AW993" s="108"/>
      <c r="AX993" s="108"/>
      <c r="AY993" s="108"/>
      <c r="AZ993" s="108"/>
      <c r="BA993" s="108"/>
      <c r="BB993" s="108"/>
    </row>
    <row r="994" spans="3:54" ht="12.75" customHeight="1" x14ac:dyDescent="0.25">
      <c r="C994" s="108"/>
      <c r="D994" s="108"/>
      <c r="E994" s="108"/>
      <c r="F994" s="108"/>
      <c r="G994" s="108"/>
      <c r="H994" s="108"/>
      <c r="I994" s="108"/>
      <c r="J994" s="108"/>
      <c r="K994" s="108"/>
      <c r="L994" s="108"/>
      <c r="M994" s="108"/>
      <c r="N994" s="108"/>
      <c r="O994" s="108"/>
      <c r="P994" s="108"/>
      <c r="Q994" s="108"/>
      <c r="R994" s="108"/>
      <c r="S994" s="108"/>
      <c r="T994" s="108"/>
      <c r="U994" s="108"/>
      <c r="V994" s="108"/>
      <c r="W994" s="108"/>
      <c r="X994" s="108"/>
      <c r="Y994" s="108"/>
      <c r="Z994" s="108"/>
      <c r="AA994" s="108"/>
      <c r="AB994" s="108"/>
      <c r="AC994" s="108"/>
      <c r="AD994" s="108"/>
      <c r="AE994" s="108"/>
      <c r="AF994" s="108"/>
      <c r="AG994" s="108"/>
      <c r="AH994" s="108"/>
      <c r="AI994" s="108"/>
      <c r="AJ994" s="108"/>
      <c r="AK994" s="108"/>
      <c r="AL994" s="108"/>
      <c r="AM994" s="108"/>
      <c r="AN994" s="108"/>
      <c r="AO994" s="108"/>
      <c r="AP994" s="108"/>
      <c r="AQ994" s="108"/>
      <c r="AR994" s="108"/>
      <c r="AS994" s="108"/>
      <c r="AT994" s="108"/>
      <c r="AU994" s="108"/>
      <c r="AV994" s="108"/>
      <c r="AW994" s="108"/>
      <c r="AX994" s="108"/>
      <c r="AY994" s="108"/>
      <c r="AZ994" s="108"/>
      <c r="BA994" s="108"/>
      <c r="BB994" s="108"/>
    </row>
    <row r="995" spans="3:54" ht="12.75" customHeight="1" x14ac:dyDescent="0.25">
      <c r="C995" s="108"/>
      <c r="D995" s="108"/>
      <c r="E995" s="108"/>
      <c r="F995" s="108"/>
      <c r="G995" s="108"/>
      <c r="H995" s="108"/>
      <c r="I995" s="108"/>
      <c r="J995" s="108"/>
      <c r="K995" s="108"/>
      <c r="L995" s="108"/>
      <c r="M995" s="108"/>
      <c r="N995" s="108"/>
      <c r="O995" s="108"/>
      <c r="P995" s="108"/>
      <c r="Q995" s="108"/>
      <c r="R995" s="108"/>
      <c r="S995" s="108"/>
      <c r="T995" s="108"/>
      <c r="U995" s="108"/>
      <c r="V995" s="108"/>
      <c r="W995" s="108"/>
      <c r="X995" s="108"/>
      <c r="Y995" s="108"/>
      <c r="Z995" s="108"/>
      <c r="AA995" s="108"/>
      <c r="AB995" s="108"/>
      <c r="AC995" s="108"/>
      <c r="AD995" s="108"/>
      <c r="AE995" s="108"/>
      <c r="AF995" s="108"/>
      <c r="AG995" s="108"/>
      <c r="AH995" s="108"/>
      <c r="AI995" s="108"/>
      <c r="AJ995" s="108"/>
      <c r="AK995" s="108"/>
      <c r="AL995" s="108"/>
      <c r="AM995" s="108"/>
      <c r="AN995" s="108"/>
      <c r="AO995" s="108"/>
      <c r="AP995" s="108"/>
      <c r="AQ995" s="108"/>
      <c r="AR995" s="108"/>
      <c r="AS995" s="108"/>
      <c r="AT995" s="108"/>
      <c r="AU995" s="108"/>
      <c r="AV995" s="108"/>
      <c r="AW995" s="108"/>
      <c r="AX995" s="108"/>
      <c r="AY995" s="108"/>
      <c r="AZ995" s="108"/>
      <c r="BA995" s="108"/>
      <c r="BB995" s="108"/>
    </row>
    <row r="996" spans="3:54" ht="12.75" customHeight="1" x14ac:dyDescent="0.25">
      <c r="C996" s="108"/>
      <c r="D996" s="108"/>
      <c r="E996" s="108"/>
      <c r="F996" s="108"/>
      <c r="G996" s="108"/>
      <c r="H996" s="108"/>
      <c r="I996" s="108"/>
      <c r="J996" s="108"/>
      <c r="K996" s="108"/>
      <c r="L996" s="108"/>
      <c r="M996" s="108"/>
      <c r="N996" s="108"/>
      <c r="O996" s="108"/>
      <c r="P996" s="108"/>
      <c r="Q996" s="108"/>
      <c r="R996" s="108"/>
      <c r="S996" s="108"/>
      <c r="T996" s="108"/>
      <c r="U996" s="108"/>
      <c r="V996" s="108"/>
      <c r="W996" s="108"/>
      <c r="X996" s="108"/>
      <c r="Y996" s="108"/>
      <c r="Z996" s="108"/>
      <c r="AA996" s="108"/>
      <c r="AB996" s="108"/>
      <c r="AC996" s="108"/>
      <c r="AD996" s="108"/>
      <c r="AE996" s="108"/>
      <c r="AF996" s="108"/>
      <c r="AG996" s="108"/>
      <c r="AH996" s="108"/>
      <c r="AI996" s="108"/>
      <c r="AJ996" s="108"/>
      <c r="AK996" s="108"/>
      <c r="AL996" s="108"/>
      <c r="AM996" s="108"/>
      <c r="AN996" s="108"/>
      <c r="AO996" s="108"/>
      <c r="AP996" s="108"/>
      <c r="AQ996" s="108"/>
      <c r="AR996" s="108"/>
      <c r="AS996" s="108"/>
      <c r="AT996" s="108"/>
      <c r="AU996" s="108"/>
      <c r="AV996" s="108"/>
      <c r="AW996" s="108"/>
      <c r="AX996" s="108"/>
      <c r="AY996" s="108"/>
      <c r="AZ996" s="108"/>
      <c r="BA996" s="108"/>
      <c r="BB996" s="108"/>
    </row>
    <row r="997" spans="3:54" ht="12.75" customHeight="1" x14ac:dyDescent="0.25">
      <c r="C997" s="108"/>
      <c r="D997" s="108"/>
      <c r="E997" s="108"/>
      <c r="F997" s="108"/>
      <c r="G997" s="108"/>
      <c r="H997" s="108"/>
      <c r="I997" s="108"/>
      <c r="J997" s="108"/>
      <c r="K997" s="108"/>
      <c r="L997" s="108"/>
      <c r="M997" s="108"/>
      <c r="N997" s="108"/>
      <c r="O997" s="108"/>
      <c r="P997" s="108"/>
      <c r="Q997" s="108"/>
      <c r="R997" s="108"/>
      <c r="S997" s="108"/>
      <c r="T997" s="108"/>
      <c r="U997" s="108"/>
      <c r="V997" s="108"/>
      <c r="W997" s="108"/>
      <c r="X997" s="108"/>
      <c r="Y997" s="108"/>
      <c r="Z997" s="108"/>
      <c r="AA997" s="108"/>
      <c r="AB997" s="108"/>
      <c r="AC997" s="108"/>
      <c r="AD997" s="108"/>
      <c r="AE997" s="108"/>
      <c r="AF997" s="108"/>
      <c r="AG997" s="108"/>
      <c r="AH997" s="108"/>
      <c r="AI997" s="108"/>
      <c r="AJ997" s="108"/>
      <c r="AK997" s="108"/>
      <c r="AL997" s="108"/>
      <c r="AM997" s="108"/>
      <c r="AN997" s="108"/>
      <c r="AO997" s="108"/>
      <c r="AP997" s="108"/>
      <c r="AQ997" s="108"/>
      <c r="AR997" s="108"/>
      <c r="AS997" s="108"/>
      <c r="AT997" s="108"/>
      <c r="AU997" s="108"/>
      <c r="AV997" s="108"/>
      <c r="AW997" s="108"/>
      <c r="AX997" s="108"/>
      <c r="AY997" s="108"/>
      <c r="AZ997" s="108"/>
      <c r="BA997" s="108"/>
      <c r="BB997" s="108"/>
    </row>
    <row r="998" spans="3:54" ht="12.75" customHeight="1" x14ac:dyDescent="0.25">
      <c r="C998" s="108"/>
      <c r="D998" s="108"/>
      <c r="E998" s="108"/>
      <c r="F998" s="108"/>
      <c r="G998" s="108"/>
      <c r="H998" s="108"/>
      <c r="I998" s="108"/>
      <c r="J998" s="108"/>
      <c r="K998" s="108"/>
      <c r="L998" s="108"/>
      <c r="M998" s="108"/>
      <c r="N998" s="108"/>
      <c r="O998" s="108"/>
      <c r="P998" s="108"/>
      <c r="Q998" s="108"/>
      <c r="R998" s="108"/>
      <c r="S998" s="108"/>
      <c r="T998" s="108"/>
      <c r="U998" s="108"/>
      <c r="V998" s="108"/>
      <c r="W998" s="108"/>
      <c r="X998" s="108"/>
      <c r="Y998" s="108"/>
      <c r="Z998" s="108"/>
      <c r="AA998" s="108"/>
      <c r="AB998" s="108"/>
      <c r="AC998" s="108"/>
      <c r="AD998" s="108"/>
      <c r="AE998" s="108"/>
      <c r="AF998" s="108"/>
      <c r="AG998" s="108"/>
      <c r="AH998" s="108"/>
      <c r="AI998" s="108"/>
      <c r="AJ998" s="108"/>
      <c r="AK998" s="108"/>
      <c r="AL998" s="108"/>
      <c r="AM998" s="108"/>
      <c r="AN998" s="108"/>
      <c r="AO998" s="108"/>
      <c r="AP998" s="108"/>
      <c r="AQ998" s="108"/>
      <c r="AR998" s="108"/>
      <c r="AS998" s="108"/>
      <c r="AT998" s="108"/>
      <c r="AU998" s="108"/>
      <c r="AV998" s="108"/>
      <c r="AW998" s="108"/>
      <c r="AX998" s="108"/>
      <c r="AY998" s="108"/>
      <c r="AZ998" s="108"/>
      <c r="BA998" s="108"/>
      <c r="BB998" s="108"/>
    </row>
    <row r="999" spans="3:54" ht="12.75" customHeight="1" x14ac:dyDescent="0.25">
      <c r="C999" s="108"/>
      <c r="D999" s="108"/>
      <c r="E999" s="108"/>
      <c r="F999" s="108"/>
      <c r="G999" s="108"/>
      <c r="H999" s="108"/>
      <c r="I999" s="108"/>
      <c r="J999" s="108"/>
      <c r="K999" s="108"/>
      <c r="L999" s="108"/>
      <c r="M999" s="108"/>
      <c r="N999" s="108"/>
      <c r="O999" s="108"/>
      <c r="P999" s="108"/>
      <c r="Q999" s="108"/>
      <c r="R999" s="108"/>
      <c r="S999" s="108"/>
      <c r="T999" s="108"/>
      <c r="U999" s="108"/>
      <c r="V999" s="108"/>
      <c r="W999" s="108"/>
      <c r="X999" s="108"/>
      <c r="Y999" s="108"/>
      <c r="Z999" s="108"/>
      <c r="AA999" s="108"/>
      <c r="AB999" s="108"/>
      <c r="AC999" s="108"/>
      <c r="AD999" s="108"/>
      <c r="AE999" s="108"/>
      <c r="AF999" s="108"/>
      <c r="AG999" s="108"/>
      <c r="AH999" s="108"/>
      <c r="AI999" s="108"/>
      <c r="AJ999" s="108"/>
      <c r="AK999" s="108"/>
      <c r="AL999" s="108"/>
      <c r="AM999" s="108"/>
      <c r="AN999" s="108"/>
      <c r="AO999" s="108"/>
      <c r="AP999" s="108"/>
      <c r="AQ999" s="108"/>
      <c r="AR999" s="108"/>
      <c r="AS999" s="108"/>
      <c r="AT999" s="108"/>
      <c r="AU999" s="108"/>
      <c r="AV999" s="108"/>
      <c r="AW999" s="108"/>
      <c r="AX999" s="108"/>
      <c r="AY999" s="108"/>
      <c r="AZ999" s="108"/>
      <c r="BA999" s="108"/>
      <c r="BB999" s="108"/>
    </row>
    <row r="1000" spans="3:54" ht="12.75" customHeight="1" x14ac:dyDescent="0.25">
      <c r="C1000" s="108"/>
      <c r="D1000" s="108"/>
      <c r="E1000" s="108"/>
      <c r="F1000" s="108"/>
      <c r="G1000" s="108"/>
      <c r="H1000" s="108"/>
      <c r="I1000" s="108"/>
      <c r="J1000" s="108"/>
      <c r="K1000" s="108"/>
      <c r="L1000" s="108"/>
      <c r="M1000" s="108"/>
      <c r="N1000" s="108"/>
      <c r="O1000" s="108"/>
      <c r="P1000" s="108"/>
      <c r="Q1000" s="108"/>
      <c r="R1000" s="108"/>
      <c r="S1000" s="108"/>
      <c r="T1000" s="108"/>
      <c r="U1000" s="108"/>
      <c r="V1000" s="108"/>
      <c r="W1000" s="108"/>
      <c r="X1000" s="108"/>
      <c r="Y1000" s="108"/>
      <c r="Z1000" s="108"/>
      <c r="AA1000" s="108"/>
      <c r="AB1000" s="108"/>
      <c r="AC1000" s="108"/>
      <c r="AD1000" s="108"/>
      <c r="AE1000" s="108"/>
      <c r="AF1000" s="108"/>
      <c r="AG1000" s="108"/>
      <c r="AH1000" s="108"/>
      <c r="AI1000" s="108"/>
      <c r="AJ1000" s="108"/>
      <c r="AK1000" s="108"/>
      <c r="AL1000" s="108"/>
      <c r="AM1000" s="108"/>
      <c r="AN1000" s="108"/>
      <c r="AO1000" s="108"/>
      <c r="AP1000" s="108"/>
      <c r="AQ1000" s="108"/>
      <c r="AR1000" s="108"/>
      <c r="AS1000" s="108"/>
      <c r="AT1000" s="108"/>
      <c r="AU1000" s="108"/>
      <c r="AV1000" s="108"/>
      <c r="AW1000" s="108"/>
      <c r="AX1000" s="108"/>
      <c r="AY1000" s="108"/>
      <c r="AZ1000" s="108"/>
      <c r="BA1000" s="108"/>
      <c r="BB1000" s="108"/>
    </row>
  </sheetData>
  <sheetProtection algorithmName="SHA-512" hashValue="g8CPl3rhMIcskYVpRsH8ghLbvzTM/q5nu86mWME8pdIx1EtzbXxXW1JdJcK72DNdCogWHx0UmsvZriy1N/YeeA==" saltValue="PVMZVjNZ+gn/ennigoLyrQ==" spinCount="100000" sheet="1" objects="1" scenarios="1"/>
  <mergeCells count="7">
    <mergeCell ref="AZ3:BF3"/>
    <mergeCell ref="AY3:AY4"/>
    <mergeCell ref="H1:N2"/>
    <mergeCell ref="AQ3:AU3"/>
    <mergeCell ref="AV3:AX3"/>
    <mergeCell ref="U3:AB3"/>
    <mergeCell ref="P3:T3"/>
  </mergeCells>
  <pageMargins left="0.7" right="0.7" top="0.75" bottom="0.75" header="0.3" footer="0.3"/>
  <pageSetup paperSize="9" scale="38" orientation="landscape" r:id="rId1"/>
  <colBreaks count="1" manualBreakCount="1">
    <brk id="28" max="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Z39557"/>
  <sheetViews>
    <sheetView view="pageBreakPreview" zoomScaleNormal="100" zoomScaleSheetLayoutView="100" workbookViewId="0">
      <selection activeCell="Z6" sqref="Z6"/>
    </sheetView>
  </sheetViews>
  <sheetFormatPr baseColWidth="10" defaultRowHeight="15" x14ac:dyDescent="0.25"/>
  <cols>
    <col min="1" max="1" width="12.42578125" style="17" customWidth="1"/>
    <col min="2" max="2" width="7.140625" style="17" customWidth="1"/>
    <col min="3" max="3" width="7.7109375" style="17" customWidth="1"/>
    <col min="4" max="4" width="9.7109375" style="331" customWidth="1"/>
    <col min="5" max="6" width="6" style="17" customWidth="1"/>
    <col min="7" max="7" width="6.85546875" style="17" customWidth="1"/>
    <col min="8" max="8" width="7" style="17" customWidth="1"/>
    <col min="9" max="9" width="21.5703125" style="17" customWidth="1"/>
    <col min="10" max="10" width="13" style="17" customWidth="1"/>
    <col min="11" max="12" width="12.140625" style="17" customWidth="1"/>
    <col min="13" max="13" width="13.42578125" style="17" customWidth="1"/>
    <col min="14" max="14" width="12.140625" style="17" customWidth="1"/>
    <col min="15" max="15" width="16.5703125" style="17" customWidth="1"/>
    <col min="16" max="16" width="14" style="17" customWidth="1"/>
    <col min="17" max="17" width="7.7109375" style="17" customWidth="1"/>
    <col min="18" max="18" width="11.140625" style="17" customWidth="1"/>
    <col min="19" max="20" width="16.140625" style="17" customWidth="1"/>
    <col min="21" max="24" width="12.85546875" style="17" customWidth="1"/>
    <col min="25" max="28" width="13.7109375" style="205" customWidth="1"/>
    <col min="29" max="29" width="13.7109375" style="338" customWidth="1"/>
    <col min="30" max="30" width="20.85546875" style="339" customWidth="1"/>
    <col min="31" max="31" width="10.5703125" style="339" customWidth="1"/>
    <col min="32" max="32" width="12.85546875" style="339" customWidth="1"/>
    <col min="33" max="33" width="21.7109375" style="17" customWidth="1"/>
    <col min="34" max="40" width="6.42578125" style="17" customWidth="1"/>
    <col min="41" max="61" width="7.42578125" style="17" customWidth="1"/>
    <col min="62" max="62" width="6.140625" style="17" customWidth="1"/>
    <col min="63" max="63" width="11.28515625" style="17" customWidth="1"/>
    <col min="64" max="64" width="13.7109375" style="17" customWidth="1"/>
    <col min="65" max="65" width="16.42578125" style="17" customWidth="1"/>
    <col min="66" max="66" width="9.7109375" style="17" customWidth="1"/>
    <col min="67" max="67" width="13.7109375" style="17" customWidth="1"/>
    <col min="68" max="68" width="17.42578125" style="17" customWidth="1"/>
    <col min="69" max="69" width="12.85546875" style="17" customWidth="1"/>
    <col min="70" max="70" width="14.7109375" style="17" customWidth="1"/>
    <col min="71" max="71" width="21.140625" style="17" customWidth="1"/>
    <col min="72" max="72" width="8.28515625" style="17" customWidth="1"/>
    <col min="73" max="73" width="14.140625" style="17" customWidth="1"/>
    <col min="74" max="74" width="11.42578125" style="17" customWidth="1"/>
    <col min="75" max="75" width="15.5703125" style="17" customWidth="1"/>
    <col min="76" max="16384" width="11.42578125" style="17"/>
  </cols>
  <sheetData>
    <row r="1" spans="1:78" s="170" customFormat="1" x14ac:dyDescent="0.25">
      <c r="A1" s="194" t="s">
        <v>10301</v>
      </c>
      <c r="B1" s="191" t="s">
        <v>9098</v>
      </c>
      <c r="C1" s="192" t="s">
        <v>9067</v>
      </c>
      <c r="D1" s="328" t="s">
        <v>10304</v>
      </c>
      <c r="E1" s="192" t="s">
        <v>10303</v>
      </c>
      <c r="F1" s="192" t="s">
        <v>10302</v>
      </c>
      <c r="G1" s="192" t="s">
        <v>9068</v>
      </c>
      <c r="H1" s="192" t="s">
        <v>9069</v>
      </c>
      <c r="I1" s="192" t="s">
        <v>9070</v>
      </c>
      <c r="J1" s="192" t="s">
        <v>9071</v>
      </c>
      <c r="K1" s="192" t="s">
        <v>9072</v>
      </c>
      <c r="L1" s="192" t="s">
        <v>9085</v>
      </c>
      <c r="M1" s="192" t="s">
        <v>9086</v>
      </c>
      <c r="N1" s="192" t="s">
        <v>9321</v>
      </c>
      <c r="O1" s="192" t="s">
        <v>64</v>
      </c>
      <c r="P1" s="192" t="s">
        <v>10088</v>
      </c>
      <c r="Q1" s="192" t="s">
        <v>10089</v>
      </c>
      <c r="R1" s="192" t="s">
        <v>10090</v>
      </c>
      <c r="S1" s="192" t="s">
        <v>10091</v>
      </c>
      <c r="T1" s="193" t="s">
        <v>9073</v>
      </c>
      <c r="U1" s="192" t="s">
        <v>9074</v>
      </c>
      <c r="V1" s="192" t="s">
        <v>9075</v>
      </c>
      <c r="W1" s="192" t="s">
        <v>9076</v>
      </c>
      <c r="X1" s="194" t="s">
        <v>9079</v>
      </c>
      <c r="Y1" s="194" t="s">
        <v>10154</v>
      </c>
      <c r="Z1" s="194" t="s">
        <v>10317</v>
      </c>
      <c r="AA1" s="194" t="s">
        <v>10229</v>
      </c>
      <c r="AB1" s="193" t="s">
        <v>9077</v>
      </c>
      <c r="AC1" s="332" t="s">
        <v>9078</v>
      </c>
      <c r="AD1" s="333" t="s">
        <v>10113</v>
      </c>
      <c r="AE1" s="333" t="s">
        <v>10114</v>
      </c>
      <c r="AF1" s="333" t="s">
        <v>10115</v>
      </c>
      <c r="AG1" s="195" t="s">
        <v>9080</v>
      </c>
      <c r="AH1" s="193" t="s">
        <v>9081</v>
      </c>
      <c r="AI1" s="192" t="s">
        <v>9101</v>
      </c>
      <c r="AJ1" s="192" t="s">
        <v>9102</v>
      </c>
      <c r="AK1" s="192" t="s">
        <v>9103</v>
      </c>
      <c r="AL1" s="192" t="s">
        <v>9104</v>
      </c>
      <c r="AM1" s="192" t="s">
        <v>9105</v>
      </c>
      <c r="AN1" s="192" t="s">
        <v>9106</v>
      </c>
      <c r="AO1" s="192" t="s">
        <v>9107</v>
      </c>
      <c r="AP1" s="192" t="s">
        <v>9108</v>
      </c>
      <c r="AQ1" s="192" t="s">
        <v>9109</v>
      </c>
      <c r="AR1" s="192" t="s">
        <v>9110</v>
      </c>
      <c r="AS1" s="192" t="s">
        <v>9111</v>
      </c>
      <c r="AT1" s="192" t="s">
        <v>9112</v>
      </c>
      <c r="AU1" s="192" t="s">
        <v>9113</v>
      </c>
      <c r="AV1" s="192" t="s">
        <v>9114</v>
      </c>
      <c r="AW1" s="192" t="s">
        <v>9115</v>
      </c>
      <c r="AX1" s="192" t="s">
        <v>9116</v>
      </c>
      <c r="AY1" s="192" t="s">
        <v>9117</v>
      </c>
      <c r="AZ1" s="192" t="s">
        <v>9118</v>
      </c>
      <c r="BA1" s="192" t="s">
        <v>9119</v>
      </c>
      <c r="BB1" s="192" t="s">
        <v>9120</v>
      </c>
      <c r="BC1" s="192" t="s">
        <v>9121</v>
      </c>
      <c r="BD1" s="192" t="s">
        <v>9122</v>
      </c>
      <c r="BE1" s="192" t="s">
        <v>9123</v>
      </c>
      <c r="BF1" s="192" t="s">
        <v>9124</v>
      </c>
      <c r="BG1" s="192" t="s">
        <v>9125</v>
      </c>
      <c r="BH1" s="192" t="s">
        <v>9126</v>
      </c>
      <c r="BI1" s="192" t="s">
        <v>9127</v>
      </c>
      <c r="BJ1" s="192" t="s">
        <v>9128</v>
      </c>
      <c r="BK1" s="192" t="s">
        <v>9129</v>
      </c>
      <c r="BL1" s="192" t="s">
        <v>9130</v>
      </c>
      <c r="BM1" s="193" t="s">
        <v>9082</v>
      </c>
      <c r="BN1" s="193" t="s">
        <v>10287</v>
      </c>
      <c r="BO1" s="193" t="s">
        <v>9083</v>
      </c>
      <c r="BP1" s="193" t="s">
        <v>9084</v>
      </c>
      <c r="BQ1" s="194" t="s">
        <v>9087</v>
      </c>
      <c r="BR1" s="194" t="s">
        <v>9088</v>
      </c>
      <c r="BS1" s="193" t="s">
        <v>9090</v>
      </c>
      <c r="BT1" s="194" t="s">
        <v>9091</v>
      </c>
      <c r="BU1" s="194" t="s">
        <v>9093</v>
      </c>
      <c r="BV1" s="193" t="s">
        <v>9092</v>
      </c>
      <c r="BW1" s="194" t="s">
        <v>9094</v>
      </c>
      <c r="BX1" s="194" t="s">
        <v>9095</v>
      </c>
      <c r="BY1" s="194" t="s">
        <v>9096</v>
      </c>
      <c r="BZ1" s="196" t="s">
        <v>9097</v>
      </c>
    </row>
    <row r="2" spans="1:78" x14ac:dyDescent="0.25">
      <c r="A2" s="327" t="str">
        <f>IF(U2&lt;&gt;0,'ORDEN DE CUARENTENA'!$AE$2,"")</f>
        <v/>
      </c>
      <c r="B2" s="190" t="str">
        <f>IF(U2&lt;&gt;0,'ORDEN DE CUARENTENA'!$AE$3,"")</f>
        <v/>
      </c>
      <c r="C2" s="174" t="str">
        <f t="shared" ref="C2:C33" si="0">IF(U2&lt;&gt;0,CONCATENATE(B2,"-",TEXT(H2,"yyyy")),"")</f>
        <v/>
      </c>
      <c r="D2" s="329" t="str">
        <f>IF(U2&lt;&gt;0,'ORDEN DE CUARENTENA'!$I$6,"")</f>
        <v/>
      </c>
      <c r="E2" s="174" t="str">
        <f>IF(U2&lt;&gt;0,TEXT('ORDEN DE CUARENTENA'!$I$6,"aaa"),"")</f>
        <v/>
      </c>
      <c r="F2" s="173" t="str">
        <f>IF(U2&lt;&gt;0,TEXT('ORDEN DE CUARENTENA'!$I$6,"dd"),"")</f>
        <v/>
      </c>
      <c r="G2" s="172" t="str">
        <f>IF(U2&lt;&gt;0,TEXT('ORDEN DE CUARENTENA'!$I$6,"mm"),"")</f>
        <v/>
      </c>
      <c r="H2" s="171" t="str">
        <f>IF(U2&lt;&gt;0,TEXT('ORDEN DE CUARENTENA'!$I$6,"yyyy"),"")</f>
        <v/>
      </c>
      <c r="I2" s="154" t="str">
        <f>IF(U2&lt;&gt;0,'ORDEN DE CUARENTENA'!$H$7,"")</f>
        <v/>
      </c>
      <c r="J2" s="154" t="str">
        <f>IF(U2&lt;&gt;0,'ORDEN DE CUARENTENA'!$H$9,"")</f>
        <v/>
      </c>
      <c r="K2" s="154" t="str">
        <f>IF(U2&lt;&gt;0,'ORDEN DE CUARENTENA'!$Q$9,"")</f>
        <v/>
      </c>
      <c r="L2" s="154" t="str">
        <f>IFERROR(VLOOKUP(U2,Item[],4,FALSE),IFERROR(VLOOKUP(U2,Item2[],4,FALSE),""))</f>
        <v/>
      </c>
      <c r="M2" s="154" t="str">
        <f>IFERROR(VLOOKUP(U2,Item[],5,FALSE),IFERROR(VLOOKUP(U2,Item2[],5,FALSE),""))</f>
        <v/>
      </c>
      <c r="N2" s="154" t="str">
        <f>IFERROR(VLOOKUP(W2,SuscepEARs[],2,FALSE),"")</f>
        <v/>
      </c>
      <c r="O2" s="154" t="str">
        <f>IFERROR(VLOOKUP(DatosAll[[#This Row],[ESPECIE]],CITES[],2,FALSE),"")</f>
        <v/>
      </c>
      <c r="P2" s="154">
        <f>IFERROR(VLOOKUP(T2,Hallazgo[],2,FALSE),"")</f>
        <v>0</v>
      </c>
      <c r="Q2" s="154">
        <f>IFERROR(VLOOKUP(T2,Hallazgo[],3,FALSE),"")</f>
        <v>0</v>
      </c>
      <c r="R2" s="154">
        <f>IFERROR(VLOOKUP(T2,Hallazgo[],4,FALSE),"")</f>
        <v>0</v>
      </c>
      <c r="S2" s="154">
        <f>IFERROR(VLOOKUP(T2,Hallazgo[],5,FALSE),"")</f>
        <v>0</v>
      </c>
      <c r="T2" s="154">
        <f>'Acuario (Arribado - mortalidad)'!C14</f>
        <v>0</v>
      </c>
      <c r="U2" s="154">
        <f>'Acuario (Arribado - mortalidad)'!B14</f>
        <v>0</v>
      </c>
      <c r="V2" s="154" t="str">
        <f>'Acuario (Arribado - mortalidad)'!D14</f>
        <v/>
      </c>
      <c r="W2" s="154" t="str">
        <f>'Acuario (Arribado - mortalidad)'!E14</f>
        <v/>
      </c>
      <c r="X2" s="154">
        <f>'Acuario (Arribado - mortalidad)'!F14</f>
        <v>0</v>
      </c>
      <c r="Y2" s="154">
        <f>'Acuario (Arribado - mortalidad)'!H14</f>
        <v>0</v>
      </c>
      <c r="Z2" s="154">
        <f>'Acuario (Arribado - mortalidad)'!I14</f>
        <v>0</v>
      </c>
      <c r="AA2" s="154">
        <f>'Acuario (Arribado - mortalidad)'!J14</f>
        <v>0</v>
      </c>
      <c r="AB2" s="154" t="str">
        <f>'Acuario (Arribado - mortalidad)'!K14</f>
        <v/>
      </c>
      <c r="AC2" s="334" t="str">
        <f>IFERROR(('Acuario (Arribado - mortalidad)'!K14/DatosAll[[#This Row],[N_INDIVIDUOS]])*100,"")</f>
        <v/>
      </c>
      <c r="AD2" s="334" t="str">
        <f>IFERROR(('Acuario (Arribado - mortalidad)'!O14/DatosAll[[#This Row],[N_INDIVIDUOS]])*100,"")</f>
        <v/>
      </c>
      <c r="AE2" s="334" t="str">
        <f>IFERROR(('Acuario (Arribado - mortalidad)'!BG14/DatosAll[[#This Row],[N_INDIVIDUOS]])*100,"")</f>
        <v/>
      </c>
      <c r="AF2" s="334" t="str">
        <f>IFERROR(('Acuario (Arribado - mortalidad)'!BH14/DatosAll[[#This Row],[N_INDIVIDUOS]])*100,"")</f>
        <v/>
      </c>
      <c r="AG2" s="154">
        <f>'Acuario (Arribado - mortalidad)'!M14</f>
        <v>0</v>
      </c>
      <c r="AH2" s="154" t="str">
        <f>'Acuario (Arribado - mortalidad)'!G14</f>
        <v/>
      </c>
      <c r="AI2" s="154">
        <f>'Acuario (Arribado - mortalidad)'!O14</f>
        <v>0</v>
      </c>
      <c r="AJ2" s="154">
        <f>'Acuario (Arribado - mortalidad)'!P14</f>
        <v>0</v>
      </c>
      <c r="AK2" s="154">
        <f>'Acuario (Arribado - mortalidad)'!Q14</f>
        <v>0</v>
      </c>
      <c r="AL2" s="154">
        <f>'Acuario (Arribado - mortalidad)'!R14</f>
        <v>0</v>
      </c>
      <c r="AM2" s="154">
        <f>'Acuario (Arribado - mortalidad)'!S14</f>
        <v>0</v>
      </c>
      <c r="AN2" s="154">
        <f>'Acuario (Arribado - mortalidad)'!T14</f>
        <v>0</v>
      </c>
      <c r="AO2" s="154">
        <f>'Acuario (Arribado - mortalidad)'!U14</f>
        <v>0</v>
      </c>
      <c r="AP2" s="154">
        <f>'Acuario (Arribado - mortalidad)'!V14</f>
        <v>0</v>
      </c>
      <c r="AQ2" s="154">
        <f>'Acuario (Arribado - mortalidad)'!W14</f>
        <v>0</v>
      </c>
      <c r="AR2" s="154">
        <f>'Acuario (Arribado - mortalidad)'!X14</f>
        <v>0</v>
      </c>
      <c r="AS2" s="154">
        <f>'Acuario (Arribado - mortalidad)'!Y14</f>
        <v>0</v>
      </c>
      <c r="AT2" s="154">
        <f>'Acuario (Arribado - mortalidad)'!Z14</f>
        <v>0</v>
      </c>
      <c r="AU2" s="154">
        <f>'Acuario (Arribado - mortalidad)'!AA14</f>
        <v>0</v>
      </c>
      <c r="AV2" s="154">
        <f>'Acuario (Arribado - mortalidad)'!AB14</f>
        <v>0</v>
      </c>
      <c r="AW2" s="154">
        <f>'Acuario (Arribado - mortalidad)'!AC14</f>
        <v>0</v>
      </c>
      <c r="AX2" s="154">
        <f>'Acuario (Arribado - mortalidad)'!AD14</f>
        <v>0</v>
      </c>
      <c r="AY2" s="154">
        <f>'Acuario (Arribado - mortalidad)'!AE14</f>
        <v>0</v>
      </c>
      <c r="AZ2" s="154">
        <f>'Acuario (Arribado - mortalidad)'!AF14</f>
        <v>0</v>
      </c>
      <c r="BA2" s="154">
        <f>'Acuario (Arribado - mortalidad)'!AG14</f>
        <v>0</v>
      </c>
      <c r="BB2" s="154">
        <f>'Acuario (Arribado - mortalidad)'!AH14</f>
        <v>0</v>
      </c>
      <c r="BC2" s="154">
        <f>'Acuario (Arribado - mortalidad)'!AI14</f>
        <v>0</v>
      </c>
      <c r="BD2" s="154">
        <f>'Acuario (Arribado - mortalidad)'!AJ14</f>
        <v>0</v>
      </c>
      <c r="BE2" s="154">
        <f>'Acuario (Arribado - mortalidad)'!AK14</f>
        <v>0</v>
      </c>
      <c r="BF2" s="154">
        <f>'Acuario (Arribado - mortalidad)'!AL14</f>
        <v>0</v>
      </c>
      <c r="BG2" s="154">
        <f>'Acuario (Arribado - mortalidad)'!AM14</f>
        <v>0</v>
      </c>
      <c r="BH2" s="154">
        <f>'Acuario (Arribado - mortalidad)'!AN14</f>
        <v>0</v>
      </c>
      <c r="BI2" s="154">
        <f>'Acuario (Arribado - mortalidad)'!AO14</f>
        <v>0</v>
      </c>
      <c r="BJ2" s="154">
        <f>'Acuario (Arribado - mortalidad)'!AP14</f>
        <v>0</v>
      </c>
      <c r="BK2" s="154">
        <f>'Acuario (Arribado - mortalidad)'!AQ14</f>
        <v>0</v>
      </c>
      <c r="BL2" s="154">
        <f>'Acuario (Arribado - mortalidad)'!AR14</f>
        <v>0</v>
      </c>
      <c r="BM2" s="154" t="str">
        <f>'Acuario (Arribado - mortalidad)'!AS14</f>
        <v/>
      </c>
      <c r="BN2" s="154">
        <f>'Acuario (Arribado - mortalidad)'!AT14</f>
        <v>0</v>
      </c>
      <c r="BO2" s="154">
        <f>'Acuario (Arribado - mortalidad)'!AU14</f>
        <v>0</v>
      </c>
      <c r="BP2" s="154">
        <f>'Acuario (Arribado - mortalidad)'!AV14</f>
        <v>0</v>
      </c>
      <c r="BQ2" s="154" t="str">
        <f>'Acuario (Arribado - mortalidad)'!AW14</f>
        <v/>
      </c>
      <c r="BR2" s="154">
        <f>'Acuario (Arribado - mortalidad)'!AX14</f>
        <v>0</v>
      </c>
      <c r="BS2" s="154">
        <f>'Acuario (Arribado - mortalidad)'!AY14</f>
        <v>0</v>
      </c>
      <c r="BT2" s="154" t="str">
        <f>'Acuario (Arribado - mortalidad)'!AZ14</f>
        <v/>
      </c>
      <c r="BU2" s="154" t="str">
        <f>'Acuario (Arribado - mortalidad)'!BA14</f>
        <v/>
      </c>
      <c r="BV2" s="154" t="str">
        <f>'Acuario (Arribado - mortalidad)'!BB14</f>
        <v/>
      </c>
      <c r="BW2" s="154" t="str">
        <f>'Acuario (Arribado - mortalidad)'!BC14</f>
        <v/>
      </c>
      <c r="BX2" s="154">
        <f>'Acuario (Arribado - mortalidad)'!BD14</f>
        <v>0</v>
      </c>
      <c r="BY2" s="154" t="str">
        <f>'Acuario (Arribado - mortalidad)'!BE14</f>
        <v/>
      </c>
      <c r="BZ2" s="23" t="str">
        <f>'Acuario (Arribado - mortalidad)'!BF14</f>
        <v/>
      </c>
    </row>
    <row r="3" spans="1:78" x14ac:dyDescent="0.25">
      <c r="A3" s="154" t="str">
        <f>IF(U3&lt;&gt;0,'ORDEN DE CUARENTENA'!$AE$2,"")</f>
        <v/>
      </c>
      <c r="B3" s="190" t="str">
        <f>IF(U3&lt;&gt;0,'ORDEN DE CUARENTENA'!$AE$3,"")</f>
        <v/>
      </c>
      <c r="C3" s="174" t="str">
        <f t="shared" si="0"/>
        <v/>
      </c>
      <c r="D3" s="329" t="str">
        <f>IF(U3&lt;&gt;0,'ORDEN DE CUARENTENA'!$I$6,"")</f>
        <v/>
      </c>
      <c r="E3" s="174" t="str">
        <f>IF(U3&lt;&gt;0,TEXT('ORDEN DE CUARENTENA'!$I$6,"aaa"),"")</f>
        <v/>
      </c>
      <c r="F3" s="173" t="str">
        <f>IF(U3&lt;&gt;0,TEXT('ORDEN DE CUARENTENA'!$I$6,"dd"),"")</f>
        <v/>
      </c>
      <c r="G3" s="172" t="str">
        <f>IF(U3&lt;&gt;0,TEXT('ORDEN DE CUARENTENA'!$I$6,"mm"),"")</f>
        <v/>
      </c>
      <c r="H3" s="171" t="str">
        <f>IF(U3&lt;&gt;0,TEXT('ORDEN DE CUARENTENA'!$I$6,"yyyy"),"")</f>
        <v/>
      </c>
      <c r="I3" s="154" t="str">
        <f>IF(U3&lt;&gt;0,'ORDEN DE CUARENTENA'!$H$7,"")</f>
        <v/>
      </c>
      <c r="J3" s="154" t="str">
        <f>IF(U3&lt;&gt;0,'ORDEN DE CUARENTENA'!$H$9,"")</f>
        <v/>
      </c>
      <c r="K3" s="154" t="str">
        <f>IF(U3&lt;&gt;0,'ORDEN DE CUARENTENA'!$Q$9,"")</f>
        <v/>
      </c>
      <c r="L3" s="154" t="str">
        <f>IFERROR(VLOOKUP(U3,Item[],4,FALSE),IFERROR(VLOOKUP(U3,Item2[],4,FALSE),""))</f>
        <v/>
      </c>
      <c r="M3" s="154" t="str">
        <f>IFERROR(VLOOKUP(U3,Item[],5,FALSE),IFERROR(VLOOKUP(U3,Item2[],5,FALSE),""))</f>
        <v/>
      </c>
      <c r="N3" s="154" t="str">
        <f>IFERROR(VLOOKUP(W3,SuscepEARs[],2,FALSE),"")</f>
        <v/>
      </c>
      <c r="O3" s="154" t="str">
        <f>IFERROR(VLOOKUP(DatosAll[[#This Row],[ESPECIE]],CITES[],2,FALSE),"")</f>
        <v/>
      </c>
      <c r="P3" s="154">
        <f>IFERROR(VLOOKUP(T3,Hallazgo[],2,FALSE),"")</f>
        <v>0</v>
      </c>
      <c r="Q3" s="154">
        <f>IFERROR(VLOOKUP(T3,Hallazgo[],3,FALSE),"")</f>
        <v>0</v>
      </c>
      <c r="R3" s="154">
        <f>IFERROR(VLOOKUP(T3,Hallazgo[],4,FALSE),"")</f>
        <v>0</v>
      </c>
      <c r="S3" s="154">
        <f>IFERROR(VLOOKUP(T3,Hallazgo[],5,FALSE),"")</f>
        <v>0</v>
      </c>
      <c r="T3" s="154">
        <f>'Acuario (Arribado - mortalidad)'!C15</f>
        <v>0</v>
      </c>
      <c r="U3" s="154">
        <f>'Acuario (Arribado - mortalidad)'!B15</f>
        <v>0</v>
      </c>
      <c r="V3" s="154" t="str">
        <f>'Acuario (Arribado - mortalidad)'!D15</f>
        <v/>
      </c>
      <c r="W3" s="154" t="str">
        <f>'Acuario (Arribado - mortalidad)'!E15</f>
        <v/>
      </c>
      <c r="X3" s="154">
        <f>'Acuario (Arribado - mortalidad)'!F15</f>
        <v>0</v>
      </c>
      <c r="Y3" s="154">
        <f>'Acuario (Arribado - mortalidad)'!H15</f>
        <v>0</v>
      </c>
      <c r="Z3" s="154">
        <f>'Acuario (Arribado - mortalidad)'!I15</f>
        <v>0</v>
      </c>
      <c r="AA3" s="154">
        <f>'Acuario (Arribado - mortalidad)'!J15</f>
        <v>0</v>
      </c>
      <c r="AB3" s="154" t="str">
        <f>'Acuario (Arribado - mortalidad)'!K15</f>
        <v/>
      </c>
      <c r="AC3" s="334" t="str">
        <f>IFERROR(('Acuario (Arribado - mortalidad)'!K15/DatosAll[[#This Row],[N_INDIVIDUOS]])*100,"")</f>
        <v/>
      </c>
      <c r="AD3" s="334" t="str">
        <f>IFERROR(('Acuario (Arribado - mortalidad)'!O15/DatosAll[[#This Row],[N_INDIVIDUOS]])*100,"")</f>
        <v/>
      </c>
      <c r="AE3" s="334" t="str">
        <f>IFERROR(('Acuario (Arribado - mortalidad)'!BG15/DatosAll[[#This Row],[N_INDIVIDUOS]])*100,"")</f>
        <v/>
      </c>
      <c r="AF3" s="334" t="str">
        <f>IFERROR(('Acuario (Arribado - mortalidad)'!BH15/DatosAll[[#This Row],[N_INDIVIDUOS]])*100,"")</f>
        <v/>
      </c>
      <c r="AG3" s="154">
        <f>'Acuario (Arribado - mortalidad)'!M15</f>
        <v>0</v>
      </c>
      <c r="AH3" s="154" t="str">
        <f>'Acuario (Arribado - mortalidad)'!G15</f>
        <v/>
      </c>
      <c r="AI3" s="154">
        <f>'Acuario (Arribado - mortalidad)'!O15</f>
        <v>0</v>
      </c>
      <c r="AJ3" s="154">
        <f>'Acuario (Arribado - mortalidad)'!P15</f>
        <v>0</v>
      </c>
      <c r="AK3" s="154">
        <f>'Acuario (Arribado - mortalidad)'!Q15</f>
        <v>0</v>
      </c>
      <c r="AL3" s="154">
        <f>'Acuario (Arribado - mortalidad)'!R15</f>
        <v>0</v>
      </c>
      <c r="AM3" s="154">
        <f>'Acuario (Arribado - mortalidad)'!S15</f>
        <v>0</v>
      </c>
      <c r="AN3" s="154">
        <f>'Acuario (Arribado - mortalidad)'!T15</f>
        <v>0</v>
      </c>
      <c r="AO3" s="154">
        <f>'Acuario (Arribado - mortalidad)'!U15</f>
        <v>0</v>
      </c>
      <c r="AP3" s="154">
        <f>'Acuario (Arribado - mortalidad)'!V15</f>
        <v>0</v>
      </c>
      <c r="AQ3" s="154">
        <f>'Acuario (Arribado - mortalidad)'!W15</f>
        <v>0</v>
      </c>
      <c r="AR3" s="154">
        <f>'Acuario (Arribado - mortalidad)'!X15</f>
        <v>0</v>
      </c>
      <c r="AS3" s="154">
        <f>'Acuario (Arribado - mortalidad)'!Y15</f>
        <v>0</v>
      </c>
      <c r="AT3" s="154">
        <f>'Acuario (Arribado - mortalidad)'!Z15</f>
        <v>0</v>
      </c>
      <c r="AU3" s="154">
        <f>'Acuario (Arribado - mortalidad)'!AA15</f>
        <v>0</v>
      </c>
      <c r="AV3" s="154">
        <f>'Acuario (Arribado - mortalidad)'!AB15</f>
        <v>0</v>
      </c>
      <c r="AW3" s="154">
        <f>'Acuario (Arribado - mortalidad)'!AC15</f>
        <v>0</v>
      </c>
      <c r="AX3" s="154">
        <f>'Acuario (Arribado - mortalidad)'!AD15</f>
        <v>0</v>
      </c>
      <c r="AY3" s="154">
        <f>'Acuario (Arribado - mortalidad)'!AE15</f>
        <v>0</v>
      </c>
      <c r="AZ3" s="154">
        <f>'Acuario (Arribado - mortalidad)'!AF15</f>
        <v>0</v>
      </c>
      <c r="BA3" s="154">
        <f>'Acuario (Arribado - mortalidad)'!AG15</f>
        <v>0</v>
      </c>
      <c r="BB3" s="154">
        <f>'Acuario (Arribado - mortalidad)'!AH15</f>
        <v>0</v>
      </c>
      <c r="BC3" s="154">
        <f>'Acuario (Arribado - mortalidad)'!AI15</f>
        <v>0</v>
      </c>
      <c r="BD3" s="154">
        <f>'Acuario (Arribado - mortalidad)'!AJ15</f>
        <v>0</v>
      </c>
      <c r="BE3" s="154">
        <f>'Acuario (Arribado - mortalidad)'!AK15</f>
        <v>0</v>
      </c>
      <c r="BF3" s="154">
        <f>'Acuario (Arribado - mortalidad)'!AL15</f>
        <v>0</v>
      </c>
      <c r="BG3" s="154">
        <f>'Acuario (Arribado - mortalidad)'!AM15</f>
        <v>0</v>
      </c>
      <c r="BH3" s="154">
        <f>'Acuario (Arribado - mortalidad)'!AN15</f>
        <v>0</v>
      </c>
      <c r="BI3" s="154">
        <f>'Acuario (Arribado - mortalidad)'!AO15</f>
        <v>0</v>
      </c>
      <c r="BJ3" s="154">
        <f>'Acuario (Arribado - mortalidad)'!AP15</f>
        <v>0</v>
      </c>
      <c r="BK3" s="154">
        <f>'Acuario (Arribado - mortalidad)'!AQ15</f>
        <v>0</v>
      </c>
      <c r="BL3" s="154">
        <f>'Acuario (Arribado - mortalidad)'!AR15</f>
        <v>0</v>
      </c>
      <c r="BM3" s="154" t="str">
        <f>'Acuario (Arribado - mortalidad)'!AS15</f>
        <v/>
      </c>
      <c r="BN3" s="154">
        <f>'Acuario (Arribado - mortalidad)'!AT15</f>
        <v>0</v>
      </c>
      <c r="BO3" s="154">
        <f>'Acuario (Arribado - mortalidad)'!AU15</f>
        <v>0</v>
      </c>
      <c r="BP3" s="154">
        <f>'Acuario (Arribado - mortalidad)'!AV15</f>
        <v>0</v>
      </c>
      <c r="BQ3" s="154" t="str">
        <f>'Acuario (Arribado - mortalidad)'!AW15</f>
        <v/>
      </c>
      <c r="BR3" s="154">
        <f>'Acuario (Arribado - mortalidad)'!AX15</f>
        <v>0</v>
      </c>
      <c r="BS3" s="154">
        <f>'Acuario (Arribado - mortalidad)'!AY15</f>
        <v>0</v>
      </c>
      <c r="BT3" s="154" t="str">
        <f>'Acuario (Arribado - mortalidad)'!AZ15</f>
        <v/>
      </c>
      <c r="BU3" s="154" t="str">
        <f>'Acuario (Arribado - mortalidad)'!BA15</f>
        <v/>
      </c>
      <c r="BV3" s="154" t="str">
        <f>'Acuario (Arribado - mortalidad)'!BB15</f>
        <v/>
      </c>
      <c r="BW3" s="154" t="str">
        <f>'Acuario (Arribado - mortalidad)'!BC15</f>
        <v/>
      </c>
      <c r="BX3" s="154">
        <f>'Acuario (Arribado - mortalidad)'!BD15</f>
        <v>0</v>
      </c>
      <c r="BY3" s="154" t="str">
        <f>'Acuario (Arribado - mortalidad)'!BE15</f>
        <v/>
      </c>
      <c r="BZ3" s="23" t="str">
        <f>'Acuario (Arribado - mortalidad)'!BF15</f>
        <v/>
      </c>
    </row>
    <row r="4" spans="1:78" x14ac:dyDescent="0.25">
      <c r="A4" s="154" t="str">
        <f>IF(U4&lt;&gt;0,'ORDEN DE CUARENTENA'!$AE$2,"")</f>
        <v/>
      </c>
      <c r="B4" s="190" t="str">
        <f>IF(U4&lt;&gt;0,'ORDEN DE CUARENTENA'!$AE$3,"")</f>
        <v/>
      </c>
      <c r="C4" s="174" t="str">
        <f t="shared" si="0"/>
        <v/>
      </c>
      <c r="D4" s="329" t="str">
        <f>IF(U4&lt;&gt;0,'ORDEN DE CUARENTENA'!$I$6,"")</f>
        <v/>
      </c>
      <c r="E4" s="174" t="str">
        <f>IF(U4&lt;&gt;0,TEXT('ORDEN DE CUARENTENA'!$I$6,"aaa"),"")</f>
        <v/>
      </c>
      <c r="F4" s="173" t="str">
        <f>IF(U4&lt;&gt;0,TEXT('ORDEN DE CUARENTENA'!$I$6,"dd"),"")</f>
        <v/>
      </c>
      <c r="G4" s="172" t="str">
        <f>IF(U4&lt;&gt;0,TEXT('ORDEN DE CUARENTENA'!$I$6,"mm"),"")</f>
        <v/>
      </c>
      <c r="H4" s="171" t="str">
        <f>IF(U4&lt;&gt;0,TEXT('ORDEN DE CUARENTENA'!$I$6,"yyyy"),"")</f>
        <v/>
      </c>
      <c r="I4" s="154" t="str">
        <f>IF(U4&lt;&gt;0,'ORDEN DE CUARENTENA'!$H$7,"")</f>
        <v/>
      </c>
      <c r="J4" s="154" t="str">
        <f>IF(U4&lt;&gt;0,'ORDEN DE CUARENTENA'!$H$9,"")</f>
        <v/>
      </c>
      <c r="K4" s="154" t="str">
        <f>IF(U4&lt;&gt;0,'ORDEN DE CUARENTENA'!$Q$9,"")</f>
        <v/>
      </c>
      <c r="L4" s="154" t="str">
        <f>IFERROR(VLOOKUP(U4,Item[],4,FALSE),IFERROR(VLOOKUP(U4,Item2[],4,FALSE),""))</f>
        <v/>
      </c>
      <c r="M4" s="154" t="str">
        <f>IFERROR(VLOOKUP(U4,Item[],5,FALSE),IFERROR(VLOOKUP(U4,Item2[],5,FALSE),""))</f>
        <v/>
      </c>
      <c r="N4" s="154" t="str">
        <f>IFERROR(VLOOKUP(W4,SuscepEARs[],2,FALSE),"")</f>
        <v/>
      </c>
      <c r="O4" s="154" t="str">
        <f>IFERROR(VLOOKUP(DatosAll[[#This Row],[ESPECIE]],CITES[],2,FALSE),"")</f>
        <v/>
      </c>
      <c r="P4" s="154">
        <f>IFERROR(VLOOKUP(T4,Hallazgo[],2,FALSE),"")</f>
        <v>0</v>
      </c>
      <c r="Q4" s="154">
        <f>IFERROR(VLOOKUP(T4,Hallazgo[],3,FALSE),"")</f>
        <v>0</v>
      </c>
      <c r="R4" s="154">
        <f>IFERROR(VLOOKUP(T4,Hallazgo[],4,FALSE),"")</f>
        <v>0</v>
      </c>
      <c r="S4" s="154">
        <f>IFERROR(VLOOKUP(T4,Hallazgo[],5,FALSE),"")</f>
        <v>0</v>
      </c>
      <c r="T4" s="154">
        <f>'Acuario (Arribado - mortalidad)'!C16</f>
        <v>0</v>
      </c>
      <c r="U4" s="154">
        <f>'Acuario (Arribado - mortalidad)'!B16</f>
        <v>0</v>
      </c>
      <c r="V4" s="154" t="str">
        <f>'Acuario (Arribado - mortalidad)'!D16</f>
        <v/>
      </c>
      <c r="W4" s="154" t="str">
        <f>'Acuario (Arribado - mortalidad)'!E16</f>
        <v/>
      </c>
      <c r="X4" s="154">
        <f>'Acuario (Arribado - mortalidad)'!F16</f>
        <v>0</v>
      </c>
      <c r="Y4" s="154">
        <f>'Acuario (Arribado - mortalidad)'!H16</f>
        <v>0</v>
      </c>
      <c r="Z4" s="154">
        <f>'Acuario (Arribado - mortalidad)'!I16</f>
        <v>0</v>
      </c>
      <c r="AA4" s="154">
        <f>'Acuario (Arribado - mortalidad)'!J16</f>
        <v>0</v>
      </c>
      <c r="AB4" s="154" t="str">
        <f>'Acuario (Arribado - mortalidad)'!K16</f>
        <v/>
      </c>
      <c r="AC4" s="334" t="str">
        <f>IFERROR(('Acuario (Arribado - mortalidad)'!K16/DatosAll[[#This Row],[N_INDIVIDUOS]])*100,"")</f>
        <v/>
      </c>
      <c r="AD4" s="334" t="str">
        <f>IFERROR(('Acuario (Arribado - mortalidad)'!O16/DatosAll[[#This Row],[N_INDIVIDUOS]])*100,"")</f>
        <v/>
      </c>
      <c r="AE4" s="334" t="str">
        <f>IFERROR(('Acuario (Arribado - mortalidad)'!BG16/DatosAll[[#This Row],[N_INDIVIDUOS]])*100,"")</f>
        <v/>
      </c>
      <c r="AF4" s="334" t="str">
        <f>IFERROR(('Acuario (Arribado - mortalidad)'!BH16/DatosAll[[#This Row],[N_INDIVIDUOS]])*100,"")</f>
        <v/>
      </c>
      <c r="AG4" s="154">
        <f>'Acuario (Arribado - mortalidad)'!M16</f>
        <v>0</v>
      </c>
      <c r="AH4" s="154" t="str">
        <f>'Acuario (Arribado - mortalidad)'!G16</f>
        <v/>
      </c>
      <c r="AI4" s="154">
        <f>'Acuario (Arribado - mortalidad)'!O16</f>
        <v>0</v>
      </c>
      <c r="AJ4" s="154">
        <f>'Acuario (Arribado - mortalidad)'!P16</f>
        <v>0</v>
      </c>
      <c r="AK4" s="154">
        <f>'Acuario (Arribado - mortalidad)'!Q16</f>
        <v>0</v>
      </c>
      <c r="AL4" s="154">
        <f>'Acuario (Arribado - mortalidad)'!R16</f>
        <v>0</v>
      </c>
      <c r="AM4" s="154">
        <f>'Acuario (Arribado - mortalidad)'!S16</f>
        <v>0</v>
      </c>
      <c r="AN4" s="154">
        <f>'Acuario (Arribado - mortalidad)'!T16</f>
        <v>0</v>
      </c>
      <c r="AO4" s="154">
        <f>'Acuario (Arribado - mortalidad)'!U16</f>
        <v>0</v>
      </c>
      <c r="AP4" s="154">
        <f>'Acuario (Arribado - mortalidad)'!V16</f>
        <v>0</v>
      </c>
      <c r="AQ4" s="154">
        <f>'Acuario (Arribado - mortalidad)'!W16</f>
        <v>0</v>
      </c>
      <c r="AR4" s="154">
        <f>'Acuario (Arribado - mortalidad)'!X16</f>
        <v>0</v>
      </c>
      <c r="AS4" s="154">
        <f>'Acuario (Arribado - mortalidad)'!Y16</f>
        <v>0</v>
      </c>
      <c r="AT4" s="154">
        <f>'Acuario (Arribado - mortalidad)'!Z16</f>
        <v>0</v>
      </c>
      <c r="AU4" s="154">
        <f>'Acuario (Arribado - mortalidad)'!AA16</f>
        <v>0</v>
      </c>
      <c r="AV4" s="154">
        <f>'Acuario (Arribado - mortalidad)'!AB16</f>
        <v>0</v>
      </c>
      <c r="AW4" s="154">
        <f>'Acuario (Arribado - mortalidad)'!AC16</f>
        <v>0</v>
      </c>
      <c r="AX4" s="154">
        <f>'Acuario (Arribado - mortalidad)'!AD16</f>
        <v>0</v>
      </c>
      <c r="AY4" s="154">
        <f>'Acuario (Arribado - mortalidad)'!AE16</f>
        <v>0</v>
      </c>
      <c r="AZ4" s="154">
        <f>'Acuario (Arribado - mortalidad)'!AF16</f>
        <v>0</v>
      </c>
      <c r="BA4" s="154">
        <f>'Acuario (Arribado - mortalidad)'!AG16</f>
        <v>0</v>
      </c>
      <c r="BB4" s="154">
        <f>'Acuario (Arribado - mortalidad)'!AH16</f>
        <v>0</v>
      </c>
      <c r="BC4" s="154">
        <f>'Acuario (Arribado - mortalidad)'!AI16</f>
        <v>0</v>
      </c>
      <c r="BD4" s="154">
        <f>'Acuario (Arribado - mortalidad)'!AJ16</f>
        <v>0</v>
      </c>
      <c r="BE4" s="154">
        <f>'Acuario (Arribado - mortalidad)'!AK16</f>
        <v>0</v>
      </c>
      <c r="BF4" s="154">
        <f>'Acuario (Arribado - mortalidad)'!AL16</f>
        <v>0</v>
      </c>
      <c r="BG4" s="154">
        <f>'Acuario (Arribado - mortalidad)'!AM16</f>
        <v>0</v>
      </c>
      <c r="BH4" s="154">
        <f>'Acuario (Arribado - mortalidad)'!AN16</f>
        <v>0</v>
      </c>
      <c r="BI4" s="154">
        <f>'Acuario (Arribado - mortalidad)'!AO16</f>
        <v>0</v>
      </c>
      <c r="BJ4" s="154">
        <f>'Acuario (Arribado - mortalidad)'!AP16</f>
        <v>0</v>
      </c>
      <c r="BK4" s="154">
        <f>'Acuario (Arribado - mortalidad)'!AQ16</f>
        <v>0</v>
      </c>
      <c r="BL4" s="154">
        <f>'Acuario (Arribado - mortalidad)'!AR16</f>
        <v>0</v>
      </c>
      <c r="BM4" s="154" t="str">
        <f>'Acuario (Arribado - mortalidad)'!AS16</f>
        <v/>
      </c>
      <c r="BN4" s="154">
        <f>'Acuario (Arribado - mortalidad)'!AT16</f>
        <v>0</v>
      </c>
      <c r="BO4" s="154">
        <f>'Acuario (Arribado - mortalidad)'!AU16</f>
        <v>0</v>
      </c>
      <c r="BP4" s="154">
        <f>'Acuario (Arribado - mortalidad)'!AV16</f>
        <v>0</v>
      </c>
      <c r="BQ4" s="154" t="str">
        <f>'Acuario (Arribado - mortalidad)'!AW16</f>
        <v/>
      </c>
      <c r="BR4" s="154">
        <f>'Acuario (Arribado - mortalidad)'!AX16</f>
        <v>0</v>
      </c>
      <c r="BS4" s="154">
        <f>'Acuario (Arribado - mortalidad)'!AY16</f>
        <v>0</v>
      </c>
      <c r="BT4" s="154" t="str">
        <f>'Acuario (Arribado - mortalidad)'!AZ16</f>
        <v/>
      </c>
      <c r="BU4" s="154" t="str">
        <f>'Acuario (Arribado - mortalidad)'!BA16</f>
        <v/>
      </c>
      <c r="BV4" s="154" t="str">
        <f>'Acuario (Arribado - mortalidad)'!BB16</f>
        <v/>
      </c>
      <c r="BW4" s="154" t="str">
        <f>'Acuario (Arribado - mortalidad)'!BC16</f>
        <v/>
      </c>
      <c r="BX4" s="154">
        <f>'Acuario (Arribado - mortalidad)'!BD16</f>
        <v>0</v>
      </c>
      <c r="BY4" s="154" t="str">
        <f>'Acuario (Arribado - mortalidad)'!BE16</f>
        <v/>
      </c>
      <c r="BZ4" s="23" t="str">
        <f>'Acuario (Arribado - mortalidad)'!BF16</f>
        <v/>
      </c>
    </row>
    <row r="5" spans="1:78" x14ac:dyDescent="0.25">
      <c r="A5" s="154" t="str">
        <f>IF(U5&lt;&gt;0,'ORDEN DE CUARENTENA'!$AE$2,"")</f>
        <v/>
      </c>
      <c r="B5" s="190" t="str">
        <f>IF(U5&lt;&gt;0,'ORDEN DE CUARENTENA'!$AE$3,"")</f>
        <v/>
      </c>
      <c r="C5" s="174" t="str">
        <f t="shared" si="0"/>
        <v/>
      </c>
      <c r="D5" s="329" t="str">
        <f>IF(U5&lt;&gt;0,'ORDEN DE CUARENTENA'!$I$6,"")</f>
        <v/>
      </c>
      <c r="E5" s="174" t="str">
        <f>IF(U5&lt;&gt;0,TEXT('ORDEN DE CUARENTENA'!$I$6,"aaa"),"")</f>
        <v/>
      </c>
      <c r="F5" s="173" t="str">
        <f>IF(U5&lt;&gt;0,TEXT('ORDEN DE CUARENTENA'!$I$6,"dd"),"")</f>
        <v/>
      </c>
      <c r="G5" s="172" t="str">
        <f>IF(U5&lt;&gt;0,TEXT('ORDEN DE CUARENTENA'!$I$6,"mm"),"")</f>
        <v/>
      </c>
      <c r="H5" s="171" t="str">
        <f>IF(U5&lt;&gt;0,TEXT('ORDEN DE CUARENTENA'!$I$6,"yyyy"),"")</f>
        <v/>
      </c>
      <c r="I5" s="154" t="str">
        <f>IF(U5&lt;&gt;0,'ORDEN DE CUARENTENA'!$H$7,"")</f>
        <v/>
      </c>
      <c r="J5" s="154" t="str">
        <f>IF(U5&lt;&gt;0,'ORDEN DE CUARENTENA'!$H$9,"")</f>
        <v/>
      </c>
      <c r="K5" s="154" t="str">
        <f>IF(U5&lt;&gt;0,'ORDEN DE CUARENTENA'!$Q$9,"")</f>
        <v/>
      </c>
      <c r="L5" s="154" t="str">
        <f>IFERROR(VLOOKUP(U5,Item[],4,FALSE),IFERROR(VLOOKUP(U5,Item2[],4,FALSE),""))</f>
        <v/>
      </c>
      <c r="M5" s="154" t="str">
        <f>IFERROR(VLOOKUP(U5,Item[],5,FALSE),IFERROR(VLOOKUP(U5,Item2[],5,FALSE),""))</f>
        <v/>
      </c>
      <c r="N5" s="154" t="str">
        <f>IFERROR(VLOOKUP(W5,SuscepEARs[],2,FALSE),"")</f>
        <v/>
      </c>
      <c r="O5" s="154" t="str">
        <f>IFERROR(VLOOKUP(DatosAll[[#This Row],[ESPECIE]],CITES[],2,FALSE),"")</f>
        <v/>
      </c>
      <c r="P5" s="154">
        <f>IFERROR(VLOOKUP(T5,Hallazgo[],2,FALSE),"")</f>
        <v>0</v>
      </c>
      <c r="Q5" s="154">
        <f>IFERROR(VLOOKUP(T5,Hallazgo[],3,FALSE),"")</f>
        <v>0</v>
      </c>
      <c r="R5" s="154">
        <f>IFERROR(VLOOKUP(T5,Hallazgo[],4,FALSE),"")</f>
        <v>0</v>
      </c>
      <c r="S5" s="154">
        <f>IFERROR(VLOOKUP(T5,Hallazgo[],5,FALSE),"")</f>
        <v>0</v>
      </c>
      <c r="T5" s="154">
        <f>'Acuario (Arribado - mortalidad)'!C17</f>
        <v>0</v>
      </c>
      <c r="U5" s="154">
        <f>'Acuario (Arribado - mortalidad)'!B17</f>
        <v>0</v>
      </c>
      <c r="V5" s="154" t="str">
        <f>'Acuario (Arribado - mortalidad)'!D17</f>
        <v/>
      </c>
      <c r="W5" s="154" t="str">
        <f>'Acuario (Arribado - mortalidad)'!E17</f>
        <v/>
      </c>
      <c r="X5" s="154">
        <f>'Acuario (Arribado - mortalidad)'!F17</f>
        <v>0</v>
      </c>
      <c r="Y5" s="154">
        <f>'Acuario (Arribado - mortalidad)'!H17</f>
        <v>0</v>
      </c>
      <c r="Z5" s="154">
        <f>'Acuario (Arribado - mortalidad)'!I17</f>
        <v>0</v>
      </c>
      <c r="AA5" s="154">
        <f>'Acuario (Arribado - mortalidad)'!J17</f>
        <v>0</v>
      </c>
      <c r="AB5" s="154" t="str">
        <f>'Acuario (Arribado - mortalidad)'!K17</f>
        <v/>
      </c>
      <c r="AC5" s="334" t="str">
        <f>IFERROR(('Acuario (Arribado - mortalidad)'!K17/DatosAll[[#This Row],[N_INDIVIDUOS]])*100,"")</f>
        <v/>
      </c>
      <c r="AD5" s="334" t="str">
        <f>IFERROR(('Acuario (Arribado - mortalidad)'!O17/DatosAll[[#This Row],[N_INDIVIDUOS]])*100,"")</f>
        <v/>
      </c>
      <c r="AE5" s="334" t="str">
        <f>IFERROR(('Acuario (Arribado - mortalidad)'!BG17/DatosAll[[#This Row],[N_INDIVIDUOS]])*100,"")</f>
        <v/>
      </c>
      <c r="AF5" s="334" t="str">
        <f>IFERROR(('Acuario (Arribado - mortalidad)'!BH17/DatosAll[[#This Row],[N_INDIVIDUOS]])*100,"")</f>
        <v/>
      </c>
      <c r="AG5" s="154">
        <f>'Acuario (Arribado - mortalidad)'!M17</f>
        <v>0</v>
      </c>
      <c r="AH5" s="154" t="str">
        <f>'Acuario (Arribado - mortalidad)'!G17</f>
        <v/>
      </c>
      <c r="AI5" s="154">
        <f>'Acuario (Arribado - mortalidad)'!O17</f>
        <v>0</v>
      </c>
      <c r="AJ5" s="154">
        <f>'Acuario (Arribado - mortalidad)'!P17</f>
        <v>0</v>
      </c>
      <c r="AK5" s="154">
        <f>'Acuario (Arribado - mortalidad)'!Q17</f>
        <v>0</v>
      </c>
      <c r="AL5" s="154">
        <f>'Acuario (Arribado - mortalidad)'!R17</f>
        <v>0</v>
      </c>
      <c r="AM5" s="154">
        <f>'Acuario (Arribado - mortalidad)'!S17</f>
        <v>0</v>
      </c>
      <c r="AN5" s="154">
        <f>'Acuario (Arribado - mortalidad)'!T17</f>
        <v>0</v>
      </c>
      <c r="AO5" s="154">
        <f>'Acuario (Arribado - mortalidad)'!U17</f>
        <v>0</v>
      </c>
      <c r="AP5" s="154">
        <f>'Acuario (Arribado - mortalidad)'!V17</f>
        <v>0</v>
      </c>
      <c r="AQ5" s="154">
        <f>'Acuario (Arribado - mortalidad)'!W17</f>
        <v>0</v>
      </c>
      <c r="AR5" s="154">
        <f>'Acuario (Arribado - mortalidad)'!X17</f>
        <v>0</v>
      </c>
      <c r="AS5" s="154">
        <f>'Acuario (Arribado - mortalidad)'!Y17</f>
        <v>0</v>
      </c>
      <c r="AT5" s="154">
        <f>'Acuario (Arribado - mortalidad)'!Z17</f>
        <v>0</v>
      </c>
      <c r="AU5" s="154">
        <f>'Acuario (Arribado - mortalidad)'!AA17</f>
        <v>0</v>
      </c>
      <c r="AV5" s="154">
        <f>'Acuario (Arribado - mortalidad)'!AB17</f>
        <v>0</v>
      </c>
      <c r="AW5" s="154">
        <f>'Acuario (Arribado - mortalidad)'!AC17</f>
        <v>0</v>
      </c>
      <c r="AX5" s="154">
        <f>'Acuario (Arribado - mortalidad)'!AD17</f>
        <v>0</v>
      </c>
      <c r="AY5" s="154">
        <f>'Acuario (Arribado - mortalidad)'!AE17</f>
        <v>0</v>
      </c>
      <c r="AZ5" s="154">
        <f>'Acuario (Arribado - mortalidad)'!AF17</f>
        <v>0</v>
      </c>
      <c r="BA5" s="154">
        <f>'Acuario (Arribado - mortalidad)'!AG17</f>
        <v>0</v>
      </c>
      <c r="BB5" s="154">
        <f>'Acuario (Arribado - mortalidad)'!AH17</f>
        <v>0</v>
      </c>
      <c r="BC5" s="154">
        <f>'Acuario (Arribado - mortalidad)'!AI17</f>
        <v>0</v>
      </c>
      <c r="BD5" s="154">
        <f>'Acuario (Arribado - mortalidad)'!AJ17</f>
        <v>0</v>
      </c>
      <c r="BE5" s="154">
        <f>'Acuario (Arribado - mortalidad)'!AK17</f>
        <v>0</v>
      </c>
      <c r="BF5" s="154">
        <f>'Acuario (Arribado - mortalidad)'!AL17</f>
        <v>0</v>
      </c>
      <c r="BG5" s="154">
        <f>'Acuario (Arribado - mortalidad)'!AM17</f>
        <v>0</v>
      </c>
      <c r="BH5" s="154">
        <f>'Acuario (Arribado - mortalidad)'!AN17</f>
        <v>0</v>
      </c>
      <c r="BI5" s="154">
        <f>'Acuario (Arribado - mortalidad)'!AO17</f>
        <v>0</v>
      </c>
      <c r="BJ5" s="154">
        <f>'Acuario (Arribado - mortalidad)'!AP17</f>
        <v>0</v>
      </c>
      <c r="BK5" s="154">
        <f>'Acuario (Arribado - mortalidad)'!AQ17</f>
        <v>0</v>
      </c>
      <c r="BL5" s="154">
        <f>'Acuario (Arribado - mortalidad)'!AR17</f>
        <v>0</v>
      </c>
      <c r="BM5" s="154" t="str">
        <f>'Acuario (Arribado - mortalidad)'!AS17</f>
        <v/>
      </c>
      <c r="BN5" s="154">
        <f>'Acuario (Arribado - mortalidad)'!AT17</f>
        <v>0</v>
      </c>
      <c r="BO5" s="154">
        <f>'Acuario (Arribado - mortalidad)'!AU17</f>
        <v>0</v>
      </c>
      <c r="BP5" s="154">
        <f>'Acuario (Arribado - mortalidad)'!AV17</f>
        <v>0</v>
      </c>
      <c r="BQ5" s="154" t="str">
        <f>'Acuario (Arribado - mortalidad)'!AW17</f>
        <v/>
      </c>
      <c r="BR5" s="154">
        <f>'Acuario (Arribado - mortalidad)'!AX17</f>
        <v>0</v>
      </c>
      <c r="BS5" s="154">
        <f>'Acuario (Arribado - mortalidad)'!AY17</f>
        <v>0</v>
      </c>
      <c r="BT5" s="154" t="str">
        <f>'Acuario (Arribado - mortalidad)'!AZ17</f>
        <v/>
      </c>
      <c r="BU5" s="154" t="str">
        <f>'Acuario (Arribado - mortalidad)'!BA17</f>
        <v/>
      </c>
      <c r="BV5" s="154" t="str">
        <f>'Acuario (Arribado - mortalidad)'!BB17</f>
        <v/>
      </c>
      <c r="BW5" s="154" t="str">
        <f>'Acuario (Arribado - mortalidad)'!BC17</f>
        <v/>
      </c>
      <c r="BX5" s="154">
        <f>'Acuario (Arribado - mortalidad)'!BD17</f>
        <v>0</v>
      </c>
      <c r="BY5" s="154" t="str">
        <f>'Acuario (Arribado - mortalidad)'!BE17</f>
        <v/>
      </c>
      <c r="BZ5" s="23" t="str">
        <f>'Acuario (Arribado - mortalidad)'!BF17</f>
        <v/>
      </c>
    </row>
    <row r="6" spans="1:78" x14ac:dyDescent="0.25">
      <c r="A6" s="154" t="str">
        <f>IF(U6&lt;&gt;0,'ORDEN DE CUARENTENA'!$AE$2,"")</f>
        <v/>
      </c>
      <c r="B6" s="190" t="str">
        <f>IF(U6&lt;&gt;0,'ORDEN DE CUARENTENA'!$AE$3,"")</f>
        <v/>
      </c>
      <c r="C6" s="174" t="str">
        <f t="shared" si="0"/>
        <v/>
      </c>
      <c r="D6" s="329" t="str">
        <f>IF(U6&lt;&gt;0,'ORDEN DE CUARENTENA'!$I$6,"")</f>
        <v/>
      </c>
      <c r="E6" s="174" t="str">
        <f>IF(U6&lt;&gt;0,TEXT('ORDEN DE CUARENTENA'!$I$6,"aaa"),"")</f>
        <v/>
      </c>
      <c r="F6" s="173" t="str">
        <f>IF(U6&lt;&gt;0,TEXT('ORDEN DE CUARENTENA'!$I$6,"dd"),"")</f>
        <v/>
      </c>
      <c r="G6" s="172" t="str">
        <f>IF(U6&lt;&gt;0,TEXT('ORDEN DE CUARENTENA'!$I$6,"mm"),"")</f>
        <v/>
      </c>
      <c r="H6" s="171" t="str">
        <f>IF(U6&lt;&gt;0,TEXT('ORDEN DE CUARENTENA'!$I$6,"yyyy"),"")</f>
        <v/>
      </c>
      <c r="I6" s="154" t="str">
        <f>IF(U6&lt;&gt;0,'ORDEN DE CUARENTENA'!$H$7,"")</f>
        <v/>
      </c>
      <c r="J6" s="154" t="str">
        <f>IF(U6&lt;&gt;0,'ORDEN DE CUARENTENA'!$H$9,"")</f>
        <v/>
      </c>
      <c r="K6" s="154" t="str">
        <f>IF(U6&lt;&gt;0,'ORDEN DE CUARENTENA'!$Q$9,"")</f>
        <v/>
      </c>
      <c r="L6" s="154" t="str">
        <f>IFERROR(VLOOKUP(U6,Item[],4,FALSE),IFERROR(VLOOKUP(U6,Item2[],4,FALSE),""))</f>
        <v/>
      </c>
      <c r="M6" s="154" t="str">
        <f>IFERROR(VLOOKUP(U6,Item[],5,FALSE),IFERROR(VLOOKUP(U6,Item2[],5,FALSE),""))</f>
        <v/>
      </c>
      <c r="N6" s="154" t="str">
        <f>IFERROR(VLOOKUP(W6,SuscepEARs[],2,FALSE),"")</f>
        <v/>
      </c>
      <c r="O6" s="154" t="str">
        <f>IFERROR(VLOOKUP(DatosAll[[#This Row],[ESPECIE]],CITES[],2,FALSE),"")</f>
        <v/>
      </c>
      <c r="P6" s="154">
        <f>IFERROR(VLOOKUP(T6,Hallazgo[],2,FALSE),"")</f>
        <v>0</v>
      </c>
      <c r="Q6" s="154">
        <f>IFERROR(VLOOKUP(T6,Hallazgo[],3,FALSE),"")</f>
        <v>0</v>
      </c>
      <c r="R6" s="154">
        <f>IFERROR(VLOOKUP(T6,Hallazgo[],4,FALSE),"")</f>
        <v>0</v>
      </c>
      <c r="S6" s="154">
        <f>IFERROR(VLOOKUP(T6,Hallazgo[],5,FALSE),"")</f>
        <v>0</v>
      </c>
      <c r="T6" s="154">
        <f>'Acuario (Arribado - mortalidad)'!C18</f>
        <v>0</v>
      </c>
      <c r="U6" s="154">
        <f>'Acuario (Arribado - mortalidad)'!B18</f>
        <v>0</v>
      </c>
      <c r="V6" s="154" t="str">
        <f>'Acuario (Arribado - mortalidad)'!D18</f>
        <v/>
      </c>
      <c r="W6" s="154" t="str">
        <f>'Acuario (Arribado - mortalidad)'!E18</f>
        <v/>
      </c>
      <c r="X6" s="154">
        <f>'Acuario (Arribado - mortalidad)'!F18</f>
        <v>0</v>
      </c>
      <c r="Y6" s="154">
        <f>'Acuario (Arribado - mortalidad)'!H18</f>
        <v>0</v>
      </c>
      <c r="Z6" s="154">
        <f>'Acuario (Arribado - mortalidad)'!I18</f>
        <v>0</v>
      </c>
      <c r="AA6" s="154">
        <f>'Acuario (Arribado - mortalidad)'!J18</f>
        <v>0</v>
      </c>
      <c r="AB6" s="154" t="str">
        <f>'Acuario (Arribado - mortalidad)'!K18</f>
        <v/>
      </c>
      <c r="AC6" s="334" t="str">
        <f>IFERROR(('Acuario (Arribado - mortalidad)'!K18/DatosAll[[#This Row],[N_INDIVIDUOS]])*100,"")</f>
        <v/>
      </c>
      <c r="AD6" s="334" t="str">
        <f>IFERROR(('Acuario (Arribado - mortalidad)'!O18/DatosAll[[#This Row],[N_INDIVIDUOS]])*100,"")</f>
        <v/>
      </c>
      <c r="AE6" s="334" t="str">
        <f>IFERROR(('Acuario (Arribado - mortalidad)'!BG18/DatosAll[[#This Row],[N_INDIVIDUOS]])*100,"")</f>
        <v/>
      </c>
      <c r="AF6" s="334" t="str">
        <f>IFERROR(('Acuario (Arribado - mortalidad)'!BH18/DatosAll[[#This Row],[N_INDIVIDUOS]])*100,"")</f>
        <v/>
      </c>
      <c r="AG6" s="154">
        <f>'Acuario (Arribado - mortalidad)'!M18</f>
        <v>0</v>
      </c>
      <c r="AH6" s="154" t="str">
        <f>'Acuario (Arribado - mortalidad)'!G18</f>
        <v/>
      </c>
      <c r="AI6" s="154">
        <f>'Acuario (Arribado - mortalidad)'!O18</f>
        <v>0</v>
      </c>
      <c r="AJ6" s="154">
        <f>'Acuario (Arribado - mortalidad)'!P18</f>
        <v>0</v>
      </c>
      <c r="AK6" s="154">
        <f>'Acuario (Arribado - mortalidad)'!Q18</f>
        <v>0</v>
      </c>
      <c r="AL6" s="154">
        <f>'Acuario (Arribado - mortalidad)'!R18</f>
        <v>0</v>
      </c>
      <c r="AM6" s="154">
        <f>'Acuario (Arribado - mortalidad)'!S18</f>
        <v>0</v>
      </c>
      <c r="AN6" s="154">
        <f>'Acuario (Arribado - mortalidad)'!T18</f>
        <v>0</v>
      </c>
      <c r="AO6" s="154">
        <f>'Acuario (Arribado - mortalidad)'!U18</f>
        <v>0</v>
      </c>
      <c r="AP6" s="154">
        <f>'Acuario (Arribado - mortalidad)'!V18</f>
        <v>0</v>
      </c>
      <c r="AQ6" s="154">
        <f>'Acuario (Arribado - mortalidad)'!W18</f>
        <v>0</v>
      </c>
      <c r="AR6" s="154">
        <f>'Acuario (Arribado - mortalidad)'!X18</f>
        <v>0</v>
      </c>
      <c r="AS6" s="154">
        <f>'Acuario (Arribado - mortalidad)'!Y18</f>
        <v>0</v>
      </c>
      <c r="AT6" s="154">
        <f>'Acuario (Arribado - mortalidad)'!Z18</f>
        <v>0</v>
      </c>
      <c r="AU6" s="154">
        <f>'Acuario (Arribado - mortalidad)'!AA18</f>
        <v>0</v>
      </c>
      <c r="AV6" s="154">
        <f>'Acuario (Arribado - mortalidad)'!AB18</f>
        <v>0</v>
      </c>
      <c r="AW6" s="154">
        <f>'Acuario (Arribado - mortalidad)'!AC18</f>
        <v>0</v>
      </c>
      <c r="AX6" s="154">
        <f>'Acuario (Arribado - mortalidad)'!AD18</f>
        <v>0</v>
      </c>
      <c r="AY6" s="154">
        <f>'Acuario (Arribado - mortalidad)'!AE18</f>
        <v>0</v>
      </c>
      <c r="AZ6" s="154">
        <f>'Acuario (Arribado - mortalidad)'!AF18</f>
        <v>0</v>
      </c>
      <c r="BA6" s="154">
        <f>'Acuario (Arribado - mortalidad)'!AG18</f>
        <v>0</v>
      </c>
      <c r="BB6" s="154">
        <f>'Acuario (Arribado - mortalidad)'!AH18</f>
        <v>0</v>
      </c>
      <c r="BC6" s="154">
        <f>'Acuario (Arribado - mortalidad)'!AI18</f>
        <v>0</v>
      </c>
      <c r="BD6" s="154">
        <f>'Acuario (Arribado - mortalidad)'!AJ18</f>
        <v>0</v>
      </c>
      <c r="BE6" s="154">
        <f>'Acuario (Arribado - mortalidad)'!AK18</f>
        <v>0</v>
      </c>
      <c r="BF6" s="154">
        <f>'Acuario (Arribado - mortalidad)'!AL18</f>
        <v>0</v>
      </c>
      <c r="BG6" s="154">
        <f>'Acuario (Arribado - mortalidad)'!AM18</f>
        <v>0</v>
      </c>
      <c r="BH6" s="154">
        <f>'Acuario (Arribado - mortalidad)'!AN18</f>
        <v>0</v>
      </c>
      <c r="BI6" s="154">
        <f>'Acuario (Arribado - mortalidad)'!AO18</f>
        <v>0</v>
      </c>
      <c r="BJ6" s="154">
        <f>'Acuario (Arribado - mortalidad)'!AP18</f>
        <v>0</v>
      </c>
      <c r="BK6" s="154">
        <f>'Acuario (Arribado - mortalidad)'!AQ18</f>
        <v>0</v>
      </c>
      <c r="BL6" s="154">
        <f>'Acuario (Arribado - mortalidad)'!AR18</f>
        <v>0</v>
      </c>
      <c r="BM6" s="154" t="str">
        <f>'Acuario (Arribado - mortalidad)'!AS18</f>
        <v/>
      </c>
      <c r="BN6" s="154">
        <f>'Acuario (Arribado - mortalidad)'!AT18</f>
        <v>0</v>
      </c>
      <c r="BO6" s="154">
        <f>'Acuario (Arribado - mortalidad)'!AU18</f>
        <v>0</v>
      </c>
      <c r="BP6" s="154">
        <f>'Acuario (Arribado - mortalidad)'!AV18</f>
        <v>0</v>
      </c>
      <c r="BQ6" s="154" t="str">
        <f>'Acuario (Arribado - mortalidad)'!AW18</f>
        <v/>
      </c>
      <c r="BR6" s="154">
        <f>'Acuario (Arribado - mortalidad)'!AX18</f>
        <v>0</v>
      </c>
      <c r="BS6" s="154">
        <f>'Acuario (Arribado - mortalidad)'!AY18</f>
        <v>0</v>
      </c>
      <c r="BT6" s="154" t="str">
        <f>'Acuario (Arribado - mortalidad)'!AZ18</f>
        <v/>
      </c>
      <c r="BU6" s="154" t="str">
        <f>'Acuario (Arribado - mortalidad)'!BA18</f>
        <v/>
      </c>
      <c r="BV6" s="154" t="str">
        <f>'Acuario (Arribado - mortalidad)'!BB18</f>
        <v/>
      </c>
      <c r="BW6" s="154" t="str">
        <f>'Acuario (Arribado - mortalidad)'!BC18</f>
        <v/>
      </c>
      <c r="BX6" s="154">
        <f>'Acuario (Arribado - mortalidad)'!BD18</f>
        <v>0</v>
      </c>
      <c r="BY6" s="154" t="str">
        <f>'Acuario (Arribado - mortalidad)'!BE18</f>
        <v/>
      </c>
      <c r="BZ6" s="23" t="str">
        <f>'Acuario (Arribado - mortalidad)'!BF18</f>
        <v/>
      </c>
    </row>
    <row r="7" spans="1:78" x14ac:dyDescent="0.25">
      <c r="A7" s="154" t="str">
        <f>IF(U7&lt;&gt;0,'ORDEN DE CUARENTENA'!$AE$2,"")</f>
        <v/>
      </c>
      <c r="B7" s="190" t="str">
        <f>IF(U7&lt;&gt;0,'ORDEN DE CUARENTENA'!$AE$3,"")</f>
        <v/>
      </c>
      <c r="C7" s="174" t="str">
        <f t="shared" si="0"/>
        <v/>
      </c>
      <c r="D7" s="329" t="str">
        <f>IF(U7&lt;&gt;0,'ORDEN DE CUARENTENA'!$I$6,"")</f>
        <v/>
      </c>
      <c r="E7" s="174" t="str">
        <f>IF(U7&lt;&gt;0,TEXT('ORDEN DE CUARENTENA'!$I$6,"aaa"),"")</f>
        <v/>
      </c>
      <c r="F7" s="173" t="str">
        <f>IF(U7&lt;&gt;0,TEXT('ORDEN DE CUARENTENA'!$I$6,"dd"),"")</f>
        <v/>
      </c>
      <c r="G7" s="172" t="str">
        <f>IF(U7&lt;&gt;0,TEXT('ORDEN DE CUARENTENA'!$I$6,"mm"),"")</f>
        <v/>
      </c>
      <c r="H7" s="171" t="str">
        <f>IF(U7&lt;&gt;0,TEXT('ORDEN DE CUARENTENA'!$I$6,"yyyy"),"")</f>
        <v/>
      </c>
      <c r="I7" s="154" t="str">
        <f>IF(U7&lt;&gt;0,'ORDEN DE CUARENTENA'!$H$7,"")</f>
        <v/>
      </c>
      <c r="J7" s="154" t="str">
        <f>IF(U7&lt;&gt;0,'ORDEN DE CUARENTENA'!$H$9,"")</f>
        <v/>
      </c>
      <c r="K7" s="154" t="str">
        <f>IF(U7&lt;&gt;0,'ORDEN DE CUARENTENA'!$Q$9,"")</f>
        <v/>
      </c>
      <c r="L7" s="154" t="str">
        <f>IFERROR(VLOOKUP(U7,Item[],4,FALSE),IFERROR(VLOOKUP(U7,Item2[],4,FALSE),""))</f>
        <v/>
      </c>
      <c r="M7" s="154" t="str">
        <f>IFERROR(VLOOKUP(U7,Item[],5,FALSE),IFERROR(VLOOKUP(U7,Item2[],5,FALSE),""))</f>
        <v/>
      </c>
      <c r="N7" s="154" t="str">
        <f>IFERROR(VLOOKUP(W7,SuscepEARs[],2,FALSE),"")</f>
        <v/>
      </c>
      <c r="O7" s="154" t="str">
        <f>IFERROR(VLOOKUP(DatosAll[[#This Row],[ESPECIE]],CITES[],2,FALSE),"")</f>
        <v/>
      </c>
      <c r="P7" s="154">
        <f>IFERROR(VLOOKUP(T7,Hallazgo[],2,FALSE),"")</f>
        <v>0</v>
      </c>
      <c r="Q7" s="154">
        <f>IFERROR(VLOOKUP(T7,Hallazgo[],3,FALSE),"")</f>
        <v>0</v>
      </c>
      <c r="R7" s="154">
        <f>IFERROR(VLOOKUP(T7,Hallazgo[],4,FALSE),"")</f>
        <v>0</v>
      </c>
      <c r="S7" s="154">
        <f>IFERROR(VLOOKUP(T7,Hallazgo[],5,FALSE),"")</f>
        <v>0</v>
      </c>
      <c r="T7" s="154">
        <f>'Acuario (Arribado - mortalidad)'!C19</f>
        <v>0</v>
      </c>
      <c r="U7" s="154">
        <f>'Acuario (Arribado - mortalidad)'!B19</f>
        <v>0</v>
      </c>
      <c r="V7" s="154" t="str">
        <f>'Acuario (Arribado - mortalidad)'!D19</f>
        <v/>
      </c>
      <c r="W7" s="154" t="str">
        <f>'Acuario (Arribado - mortalidad)'!E19</f>
        <v/>
      </c>
      <c r="X7" s="154">
        <f>'Acuario (Arribado - mortalidad)'!F19</f>
        <v>0</v>
      </c>
      <c r="Y7" s="154">
        <f>'Acuario (Arribado - mortalidad)'!H19</f>
        <v>0</v>
      </c>
      <c r="Z7" s="154">
        <f>'Acuario (Arribado - mortalidad)'!I19</f>
        <v>0</v>
      </c>
      <c r="AA7" s="154">
        <f>'Acuario (Arribado - mortalidad)'!J19</f>
        <v>0</v>
      </c>
      <c r="AB7" s="154" t="str">
        <f>'Acuario (Arribado - mortalidad)'!K19</f>
        <v/>
      </c>
      <c r="AC7" s="334" t="str">
        <f>IFERROR(('Acuario (Arribado - mortalidad)'!K19/DatosAll[[#This Row],[N_INDIVIDUOS]])*100,"")</f>
        <v/>
      </c>
      <c r="AD7" s="334" t="str">
        <f>IFERROR(('Acuario (Arribado - mortalidad)'!O19/DatosAll[[#This Row],[N_INDIVIDUOS]])*100,"")</f>
        <v/>
      </c>
      <c r="AE7" s="334" t="str">
        <f>IFERROR(('Acuario (Arribado - mortalidad)'!BG19/DatosAll[[#This Row],[N_INDIVIDUOS]])*100,"")</f>
        <v/>
      </c>
      <c r="AF7" s="334" t="str">
        <f>IFERROR(('Acuario (Arribado - mortalidad)'!BH19/DatosAll[[#This Row],[N_INDIVIDUOS]])*100,"")</f>
        <v/>
      </c>
      <c r="AG7" s="154">
        <f>'Acuario (Arribado - mortalidad)'!M19</f>
        <v>0</v>
      </c>
      <c r="AH7" s="154" t="str">
        <f>'Acuario (Arribado - mortalidad)'!G19</f>
        <v/>
      </c>
      <c r="AI7" s="154">
        <f>'Acuario (Arribado - mortalidad)'!O19</f>
        <v>0</v>
      </c>
      <c r="AJ7" s="154">
        <f>'Acuario (Arribado - mortalidad)'!P19</f>
        <v>0</v>
      </c>
      <c r="AK7" s="154">
        <f>'Acuario (Arribado - mortalidad)'!Q19</f>
        <v>0</v>
      </c>
      <c r="AL7" s="154">
        <f>'Acuario (Arribado - mortalidad)'!R19</f>
        <v>0</v>
      </c>
      <c r="AM7" s="154">
        <f>'Acuario (Arribado - mortalidad)'!S19</f>
        <v>0</v>
      </c>
      <c r="AN7" s="154">
        <f>'Acuario (Arribado - mortalidad)'!T19</f>
        <v>0</v>
      </c>
      <c r="AO7" s="154">
        <f>'Acuario (Arribado - mortalidad)'!U19</f>
        <v>0</v>
      </c>
      <c r="AP7" s="154">
        <f>'Acuario (Arribado - mortalidad)'!V19</f>
        <v>0</v>
      </c>
      <c r="AQ7" s="154">
        <f>'Acuario (Arribado - mortalidad)'!W19</f>
        <v>0</v>
      </c>
      <c r="AR7" s="154">
        <f>'Acuario (Arribado - mortalidad)'!X19</f>
        <v>0</v>
      </c>
      <c r="AS7" s="154">
        <f>'Acuario (Arribado - mortalidad)'!Y19</f>
        <v>0</v>
      </c>
      <c r="AT7" s="154">
        <f>'Acuario (Arribado - mortalidad)'!Z19</f>
        <v>0</v>
      </c>
      <c r="AU7" s="154">
        <f>'Acuario (Arribado - mortalidad)'!AA19</f>
        <v>0</v>
      </c>
      <c r="AV7" s="154">
        <f>'Acuario (Arribado - mortalidad)'!AB19</f>
        <v>0</v>
      </c>
      <c r="AW7" s="154">
        <f>'Acuario (Arribado - mortalidad)'!AC19</f>
        <v>0</v>
      </c>
      <c r="AX7" s="154">
        <f>'Acuario (Arribado - mortalidad)'!AD19</f>
        <v>0</v>
      </c>
      <c r="AY7" s="154">
        <f>'Acuario (Arribado - mortalidad)'!AE19</f>
        <v>0</v>
      </c>
      <c r="AZ7" s="154">
        <f>'Acuario (Arribado - mortalidad)'!AF19</f>
        <v>0</v>
      </c>
      <c r="BA7" s="154">
        <f>'Acuario (Arribado - mortalidad)'!AG19</f>
        <v>0</v>
      </c>
      <c r="BB7" s="154">
        <f>'Acuario (Arribado - mortalidad)'!AH19</f>
        <v>0</v>
      </c>
      <c r="BC7" s="154">
        <f>'Acuario (Arribado - mortalidad)'!AI19</f>
        <v>0</v>
      </c>
      <c r="BD7" s="154">
        <f>'Acuario (Arribado - mortalidad)'!AJ19</f>
        <v>0</v>
      </c>
      <c r="BE7" s="154">
        <f>'Acuario (Arribado - mortalidad)'!AK19</f>
        <v>0</v>
      </c>
      <c r="BF7" s="154">
        <f>'Acuario (Arribado - mortalidad)'!AL19</f>
        <v>0</v>
      </c>
      <c r="BG7" s="154">
        <f>'Acuario (Arribado - mortalidad)'!AM19</f>
        <v>0</v>
      </c>
      <c r="BH7" s="154">
        <f>'Acuario (Arribado - mortalidad)'!AN19</f>
        <v>0</v>
      </c>
      <c r="BI7" s="154">
        <f>'Acuario (Arribado - mortalidad)'!AO19</f>
        <v>0</v>
      </c>
      <c r="BJ7" s="154">
        <f>'Acuario (Arribado - mortalidad)'!AP19</f>
        <v>0</v>
      </c>
      <c r="BK7" s="154">
        <f>'Acuario (Arribado - mortalidad)'!AQ19</f>
        <v>0</v>
      </c>
      <c r="BL7" s="154">
        <f>'Acuario (Arribado - mortalidad)'!AR19</f>
        <v>0</v>
      </c>
      <c r="BM7" s="154" t="str">
        <f>'Acuario (Arribado - mortalidad)'!AS19</f>
        <v/>
      </c>
      <c r="BN7" s="154">
        <f>'Acuario (Arribado - mortalidad)'!AT19</f>
        <v>0</v>
      </c>
      <c r="BO7" s="154">
        <f>'Acuario (Arribado - mortalidad)'!AU19</f>
        <v>0</v>
      </c>
      <c r="BP7" s="154">
        <f>'Acuario (Arribado - mortalidad)'!AV19</f>
        <v>0</v>
      </c>
      <c r="BQ7" s="154" t="str">
        <f>'Acuario (Arribado - mortalidad)'!AW19</f>
        <v/>
      </c>
      <c r="BR7" s="154">
        <f>'Acuario (Arribado - mortalidad)'!AX19</f>
        <v>0</v>
      </c>
      <c r="BS7" s="154">
        <f>'Acuario (Arribado - mortalidad)'!AY19</f>
        <v>0</v>
      </c>
      <c r="BT7" s="154" t="str">
        <f>'Acuario (Arribado - mortalidad)'!AZ19</f>
        <v/>
      </c>
      <c r="BU7" s="154" t="str">
        <f>'Acuario (Arribado - mortalidad)'!BA19</f>
        <v/>
      </c>
      <c r="BV7" s="154" t="str">
        <f>'Acuario (Arribado - mortalidad)'!BB19</f>
        <v/>
      </c>
      <c r="BW7" s="154" t="str">
        <f>'Acuario (Arribado - mortalidad)'!BC19</f>
        <v/>
      </c>
      <c r="BX7" s="154">
        <f>'Acuario (Arribado - mortalidad)'!BD19</f>
        <v>0</v>
      </c>
      <c r="BY7" s="154" t="str">
        <f>'Acuario (Arribado - mortalidad)'!BE19</f>
        <v/>
      </c>
      <c r="BZ7" s="23" t="str">
        <f>'Acuario (Arribado - mortalidad)'!BF19</f>
        <v/>
      </c>
    </row>
    <row r="8" spans="1:78" x14ac:dyDescent="0.25">
      <c r="A8" s="154" t="str">
        <f>IF(U8&lt;&gt;0,'ORDEN DE CUARENTENA'!$AE$2,"")</f>
        <v/>
      </c>
      <c r="B8" s="190" t="str">
        <f>IF(U8&lt;&gt;0,'ORDEN DE CUARENTENA'!$AE$3,"")</f>
        <v/>
      </c>
      <c r="C8" s="174" t="str">
        <f t="shared" si="0"/>
        <v/>
      </c>
      <c r="D8" s="329" t="str">
        <f>IF(U8&lt;&gt;0,'ORDEN DE CUARENTENA'!$I$6,"")</f>
        <v/>
      </c>
      <c r="E8" s="174" t="str">
        <f>IF(U8&lt;&gt;0,TEXT('ORDEN DE CUARENTENA'!$I$6,"aaa"),"")</f>
        <v/>
      </c>
      <c r="F8" s="173" t="str">
        <f>IF(U8&lt;&gt;0,TEXT('ORDEN DE CUARENTENA'!$I$6,"dd"),"")</f>
        <v/>
      </c>
      <c r="G8" s="172" t="str">
        <f>IF(U8&lt;&gt;0,TEXT('ORDEN DE CUARENTENA'!$I$6,"mm"),"")</f>
        <v/>
      </c>
      <c r="H8" s="171" t="str">
        <f>IF(U8&lt;&gt;0,TEXT('ORDEN DE CUARENTENA'!$I$6,"yyyy"),"")</f>
        <v/>
      </c>
      <c r="I8" s="154" t="str">
        <f>IF(U8&lt;&gt;0,'ORDEN DE CUARENTENA'!$H$7,"")</f>
        <v/>
      </c>
      <c r="J8" s="154" t="str">
        <f>IF(U8&lt;&gt;0,'ORDEN DE CUARENTENA'!$H$9,"")</f>
        <v/>
      </c>
      <c r="K8" s="154" t="str">
        <f>IF(U8&lt;&gt;0,'ORDEN DE CUARENTENA'!$Q$9,"")</f>
        <v/>
      </c>
      <c r="L8" s="154" t="str">
        <f>IFERROR(VLOOKUP(U8,Item[],4,FALSE),IFERROR(VLOOKUP(U8,Item2[],4,FALSE),""))</f>
        <v/>
      </c>
      <c r="M8" s="154" t="str">
        <f>IFERROR(VLOOKUP(U8,Item[],5,FALSE),IFERROR(VLOOKUP(U8,Item2[],5,FALSE),""))</f>
        <v/>
      </c>
      <c r="N8" s="154" t="str">
        <f>IFERROR(VLOOKUP(W8,SuscepEARs[],2,FALSE),"")</f>
        <v/>
      </c>
      <c r="O8" s="154" t="str">
        <f>IFERROR(VLOOKUP(DatosAll[[#This Row],[ESPECIE]],CITES[],2,FALSE),"")</f>
        <v/>
      </c>
      <c r="P8" s="154">
        <f>IFERROR(VLOOKUP(T8,Hallazgo[],2,FALSE),"")</f>
        <v>0</v>
      </c>
      <c r="Q8" s="154">
        <f>IFERROR(VLOOKUP(T8,Hallazgo[],3,FALSE),"")</f>
        <v>0</v>
      </c>
      <c r="R8" s="154">
        <f>IFERROR(VLOOKUP(T8,Hallazgo[],4,FALSE),"")</f>
        <v>0</v>
      </c>
      <c r="S8" s="154">
        <f>IFERROR(VLOOKUP(T8,Hallazgo[],5,FALSE),"")</f>
        <v>0</v>
      </c>
      <c r="T8" s="154">
        <f>'Acuario (Arribado - mortalidad)'!C20</f>
        <v>0</v>
      </c>
      <c r="U8" s="154">
        <f>'Acuario (Arribado - mortalidad)'!B20</f>
        <v>0</v>
      </c>
      <c r="V8" s="154" t="str">
        <f>'Acuario (Arribado - mortalidad)'!D20</f>
        <v/>
      </c>
      <c r="W8" s="154" t="str">
        <f>'Acuario (Arribado - mortalidad)'!E20</f>
        <v/>
      </c>
      <c r="X8" s="154">
        <f>'Acuario (Arribado - mortalidad)'!F20</f>
        <v>0</v>
      </c>
      <c r="Y8" s="154">
        <f>'Acuario (Arribado - mortalidad)'!H20</f>
        <v>0</v>
      </c>
      <c r="Z8" s="154">
        <f>'Acuario (Arribado - mortalidad)'!I20</f>
        <v>0</v>
      </c>
      <c r="AA8" s="154">
        <f>'Acuario (Arribado - mortalidad)'!J20</f>
        <v>0</v>
      </c>
      <c r="AB8" s="154" t="str">
        <f>'Acuario (Arribado - mortalidad)'!K20</f>
        <v/>
      </c>
      <c r="AC8" s="334" t="str">
        <f>IFERROR(('Acuario (Arribado - mortalidad)'!K20/DatosAll[[#This Row],[N_INDIVIDUOS]])*100,"")</f>
        <v/>
      </c>
      <c r="AD8" s="334" t="str">
        <f>IFERROR(('Acuario (Arribado - mortalidad)'!O20/DatosAll[[#This Row],[N_INDIVIDUOS]])*100,"")</f>
        <v/>
      </c>
      <c r="AE8" s="334" t="str">
        <f>IFERROR(('Acuario (Arribado - mortalidad)'!BG20/DatosAll[[#This Row],[N_INDIVIDUOS]])*100,"")</f>
        <v/>
      </c>
      <c r="AF8" s="334" t="str">
        <f>IFERROR(('Acuario (Arribado - mortalidad)'!BH20/DatosAll[[#This Row],[N_INDIVIDUOS]])*100,"")</f>
        <v/>
      </c>
      <c r="AG8" s="154">
        <f>'Acuario (Arribado - mortalidad)'!M20</f>
        <v>0</v>
      </c>
      <c r="AH8" s="154" t="str">
        <f>'Acuario (Arribado - mortalidad)'!G20</f>
        <v/>
      </c>
      <c r="AI8" s="154">
        <f>'Acuario (Arribado - mortalidad)'!O20</f>
        <v>0</v>
      </c>
      <c r="AJ8" s="154">
        <f>'Acuario (Arribado - mortalidad)'!P20</f>
        <v>0</v>
      </c>
      <c r="AK8" s="154">
        <f>'Acuario (Arribado - mortalidad)'!Q20</f>
        <v>0</v>
      </c>
      <c r="AL8" s="154">
        <f>'Acuario (Arribado - mortalidad)'!R20</f>
        <v>0</v>
      </c>
      <c r="AM8" s="154">
        <f>'Acuario (Arribado - mortalidad)'!S20</f>
        <v>0</v>
      </c>
      <c r="AN8" s="154">
        <f>'Acuario (Arribado - mortalidad)'!T20</f>
        <v>0</v>
      </c>
      <c r="AO8" s="154">
        <f>'Acuario (Arribado - mortalidad)'!U20</f>
        <v>0</v>
      </c>
      <c r="AP8" s="154">
        <f>'Acuario (Arribado - mortalidad)'!V20</f>
        <v>0</v>
      </c>
      <c r="AQ8" s="154">
        <f>'Acuario (Arribado - mortalidad)'!W20</f>
        <v>0</v>
      </c>
      <c r="AR8" s="154">
        <f>'Acuario (Arribado - mortalidad)'!X20</f>
        <v>0</v>
      </c>
      <c r="AS8" s="154">
        <f>'Acuario (Arribado - mortalidad)'!Y20</f>
        <v>0</v>
      </c>
      <c r="AT8" s="154">
        <f>'Acuario (Arribado - mortalidad)'!Z20</f>
        <v>0</v>
      </c>
      <c r="AU8" s="154">
        <f>'Acuario (Arribado - mortalidad)'!AA20</f>
        <v>0</v>
      </c>
      <c r="AV8" s="154">
        <f>'Acuario (Arribado - mortalidad)'!AB20</f>
        <v>0</v>
      </c>
      <c r="AW8" s="154">
        <f>'Acuario (Arribado - mortalidad)'!AC20</f>
        <v>0</v>
      </c>
      <c r="AX8" s="154">
        <f>'Acuario (Arribado - mortalidad)'!AD20</f>
        <v>0</v>
      </c>
      <c r="AY8" s="154">
        <f>'Acuario (Arribado - mortalidad)'!AE20</f>
        <v>0</v>
      </c>
      <c r="AZ8" s="154">
        <f>'Acuario (Arribado - mortalidad)'!AF20</f>
        <v>0</v>
      </c>
      <c r="BA8" s="154">
        <f>'Acuario (Arribado - mortalidad)'!AG20</f>
        <v>0</v>
      </c>
      <c r="BB8" s="154">
        <f>'Acuario (Arribado - mortalidad)'!AH20</f>
        <v>0</v>
      </c>
      <c r="BC8" s="154">
        <f>'Acuario (Arribado - mortalidad)'!AI20</f>
        <v>0</v>
      </c>
      <c r="BD8" s="154">
        <f>'Acuario (Arribado - mortalidad)'!AJ20</f>
        <v>0</v>
      </c>
      <c r="BE8" s="154">
        <f>'Acuario (Arribado - mortalidad)'!AK20</f>
        <v>0</v>
      </c>
      <c r="BF8" s="154">
        <f>'Acuario (Arribado - mortalidad)'!AL20</f>
        <v>0</v>
      </c>
      <c r="BG8" s="154">
        <f>'Acuario (Arribado - mortalidad)'!AM20</f>
        <v>0</v>
      </c>
      <c r="BH8" s="154">
        <f>'Acuario (Arribado - mortalidad)'!AN20</f>
        <v>0</v>
      </c>
      <c r="BI8" s="154">
        <f>'Acuario (Arribado - mortalidad)'!AO20</f>
        <v>0</v>
      </c>
      <c r="BJ8" s="154">
        <f>'Acuario (Arribado - mortalidad)'!AP20</f>
        <v>0</v>
      </c>
      <c r="BK8" s="154">
        <f>'Acuario (Arribado - mortalidad)'!AQ20</f>
        <v>0</v>
      </c>
      <c r="BL8" s="154">
        <f>'Acuario (Arribado - mortalidad)'!AR20</f>
        <v>0</v>
      </c>
      <c r="BM8" s="154" t="str">
        <f>'Acuario (Arribado - mortalidad)'!AS20</f>
        <v/>
      </c>
      <c r="BN8" s="154">
        <f>'Acuario (Arribado - mortalidad)'!AT20</f>
        <v>0</v>
      </c>
      <c r="BO8" s="154">
        <f>'Acuario (Arribado - mortalidad)'!AU20</f>
        <v>0</v>
      </c>
      <c r="BP8" s="154">
        <f>'Acuario (Arribado - mortalidad)'!AV20</f>
        <v>0</v>
      </c>
      <c r="BQ8" s="154" t="str">
        <f>'Acuario (Arribado - mortalidad)'!AW20</f>
        <v/>
      </c>
      <c r="BR8" s="154">
        <f>'Acuario (Arribado - mortalidad)'!AX20</f>
        <v>0</v>
      </c>
      <c r="BS8" s="154">
        <f>'Acuario (Arribado - mortalidad)'!AY20</f>
        <v>0</v>
      </c>
      <c r="BT8" s="154" t="str">
        <f>'Acuario (Arribado - mortalidad)'!AZ20</f>
        <v/>
      </c>
      <c r="BU8" s="154" t="str">
        <f>'Acuario (Arribado - mortalidad)'!BA20</f>
        <v/>
      </c>
      <c r="BV8" s="154" t="str">
        <f>'Acuario (Arribado - mortalidad)'!BB20</f>
        <v/>
      </c>
      <c r="BW8" s="154" t="str">
        <f>'Acuario (Arribado - mortalidad)'!BC20</f>
        <v/>
      </c>
      <c r="BX8" s="154">
        <f>'Acuario (Arribado - mortalidad)'!BD20</f>
        <v>0</v>
      </c>
      <c r="BY8" s="154" t="str">
        <f>'Acuario (Arribado - mortalidad)'!BE20</f>
        <v/>
      </c>
      <c r="BZ8" s="23" t="str">
        <f>'Acuario (Arribado - mortalidad)'!BF20</f>
        <v/>
      </c>
    </row>
    <row r="9" spans="1:78" x14ac:dyDescent="0.25">
      <c r="A9" s="154" t="str">
        <f>IF(U9&lt;&gt;0,'ORDEN DE CUARENTENA'!$AE$2,"")</f>
        <v/>
      </c>
      <c r="B9" s="190" t="str">
        <f>IF(U9&lt;&gt;0,'ORDEN DE CUARENTENA'!$AE$3,"")</f>
        <v/>
      </c>
      <c r="C9" s="174" t="str">
        <f t="shared" si="0"/>
        <v/>
      </c>
      <c r="D9" s="329" t="str">
        <f>IF(U9&lt;&gt;0,'ORDEN DE CUARENTENA'!$I$6,"")</f>
        <v/>
      </c>
      <c r="E9" s="174" t="str">
        <f>IF(U9&lt;&gt;0,TEXT('ORDEN DE CUARENTENA'!$I$6,"aaa"),"")</f>
        <v/>
      </c>
      <c r="F9" s="173" t="str">
        <f>IF(U9&lt;&gt;0,TEXT('ORDEN DE CUARENTENA'!$I$6,"dd"),"")</f>
        <v/>
      </c>
      <c r="G9" s="172" t="str">
        <f>IF(U9&lt;&gt;0,TEXT('ORDEN DE CUARENTENA'!$I$6,"mm"),"")</f>
        <v/>
      </c>
      <c r="H9" s="171" t="str">
        <f>IF(U9&lt;&gt;0,TEXT('ORDEN DE CUARENTENA'!$I$6,"yyyy"),"")</f>
        <v/>
      </c>
      <c r="I9" s="154" t="str">
        <f>IF(U9&lt;&gt;0,'ORDEN DE CUARENTENA'!$H$7,"")</f>
        <v/>
      </c>
      <c r="J9" s="154" t="str">
        <f>IF(U9&lt;&gt;0,'ORDEN DE CUARENTENA'!$H$9,"")</f>
        <v/>
      </c>
      <c r="K9" s="154" t="str">
        <f>IF(U9&lt;&gt;0,'ORDEN DE CUARENTENA'!$Q$9,"")</f>
        <v/>
      </c>
      <c r="L9" s="154" t="str">
        <f>IFERROR(VLOOKUP(U9,Item[],4,FALSE),IFERROR(VLOOKUP(U9,Item2[],4,FALSE),""))</f>
        <v/>
      </c>
      <c r="M9" s="154" t="str">
        <f>IFERROR(VLOOKUP(U9,Item[],5,FALSE),IFERROR(VLOOKUP(U9,Item2[],5,FALSE),""))</f>
        <v/>
      </c>
      <c r="N9" s="154" t="str">
        <f>IFERROR(VLOOKUP(W9,SuscepEARs[],2,FALSE),"")</f>
        <v/>
      </c>
      <c r="O9" s="154" t="str">
        <f>IFERROR(VLOOKUP(DatosAll[[#This Row],[ESPECIE]],CITES[],2,FALSE),"")</f>
        <v/>
      </c>
      <c r="P9" s="154">
        <f>IFERROR(VLOOKUP(T9,Hallazgo[],2,FALSE),"")</f>
        <v>0</v>
      </c>
      <c r="Q9" s="154">
        <f>IFERROR(VLOOKUP(T9,Hallazgo[],3,FALSE),"")</f>
        <v>0</v>
      </c>
      <c r="R9" s="154">
        <f>IFERROR(VLOOKUP(T9,Hallazgo[],4,FALSE),"")</f>
        <v>0</v>
      </c>
      <c r="S9" s="154">
        <f>IFERROR(VLOOKUP(T9,Hallazgo[],5,FALSE),"")</f>
        <v>0</v>
      </c>
      <c r="T9" s="154">
        <f>'Acuario (Arribado - mortalidad)'!C21</f>
        <v>0</v>
      </c>
      <c r="U9" s="154">
        <f>'Acuario (Arribado - mortalidad)'!B21</f>
        <v>0</v>
      </c>
      <c r="V9" s="154" t="str">
        <f>'Acuario (Arribado - mortalidad)'!D21</f>
        <v/>
      </c>
      <c r="W9" s="154" t="str">
        <f>'Acuario (Arribado - mortalidad)'!E21</f>
        <v/>
      </c>
      <c r="X9" s="154">
        <f>'Acuario (Arribado - mortalidad)'!F21</f>
        <v>0</v>
      </c>
      <c r="Y9" s="154">
        <f>'Acuario (Arribado - mortalidad)'!H21</f>
        <v>0</v>
      </c>
      <c r="Z9" s="154">
        <f>'Acuario (Arribado - mortalidad)'!I21</f>
        <v>0</v>
      </c>
      <c r="AA9" s="154">
        <f>'Acuario (Arribado - mortalidad)'!J21</f>
        <v>0</v>
      </c>
      <c r="AB9" s="154" t="str">
        <f>'Acuario (Arribado - mortalidad)'!K21</f>
        <v/>
      </c>
      <c r="AC9" s="334" t="str">
        <f>IFERROR(('Acuario (Arribado - mortalidad)'!K21/DatosAll[[#This Row],[N_INDIVIDUOS]])*100,"")</f>
        <v/>
      </c>
      <c r="AD9" s="334" t="str">
        <f>IFERROR(('Acuario (Arribado - mortalidad)'!O21/DatosAll[[#This Row],[N_INDIVIDUOS]])*100,"")</f>
        <v/>
      </c>
      <c r="AE9" s="334" t="str">
        <f>IFERROR(('Acuario (Arribado - mortalidad)'!BG21/DatosAll[[#This Row],[N_INDIVIDUOS]])*100,"")</f>
        <v/>
      </c>
      <c r="AF9" s="334" t="str">
        <f>IFERROR(('Acuario (Arribado - mortalidad)'!BH21/DatosAll[[#This Row],[N_INDIVIDUOS]])*100,"")</f>
        <v/>
      </c>
      <c r="AG9" s="154">
        <f>'Acuario (Arribado - mortalidad)'!M21</f>
        <v>0</v>
      </c>
      <c r="AH9" s="154" t="str">
        <f>'Acuario (Arribado - mortalidad)'!G21</f>
        <v/>
      </c>
      <c r="AI9" s="154">
        <f>'Acuario (Arribado - mortalidad)'!O21</f>
        <v>0</v>
      </c>
      <c r="AJ9" s="154">
        <f>'Acuario (Arribado - mortalidad)'!P21</f>
        <v>0</v>
      </c>
      <c r="AK9" s="154">
        <f>'Acuario (Arribado - mortalidad)'!Q21</f>
        <v>0</v>
      </c>
      <c r="AL9" s="154">
        <f>'Acuario (Arribado - mortalidad)'!R21</f>
        <v>0</v>
      </c>
      <c r="AM9" s="154">
        <f>'Acuario (Arribado - mortalidad)'!S21</f>
        <v>0</v>
      </c>
      <c r="AN9" s="154">
        <f>'Acuario (Arribado - mortalidad)'!T21</f>
        <v>0</v>
      </c>
      <c r="AO9" s="154">
        <f>'Acuario (Arribado - mortalidad)'!U21</f>
        <v>0</v>
      </c>
      <c r="AP9" s="154">
        <f>'Acuario (Arribado - mortalidad)'!V21</f>
        <v>0</v>
      </c>
      <c r="AQ9" s="154">
        <f>'Acuario (Arribado - mortalidad)'!W21</f>
        <v>0</v>
      </c>
      <c r="AR9" s="154">
        <f>'Acuario (Arribado - mortalidad)'!X21</f>
        <v>0</v>
      </c>
      <c r="AS9" s="154">
        <f>'Acuario (Arribado - mortalidad)'!Y21</f>
        <v>0</v>
      </c>
      <c r="AT9" s="154">
        <f>'Acuario (Arribado - mortalidad)'!Z21</f>
        <v>0</v>
      </c>
      <c r="AU9" s="154">
        <f>'Acuario (Arribado - mortalidad)'!AA21</f>
        <v>0</v>
      </c>
      <c r="AV9" s="154">
        <f>'Acuario (Arribado - mortalidad)'!AB21</f>
        <v>0</v>
      </c>
      <c r="AW9" s="154">
        <f>'Acuario (Arribado - mortalidad)'!AC21</f>
        <v>0</v>
      </c>
      <c r="AX9" s="154">
        <f>'Acuario (Arribado - mortalidad)'!AD21</f>
        <v>0</v>
      </c>
      <c r="AY9" s="154">
        <f>'Acuario (Arribado - mortalidad)'!AE21</f>
        <v>0</v>
      </c>
      <c r="AZ9" s="154">
        <f>'Acuario (Arribado - mortalidad)'!AF21</f>
        <v>0</v>
      </c>
      <c r="BA9" s="154">
        <f>'Acuario (Arribado - mortalidad)'!AG21</f>
        <v>0</v>
      </c>
      <c r="BB9" s="154">
        <f>'Acuario (Arribado - mortalidad)'!AH21</f>
        <v>0</v>
      </c>
      <c r="BC9" s="154">
        <f>'Acuario (Arribado - mortalidad)'!AI21</f>
        <v>0</v>
      </c>
      <c r="BD9" s="154">
        <f>'Acuario (Arribado - mortalidad)'!AJ21</f>
        <v>0</v>
      </c>
      <c r="BE9" s="154">
        <f>'Acuario (Arribado - mortalidad)'!AK21</f>
        <v>0</v>
      </c>
      <c r="BF9" s="154">
        <f>'Acuario (Arribado - mortalidad)'!AL21</f>
        <v>0</v>
      </c>
      <c r="BG9" s="154">
        <f>'Acuario (Arribado - mortalidad)'!AM21</f>
        <v>0</v>
      </c>
      <c r="BH9" s="154">
        <f>'Acuario (Arribado - mortalidad)'!AN21</f>
        <v>0</v>
      </c>
      <c r="BI9" s="154">
        <f>'Acuario (Arribado - mortalidad)'!AO21</f>
        <v>0</v>
      </c>
      <c r="BJ9" s="154">
        <f>'Acuario (Arribado - mortalidad)'!AP21</f>
        <v>0</v>
      </c>
      <c r="BK9" s="154">
        <f>'Acuario (Arribado - mortalidad)'!AQ21</f>
        <v>0</v>
      </c>
      <c r="BL9" s="154">
        <f>'Acuario (Arribado - mortalidad)'!AR21</f>
        <v>0</v>
      </c>
      <c r="BM9" s="154" t="str">
        <f>'Acuario (Arribado - mortalidad)'!AS21</f>
        <v/>
      </c>
      <c r="BN9" s="154">
        <f>'Acuario (Arribado - mortalidad)'!AT21</f>
        <v>0</v>
      </c>
      <c r="BO9" s="154">
        <f>'Acuario (Arribado - mortalidad)'!AU21</f>
        <v>0</v>
      </c>
      <c r="BP9" s="154">
        <f>'Acuario (Arribado - mortalidad)'!AV21</f>
        <v>0</v>
      </c>
      <c r="BQ9" s="154" t="str">
        <f>'Acuario (Arribado - mortalidad)'!AW21</f>
        <v/>
      </c>
      <c r="BR9" s="154">
        <f>'Acuario (Arribado - mortalidad)'!AX21</f>
        <v>0</v>
      </c>
      <c r="BS9" s="154">
        <f>'Acuario (Arribado - mortalidad)'!AY21</f>
        <v>0</v>
      </c>
      <c r="BT9" s="154" t="str">
        <f>'Acuario (Arribado - mortalidad)'!AZ21</f>
        <v/>
      </c>
      <c r="BU9" s="154" t="str">
        <f>'Acuario (Arribado - mortalidad)'!BA21</f>
        <v/>
      </c>
      <c r="BV9" s="154" t="str">
        <f>'Acuario (Arribado - mortalidad)'!BB21</f>
        <v/>
      </c>
      <c r="BW9" s="154" t="str">
        <f>'Acuario (Arribado - mortalidad)'!BC21</f>
        <v/>
      </c>
      <c r="BX9" s="154">
        <f>'Acuario (Arribado - mortalidad)'!BD21</f>
        <v>0</v>
      </c>
      <c r="BY9" s="154" t="str">
        <f>'Acuario (Arribado - mortalidad)'!BE21</f>
        <v/>
      </c>
      <c r="BZ9" s="23" t="str">
        <f>'Acuario (Arribado - mortalidad)'!BF21</f>
        <v/>
      </c>
    </row>
    <row r="10" spans="1:78" x14ac:dyDescent="0.25">
      <c r="A10" s="154" t="str">
        <f>IF(U10&lt;&gt;0,'ORDEN DE CUARENTENA'!$AE$2,"")</f>
        <v/>
      </c>
      <c r="B10" s="190" t="str">
        <f>IF(U10&lt;&gt;0,'ORDEN DE CUARENTENA'!$AE$3,"")</f>
        <v/>
      </c>
      <c r="C10" s="174" t="str">
        <f t="shared" si="0"/>
        <v/>
      </c>
      <c r="D10" s="329" t="str">
        <f>IF(U10&lt;&gt;0,'ORDEN DE CUARENTENA'!$I$6,"")</f>
        <v/>
      </c>
      <c r="E10" s="174" t="str">
        <f>IF(U10&lt;&gt;0,TEXT('ORDEN DE CUARENTENA'!$I$6,"aaa"),"")</f>
        <v/>
      </c>
      <c r="F10" s="173" t="str">
        <f>IF(U10&lt;&gt;0,TEXT('ORDEN DE CUARENTENA'!$I$6,"dd"),"")</f>
        <v/>
      </c>
      <c r="G10" s="172" t="str">
        <f>IF(U10&lt;&gt;0,TEXT('ORDEN DE CUARENTENA'!$I$6,"mm"),"")</f>
        <v/>
      </c>
      <c r="H10" s="171" t="str">
        <f>IF(U10&lt;&gt;0,TEXT('ORDEN DE CUARENTENA'!$I$6,"yyyy"),"")</f>
        <v/>
      </c>
      <c r="I10" s="154" t="str">
        <f>IF(U10&lt;&gt;0,'ORDEN DE CUARENTENA'!$H$7,"")</f>
        <v/>
      </c>
      <c r="J10" s="154" t="str">
        <f>IF(U10&lt;&gt;0,'ORDEN DE CUARENTENA'!$H$9,"")</f>
        <v/>
      </c>
      <c r="K10" s="154" t="str">
        <f>IF(U10&lt;&gt;0,'ORDEN DE CUARENTENA'!$Q$9,"")</f>
        <v/>
      </c>
      <c r="L10" s="154" t="str">
        <f>IFERROR(VLOOKUP(U10,Item[],4,FALSE),IFERROR(VLOOKUP(U10,Item2[],4,FALSE),""))</f>
        <v/>
      </c>
      <c r="M10" s="154" t="str">
        <f>IFERROR(VLOOKUP(U10,Item[],5,FALSE),IFERROR(VLOOKUP(U10,Item2[],5,FALSE),""))</f>
        <v/>
      </c>
      <c r="N10" s="154" t="str">
        <f>IFERROR(VLOOKUP(W10,SuscepEARs[],2,FALSE),"")</f>
        <v/>
      </c>
      <c r="O10" s="154" t="str">
        <f>IFERROR(VLOOKUP(DatosAll[[#This Row],[ESPECIE]],CITES[],2,FALSE),"")</f>
        <v/>
      </c>
      <c r="P10" s="154">
        <f>IFERROR(VLOOKUP(T10,Hallazgo[],2,FALSE),"")</f>
        <v>0</v>
      </c>
      <c r="Q10" s="154">
        <f>IFERROR(VLOOKUP(T10,Hallazgo[],3,FALSE),"")</f>
        <v>0</v>
      </c>
      <c r="R10" s="154">
        <f>IFERROR(VLOOKUP(T10,Hallazgo[],4,FALSE),"")</f>
        <v>0</v>
      </c>
      <c r="S10" s="154">
        <f>IFERROR(VLOOKUP(T10,Hallazgo[],5,FALSE),"")</f>
        <v>0</v>
      </c>
      <c r="T10" s="154">
        <f>'Acuario (Arribado - mortalidad)'!C22</f>
        <v>0</v>
      </c>
      <c r="U10" s="154">
        <f>'Acuario (Arribado - mortalidad)'!B22</f>
        <v>0</v>
      </c>
      <c r="V10" s="154" t="str">
        <f>'Acuario (Arribado - mortalidad)'!D22</f>
        <v/>
      </c>
      <c r="W10" s="154" t="str">
        <f>'Acuario (Arribado - mortalidad)'!E22</f>
        <v/>
      </c>
      <c r="X10" s="154">
        <f>'Acuario (Arribado - mortalidad)'!F22</f>
        <v>0</v>
      </c>
      <c r="Y10" s="154">
        <f>'Acuario (Arribado - mortalidad)'!H22</f>
        <v>0</v>
      </c>
      <c r="Z10" s="154">
        <f>'Acuario (Arribado - mortalidad)'!I22</f>
        <v>0</v>
      </c>
      <c r="AA10" s="154">
        <f>'Acuario (Arribado - mortalidad)'!J22</f>
        <v>0</v>
      </c>
      <c r="AB10" s="154" t="str">
        <f>'Acuario (Arribado - mortalidad)'!K22</f>
        <v/>
      </c>
      <c r="AC10" s="334" t="str">
        <f>IFERROR(('Acuario (Arribado - mortalidad)'!K22/DatosAll[[#This Row],[N_INDIVIDUOS]])*100,"")</f>
        <v/>
      </c>
      <c r="AD10" s="334" t="str">
        <f>IFERROR(('Acuario (Arribado - mortalidad)'!O22/DatosAll[[#This Row],[N_INDIVIDUOS]])*100,"")</f>
        <v/>
      </c>
      <c r="AE10" s="334" t="str">
        <f>IFERROR(('Acuario (Arribado - mortalidad)'!BG22/DatosAll[[#This Row],[N_INDIVIDUOS]])*100,"")</f>
        <v/>
      </c>
      <c r="AF10" s="334" t="str">
        <f>IFERROR(('Acuario (Arribado - mortalidad)'!BH22/DatosAll[[#This Row],[N_INDIVIDUOS]])*100,"")</f>
        <v/>
      </c>
      <c r="AG10" s="154">
        <f>'Acuario (Arribado - mortalidad)'!M22</f>
        <v>0</v>
      </c>
      <c r="AH10" s="154" t="str">
        <f>'Acuario (Arribado - mortalidad)'!G22</f>
        <v/>
      </c>
      <c r="AI10" s="154">
        <f>'Acuario (Arribado - mortalidad)'!O22</f>
        <v>0</v>
      </c>
      <c r="AJ10" s="154">
        <f>'Acuario (Arribado - mortalidad)'!P22</f>
        <v>0</v>
      </c>
      <c r="AK10" s="154">
        <f>'Acuario (Arribado - mortalidad)'!Q22</f>
        <v>0</v>
      </c>
      <c r="AL10" s="154">
        <f>'Acuario (Arribado - mortalidad)'!R22</f>
        <v>0</v>
      </c>
      <c r="AM10" s="154">
        <f>'Acuario (Arribado - mortalidad)'!S22</f>
        <v>0</v>
      </c>
      <c r="AN10" s="154">
        <f>'Acuario (Arribado - mortalidad)'!T22</f>
        <v>0</v>
      </c>
      <c r="AO10" s="154">
        <f>'Acuario (Arribado - mortalidad)'!U22</f>
        <v>0</v>
      </c>
      <c r="AP10" s="154">
        <f>'Acuario (Arribado - mortalidad)'!V22</f>
        <v>0</v>
      </c>
      <c r="AQ10" s="154">
        <f>'Acuario (Arribado - mortalidad)'!W22</f>
        <v>0</v>
      </c>
      <c r="AR10" s="154">
        <f>'Acuario (Arribado - mortalidad)'!X22</f>
        <v>0</v>
      </c>
      <c r="AS10" s="154">
        <f>'Acuario (Arribado - mortalidad)'!Y22</f>
        <v>0</v>
      </c>
      <c r="AT10" s="154">
        <f>'Acuario (Arribado - mortalidad)'!Z22</f>
        <v>0</v>
      </c>
      <c r="AU10" s="154">
        <f>'Acuario (Arribado - mortalidad)'!AA22</f>
        <v>0</v>
      </c>
      <c r="AV10" s="154">
        <f>'Acuario (Arribado - mortalidad)'!AB22</f>
        <v>0</v>
      </c>
      <c r="AW10" s="154">
        <f>'Acuario (Arribado - mortalidad)'!AC22</f>
        <v>0</v>
      </c>
      <c r="AX10" s="154">
        <f>'Acuario (Arribado - mortalidad)'!AD22</f>
        <v>0</v>
      </c>
      <c r="AY10" s="154">
        <f>'Acuario (Arribado - mortalidad)'!AE22</f>
        <v>0</v>
      </c>
      <c r="AZ10" s="154">
        <f>'Acuario (Arribado - mortalidad)'!AF22</f>
        <v>0</v>
      </c>
      <c r="BA10" s="154">
        <f>'Acuario (Arribado - mortalidad)'!AG22</f>
        <v>0</v>
      </c>
      <c r="BB10" s="154">
        <f>'Acuario (Arribado - mortalidad)'!AH22</f>
        <v>0</v>
      </c>
      <c r="BC10" s="154">
        <f>'Acuario (Arribado - mortalidad)'!AI22</f>
        <v>0</v>
      </c>
      <c r="BD10" s="154">
        <f>'Acuario (Arribado - mortalidad)'!AJ22</f>
        <v>0</v>
      </c>
      <c r="BE10" s="154">
        <f>'Acuario (Arribado - mortalidad)'!AK22</f>
        <v>0</v>
      </c>
      <c r="BF10" s="154">
        <f>'Acuario (Arribado - mortalidad)'!AL22</f>
        <v>0</v>
      </c>
      <c r="BG10" s="154">
        <f>'Acuario (Arribado - mortalidad)'!AM22</f>
        <v>0</v>
      </c>
      <c r="BH10" s="154">
        <f>'Acuario (Arribado - mortalidad)'!AN22</f>
        <v>0</v>
      </c>
      <c r="BI10" s="154">
        <f>'Acuario (Arribado - mortalidad)'!AO22</f>
        <v>0</v>
      </c>
      <c r="BJ10" s="154">
        <f>'Acuario (Arribado - mortalidad)'!AP22</f>
        <v>0</v>
      </c>
      <c r="BK10" s="154">
        <f>'Acuario (Arribado - mortalidad)'!AQ22</f>
        <v>0</v>
      </c>
      <c r="BL10" s="154">
        <f>'Acuario (Arribado - mortalidad)'!AR22</f>
        <v>0</v>
      </c>
      <c r="BM10" s="154" t="str">
        <f>'Acuario (Arribado - mortalidad)'!AS22</f>
        <v/>
      </c>
      <c r="BN10" s="154">
        <f>'Acuario (Arribado - mortalidad)'!AT22</f>
        <v>0</v>
      </c>
      <c r="BO10" s="154">
        <f>'Acuario (Arribado - mortalidad)'!AU22</f>
        <v>0</v>
      </c>
      <c r="BP10" s="154">
        <f>'Acuario (Arribado - mortalidad)'!AV22</f>
        <v>0</v>
      </c>
      <c r="BQ10" s="154" t="str">
        <f>'Acuario (Arribado - mortalidad)'!AW22</f>
        <v/>
      </c>
      <c r="BR10" s="154">
        <f>'Acuario (Arribado - mortalidad)'!AX22</f>
        <v>0</v>
      </c>
      <c r="BS10" s="154">
        <f>'Acuario (Arribado - mortalidad)'!AY22</f>
        <v>0</v>
      </c>
      <c r="BT10" s="154" t="str">
        <f>'Acuario (Arribado - mortalidad)'!AZ22</f>
        <v/>
      </c>
      <c r="BU10" s="154" t="str">
        <f>'Acuario (Arribado - mortalidad)'!BA22</f>
        <v/>
      </c>
      <c r="BV10" s="154" t="str">
        <f>'Acuario (Arribado - mortalidad)'!BB22</f>
        <v/>
      </c>
      <c r="BW10" s="154" t="str">
        <f>'Acuario (Arribado - mortalidad)'!BC22</f>
        <v/>
      </c>
      <c r="BX10" s="154">
        <f>'Acuario (Arribado - mortalidad)'!BD22</f>
        <v>0</v>
      </c>
      <c r="BY10" s="154" t="str">
        <f>'Acuario (Arribado - mortalidad)'!BE22</f>
        <v/>
      </c>
      <c r="BZ10" s="23" t="str">
        <f>'Acuario (Arribado - mortalidad)'!BF22</f>
        <v/>
      </c>
    </row>
    <row r="11" spans="1:78" x14ac:dyDescent="0.25">
      <c r="A11" s="154" t="str">
        <f>IF(U11&lt;&gt;0,'ORDEN DE CUARENTENA'!$AE$2,"")</f>
        <v/>
      </c>
      <c r="B11" s="190" t="str">
        <f>IF(U11&lt;&gt;0,'ORDEN DE CUARENTENA'!$AE$3,"")</f>
        <v/>
      </c>
      <c r="C11" s="174" t="str">
        <f t="shared" si="0"/>
        <v/>
      </c>
      <c r="D11" s="329" t="str">
        <f>IF(U11&lt;&gt;0,'ORDEN DE CUARENTENA'!$I$6,"")</f>
        <v/>
      </c>
      <c r="E11" s="174" t="str">
        <f>IF(U11&lt;&gt;0,TEXT('ORDEN DE CUARENTENA'!$I$6,"aaa"),"")</f>
        <v/>
      </c>
      <c r="F11" s="173" t="str">
        <f>IF(U11&lt;&gt;0,TEXT('ORDEN DE CUARENTENA'!$I$6,"dd"),"")</f>
        <v/>
      </c>
      <c r="G11" s="172" t="str">
        <f>IF(U11&lt;&gt;0,TEXT('ORDEN DE CUARENTENA'!$I$6,"mm"),"")</f>
        <v/>
      </c>
      <c r="H11" s="171" t="str">
        <f>IF(U11&lt;&gt;0,TEXT('ORDEN DE CUARENTENA'!$I$6,"yyyy"),"")</f>
        <v/>
      </c>
      <c r="I11" s="154" t="str">
        <f>IF(U11&lt;&gt;0,'ORDEN DE CUARENTENA'!$H$7,"")</f>
        <v/>
      </c>
      <c r="J11" s="154" t="str">
        <f>IF(U11&lt;&gt;0,'ORDEN DE CUARENTENA'!$H$9,"")</f>
        <v/>
      </c>
      <c r="K11" s="154" t="str">
        <f>IF(U11&lt;&gt;0,'ORDEN DE CUARENTENA'!$Q$9,"")</f>
        <v/>
      </c>
      <c r="L11" s="154" t="str">
        <f>IFERROR(VLOOKUP(U11,Item[],4,FALSE),IFERROR(VLOOKUP(U11,Item2[],4,FALSE),""))</f>
        <v/>
      </c>
      <c r="M11" s="154" t="str">
        <f>IFERROR(VLOOKUP(U11,Item[],5,FALSE),IFERROR(VLOOKUP(U11,Item2[],5,FALSE),""))</f>
        <v/>
      </c>
      <c r="N11" s="154" t="str">
        <f>IFERROR(VLOOKUP(W11,SuscepEARs[],2,FALSE),"")</f>
        <v/>
      </c>
      <c r="O11" s="154" t="str">
        <f>IFERROR(VLOOKUP(DatosAll[[#This Row],[ESPECIE]],CITES[],2,FALSE),"")</f>
        <v/>
      </c>
      <c r="P11" s="154">
        <f>IFERROR(VLOOKUP(T11,Hallazgo[],2,FALSE),"")</f>
        <v>0</v>
      </c>
      <c r="Q11" s="154">
        <f>IFERROR(VLOOKUP(T11,Hallazgo[],3,FALSE),"")</f>
        <v>0</v>
      </c>
      <c r="R11" s="154">
        <f>IFERROR(VLOOKUP(T11,Hallazgo[],4,FALSE),"")</f>
        <v>0</v>
      </c>
      <c r="S11" s="154">
        <f>IFERROR(VLOOKUP(T11,Hallazgo[],5,FALSE),"")</f>
        <v>0</v>
      </c>
      <c r="T11" s="154">
        <f>'Acuario (Arribado - mortalidad)'!C23</f>
        <v>0</v>
      </c>
      <c r="U11" s="154">
        <f>'Acuario (Arribado - mortalidad)'!B23</f>
        <v>0</v>
      </c>
      <c r="V11" s="154" t="str">
        <f>'Acuario (Arribado - mortalidad)'!D23</f>
        <v/>
      </c>
      <c r="W11" s="154" t="str">
        <f>'Acuario (Arribado - mortalidad)'!E23</f>
        <v/>
      </c>
      <c r="X11" s="154">
        <f>'Acuario (Arribado - mortalidad)'!F23</f>
        <v>0</v>
      </c>
      <c r="Y11" s="154">
        <f>'Acuario (Arribado - mortalidad)'!H23</f>
        <v>0</v>
      </c>
      <c r="Z11" s="154">
        <f>'Acuario (Arribado - mortalidad)'!I23</f>
        <v>0</v>
      </c>
      <c r="AA11" s="154">
        <f>'Acuario (Arribado - mortalidad)'!J23</f>
        <v>0</v>
      </c>
      <c r="AB11" s="154" t="str">
        <f>'Acuario (Arribado - mortalidad)'!K23</f>
        <v/>
      </c>
      <c r="AC11" s="334" t="str">
        <f>IFERROR(('Acuario (Arribado - mortalidad)'!K23/DatosAll[[#This Row],[N_INDIVIDUOS]])*100,"")</f>
        <v/>
      </c>
      <c r="AD11" s="334" t="str">
        <f>IFERROR(('Acuario (Arribado - mortalidad)'!O23/DatosAll[[#This Row],[N_INDIVIDUOS]])*100,"")</f>
        <v/>
      </c>
      <c r="AE11" s="334" t="str">
        <f>IFERROR(('Acuario (Arribado - mortalidad)'!BG23/DatosAll[[#This Row],[N_INDIVIDUOS]])*100,"")</f>
        <v/>
      </c>
      <c r="AF11" s="334" t="str">
        <f>IFERROR(('Acuario (Arribado - mortalidad)'!BH23/DatosAll[[#This Row],[N_INDIVIDUOS]])*100,"")</f>
        <v/>
      </c>
      <c r="AG11" s="154">
        <f>'Acuario (Arribado - mortalidad)'!M23</f>
        <v>0</v>
      </c>
      <c r="AH11" s="154" t="str">
        <f>'Acuario (Arribado - mortalidad)'!G23</f>
        <v/>
      </c>
      <c r="AI11" s="154">
        <f>'Acuario (Arribado - mortalidad)'!O23</f>
        <v>0</v>
      </c>
      <c r="AJ11" s="154">
        <f>'Acuario (Arribado - mortalidad)'!P23</f>
        <v>0</v>
      </c>
      <c r="AK11" s="154">
        <f>'Acuario (Arribado - mortalidad)'!Q23</f>
        <v>0</v>
      </c>
      <c r="AL11" s="154">
        <f>'Acuario (Arribado - mortalidad)'!R23</f>
        <v>0</v>
      </c>
      <c r="AM11" s="154">
        <f>'Acuario (Arribado - mortalidad)'!S23</f>
        <v>0</v>
      </c>
      <c r="AN11" s="154">
        <f>'Acuario (Arribado - mortalidad)'!T23</f>
        <v>0</v>
      </c>
      <c r="AO11" s="154">
        <f>'Acuario (Arribado - mortalidad)'!U23</f>
        <v>0</v>
      </c>
      <c r="AP11" s="154">
        <f>'Acuario (Arribado - mortalidad)'!V23</f>
        <v>0</v>
      </c>
      <c r="AQ11" s="154">
        <f>'Acuario (Arribado - mortalidad)'!W23</f>
        <v>0</v>
      </c>
      <c r="AR11" s="154">
        <f>'Acuario (Arribado - mortalidad)'!X23</f>
        <v>0</v>
      </c>
      <c r="AS11" s="154">
        <f>'Acuario (Arribado - mortalidad)'!Y23</f>
        <v>0</v>
      </c>
      <c r="AT11" s="154">
        <f>'Acuario (Arribado - mortalidad)'!Z23</f>
        <v>0</v>
      </c>
      <c r="AU11" s="154">
        <f>'Acuario (Arribado - mortalidad)'!AA23</f>
        <v>0</v>
      </c>
      <c r="AV11" s="154">
        <f>'Acuario (Arribado - mortalidad)'!AB23</f>
        <v>0</v>
      </c>
      <c r="AW11" s="154">
        <f>'Acuario (Arribado - mortalidad)'!AC23</f>
        <v>0</v>
      </c>
      <c r="AX11" s="154">
        <f>'Acuario (Arribado - mortalidad)'!AD23</f>
        <v>0</v>
      </c>
      <c r="AY11" s="154">
        <f>'Acuario (Arribado - mortalidad)'!AE23</f>
        <v>0</v>
      </c>
      <c r="AZ11" s="154">
        <f>'Acuario (Arribado - mortalidad)'!AF23</f>
        <v>0</v>
      </c>
      <c r="BA11" s="154">
        <f>'Acuario (Arribado - mortalidad)'!AG23</f>
        <v>0</v>
      </c>
      <c r="BB11" s="154">
        <f>'Acuario (Arribado - mortalidad)'!AH23</f>
        <v>0</v>
      </c>
      <c r="BC11" s="154">
        <f>'Acuario (Arribado - mortalidad)'!AI23</f>
        <v>0</v>
      </c>
      <c r="BD11" s="154">
        <f>'Acuario (Arribado - mortalidad)'!AJ23</f>
        <v>0</v>
      </c>
      <c r="BE11" s="154">
        <f>'Acuario (Arribado - mortalidad)'!AK23</f>
        <v>0</v>
      </c>
      <c r="BF11" s="154">
        <f>'Acuario (Arribado - mortalidad)'!AL23</f>
        <v>0</v>
      </c>
      <c r="BG11" s="154">
        <f>'Acuario (Arribado - mortalidad)'!AM23</f>
        <v>0</v>
      </c>
      <c r="BH11" s="154">
        <f>'Acuario (Arribado - mortalidad)'!AN23</f>
        <v>0</v>
      </c>
      <c r="BI11" s="154">
        <f>'Acuario (Arribado - mortalidad)'!AO23</f>
        <v>0</v>
      </c>
      <c r="BJ11" s="154">
        <f>'Acuario (Arribado - mortalidad)'!AP23</f>
        <v>0</v>
      </c>
      <c r="BK11" s="154">
        <f>'Acuario (Arribado - mortalidad)'!AQ23</f>
        <v>0</v>
      </c>
      <c r="BL11" s="154">
        <f>'Acuario (Arribado - mortalidad)'!AR23</f>
        <v>0</v>
      </c>
      <c r="BM11" s="154" t="str">
        <f>'Acuario (Arribado - mortalidad)'!AS23</f>
        <v/>
      </c>
      <c r="BN11" s="154">
        <f>'Acuario (Arribado - mortalidad)'!AT23</f>
        <v>0</v>
      </c>
      <c r="BO11" s="154">
        <f>'Acuario (Arribado - mortalidad)'!AU23</f>
        <v>0</v>
      </c>
      <c r="BP11" s="154">
        <f>'Acuario (Arribado - mortalidad)'!AV23</f>
        <v>0</v>
      </c>
      <c r="BQ11" s="154" t="str">
        <f>'Acuario (Arribado - mortalidad)'!AW23</f>
        <v/>
      </c>
      <c r="BR11" s="154">
        <f>'Acuario (Arribado - mortalidad)'!AX23</f>
        <v>0</v>
      </c>
      <c r="BS11" s="154">
        <f>'Acuario (Arribado - mortalidad)'!AY23</f>
        <v>0</v>
      </c>
      <c r="BT11" s="154" t="str">
        <f>'Acuario (Arribado - mortalidad)'!AZ23</f>
        <v/>
      </c>
      <c r="BU11" s="154" t="str">
        <f>'Acuario (Arribado - mortalidad)'!BA23</f>
        <v/>
      </c>
      <c r="BV11" s="154" t="str">
        <f>'Acuario (Arribado - mortalidad)'!BB23</f>
        <v/>
      </c>
      <c r="BW11" s="154" t="str">
        <f>'Acuario (Arribado - mortalidad)'!BC23</f>
        <v/>
      </c>
      <c r="BX11" s="154">
        <f>'Acuario (Arribado - mortalidad)'!BD23</f>
        <v>0</v>
      </c>
      <c r="BY11" s="154" t="str">
        <f>'Acuario (Arribado - mortalidad)'!BE23</f>
        <v/>
      </c>
      <c r="BZ11" s="23" t="str">
        <f>'Acuario (Arribado - mortalidad)'!BF23</f>
        <v/>
      </c>
    </row>
    <row r="12" spans="1:78" x14ac:dyDescent="0.25">
      <c r="A12" s="154" t="str">
        <f>IF(U12&lt;&gt;0,'ORDEN DE CUARENTENA'!$AE$2,"")</f>
        <v/>
      </c>
      <c r="B12" s="190" t="str">
        <f>IF(U12&lt;&gt;0,'ORDEN DE CUARENTENA'!$AE$3,"")</f>
        <v/>
      </c>
      <c r="C12" s="174" t="str">
        <f t="shared" si="0"/>
        <v/>
      </c>
      <c r="D12" s="329" t="str">
        <f>IF(U12&lt;&gt;0,'ORDEN DE CUARENTENA'!$I$6,"")</f>
        <v/>
      </c>
      <c r="E12" s="174" t="str">
        <f>IF(U12&lt;&gt;0,TEXT('ORDEN DE CUARENTENA'!$I$6,"aaa"),"")</f>
        <v/>
      </c>
      <c r="F12" s="173" t="str">
        <f>IF(U12&lt;&gt;0,TEXT('ORDEN DE CUARENTENA'!$I$6,"dd"),"")</f>
        <v/>
      </c>
      <c r="G12" s="172" t="str">
        <f>IF(U12&lt;&gt;0,TEXT('ORDEN DE CUARENTENA'!$I$6,"mm"),"")</f>
        <v/>
      </c>
      <c r="H12" s="171" t="str">
        <f>IF(U12&lt;&gt;0,TEXT('ORDEN DE CUARENTENA'!$I$6,"yyyy"),"")</f>
        <v/>
      </c>
      <c r="I12" s="154" t="str">
        <f>IF(U12&lt;&gt;0,'ORDEN DE CUARENTENA'!$H$7,"")</f>
        <v/>
      </c>
      <c r="J12" s="154" t="str">
        <f>IF(U12&lt;&gt;0,'ORDEN DE CUARENTENA'!$H$9,"")</f>
        <v/>
      </c>
      <c r="K12" s="154" t="str">
        <f>IF(U12&lt;&gt;0,'ORDEN DE CUARENTENA'!$Q$9,"")</f>
        <v/>
      </c>
      <c r="L12" s="154" t="str">
        <f>IFERROR(VLOOKUP(U12,Item[],4,FALSE),IFERROR(VLOOKUP(U12,Item2[],4,FALSE),""))</f>
        <v/>
      </c>
      <c r="M12" s="154" t="str">
        <f>IFERROR(VLOOKUP(U12,Item[],5,FALSE),IFERROR(VLOOKUP(U12,Item2[],5,FALSE),""))</f>
        <v/>
      </c>
      <c r="N12" s="154" t="str">
        <f>IFERROR(VLOOKUP(W12,SuscepEARs[],2,FALSE),"")</f>
        <v/>
      </c>
      <c r="O12" s="154" t="str">
        <f>IFERROR(VLOOKUP(DatosAll[[#This Row],[ESPECIE]],CITES[],2,FALSE),"")</f>
        <v/>
      </c>
      <c r="P12" s="154">
        <f>IFERROR(VLOOKUP(T12,Hallazgo[],2,FALSE),"")</f>
        <v>0</v>
      </c>
      <c r="Q12" s="154">
        <f>IFERROR(VLOOKUP(T12,Hallazgo[],3,FALSE),"")</f>
        <v>0</v>
      </c>
      <c r="R12" s="154">
        <f>IFERROR(VLOOKUP(T12,Hallazgo[],4,FALSE),"")</f>
        <v>0</v>
      </c>
      <c r="S12" s="154">
        <f>IFERROR(VLOOKUP(T12,Hallazgo[],5,FALSE),"")</f>
        <v>0</v>
      </c>
      <c r="T12" s="154">
        <f>'Acuario (Arribado - mortalidad)'!C24</f>
        <v>0</v>
      </c>
      <c r="U12" s="154">
        <f>'Acuario (Arribado - mortalidad)'!B24</f>
        <v>0</v>
      </c>
      <c r="V12" s="154" t="str">
        <f>'Acuario (Arribado - mortalidad)'!D24</f>
        <v/>
      </c>
      <c r="W12" s="154" t="str">
        <f>'Acuario (Arribado - mortalidad)'!E24</f>
        <v/>
      </c>
      <c r="X12" s="154">
        <f>'Acuario (Arribado - mortalidad)'!F24</f>
        <v>0</v>
      </c>
      <c r="Y12" s="154">
        <f>'Acuario (Arribado - mortalidad)'!H24</f>
        <v>0</v>
      </c>
      <c r="Z12" s="154">
        <f>'Acuario (Arribado - mortalidad)'!I24</f>
        <v>0</v>
      </c>
      <c r="AA12" s="154">
        <f>'Acuario (Arribado - mortalidad)'!J24</f>
        <v>0</v>
      </c>
      <c r="AB12" s="154" t="str">
        <f>'Acuario (Arribado - mortalidad)'!K24</f>
        <v/>
      </c>
      <c r="AC12" s="334" t="str">
        <f>IFERROR(('Acuario (Arribado - mortalidad)'!K24/DatosAll[[#This Row],[N_INDIVIDUOS]])*100,"")</f>
        <v/>
      </c>
      <c r="AD12" s="334" t="str">
        <f>IFERROR(('Acuario (Arribado - mortalidad)'!O24/DatosAll[[#This Row],[N_INDIVIDUOS]])*100,"")</f>
        <v/>
      </c>
      <c r="AE12" s="334" t="str">
        <f>IFERROR(('Acuario (Arribado - mortalidad)'!BG24/DatosAll[[#This Row],[N_INDIVIDUOS]])*100,"")</f>
        <v/>
      </c>
      <c r="AF12" s="334" t="str">
        <f>IFERROR(('Acuario (Arribado - mortalidad)'!BH24/DatosAll[[#This Row],[N_INDIVIDUOS]])*100,"")</f>
        <v/>
      </c>
      <c r="AG12" s="154">
        <f>'Acuario (Arribado - mortalidad)'!M24</f>
        <v>0</v>
      </c>
      <c r="AH12" s="154" t="str">
        <f>'Acuario (Arribado - mortalidad)'!G24</f>
        <v/>
      </c>
      <c r="AI12" s="154">
        <f>'Acuario (Arribado - mortalidad)'!O24</f>
        <v>0</v>
      </c>
      <c r="AJ12" s="154">
        <f>'Acuario (Arribado - mortalidad)'!P24</f>
        <v>0</v>
      </c>
      <c r="AK12" s="154">
        <f>'Acuario (Arribado - mortalidad)'!Q24</f>
        <v>0</v>
      </c>
      <c r="AL12" s="154">
        <f>'Acuario (Arribado - mortalidad)'!R24</f>
        <v>0</v>
      </c>
      <c r="AM12" s="154">
        <f>'Acuario (Arribado - mortalidad)'!S24</f>
        <v>0</v>
      </c>
      <c r="AN12" s="154">
        <f>'Acuario (Arribado - mortalidad)'!T24</f>
        <v>0</v>
      </c>
      <c r="AO12" s="154">
        <f>'Acuario (Arribado - mortalidad)'!U24</f>
        <v>0</v>
      </c>
      <c r="AP12" s="154">
        <f>'Acuario (Arribado - mortalidad)'!V24</f>
        <v>0</v>
      </c>
      <c r="AQ12" s="154">
        <f>'Acuario (Arribado - mortalidad)'!W24</f>
        <v>0</v>
      </c>
      <c r="AR12" s="154">
        <f>'Acuario (Arribado - mortalidad)'!X24</f>
        <v>0</v>
      </c>
      <c r="AS12" s="154">
        <f>'Acuario (Arribado - mortalidad)'!Y24</f>
        <v>0</v>
      </c>
      <c r="AT12" s="154">
        <f>'Acuario (Arribado - mortalidad)'!Z24</f>
        <v>0</v>
      </c>
      <c r="AU12" s="154">
        <f>'Acuario (Arribado - mortalidad)'!AA24</f>
        <v>0</v>
      </c>
      <c r="AV12" s="154">
        <f>'Acuario (Arribado - mortalidad)'!AB24</f>
        <v>0</v>
      </c>
      <c r="AW12" s="154">
        <f>'Acuario (Arribado - mortalidad)'!AC24</f>
        <v>0</v>
      </c>
      <c r="AX12" s="154">
        <f>'Acuario (Arribado - mortalidad)'!AD24</f>
        <v>0</v>
      </c>
      <c r="AY12" s="154">
        <f>'Acuario (Arribado - mortalidad)'!AE24</f>
        <v>0</v>
      </c>
      <c r="AZ12" s="154">
        <f>'Acuario (Arribado - mortalidad)'!AF24</f>
        <v>0</v>
      </c>
      <c r="BA12" s="154">
        <f>'Acuario (Arribado - mortalidad)'!AG24</f>
        <v>0</v>
      </c>
      <c r="BB12" s="154">
        <f>'Acuario (Arribado - mortalidad)'!AH24</f>
        <v>0</v>
      </c>
      <c r="BC12" s="154">
        <f>'Acuario (Arribado - mortalidad)'!AI24</f>
        <v>0</v>
      </c>
      <c r="BD12" s="154">
        <f>'Acuario (Arribado - mortalidad)'!AJ24</f>
        <v>0</v>
      </c>
      <c r="BE12" s="154">
        <f>'Acuario (Arribado - mortalidad)'!AK24</f>
        <v>0</v>
      </c>
      <c r="BF12" s="154">
        <f>'Acuario (Arribado - mortalidad)'!AL24</f>
        <v>0</v>
      </c>
      <c r="BG12" s="154">
        <f>'Acuario (Arribado - mortalidad)'!AM24</f>
        <v>0</v>
      </c>
      <c r="BH12" s="154">
        <f>'Acuario (Arribado - mortalidad)'!AN24</f>
        <v>0</v>
      </c>
      <c r="BI12" s="154">
        <f>'Acuario (Arribado - mortalidad)'!AO24</f>
        <v>0</v>
      </c>
      <c r="BJ12" s="154">
        <f>'Acuario (Arribado - mortalidad)'!AP24</f>
        <v>0</v>
      </c>
      <c r="BK12" s="154">
        <f>'Acuario (Arribado - mortalidad)'!AQ24</f>
        <v>0</v>
      </c>
      <c r="BL12" s="154">
        <f>'Acuario (Arribado - mortalidad)'!AR24</f>
        <v>0</v>
      </c>
      <c r="BM12" s="154" t="str">
        <f>'Acuario (Arribado - mortalidad)'!AS24</f>
        <v/>
      </c>
      <c r="BN12" s="154">
        <f>'Acuario (Arribado - mortalidad)'!AT24</f>
        <v>0</v>
      </c>
      <c r="BO12" s="154">
        <f>'Acuario (Arribado - mortalidad)'!AU24</f>
        <v>0</v>
      </c>
      <c r="BP12" s="154">
        <f>'Acuario (Arribado - mortalidad)'!AV24</f>
        <v>0</v>
      </c>
      <c r="BQ12" s="154" t="str">
        <f>'Acuario (Arribado - mortalidad)'!AW24</f>
        <v/>
      </c>
      <c r="BR12" s="154">
        <f>'Acuario (Arribado - mortalidad)'!AX24</f>
        <v>0</v>
      </c>
      <c r="BS12" s="154">
        <f>'Acuario (Arribado - mortalidad)'!AY24</f>
        <v>0</v>
      </c>
      <c r="BT12" s="154" t="str">
        <f>'Acuario (Arribado - mortalidad)'!AZ24</f>
        <v/>
      </c>
      <c r="BU12" s="154" t="str">
        <f>'Acuario (Arribado - mortalidad)'!BA24</f>
        <v/>
      </c>
      <c r="BV12" s="154" t="str">
        <f>'Acuario (Arribado - mortalidad)'!BB24</f>
        <v/>
      </c>
      <c r="BW12" s="154" t="str">
        <f>'Acuario (Arribado - mortalidad)'!BC24</f>
        <v/>
      </c>
      <c r="BX12" s="154">
        <f>'Acuario (Arribado - mortalidad)'!BD24</f>
        <v>0</v>
      </c>
      <c r="BY12" s="154" t="str">
        <f>'Acuario (Arribado - mortalidad)'!BE24</f>
        <v/>
      </c>
      <c r="BZ12" s="23" t="str">
        <f>'Acuario (Arribado - mortalidad)'!BF24</f>
        <v/>
      </c>
    </row>
    <row r="13" spans="1:78" x14ac:dyDescent="0.25">
      <c r="A13" s="154" t="str">
        <f>IF(U13&lt;&gt;0,'ORDEN DE CUARENTENA'!$AE$2,"")</f>
        <v/>
      </c>
      <c r="B13" s="190" t="str">
        <f>IF(U13&lt;&gt;0,'ORDEN DE CUARENTENA'!$AE$3,"")</f>
        <v/>
      </c>
      <c r="C13" s="174" t="str">
        <f t="shared" si="0"/>
        <v/>
      </c>
      <c r="D13" s="329" t="str">
        <f>IF(U13&lt;&gt;0,'ORDEN DE CUARENTENA'!$I$6,"")</f>
        <v/>
      </c>
      <c r="E13" s="174" t="str">
        <f>IF(U13&lt;&gt;0,TEXT('ORDEN DE CUARENTENA'!$I$6,"aaa"),"")</f>
        <v/>
      </c>
      <c r="F13" s="173" t="str">
        <f>IF(U13&lt;&gt;0,TEXT('ORDEN DE CUARENTENA'!$I$6,"dd"),"")</f>
        <v/>
      </c>
      <c r="G13" s="172" t="str">
        <f>IF(U13&lt;&gt;0,TEXT('ORDEN DE CUARENTENA'!$I$6,"mm"),"")</f>
        <v/>
      </c>
      <c r="H13" s="171" t="str">
        <f>IF(U13&lt;&gt;0,TEXT('ORDEN DE CUARENTENA'!$I$6,"yyyy"),"")</f>
        <v/>
      </c>
      <c r="I13" s="154" t="str">
        <f>IF(U13&lt;&gt;0,'ORDEN DE CUARENTENA'!$H$7,"")</f>
        <v/>
      </c>
      <c r="J13" s="154" t="str">
        <f>IF(U13&lt;&gt;0,'ORDEN DE CUARENTENA'!$H$9,"")</f>
        <v/>
      </c>
      <c r="K13" s="154" t="str">
        <f>IF(U13&lt;&gt;0,'ORDEN DE CUARENTENA'!$Q$9,"")</f>
        <v/>
      </c>
      <c r="L13" s="154" t="str">
        <f>IFERROR(VLOOKUP(U13,Item[],4,FALSE),IFERROR(VLOOKUP(U13,Item2[],4,FALSE),""))</f>
        <v/>
      </c>
      <c r="M13" s="154" t="str">
        <f>IFERROR(VLOOKUP(U13,Item[],5,FALSE),IFERROR(VLOOKUP(U13,Item2[],5,FALSE),""))</f>
        <v/>
      </c>
      <c r="N13" s="154" t="str">
        <f>IFERROR(VLOOKUP(W13,SuscepEARs[],2,FALSE),"")</f>
        <v/>
      </c>
      <c r="O13" s="154" t="str">
        <f>IFERROR(VLOOKUP(DatosAll[[#This Row],[ESPECIE]],CITES[],2,FALSE),"")</f>
        <v/>
      </c>
      <c r="P13" s="154">
        <f>IFERROR(VLOOKUP(T13,Hallazgo[],2,FALSE),"")</f>
        <v>0</v>
      </c>
      <c r="Q13" s="154">
        <f>IFERROR(VLOOKUP(T13,Hallazgo[],3,FALSE),"")</f>
        <v>0</v>
      </c>
      <c r="R13" s="154">
        <f>IFERROR(VLOOKUP(T13,Hallazgo[],4,FALSE),"")</f>
        <v>0</v>
      </c>
      <c r="S13" s="154">
        <f>IFERROR(VLOOKUP(T13,Hallazgo[],5,FALSE),"")</f>
        <v>0</v>
      </c>
      <c r="T13" s="154">
        <f>'Acuario (Arribado - mortalidad)'!C25</f>
        <v>0</v>
      </c>
      <c r="U13" s="154">
        <f>'Acuario (Arribado - mortalidad)'!B25</f>
        <v>0</v>
      </c>
      <c r="V13" s="154" t="str">
        <f>'Acuario (Arribado - mortalidad)'!D25</f>
        <v/>
      </c>
      <c r="W13" s="154" t="str">
        <f>'Acuario (Arribado - mortalidad)'!E25</f>
        <v/>
      </c>
      <c r="X13" s="154">
        <f>'Acuario (Arribado - mortalidad)'!F25</f>
        <v>0</v>
      </c>
      <c r="Y13" s="154">
        <f>'Acuario (Arribado - mortalidad)'!H25</f>
        <v>0</v>
      </c>
      <c r="Z13" s="154">
        <f>'Acuario (Arribado - mortalidad)'!I25</f>
        <v>0</v>
      </c>
      <c r="AA13" s="154">
        <f>'Acuario (Arribado - mortalidad)'!J25</f>
        <v>0</v>
      </c>
      <c r="AB13" s="154" t="str">
        <f>'Acuario (Arribado - mortalidad)'!K25</f>
        <v/>
      </c>
      <c r="AC13" s="334" t="str">
        <f>IFERROR(('Acuario (Arribado - mortalidad)'!K25/DatosAll[[#This Row],[N_INDIVIDUOS]])*100,"")</f>
        <v/>
      </c>
      <c r="AD13" s="334" t="str">
        <f>IFERROR(('Acuario (Arribado - mortalidad)'!O25/DatosAll[[#This Row],[N_INDIVIDUOS]])*100,"")</f>
        <v/>
      </c>
      <c r="AE13" s="334" t="str">
        <f>IFERROR(('Acuario (Arribado - mortalidad)'!BG25/DatosAll[[#This Row],[N_INDIVIDUOS]])*100,"")</f>
        <v/>
      </c>
      <c r="AF13" s="334" t="str">
        <f>IFERROR(('Acuario (Arribado - mortalidad)'!BH25/DatosAll[[#This Row],[N_INDIVIDUOS]])*100,"")</f>
        <v/>
      </c>
      <c r="AG13" s="154">
        <f>'Acuario (Arribado - mortalidad)'!M25</f>
        <v>0</v>
      </c>
      <c r="AH13" s="154" t="str">
        <f>'Acuario (Arribado - mortalidad)'!G25</f>
        <v/>
      </c>
      <c r="AI13" s="154">
        <f>'Acuario (Arribado - mortalidad)'!O25</f>
        <v>0</v>
      </c>
      <c r="AJ13" s="154">
        <f>'Acuario (Arribado - mortalidad)'!P25</f>
        <v>0</v>
      </c>
      <c r="AK13" s="154">
        <f>'Acuario (Arribado - mortalidad)'!Q25</f>
        <v>0</v>
      </c>
      <c r="AL13" s="154">
        <f>'Acuario (Arribado - mortalidad)'!R25</f>
        <v>0</v>
      </c>
      <c r="AM13" s="154">
        <f>'Acuario (Arribado - mortalidad)'!S25</f>
        <v>0</v>
      </c>
      <c r="AN13" s="154">
        <f>'Acuario (Arribado - mortalidad)'!T25</f>
        <v>0</v>
      </c>
      <c r="AO13" s="154">
        <f>'Acuario (Arribado - mortalidad)'!U25</f>
        <v>0</v>
      </c>
      <c r="AP13" s="154">
        <f>'Acuario (Arribado - mortalidad)'!V25</f>
        <v>0</v>
      </c>
      <c r="AQ13" s="154">
        <f>'Acuario (Arribado - mortalidad)'!W25</f>
        <v>0</v>
      </c>
      <c r="AR13" s="154">
        <f>'Acuario (Arribado - mortalidad)'!X25</f>
        <v>0</v>
      </c>
      <c r="AS13" s="154">
        <f>'Acuario (Arribado - mortalidad)'!Y25</f>
        <v>0</v>
      </c>
      <c r="AT13" s="154">
        <f>'Acuario (Arribado - mortalidad)'!Z25</f>
        <v>0</v>
      </c>
      <c r="AU13" s="154">
        <f>'Acuario (Arribado - mortalidad)'!AA25</f>
        <v>0</v>
      </c>
      <c r="AV13" s="154">
        <f>'Acuario (Arribado - mortalidad)'!AB25</f>
        <v>0</v>
      </c>
      <c r="AW13" s="154">
        <f>'Acuario (Arribado - mortalidad)'!AC25</f>
        <v>0</v>
      </c>
      <c r="AX13" s="154">
        <f>'Acuario (Arribado - mortalidad)'!AD25</f>
        <v>0</v>
      </c>
      <c r="AY13" s="154">
        <f>'Acuario (Arribado - mortalidad)'!AE25</f>
        <v>0</v>
      </c>
      <c r="AZ13" s="154">
        <f>'Acuario (Arribado - mortalidad)'!AF25</f>
        <v>0</v>
      </c>
      <c r="BA13" s="154">
        <f>'Acuario (Arribado - mortalidad)'!AG25</f>
        <v>0</v>
      </c>
      <c r="BB13" s="154">
        <f>'Acuario (Arribado - mortalidad)'!AH25</f>
        <v>0</v>
      </c>
      <c r="BC13" s="154">
        <f>'Acuario (Arribado - mortalidad)'!AI25</f>
        <v>0</v>
      </c>
      <c r="BD13" s="154">
        <f>'Acuario (Arribado - mortalidad)'!AJ25</f>
        <v>0</v>
      </c>
      <c r="BE13" s="154">
        <f>'Acuario (Arribado - mortalidad)'!AK25</f>
        <v>0</v>
      </c>
      <c r="BF13" s="154">
        <f>'Acuario (Arribado - mortalidad)'!AL25</f>
        <v>0</v>
      </c>
      <c r="BG13" s="154">
        <f>'Acuario (Arribado - mortalidad)'!AM25</f>
        <v>0</v>
      </c>
      <c r="BH13" s="154">
        <f>'Acuario (Arribado - mortalidad)'!AN25</f>
        <v>0</v>
      </c>
      <c r="BI13" s="154">
        <f>'Acuario (Arribado - mortalidad)'!AO25</f>
        <v>0</v>
      </c>
      <c r="BJ13" s="154">
        <f>'Acuario (Arribado - mortalidad)'!AP25</f>
        <v>0</v>
      </c>
      <c r="BK13" s="154">
        <f>'Acuario (Arribado - mortalidad)'!AQ25</f>
        <v>0</v>
      </c>
      <c r="BL13" s="154">
        <f>'Acuario (Arribado - mortalidad)'!AR25</f>
        <v>0</v>
      </c>
      <c r="BM13" s="154" t="str">
        <f>'Acuario (Arribado - mortalidad)'!AS25</f>
        <v/>
      </c>
      <c r="BN13" s="154">
        <f>'Acuario (Arribado - mortalidad)'!AT25</f>
        <v>0</v>
      </c>
      <c r="BO13" s="154">
        <f>'Acuario (Arribado - mortalidad)'!AU25</f>
        <v>0</v>
      </c>
      <c r="BP13" s="154">
        <f>'Acuario (Arribado - mortalidad)'!AV25</f>
        <v>0</v>
      </c>
      <c r="BQ13" s="154" t="str">
        <f>'Acuario (Arribado - mortalidad)'!AW25</f>
        <v/>
      </c>
      <c r="BR13" s="154">
        <f>'Acuario (Arribado - mortalidad)'!AX25</f>
        <v>0</v>
      </c>
      <c r="BS13" s="154">
        <f>'Acuario (Arribado - mortalidad)'!AY25</f>
        <v>0</v>
      </c>
      <c r="BT13" s="154" t="str">
        <f>'Acuario (Arribado - mortalidad)'!AZ25</f>
        <v/>
      </c>
      <c r="BU13" s="154" t="str">
        <f>'Acuario (Arribado - mortalidad)'!BA25</f>
        <v/>
      </c>
      <c r="BV13" s="154" t="str">
        <f>'Acuario (Arribado - mortalidad)'!BB25</f>
        <v/>
      </c>
      <c r="BW13" s="154" t="str">
        <f>'Acuario (Arribado - mortalidad)'!BC25</f>
        <v/>
      </c>
      <c r="BX13" s="154">
        <f>'Acuario (Arribado - mortalidad)'!BD25</f>
        <v>0</v>
      </c>
      <c r="BY13" s="154" t="str">
        <f>'Acuario (Arribado - mortalidad)'!BE25</f>
        <v/>
      </c>
      <c r="BZ13" s="23" t="str">
        <f>'Acuario (Arribado - mortalidad)'!BF25</f>
        <v/>
      </c>
    </row>
    <row r="14" spans="1:78" x14ac:dyDescent="0.25">
      <c r="A14" s="154" t="str">
        <f>IF(U14&lt;&gt;0,'ORDEN DE CUARENTENA'!$AE$2,"")</f>
        <v/>
      </c>
      <c r="B14" s="190" t="str">
        <f>IF(U14&lt;&gt;0,'ORDEN DE CUARENTENA'!$AE$3,"")</f>
        <v/>
      </c>
      <c r="C14" s="174" t="str">
        <f t="shared" si="0"/>
        <v/>
      </c>
      <c r="D14" s="329" t="str">
        <f>IF(U14&lt;&gt;0,'ORDEN DE CUARENTENA'!$I$6,"")</f>
        <v/>
      </c>
      <c r="E14" s="174" t="str">
        <f>IF(U14&lt;&gt;0,TEXT('ORDEN DE CUARENTENA'!$I$6,"aaa"),"")</f>
        <v/>
      </c>
      <c r="F14" s="173" t="str">
        <f>IF(U14&lt;&gt;0,TEXT('ORDEN DE CUARENTENA'!$I$6,"dd"),"")</f>
        <v/>
      </c>
      <c r="G14" s="172" t="str">
        <f>IF(U14&lt;&gt;0,TEXT('ORDEN DE CUARENTENA'!$I$6,"mm"),"")</f>
        <v/>
      </c>
      <c r="H14" s="171" t="str">
        <f>IF(U14&lt;&gt;0,TEXT('ORDEN DE CUARENTENA'!$I$6,"yyyy"),"")</f>
        <v/>
      </c>
      <c r="I14" s="154" t="str">
        <f>IF(U14&lt;&gt;0,'ORDEN DE CUARENTENA'!$H$7,"")</f>
        <v/>
      </c>
      <c r="J14" s="154" t="str">
        <f>IF(U14&lt;&gt;0,'ORDEN DE CUARENTENA'!$H$9,"")</f>
        <v/>
      </c>
      <c r="K14" s="154" t="str">
        <f>IF(U14&lt;&gt;0,'ORDEN DE CUARENTENA'!$Q$9,"")</f>
        <v/>
      </c>
      <c r="L14" s="154" t="str">
        <f>IFERROR(VLOOKUP(U14,Item[],4,FALSE),IFERROR(VLOOKUP(U14,Item2[],4,FALSE),""))</f>
        <v/>
      </c>
      <c r="M14" s="154" t="str">
        <f>IFERROR(VLOOKUP(U14,Item[],5,FALSE),IFERROR(VLOOKUP(U14,Item2[],5,FALSE),""))</f>
        <v/>
      </c>
      <c r="N14" s="154" t="str">
        <f>IFERROR(VLOOKUP(W14,SuscepEARs[],2,FALSE),"")</f>
        <v/>
      </c>
      <c r="O14" s="154" t="str">
        <f>IFERROR(VLOOKUP(DatosAll[[#This Row],[ESPECIE]],CITES[],2,FALSE),"")</f>
        <v/>
      </c>
      <c r="P14" s="154">
        <f>IFERROR(VLOOKUP(T14,Hallazgo[],2,FALSE),"")</f>
        <v>0</v>
      </c>
      <c r="Q14" s="154">
        <f>IFERROR(VLOOKUP(T14,Hallazgo[],3,FALSE),"")</f>
        <v>0</v>
      </c>
      <c r="R14" s="154">
        <f>IFERROR(VLOOKUP(T14,Hallazgo[],4,FALSE),"")</f>
        <v>0</v>
      </c>
      <c r="S14" s="154">
        <f>IFERROR(VLOOKUP(T14,Hallazgo[],5,FALSE),"")</f>
        <v>0</v>
      </c>
      <c r="T14" s="154">
        <f>'Acuario (Arribado - mortalidad)'!C26</f>
        <v>0</v>
      </c>
      <c r="U14" s="154">
        <f>'Acuario (Arribado - mortalidad)'!B26</f>
        <v>0</v>
      </c>
      <c r="V14" s="154" t="str">
        <f>'Acuario (Arribado - mortalidad)'!D26</f>
        <v/>
      </c>
      <c r="W14" s="154" t="str">
        <f>'Acuario (Arribado - mortalidad)'!E26</f>
        <v/>
      </c>
      <c r="X14" s="154">
        <f>'Acuario (Arribado - mortalidad)'!F26</f>
        <v>0</v>
      </c>
      <c r="Y14" s="154">
        <f>'Acuario (Arribado - mortalidad)'!H26</f>
        <v>0</v>
      </c>
      <c r="Z14" s="154">
        <f>'Acuario (Arribado - mortalidad)'!I26</f>
        <v>0</v>
      </c>
      <c r="AA14" s="154">
        <f>'Acuario (Arribado - mortalidad)'!J26</f>
        <v>0</v>
      </c>
      <c r="AB14" s="154" t="str">
        <f>'Acuario (Arribado - mortalidad)'!K26</f>
        <v/>
      </c>
      <c r="AC14" s="334" t="str">
        <f>IFERROR(('Acuario (Arribado - mortalidad)'!K26/DatosAll[[#This Row],[N_INDIVIDUOS]])*100,"")</f>
        <v/>
      </c>
      <c r="AD14" s="334" t="str">
        <f>IFERROR(('Acuario (Arribado - mortalidad)'!O26/DatosAll[[#This Row],[N_INDIVIDUOS]])*100,"")</f>
        <v/>
      </c>
      <c r="AE14" s="334" t="str">
        <f>IFERROR(('Acuario (Arribado - mortalidad)'!BG26/DatosAll[[#This Row],[N_INDIVIDUOS]])*100,"")</f>
        <v/>
      </c>
      <c r="AF14" s="334" t="str">
        <f>IFERROR(('Acuario (Arribado - mortalidad)'!BH26/DatosAll[[#This Row],[N_INDIVIDUOS]])*100,"")</f>
        <v/>
      </c>
      <c r="AG14" s="154">
        <f>'Acuario (Arribado - mortalidad)'!M26</f>
        <v>0</v>
      </c>
      <c r="AH14" s="154" t="str">
        <f>'Acuario (Arribado - mortalidad)'!G26</f>
        <v/>
      </c>
      <c r="AI14" s="154">
        <f>'Acuario (Arribado - mortalidad)'!O26</f>
        <v>0</v>
      </c>
      <c r="AJ14" s="154">
        <f>'Acuario (Arribado - mortalidad)'!P26</f>
        <v>0</v>
      </c>
      <c r="AK14" s="154">
        <f>'Acuario (Arribado - mortalidad)'!Q26</f>
        <v>0</v>
      </c>
      <c r="AL14" s="154">
        <f>'Acuario (Arribado - mortalidad)'!R26</f>
        <v>0</v>
      </c>
      <c r="AM14" s="154">
        <f>'Acuario (Arribado - mortalidad)'!S26</f>
        <v>0</v>
      </c>
      <c r="AN14" s="154">
        <f>'Acuario (Arribado - mortalidad)'!T26</f>
        <v>0</v>
      </c>
      <c r="AO14" s="154">
        <f>'Acuario (Arribado - mortalidad)'!U26</f>
        <v>0</v>
      </c>
      <c r="AP14" s="154">
        <f>'Acuario (Arribado - mortalidad)'!V26</f>
        <v>0</v>
      </c>
      <c r="AQ14" s="154">
        <f>'Acuario (Arribado - mortalidad)'!W26</f>
        <v>0</v>
      </c>
      <c r="AR14" s="154">
        <f>'Acuario (Arribado - mortalidad)'!X26</f>
        <v>0</v>
      </c>
      <c r="AS14" s="154">
        <f>'Acuario (Arribado - mortalidad)'!Y26</f>
        <v>0</v>
      </c>
      <c r="AT14" s="154">
        <f>'Acuario (Arribado - mortalidad)'!Z26</f>
        <v>0</v>
      </c>
      <c r="AU14" s="154">
        <f>'Acuario (Arribado - mortalidad)'!AA26</f>
        <v>0</v>
      </c>
      <c r="AV14" s="154">
        <f>'Acuario (Arribado - mortalidad)'!AB26</f>
        <v>0</v>
      </c>
      <c r="AW14" s="154">
        <f>'Acuario (Arribado - mortalidad)'!AC26</f>
        <v>0</v>
      </c>
      <c r="AX14" s="154">
        <f>'Acuario (Arribado - mortalidad)'!AD26</f>
        <v>0</v>
      </c>
      <c r="AY14" s="154">
        <f>'Acuario (Arribado - mortalidad)'!AE26</f>
        <v>0</v>
      </c>
      <c r="AZ14" s="154">
        <f>'Acuario (Arribado - mortalidad)'!AF26</f>
        <v>0</v>
      </c>
      <c r="BA14" s="154">
        <f>'Acuario (Arribado - mortalidad)'!AG26</f>
        <v>0</v>
      </c>
      <c r="BB14" s="154">
        <f>'Acuario (Arribado - mortalidad)'!AH26</f>
        <v>0</v>
      </c>
      <c r="BC14" s="154">
        <f>'Acuario (Arribado - mortalidad)'!AI26</f>
        <v>0</v>
      </c>
      <c r="BD14" s="154">
        <f>'Acuario (Arribado - mortalidad)'!AJ26</f>
        <v>0</v>
      </c>
      <c r="BE14" s="154">
        <f>'Acuario (Arribado - mortalidad)'!AK26</f>
        <v>0</v>
      </c>
      <c r="BF14" s="154">
        <f>'Acuario (Arribado - mortalidad)'!AL26</f>
        <v>0</v>
      </c>
      <c r="BG14" s="154">
        <f>'Acuario (Arribado - mortalidad)'!AM26</f>
        <v>0</v>
      </c>
      <c r="BH14" s="154">
        <f>'Acuario (Arribado - mortalidad)'!AN26</f>
        <v>0</v>
      </c>
      <c r="BI14" s="154">
        <f>'Acuario (Arribado - mortalidad)'!AO26</f>
        <v>0</v>
      </c>
      <c r="BJ14" s="154">
        <f>'Acuario (Arribado - mortalidad)'!AP26</f>
        <v>0</v>
      </c>
      <c r="BK14" s="154">
        <f>'Acuario (Arribado - mortalidad)'!AQ26</f>
        <v>0</v>
      </c>
      <c r="BL14" s="154">
        <f>'Acuario (Arribado - mortalidad)'!AR26</f>
        <v>0</v>
      </c>
      <c r="BM14" s="154" t="str">
        <f>'Acuario (Arribado - mortalidad)'!AS26</f>
        <v/>
      </c>
      <c r="BN14" s="154">
        <f>'Acuario (Arribado - mortalidad)'!AT26</f>
        <v>0</v>
      </c>
      <c r="BO14" s="154">
        <f>'Acuario (Arribado - mortalidad)'!AU26</f>
        <v>0</v>
      </c>
      <c r="BP14" s="154">
        <f>'Acuario (Arribado - mortalidad)'!AV26</f>
        <v>0</v>
      </c>
      <c r="BQ14" s="154" t="str">
        <f>'Acuario (Arribado - mortalidad)'!AW26</f>
        <v/>
      </c>
      <c r="BR14" s="154">
        <f>'Acuario (Arribado - mortalidad)'!AX26</f>
        <v>0</v>
      </c>
      <c r="BS14" s="154">
        <f>'Acuario (Arribado - mortalidad)'!AY26</f>
        <v>0</v>
      </c>
      <c r="BT14" s="154" t="str">
        <f>'Acuario (Arribado - mortalidad)'!AZ26</f>
        <v/>
      </c>
      <c r="BU14" s="154" t="str">
        <f>'Acuario (Arribado - mortalidad)'!BA26</f>
        <v/>
      </c>
      <c r="BV14" s="154" t="str">
        <f>'Acuario (Arribado - mortalidad)'!BB26</f>
        <v/>
      </c>
      <c r="BW14" s="154" t="str">
        <f>'Acuario (Arribado - mortalidad)'!BC26</f>
        <v/>
      </c>
      <c r="BX14" s="154">
        <f>'Acuario (Arribado - mortalidad)'!BD26</f>
        <v>0</v>
      </c>
      <c r="BY14" s="154" t="str">
        <f>'Acuario (Arribado - mortalidad)'!BE26</f>
        <v/>
      </c>
      <c r="BZ14" s="23" t="str">
        <f>'Acuario (Arribado - mortalidad)'!BF26</f>
        <v/>
      </c>
    </row>
    <row r="15" spans="1:78" x14ac:dyDescent="0.25">
      <c r="A15" s="154" t="str">
        <f>IF(U15&lt;&gt;0,'ORDEN DE CUARENTENA'!$AE$2,"")</f>
        <v/>
      </c>
      <c r="B15" s="190" t="str">
        <f>IF(U15&lt;&gt;0,'ORDEN DE CUARENTENA'!$AE$3,"")</f>
        <v/>
      </c>
      <c r="C15" s="174" t="str">
        <f t="shared" si="0"/>
        <v/>
      </c>
      <c r="D15" s="329" t="str">
        <f>IF(U15&lt;&gt;0,'ORDEN DE CUARENTENA'!$I$6,"")</f>
        <v/>
      </c>
      <c r="E15" s="174" t="str">
        <f>IF(U15&lt;&gt;0,TEXT('ORDEN DE CUARENTENA'!$I$6,"aaa"),"")</f>
        <v/>
      </c>
      <c r="F15" s="173" t="str">
        <f>IF(U15&lt;&gt;0,TEXT('ORDEN DE CUARENTENA'!$I$6,"dd"),"")</f>
        <v/>
      </c>
      <c r="G15" s="172" t="str">
        <f>IF(U15&lt;&gt;0,TEXT('ORDEN DE CUARENTENA'!$I$6,"mm"),"")</f>
        <v/>
      </c>
      <c r="H15" s="171" t="str">
        <f>IF(U15&lt;&gt;0,TEXT('ORDEN DE CUARENTENA'!$I$6,"yyyy"),"")</f>
        <v/>
      </c>
      <c r="I15" s="154" t="str">
        <f>IF(U15&lt;&gt;0,'ORDEN DE CUARENTENA'!$H$7,"")</f>
        <v/>
      </c>
      <c r="J15" s="154" t="str">
        <f>IF(U15&lt;&gt;0,'ORDEN DE CUARENTENA'!$H$9,"")</f>
        <v/>
      </c>
      <c r="K15" s="154" t="str">
        <f>IF(U15&lt;&gt;0,'ORDEN DE CUARENTENA'!$Q$9,"")</f>
        <v/>
      </c>
      <c r="L15" s="154" t="str">
        <f>IFERROR(VLOOKUP(U15,Item[],4,FALSE),IFERROR(VLOOKUP(U15,Item2[],4,FALSE),""))</f>
        <v/>
      </c>
      <c r="M15" s="154" t="str">
        <f>IFERROR(VLOOKUP(U15,Item[],5,FALSE),IFERROR(VLOOKUP(U15,Item2[],5,FALSE),""))</f>
        <v/>
      </c>
      <c r="N15" s="154" t="str">
        <f>IFERROR(VLOOKUP(W15,SuscepEARs[],2,FALSE),"")</f>
        <v/>
      </c>
      <c r="O15" s="154" t="str">
        <f>IFERROR(VLOOKUP(DatosAll[[#This Row],[ESPECIE]],CITES[],2,FALSE),"")</f>
        <v/>
      </c>
      <c r="P15" s="154">
        <f>IFERROR(VLOOKUP(T15,Hallazgo[],2,FALSE),"")</f>
        <v>0</v>
      </c>
      <c r="Q15" s="154">
        <f>IFERROR(VLOOKUP(T15,Hallazgo[],3,FALSE),"")</f>
        <v>0</v>
      </c>
      <c r="R15" s="154">
        <f>IFERROR(VLOOKUP(T15,Hallazgo[],4,FALSE),"")</f>
        <v>0</v>
      </c>
      <c r="S15" s="154">
        <f>IFERROR(VLOOKUP(T15,Hallazgo[],5,FALSE),"")</f>
        <v>0</v>
      </c>
      <c r="T15" s="154">
        <f>'Acuario (Arribado - mortalidad)'!C27</f>
        <v>0</v>
      </c>
      <c r="U15" s="154">
        <f>'Acuario (Arribado - mortalidad)'!B27</f>
        <v>0</v>
      </c>
      <c r="V15" s="154" t="str">
        <f>'Acuario (Arribado - mortalidad)'!D27</f>
        <v/>
      </c>
      <c r="W15" s="154" t="str">
        <f>'Acuario (Arribado - mortalidad)'!E27</f>
        <v/>
      </c>
      <c r="X15" s="154">
        <f>'Acuario (Arribado - mortalidad)'!F27</f>
        <v>0</v>
      </c>
      <c r="Y15" s="154">
        <f>'Acuario (Arribado - mortalidad)'!H27</f>
        <v>0</v>
      </c>
      <c r="Z15" s="154">
        <f>'Acuario (Arribado - mortalidad)'!I27</f>
        <v>0</v>
      </c>
      <c r="AA15" s="154">
        <f>'Acuario (Arribado - mortalidad)'!J27</f>
        <v>0</v>
      </c>
      <c r="AB15" s="154" t="str">
        <f>'Acuario (Arribado - mortalidad)'!K27</f>
        <v/>
      </c>
      <c r="AC15" s="334" t="str">
        <f>IFERROR(('Acuario (Arribado - mortalidad)'!K27/DatosAll[[#This Row],[N_INDIVIDUOS]])*100,"")</f>
        <v/>
      </c>
      <c r="AD15" s="334" t="str">
        <f>IFERROR(('Acuario (Arribado - mortalidad)'!O27/DatosAll[[#This Row],[N_INDIVIDUOS]])*100,"")</f>
        <v/>
      </c>
      <c r="AE15" s="334" t="str">
        <f>IFERROR(('Acuario (Arribado - mortalidad)'!BG27/DatosAll[[#This Row],[N_INDIVIDUOS]])*100,"")</f>
        <v/>
      </c>
      <c r="AF15" s="334" t="str">
        <f>IFERROR(('Acuario (Arribado - mortalidad)'!BH27/DatosAll[[#This Row],[N_INDIVIDUOS]])*100,"")</f>
        <v/>
      </c>
      <c r="AG15" s="154">
        <f>'Acuario (Arribado - mortalidad)'!M27</f>
        <v>0</v>
      </c>
      <c r="AH15" s="154" t="str">
        <f>'Acuario (Arribado - mortalidad)'!G27</f>
        <v/>
      </c>
      <c r="AI15" s="154">
        <f>'Acuario (Arribado - mortalidad)'!O27</f>
        <v>0</v>
      </c>
      <c r="AJ15" s="154">
        <f>'Acuario (Arribado - mortalidad)'!P27</f>
        <v>0</v>
      </c>
      <c r="AK15" s="154">
        <f>'Acuario (Arribado - mortalidad)'!Q27</f>
        <v>0</v>
      </c>
      <c r="AL15" s="154">
        <f>'Acuario (Arribado - mortalidad)'!R27</f>
        <v>0</v>
      </c>
      <c r="AM15" s="154">
        <f>'Acuario (Arribado - mortalidad)'!S27</f>
        <v>0</v>
      </c>
      <c r="AN15" s="154">
        <f>'Acuario (Arribado - mortalidad)'!T27</f>
        <v>0</v>
      </c>
      <c r="AO15" s="154">
        <f>'Acuario (Arribado - mortalidad)'!U27</f>
        <v>0</v>
      </c>
      <c r="AP15" s="154">
        <f>'Acuario (Arribado - mortalidad)'!V27</f>
        <v>0</v>
      </c>
      <c r="AQ15" s="154">
        <f>'Acuario (Arribado - mortalidad)'!W27</f>
        <v>0</v>
      </c>
      <c r="AR15" s="154">
        <f>'Acuario (Arribado - mortalidad)'!X27</f>
        <v>0</v>
      </c>
      <c r="AS15" s="154">
        <f>'Acuario (Arribado - mortalidad)'!Y27</f>
        <v>0</v>
      </c>
      <c r="AT15" s="154">
        <f>'Acuario (Arribado - mortalidad)'!Z27</f>
        <v>0</v>
      </c>
      <c r="AU15" s="154">
        <f>'Acuario (Arribado - mortalidad)'!AA27</f>
        <v>0</v>
      </c>
      <c r="AV15" s="154">
        <f>'Acuario (Arribado - mortalidad)'!AB27</f>
        <v>0</v>
      </c>
      <c r="AW15" s="154">
        <f>'Acuario (Arribado - mortalidad)'!AC27</f>
        <v>0</v>
      </c>
      <c r="AX15" s="154">
        <f>'Acuario (Arribado - mortalidad)'!AD27</f>
        <v>0</v>
      </c>
      <c r="AY15" s="154">
        <f>'Acuario (Arribado - mortalidad)'!AE27</f>
        <v>0</v>
      </c>
      <c r="AZ15" s="154">
        <f>'Acuario (Arribado - mortalidad)'!AF27</f>
        <v>0</v>
      </c>
      <c r="BA15" s="154">
        <f>'Acuario (Arribado - mortalidad)'!AG27</f>
        <v>0</v>
      </c>
      <c r="BB15" s="154">
        <f>'Acuario (Arribado - mortalidad)'!AH27</f>
        <v>0</v>
      </c>
      <c r="BC15" s="154">
        <f>'Acuario (Arribado - mortalidad)'!AI27</f>
        <v>0</v>
      </c>
      <c r="BD15" s="154">
        <f>'Acuario (Arribado - mortalidad)'!AJ27</f>
        <v>0</v>
      </c>
      <c r="BE15" s="154">
        <f>'Acuario (Arribado - mortalidad)'!AK27</f>
        <v>0</v>
      </c>
      <c r="BF15" s="154">
        <f>'Acuario (Arribado - mortalidad)'!AL27</f>
        <v>0</v>
      </c>
      <c r="BG15" s="154">
        <f>'Acuario (Arribado - mortalidad)'!AM27</f>
        <v>0</v>
      </c>
      <c r="BH15" s="154">
        <f>'Acuario (Arribado - mortalidad)'!AN27</f>
        <v>0</v>
      </c>
      <c r="BI15" s="154">
        <f>'Acuario (Arribado - mortalidad)'!AO27</f>
        <v>0</v>
      </c>
      <c r="BJ15" s="154">
        <f>'Acuario (Arribado - mortalidad)'!AP27</f>
        <v>0</v>
      </c>
      <c r="BK15" s="154">
        <f>'Acuario (Arribado - mortalidad)'!AQ27</f>
        <v>0</v>
      </c>
      <c r="BL15" s="154">
        <f>'Acuario (Arribado - mortalidad)'!AR27</f>
        <v>0</v>
      </c>
      <c r="BM15" s="154" t="str">
        <f>'Acuario (Arribado - mortalidad)'!AS27</f>
        <v/>
      </c>
      <c r="BN15" s="154">
        <f>'Acuario (Arribado - mortalidad)'!AT27</f>
        <v>0</v>
      </c>
      <c r="BO15" s="154">
        <f>'Acuario (Arribado - mortalidad)'!AU27</f>
        <v>0</v>
      </c>
      <c r="BP15" s="154">
        <f>'Acuario (Arribado - mortalidad)'!AV27</f>
        <v>0</v>
      </c>
      <c r="BQ15" s="154" t="str">
        <f>'Acuario (Arribado - mortalidad)'!AW27</f>
        <v/>
      </c>
      <c r="BR15" s="154">
        <f>'Acuario (Arribado - mortalidad)'!AX27</f>
        <v>0</v>
      </c>
      <c r="BS15" s="154">
        <f>'Acuario (Arribado - mortalidad)'!AY27</f>
        <v>0</v>
      </c>
      <c r="BT15" s="154" t="str">
        <f>'Acuario (Arribado - mortalidad)'!AZ27</f>
        <v/>
      </c>
      <c r="BU15" s="154" t="str">
        <f>'Acuario (Arribado - mortalidad)'!BA27</f>
        <v/>
      </c>
      <c r="BV15" s="154" t="str">
        <f>'Acuario (Arribado - mortalidad)'!BB27</f>
        <v/>
      </c>
      <c r="BW15" s="154" t="str">
        <f>'Acuario (Arribado - mortalidad)'!BC27</f>
        <v/>
      </c>
      <c r="BX15" s="154">
        <f>'Acuario (Arribado - mortalidad)'!BD27</f>
        <v>0</v>
      </c>
      <c r="BY15" s="154" t="str">
        <f>'Acuario (Arribado - mortalidad)'!BE27</f>
        <v/>
      </c>
      <c r="BZ15" s="23" t="str">
        <f>'Acuario (Arribado - mortalidad)'!BF27</f>
        <v/>
      </c>
    </row>
    <row r="16" spans="1:78" x14ac:dyDescent="0.25">
      <c r="A16" s="154" t="str">
        <f>IF(U16&lt;&gt;0,'ORDEN DE CUARENTENA'!$AE$2,"")</f>
        <v/>
      </c>
      <c r="B16" s="190" t="str">
        <f>IF(U16&lt;&gt;0,'ORDEN DE CUARENTENA'!$AE$3,"")</f>
        <v/>
      </c>
      <c r="C16" s="174" t="str">
        <f t="shared" si="0"/>
        <v/>
      </c>
      <c r="D16" s="329" t="str">
        <f>IF(U16&lt;&gt;0,'ORDEN DE CUARENTENA'!$I$6,"")</f>
        <v/>
      </c>
      <c r="E16" s="174" t="str">
        <f>IF(U16&lt;&gt;0,TEXT('ORDEN DE CUARENTENA'!$I$6,"aaa"),"")</f>
        <v/>
      </c>
      <c r="F16" s="173" t="str">
        <f>IF(U16&lt;&gt;0,TEXT('ORDEN DE CUARENTENA'!$I$6,"dd"),"")</f>
        <v/>
      </c>
      <c r="G16" s="172" t="str">
        <f>IF(U16&lt;&gt;0,TEXT('ORDEN DE CUARENTENA'!$I$6,"mm"),"")</f>
        <v/>
      </c>
      <c r="H16" s="171" t="str">
        <f>IF(U16&lt;&gt;0,TEXT('ORDEN DE CUARENTENA'!$I$6,"yyyy"),"")</f>
        <v/>
      </c>
      <c r="I16" s="154" t="str">
        <f>IF(U16&lt;&gt;0,'ORDEN DE CUARENTENA'!$H$7,"")</f>
        <v/>
      </c>
      <c r="J16" s="154" t="str">
        <f>IF(U16&lt;&gt;0,'ORDEN DE CUARENTENA'!$H$9,"")</f>
        <v/>
      </c>
      <c r="K16" s="154" t="str">
        <f>IF(U16&lt;&gt;0,'ORDEN DE CUARENTENA'!$Q$9,"")</f>
        <v/>
      </c>
      <c r="L16" s="154" t="str">
        <f>IFERROR(VLOOKUP(U16,Item[],4,FALSE),IFERROR(VLOOKUP(U16,Item2[],4,FALSE),""))</f>
        <v/>
      </c>
      <c r="M16" s="154" t="str">
        <f>IFERROR(VLOOKUP(U16,Item[],5,FALSE),IFERROR(VLOOKUP(U16,Item2[],5,FALSE),""))</f>
        <v/>
      </c>
      <c r="N16" s="154" t="str">
        <f>IFERROR(VLOOKUP(W16,SuscepEARs[],2,FALSE),"")</f>
        <v/>
      </c>
      <c r="O16" s="154" t="str">
        <f>IFERROR(VLOOKUP(DatosAll[[#This Row],[ESPECIE]],CITES[],2,FALSE),"")</f>
        <v/>
      </c>
      <c r="P16" s="154">
        <f>IFERROR(VLOOKUP(T16,Hallazgo[],2,FALSE),"")</f>
        <v>0</v>
      </c>
      <c r="Q16" s="154">
        <f>IFERROR(VLOOKUP(T16,Hallazgo[],3,FALSE),"")</f>
        <v>0</v>
      </c>
      <c r="R16" s="154">
        <f>IFERROR(VLOOKUP(T16,Hallazgo[],4,FALSE),"")</f>
        <v>0</v>
      </c>
      <c r="S16" s="154">
        <f>IFERROR(VLOOKUP(T16,Hallazgo[],5,FALSE),"")</f>
        <v>0</v>
      </c>
      <c r="T16" s="154">
        <f>'Acuario (Arribado - mortalidad)'!C28</f>
        <v>0</v>
      </c>
      <c r="U16" s="154">
        <f>'Acuario (Arribado - mortalidad)'!B28</f>
        <v>0</v>
      </c>
      <c r="V16" s="154" t="str">
        <f>'Acuario (Arribado - mortalidad)'!D28</f>
        <v/>
      </c>
      <c r="W16" s="154" t="str">
        <f>'Acuario (Arribado - mortalidad)'!E28</f>
        <v/>
      </c>
      <c r="X16" s="154">
        <f>'Acuario (Arribado - mortalidad)'!F28</f>
        <v>0</v>
      </c>
      <c r="Y16" s="154">
        <f>'Acuario (Arribado - mortalidad)'!H28</f>
        <v>0</v>
      </c>
      <c r="Z16" s="154">
        <f>'Acuario (Arribado - mortalidad)'!I28</f>
        <v>0</v>
      </c>
      <c r="AA16" s="154">
        <f>'Acuario (Arribado - mortalidad)'!J28</f>
        <v>0</v>
      </c>
      <c r="AB16" s="154" t="str">
        <f>'Acuario (Arribado - mortalidad)'!K28</f>
        <v/>
      </c>
      <c r="AC16" s="334" t="str">
        <f>IFERROR(('Acuario (Arribado - mortalidad)'!K28/DatosAll[[#This Row],[N_INDIVIDUOS]])*100,"")</f>
        <v/>
      </c>
      <c r="AD16" s="334" t="str">
        <f>IFERROR(('Acuario (Arribado - mortalidad)'!O28/DatosAll[[#This Row],[N_INDIVIDUOS]])*100,"")</f>
        <v/>
      </c>
      <c r="AE16" s="334" t="str">
        <f>IFERROR(('Acuario (Arribado - mortalidad)'!BG28/DatosAll[[#This Row],[N_INDIVIDUOS]])*100,"")</f>
        <v/>
      </c>
      <c r="AF16" s="334" t="str">
        <f>IFERROR(('Acuario (Arribado - mortalidad)'!BH28/DatosAll[[#This Row],[N_INDIVIDUOS]])*100,"")</f>
        <v/>
      </c>
      <c r="AG16" s="154">
        <f>'Acuario (Arribado - mortalidad)'!M28</f>
        <v>0</v>
      </c>
      <c r="AH16" s="154" t="str">
        <f>'Acuario (Arribado - mortalidad)'!G28</f>
        <v/>
      </c>
      <c r="AI16" s="154">
        <f>'Acuario (Arribado - mortalidad)'!O28</f>
        <v>0</v>
      </c>
      <c r="AJ16" s="154">
        <f>'Acuario (Arribado - mortalidad)'!P28</f>
        <v>0</v>
      </c>
      <c r="AK16" s="154">
        <f>'Acuario (Arribado - mortalidad)'!Q28</f>
        <v>0</v>
      </c>
      <c r="AL16" s="154">
        <f>'Acuario (Arribado - mortalidad)'!R28</f>
        <v>0</v>
      </c>
      <c r="AM16" s="154">
        <f>'Acuario (Arribado - mortalidad)'!S28</f>
        <v>0</v>
      </c>
      <c r="AN16" s="154">
        <f>'Acuario (Arribado - mortalidad)'!T28</f>
        <v>0</v>
      </c>
      <c r="AO16" s="154">
        <f>'Acuario (Arribado - mortalidad)'!U28</f>
        <v>0</v>
      </c>
      <c r="AP16" s="154">
        <f>'Acuario (Arribado - mortalidad)'!V28</f>
        <v>0</v>
      </c>
      <c r="AQ16" s="154">
        <f>'Acuario (Arribado - mortalidad)'!W28</f>
        <v>0</v>
      </c>
      <c r="AR16" s="154">
        <f>'Acuario (Arribado - mortalidad)'!X28</f>
        <v>0</v>
      </c>
      <c r="AS16" s="154">
        <f>'Acuario (Arribado - mortalidad)'!Y28</f>
        <v>0</v>
      </c>
      <c r="AT16" s="154">
        <f>'Acuario (Arribado - mortalidad)'!Z28</f>
        <v>0</v>
      </c>
      <c r="AU16" s="154">
        <f>'Acuario (Arribado - mortalidad)'!AA28</f>
        <v>0</v>
      </c>
      <c r="AV16" s="154">
        <f>'Acuario (Arribado - mortalidad)'!AB28</f>
        <v>0</v>
      </c>
      <c r="AW16" s="154">
        <f>'Acuario (Arribado - mortalidad)'!AC28</f>
        <v>0</v>
      </c>
      <c r="AX16" s="154">
        <f>'Acuario (Arribado - mortalidad)'!AD28</f>
        <v>0</v>
      </c>
      <c r="AY16" s="154">
        <f>'Acuario (Arribado - mortalidad)'!AE28</f>
        <v>0</v>
      </c>
      <c r="AZ16" s="154">
        <f>'Acuario (Arribado - mortalidad)'!AF28</f>
        <v>0</v>
      </c>
      <c r="BA16" s="154">
        <f>'Acuario (Arribado - mortalidad)'!AG28</f>
        <v>0</v>
      </c>
      <c r="BB16" s="154">
        <f>'Acuario (Arribado - mortalidad)'!AH28</f>
        <v>0</v>
      </c>
      <c r="BC16" s="154">
        <f>'Acuario (Arribado - mortalidad)'!AI28</f>
        <v>0</v>
      </c>
      <c r="BD16" s="154">
        <f>'Acuario (Arribado - mortalidad)'!AJ28</f>
        <v>0</v>
      </c>
      <c r="BE16" s="154">
        <f>'Acuario (Arribado - mortalidad)'!AK28</f>
        <v>0</v>
      </c>
      <c r="BF16" s="154">
        <f>'Acuario (Arribado - mortalidad)'!AL28</f>
        <v>0</v>
      </c>
      <c r="BG16" s="154">
        <f>'Acuario (Arribado - mortalidad)'!AM28</f>
        <v>0</v>
      </c>
      <c r="BH16" s="154">
        <f>'Acuario (Arribado - mortalidad)'!AN28</f>
        <v>0</v>
      </c>
      <c r="BI16" s="154">
        <f>'Acuario (Arribado - mortalidad)'!AO28</f>
        <v>0</v>
      </c>
      <c r="BJ16" s="154">
        <f>'Acuario (Arribado - mortalidad)'!AP28</f>
        <v>0</v>
      </c>
      <c r="BK16" s="154">
        <f>'Acuario (Arribado - mortalidad)'!AQ28</f>
        <v>0</v>
      </c>
      <c r="BL16" s="154">
        <f>'Acuario (Arribado - mortalidad)'!AR28</f>
        <v>0</v>
      </c>
      <c r="BM16" s="154" t="str">
        <f>'Acuario (Arribado - mortalidad)'!AS28</f>
        <v/>
      </c>
      <c r="BN16" s="154">
        <f>'Acuario (Arribado - mortalidad)'!AT28</f>
        <v>0</v>
      </c>
      <c r="BO16" s="154">
        <f>'Acuario (Arribado - mortalidad)'!AU28</f>
        <v>0</v>
      </c>
      <c r="BP16" s="154">
        <f>'Acuario (Arribado - mortalidad)'!AV28</f>
        <v>0</v>
      </c>
      <c r="BQ16" s="154" t="str">
        <f>'Acuario (Arribado - mortalidad)'!AW28</f>
        <v/>
      </c>
      <c r="BR16" s="154">
        <f>'Acuario (Arribado - mortalidad)'!AX28</f>
        <v>0</v>
      </c>
      <c r="BS16" s="154">
        <f>'Acuario (Arribado - mortalidad)'!AY28</f>
        <v>0</v>
      </c>
      <c r="BT16" s="154" t="str">
        <f>'Acuario (Arribado - mortalidad)'!AZ28</f>
        <v/>
      </c>
      <c r="BU16" s="154" t="str">
        <f>'Acuario (Arribado - mortalidad)'!BA28</f>
        <v/>
      </c>
      <c r="BV16" s="154" t="str">
        <f>'Acuario (Arribado - mortalidad)'!BB28</f>
        <v/>
      </c>
      <c r="BW16" s="154" t="str">
        <f>'Acuario (Arribado - mortalidad)'!BC28</f>
        <v/>
      </c>
      <c r="BX16" s="154">
        <f>'Acuario (Arribado - mortalidad)'!BD28</f>
        <v>0</v>
      </c>
      <c r="BY16" s="154" t="str">
        <f>'Acuario (Arribado - mortalidad)'!BE28</f>
        <v/>
      </c>
      <c r="BZ16" s="23" t="str">
        <f>'Acuario (Arribado - mortalidad)'!BF28</f>
        <v/>
      </c>
    </row>
    <row r="17" spans="1:78" x14ac:dyDescent="0.25">
      <c r="A17" s="154" t="str">
        <f>IF(U17&lt;&gt;0,'ORDEN DE CUARENTENA'!$AE$2,"")</f>
        <v/>
      </c>
      <c r="B17" s="190" t="str">
        <f>IF(U17&lt;&gt;0,'ORDEN DE CUARENTENA'!$AE$3,"")</f>
        <v/>
      </c>
      <c r="C17" s="174" t="str">
        <f t="shared" si="0"/>
        <v/>
      </c>
      <c r="D17" s="329" t="str">
        <f>IF(U17&lt;&gt;0,'ORDEN DE CUARENTENA'!$I$6,"")</f>
        <v/>
      </c>
      <c r="E17" s="174" t="str">
        <f>IF(U17&lt;&gt;0,TEXT('ORDEN DE CUARENTENA'!$I$6,"aaa"),"")</f>
        <v/>
      </c>
      <c r="F17" s="173" t="str">
        <f>IF(U17&lt;&gt;0,TEXT('ORDEN DE CUARENTENA'!$I$6,"dd"),"")</f>
        <v/>
      </c>
      <c r="G17" s="172" t="str">
        <f>IF(U17&lt;&gt;0,TEXT('ORDEN DE CUARENTENA'!$I$6,"mm"),"")</f>
        <v/>
      </c>
      <c r="H17" s="171" t="str">
        <f>IF(U17&lt;&gt;0,TEXT('ORDEN DE CUARENTENA'!$I$6,"yyyy"),"")</f>
        <v/>
      </c>
      <c r="I17" s="154" t="str">
        <f>IF(U17&lt;&gt;0,'ORDEN DE CUARENTENA'!$H$7,"")</f>
        <v/>
      </c>
      <c r="J17" s="154" t="str">
        <f>IF(U17&lt;&gt;0,'ORDEN DE CUARENTENA'!$H$9,"")</f>
        <v/>
      </c>
      <c r="K17" s="154" t="str">
        <f>IF(U17&lt;&gt;0,'ORDEN DE CUARENTENA'!$Q$9,"")</f>
        <v/>
      </c>
      <c r="L17" s="154" t="str">
        <f>IFERROR(VLOOKUP(U17,Item[],4,FALSE),IFERROR(VLOOKUP(U17,Item2[],4,FALSE),""))</f>
        <v/>
      </c>
      <c r="M17" s="154" t="str">
        <f>IFERROR(VLOOKUP(U17,Item[],5,FALSE),IFERROR(VLOOKUP(U17,Item2[],5,FALSE),""))</f>
        <v/>
      </c>
      <c r="N17" s="154" t="str">
        <f>IFERROR(VLOOKUP(W17,SuscepEARs[],2,FALSE),"")</f>
        <v/>
      </c>
      <c r="O17" s="154" t="str">
        <f>IFERROR(VLOOKUP(DatosAll[[#This Row],[ESPECIE]],CITES[],2,FALSE),"")</f>
        <v/>
      </c>
      <c r="P17" s="154">
        <f>IFERROR(VLOOKUP(T17,Hallazgo[],2,FALSE),"")</f>
        <v>0</v>
      </c>
      <c r="Q17" s="154">
        <f>IFERROR(VLOOKUP(T17,Hallazgo[],3,FALSE),"")</f>
        <v>0</v>
      </c>
      <c r="R17" s="154">
        <f>IFERROR(VLOOKUP(T17,Hallazgo[],4,FALSE),"")</f>
        <v>0</v>
      </c>
      <c r="S17" s="154">
        <f>IFERROR(VLOOKUP(T17,Hallazgo[],5,FALSE),"")</f>
        <v>0</v>
      </c>
      <c r="T17" s="154">
        <f>'Acuario (Arribado - mortalidad)'!C29</f>
        <v>0</v>
      </c>
      <c r="U17" s="154">
        <f>'Acuario (Arribado - mortalidad)'!B29</f>
        <v>0</v>
      </c>
      <c r="V17" s="154" t="str">
        <f>'Acuario (Arribado - mortalidad)'!D29</f>
        <v/>
      </c>
      <c r="W17" s="154" t="str">
        <f>'Acuario (Arribado - mortalidad)'!E29</f>
        <v/>
      </c>
      <c r="X17" s="154">
        <f>'Acuario (Arribado - mortalidad)'!F29</f>
        <v>0</v>
      </c>
      <c r="Y17" s="154">
        <f>'Acuario (Arribado - mortalidad)'!H29</f>
        <v>0</v>
      </c>
      <c r="Z17" s="154">
        <f>'Acuario (Arribado - mortalidad)'!I29</f>
        <v>0</v>
      </c>
      <c r="AA17" s="154">
        <f>'Acuario (Arribado - mortalidad)'!J29</f>
        <v>0</v>
      </c>
      <c r="AB17" s="154" t="str">
        <f>'Acuario (Arribado - mortalidad)'!K29</f>
        <v/>
      </c>
      <c r="AC17" s="334" t="str">
        <f>IFERROR(('Acuario (Arribado - mortalidad)'!K29/DatosAll[[#This Row],[N_INDIVIDUOS]])*100,"")</f>
        <v/>
      </c>
      <c r="AD17" s="334" t="str">
        <f>IFERROR(('Acuario (Arribado - mortalidad)'!O29/DatosAll[[#This Row],[N_INDIVIDUOS]])*100,"")</f>
        <v/>
      </c>
      <c r="AE17" s="334" t="str">
        <f>IFERROR(('Acuario (Arribado - mortalidad)'!BG29/DatosAll[[#This Row],[N_INDIVIDUOS]])*100,"")</f>
        <v/>
      </c>
      <c r="AF17" s="334" t="str">
        <f>IFERROR(('Acuario (Arribado - mortalidad)'!BH29/DatosAll[[#This Row],[N_INDIVIDUOS]])*100,"")</f>
        <v/>
      </c>
      <c r="AG17" s="154">
        <f>'Acuario (Arribado - mortalidad)'!M29</f>
        <v>0</v>
      </c>
      <c r="AH17" s="154" t="str">
        <f>'Acuario (Arribado - mortalidad)'!G29</f>
        <v/>
      </c>
      <c r="AI17" s="154">
        <f>'Acuario (Arribado - mortalidad)'!O29</f>
        <v>0</v>
      </c>
      <c r="AJ17" s="154">
        <f>'Acuario (Arribado - mortalidad)'!P29</f>
        <v>0</v>
      </c>
      <c r="AK17" s="154">
        <f>'Acuario (Arribado - mortalidad)'!Q29</f>
        <v>0</v>
      </c>
      <c r="AL17" s="154">
        <f>'Acuario (Arribado - mortalidad)'!R29</f>
        <v>0</v>
      </c>
      <c r="AM17" s="154">
        <f>'Acuario (Arribado - mortalidad)'!S29</f>
        <v>0</v>
      </c>
      <c r="AN17" s="154">
        <f>'Acuario (Arribado - mortalidad)'!T29</f>
        <v>0</v>
      </c>
      <c r="AO17" s="154">
        <f>'Acuario (Arribado - mortalidad)'!U29</f>
        <v>0</v>
      </c>
      <c r="AP17" s="154">
        <f>'Acuario (Arribado - mortalidad)'!V29</f>
        <v>0</v>
      </c>
      <c r="AQ17" s="154">
        <f>'Acuario (Arribado - mortalidad)'!W29</f>
        <v>0</v>
      </c>
      <c r="AR17" s="154">
        <f>'Acuario (Arribado - mortalidad)'!X29</f>
        <v>0</v>
      </c>
      <c r="AS17" s="154">
        <f>'Acuario (Arribado - mortalidad)'!Y29</f>
        <v>0</v>
      </c>
      <c r="AT17" s="154">
        <f>'Acuario (Arribado - mortalidad)'!Z29</f>
        <v>0</v>
      </c>
      <c r="AU17" s="154">
        <f>'Acuario (Arribado - mortalidad)'!AA29</f>
        <v>0</v>
      </c>
      <c r="AV17" s="154">
        <f>'Acuario (Arribado - mortalidad)'!AB29</f>
        <v>0</v>
      </c>
      <c r="AW17" s="154">
        <f>'Acuario (Arribado - mortalidad)'!AC29</f>
        <v>0</v>
      </c>
      <c r="AX17" s="154">
        <f>'Acuario (Arribado - mortalidad)'!AD29</f>
        <v>0</v>
      </c>
      <c r="AY17" s="154">
        <f>'Acuario (Arribado - mortalidad)'!AE29</f>
        <v>0</v>
      </c>
      <c r="AZ17" s="154">
        <f>'Acuario (Arribado - mortalidad)'!AF29</f>
        <v>0</v>
      </c>
      <c r="BA17" s="154">
        <f>'Acuario (Arribado - mortalidad)'!AG29</f>
        <v>0</v>
      </c>
      <c r="BB17" s="154">
        <f>'Acuario (Arribado - mortalidad)'!AH29</f>
        <v>0</v>
      </c>
      <c r="BC17" s="154">
        <f>'Acuario (Arribado - mortalidad)'!AI29</f>
        <v>0</v>
      </c>
      <c r="BD17" s="154">
        <f>'Acuario (Arribado - mortalidad)'!AJ29</f>
        <v>0</v>
      </c>
      <c r="BE17" s="154">
        <f>'Acuario (Arribado - mortalidad)'!AK29</f>
        <v>0</v>
      </c>
      <c r="BF17" s="154">
        <f>'Acuario (Arribado - mortalidad)'!AL29</f>
        <v>0</v>
      </c>
      <c r="BG17" s="154">
        <f>'Acuario (Arribado - mortalidad)'!AM29</f>
        <v>0</v>
      </c>
      <c r="BH17" s="154">
        <f>'Acuario (Arribado - mortalidad)'!AN29</f>
        <v>0</v>
      </c>
      <c r="BI17" s="154">
        <f>'Acuario (Arribado - mortalidad)'!AO29</f>
        <v>0</v>
      </c>
      <c r="BJ17" s="154">
        <f>'Acuario (Arribado - mortalidad)'!AP29</f>
        <v>0</v>
      </c>
      <c r="BK17" s="154">
        <f>'Acuario (Arribado - mortalidad)'!AQ29</f>
        <v>0</v>
      </c>
      <c r="BL17" s="154">
        <f>'Acuario (Arribado - mortalidad)'!AR29</f>
        <v>0</v>
      </c>
      <c r="BM17" s="154" t="str">
        <f>'Acuario (Arribado - mortalidad)'!AS29</f>
        <v/>
      </c>
      <c r="BN17" s="154">
        <f>'Acuario (Arribado - mortalidad)'!AT29</f>
        <v>0</v>
      </c>
      <c r="BO17" s="154">
        <f>'Acuario (Arribado - mortalidad)'!AU29</f>
        <v>0</v>
      </c>
      <c r="BP17" s="154">
        <f>'Acuario (Arribado - mortalidad)'!AV29</f>
        <v>0</v>
      </c>
      <c r="BQ17" s="154" t="str">
        <f>'Acuario (Arribado - mortalidad)'!AW29</f>
        <v/>
      </c>
      <c r="BR17" s="154">
        <f>'Acuario (Arribado - mortalidad)'!AX29</f>
        <v>0</v>
      </c>
      <c r="BS17" s="154">
        <f>'Acuario (Arribado - mortalidad)'!AY29</f>
        <v>0</v>
      </c>
      <c r="BT17" s="154" t="str">
        <f>'Acuario (Arribado - mortalidad)'!AZ29</f>
        <v/>
      </c>
      <c r="BU17" s="154" t="str">
        <f>'Acuario (Arribado - mortalidad)'!BA29</f>
        <v/>
      </c>
      <c r="BV17" s="154" t="str">
        <f>'Acuario (Arribado - mortalidad)'!BB29</f>
        <v/>
      </c>
      <c r="BW17" s="154" t="str">
        <f>'Acuario (Arribado - mortalidad)'!BC29</f>
        <v/>
      </c>
      <c r="BX17" s="154">
        <f>'Acuario (Arribado - mortalidad)'!BD29</f>
        <v>0</v>
      </c>
      <c r="BY17" s="154" t="str">
        <f>'Acuario (Arribado - mortalidad)'!BE29</f>
        <v/>
      </c>
      <c r="BZ17" s="23" t="str">
        <f>'Acuario (Arribado - mortalidad)'!BF29</f>
        <v/>
      </c>
    </row>
    <row r="18" spans="1:78" x14ac:dyDescent="0.25">
      <c r="A18" s="154" t="str">
        <f>IF(U18&lt;&gt;0,'ORDEN DE CUARENTENA'!$AE$2,"")</f>
        <v/>
      </c>
      <c r="B18" s="190" t="str">
        <f>IF(U18&lt;&gt;0,'ORDEN DE CUARENTENA'!$AE$3,"")</f>
        <v/>
      </c>
      <c r="C18" s="174" t="str">
        <f t="shared" si="0"/>
        <v/>
      </c>
      <c r="D18" s="329" t="str">
        <f>IF(U18&lt;&gt;0,'ORDEN DE CUARENTENA'!$I$6,"")</f>
        <v/>
      </c>
      <c r="E18" s="174" t="str">
        <f>IF(U18&lt;&gt;0,TEXT('ORDEN DE CUARENTENA'!$I$6,"aaa"),"")</f>
        <v/>
      </c>
      <c r="F18" s="173" t="str">
        <f>IF(U18&lt;&gt;0,TEXT('ORDEN DE CUARENTENA'!$I$6,"dd"),"")</f>
        <v/>
      </c>
      <c r="G18" s="172" t="str">
        <f>IF(U18&lt;&gt;0,TEXT('ORDEN DE CUARENTENA'!$I$6,"mm"),"")</f>
        <v/>
      </c>
      <c r="H18" s="171" t="str">
        <f>IF(U18&lt;&gt;0,TEXT('ORDEN DE CUARENTENA'!$I$6,"yyyy"),"")</f>
        <v/>
      </c>
      <c r="I18" s="154" t="str">
        <f>IF(U18&lt;&gt;0,'ORDEN DE CUARENTENA'!$H$7,"")</f>
        <v/>
      </c>
      <c r="J18" s="154" t="str">
        <f>IF(U18&lt;&gt;0,'ORDEN DE CUARENTENA'!$H$9,"")</f>
        <v/>
      </c>
      <c r="K18" s="154" t="str">
        <f>IF(U18&lt;&gt;0,'ORDEN DE CUARENTENA'!$Q$9,"")</f>
        <v/>
      </c>
      <c r="L18" s="154" t="str">
        <f>IFERROR(VLOOKUP(U18,Item[],4,FALSE),IFERROR(VLOOKUP(U18,Item2[],4,FALSE),""))</f>
        <v/>
      </c>
      <c r="M18" s="154" t="str">
        <f>IFERROR(VLOOKUP(U18,Item[],5,FALSE),IFERROR(VLOOKUP(U18,Item2[],5,FALSE),""))</f>
        <v/>
      </c>
      <c r="N18" s="154" t="str">
        <f>IFERROR(VLOOKUP(W18,SuscepEARs[],2,FALSE),"")</f>
        <v/>
      </c>
      <c r="O18" s="154" t="str">
        <f>IFERROR(VLOOKUP(DatosAll[[#This Row],[ESPECIE]],CITES[],2,FALSE),"")</f>
        <v/>
      </c>
      <c r="P18" s="154">
        <f>IFERROR(VLOOKUP(T18,Hallazgo[],2,FALSE),"")</f>
        <v>0</v>
      </c>
      <c r="Q18" s="154">
        <f>IFERROR(VLOOKUP(T18,Hallazgo[],3,FALSE),"")</f>
        <v>0</v>
      </c>
      <c r="R18" s="154">
        <f>IFERROR(VLOOKUP(T18,Hallazgo[],4,FALSE),"")</f>
        <v>0</v>
      </c>
      <c r="S18" s="154">
        <f>IFERROR(VLOOKUP(T18,Hallazgo[],5,FALSE),"")</f>
        <v>0</v>
      </c>
      <c r="T18" s="154">
        <f>'Acuario (Arribado - mortalidad)'!C30</f>
        <v>0</v>
      </c>
      <c r="U18" s="154">
        <f>'Acuario (Arribado - mortalidad)'!B30</f>
        <v>0</v>
      </c>
      <c r="V18" s="154" t="str">
        <f>'Acuario (Arribado - mortalidad)'!D30</f>
        <v/>
      </c>
      <c r="W18" s="154" t="str">
        <f>'Acuario (Arribado - mortalidad)'!E30</f>
        <v/>
      </c>
      <c r="X18" s="154">
        <f>'Acuario (Arribado - mortalidad)'!F30</f>
        <v>0</v>
      </c>
      <c r="Y18" s="154">
        <f>'Acuario (Arribado - mortalidad)'!H30</f>
        <v>0</v>
      </c>
      <c r="Z18" s="154">
        <f>'Acuario (Arribado - mortalidad)'!I30</f>
        <v>0</v>
      </c>
      <c r="AA18" s="154">
        <f>'Acuario (Arribado - mortalidad)'!J30</f>
        <v>0</v>
      </c>
      <c r="AB18" s="154" t="str">
        <f>'Acuario (Arribado - mortalidad)'!K30</f>
        <v/>
      </c>
      <c r="AC18" s="334" t="str">
        <f>IFERROR(('Acuario (Arribado - mortalidad)'!K30/DatosAll[[#This Row],[N_INDIVIDUOS]])*100,"")</f>
        <v/>
      </c>
      <c r="AD18" s="334" t="str">
        <f>IFERROR(('Acuario (Arribado - mortalidad)'!O30/DatosAll[[#This Row],[N_INDIVIDUOS]])*100,"")</f>
        <v/>
      </c>
      <c r="AE18" s="334" t="str">
        <f>IFERROR(('Acuario (Arribado - mortalidad)'!BG30/DatosAll[[#This Row],[N_INDIVIDUOS]])*100,"")</f>
        <v/>
      </c>
      <c r="AF18" s="334" t="str">
        <f>IFERROR(('Acuario (Arribado - mortalidad)'!BH30/DatosAll[[#This Row],[N_INDIVIDUOS]])*100,"")</f>
        <v/>
      </c>
      <c r="AG18" s="154">
        <f>'Acuario (Arribado - mortalidad)'!M30</f>
        <v>0</v>
      </c>
      <c r="AH18" s="154" t="str">
        <f>'Acuario (Arribado - mortalidad)'!G30</f>
        <v/>
      </c>
      <c r="AI18" s="154">
        <f>'Acuario (Arribado - mortalidad)'!O30</f>
        <v>0</v>
      </c>
      <c r="AJ18" s="154">
        <f>'Acuario (Arribado - mortalidad)'!P30</f>
        <v>0</v>
      </c>
      <c r="AK18" s="154">
        <f>'Acuario (Arribado - mortalidad)'!Q30</f>
        <v>0</v>
      </c>
      <c r="AL18" s="154">
        <f>'Acuario (Arribado - mortalidad)'!R30</f>
        <v>0</v>
      </c>
      <c r="AM18" s="154">
        <f>'Acuario (Arribado - mortalidad)'!S30</f>
        <v>0</v>
      </c>
      <c r="AN18" s="154">
        <f>'Acuario (Arribado - mortalidad)'!T30</f>
        <v>0</v>
      </c>
      <c r="AO18" s="154">
        <f>'Acuario (Arribado - mortalidad)'!U30</f>
        <v>0</v>
      </c>
      <c r="AP18" s="154">
        <f>'Acuario (Arribado - mortalidad)'!V30</f>
        <v>0</v>
      </c>
      <c r="AQ18" s="154">
        <f>'Acuario (Arribado - mortalidad)'!W30</f>
        <v>0</v>
      </c>
      <c r="AR18" s="154">
        <f>'Acuario (Arribado - mortalidad)'!X30</f>
        <v>0</v>
      </c>
      <c r="AS18" s="154">
        <f>'Acuario (Arribado - mortalidad)'!Y30</f>
        <v>0</v>
      </c>
      <c r="AT18" s="154">
        <f>'Acuario (Arribado - mortalidad)'!Z30</f>
        <v>0</v>
      </c>
      <c r="AU18" s="154">
        <f>'Acuario (Arribado - mortalidad)'!AA30</f>
        <v>0</v>
      </c>
      <c r="AV18" s="154">
        <f>'Acuario (Arribado - mortalidad)'!AB30</f>
        <v>0</v>
      </c>
      <c r="AW18" s="154">
        <f>'Acuario (Arribado - mortalidad)'!AC30</f>
        <v>0</v>
      </c>
      <c r="AX18" s="154">
        <f>'Acuario (Arribado - mortalidad)'!AD30</f>
        <v>0</v>
      </c>
      <c r="AY18" s="154">
        <f>'Acuario (Arribado - mortalidad)'!AE30</f>
        <v>0</v>
      </c>
      <c r="AZ18" s="154">
        <f>'Acuario (Arribado - mortalidad)'!AF30</f>
        <v>0</v>
      </c>
      <c r="BA18" s="154">
        <f>'Acuario (Arribado - mortalidad)'!AG30</f>
        <v>0</v>
      </c>
      <c r="BB18" s="154">
        <f>'Acuario (Arribado - mortalidad)'!AH30</f>
        <v>0</v>
      </c>
      <c r="BC18" s="154">
        <f>'Acuario (Arribado - mortalidad)'!AI30</f>
        <v>0</v>
      </c>
      <c r="BD18" s="154">
        <f>'Acuario (Arribado - mortalidad)'!AJ30</f>
        <v>0</v>
      </c>
      <c r="BE18" s="154">
        <f>'Acuario (Arribado - mortalidad)'!AK30</f>
        <v>0</v>
      </c>
      <c r="BF18" s="154">
        <f>'Acuario (Arribado - mortalidad)'!AL30</f>
        <v>0</v>
      </c>
      <c r="BG18" s="154">
        <f>'Acuario (Arribado - mortalidad)'!AM30</f>
        <v>0</v>
      </c>
      <c r="BH18" s="154">
        <f>'Acuario (Arribado - mortalidad)'!AN30</f>
        <v>0</v>
      </c>
      <c r="BI18" s="154">
        <f>'Acuario (Arribado - mortalidad)'!AO30</f>
        <v>0</v>
      </c>
      <c r="BJ18" s="154">
        <f>'Acuario (Arribado - mortalidad)'!AP30</f>
        <v>0</v>
      </c>
      <c r="BK18" s="154">
        <f>'Acuario (Arribado - mortalidad)'!AQ30</f>
        <v>0</v>
      </c>
      <c r="BL18" s="154">
        <f>'Acuario (Arribado - mortalidad)'!AR30</f>
        <v>0</v>
      </c>
      <c r="BM18" s="154" t="str">
        <f>'Acuario (Arribado - mortalidad)'!AS30</f>
        <v/>
      </c>
      <c r="BN18" s="154">
        <f>'Acuario (Arribado - mortalidad)'!AT30</f>
        <v>0</v>
      </c>
      <c r="BO18" s="154">
        <f>'Acuario (Arribado - mortalidad)'!AU30</f>
        <v>0</v>
      </c>
      <c r="BP18" s="154">
        <f>'Acuario (Arribado - mortalidad)'!AV30</f>
        <v>0</v>
      </c>
      <c r="BQ18" s="154" t="str">
        <f>'Acuario (Arribado - mortalidad)'!AW30</f>
        <v/>
      </c>
      <c r="BR18" s="154">
        <f>'Acuario (Arribado - mortalidad)'!AX30</f>
        <v>0</v>
      </c>
      <c r="BS18" s="154">
        <f>'Acuario (Arribado - mortalidad)'!AY30</f>
        <v>0</v>
      </c>
      <c r="BT18" s="154" t="str">
        <f>'Acuario (Arribado - mortalidad)'!AZ30</f>
        <v/>
      </c>
      <c r="BU18" s="154" t="str">
        <f>'Acuario (Arribado - mortalidad)'!BA30</f>
        <v/>
      </c>
      <c r="BV18" s="154" t="str">
        <f>'Acuario (Arribado - mortalidad)'!BB30</f>
        <v/>
      </c>
      <c r="BW18" s="154" t="str">
        <f>'Acuario (Arribado - mortalidad)'!BC30</f>
        <v/>
      </c>
      <c r="BX18" s="154">
        <f>'Acuario (Arribado - mortalidad)'!BD30</f>
        <v>0</v>
      </c>
      <c r="BY18" s="154" t="str">
        <f>'Acuario (Arribado - mortalidad)'!BE30</f>
        <v/>
      </c>
      <c r="BZ18" s="23" t="str">
        <f>'Acuario (Arribado - mortalidad)'!BF30</f>
        <v/>
      </c>
    </row>
    <row r="19" spans="1:78" x14ac:dyDescent="0.25">
      <c r="A19" s="154" t="str">
        <f>IF(U19&lt;&gt;0,'ORDEN DE CUARENTENA'!$AE$2,"")</f>
        <v/>
      </c>
      <c r="B19" s="190" t="str">
        <f>IF(U19&lt;&gt;0,'ORDEN DE CUARENTENA'!$AE$3,"")</f>
        <v/>
      </c>
      <c r="C19" s="174" t="str">
        <f t="shared" si="0"/>
        <v/>
      </c>
      <c r="D19" s="329" t="str">
        <f>IF(U19&lt;&gt;0,'ORDEN DE CUARENTENA'!$I$6,"")</f>
        <v/>
      </c>
      <c r="E19" s="174" t="str">
        <f>IF(U19&lt;&gt;0,TEXT('ORDEN DE CUARENTENA'!$I$6,"aaa"),"")</f>
        <v/>
      </c>
      <c r="F19" s="173" t="str">
        <f>IF(U19&lt;&gt;0,TEXT('ORDEN DE CUARENTENA'!$I$6,"dd"),"")</f>
        <v/>
      </c>
      <c r="G19" s="172" t="str">
        <f>IF(U19&lt;&gt;0,TEXT('ORDEN DE CUARENTENA'!$I$6,"mm"),"")</f>
        <v/>
      </c>
      <c r="H19" s="171" t="str">
        <f>IF(U19&lt;&gt;0,TEXT('ORDEN DE CUARENTENA'!$I$6,"yyyy"),"")</f>
        <v/>
      </c>
      <c r="I19" s="154" t="str">
        <f>IF(U19&lt;&gt;0,'ORDEN DE CUARENTENA'!$H$7,"")</f>
        <v/>
      </c>
      <c r="J19" s="154" t="str">
        <f>IF(U19&lt;&gt;0,'ORDEN DE CUARENTENA'!$H$9,"")</f>
        <v/>
      </c>
      <c r="K19" s="154" t="str">
        <f>IF(U19&lt;&gt;0,'ORDEN DE CUARENTENA'!$Q$9,"")</f>
        <v/>
      </c>
      <c r="L19" s="154" t="str">
        <f>IFERROR(VLOOKUP(U19,Item[],4,FALSE),IFERROR(VLOOKUP(U19,Item2[],4,FALSE),""))</f>
        <v/>
      </c>
      <c r="M19" s="154" t="str">
        <f>IFERROR(VLOOKUP(U19,Item[],5,FALSE),IFERROR(VLOOKUP(U19,Item2[],5,FALSE),""))</f>
        <v/>
      </c>
      <c r="N19" s="154" t="str">
        <f>IFERROR(VLOOKUP(W19,SuscepEARs[],2,FALSE),"")</f>
        <v/>
      </c>
      <c r="O19" s="154" t="str">
        <f>IFERROR(VLOOKUP(DatosAll[[#This Row],[ESPECIE]],CITES[],2,FALSE),"")</f>
        <v/>
      </c>
      <c r="P19" s="154">
        <f>IFERROR(VLOOKUP(T19,Hallazgo[],2,FALSE),"")</f>
        <v>0</v>
      </c>
      <c r="Q19" s="154">
        <f>IFERROR(VLOOKUP(T19,Hallazgo[],3,FALSE),"")</f>
        <v>0</v>
      </c>
      <c r="R19" s="154">
        <f>IFERROR(VLOOKUP(T19,Hallazgo[],4,FALSE),"")</f>
        <v>0</v>
      </c>
      <c r="S19" s="154">
        <f>IFERROR(VLOOKUP(T19,Hallazgo[],5,FALSE),"")</f>
        <v>0</v>
      </c>
      <c r="T19" s="154">
        <f>'Acuario (Arribado - mortalidad)'!C31</f>
        <v>0</v>
      </c>
      <c r="U19" s="154">
        <f>'Acuario (Arribado - mortalidad)'!B31</f>
        <v>0</v>
      </c>
      <c r="V19" s="154" t="str">
        <f>'Acuario (Arribado - mortalidad)'!D31</f>
        <v/>
      </c>
      <c r="W19" s="154" t="str">
        <f>'Acuario (Arribado - mortalidad)'!E31</f>
        <v/>
      </c>
      <c r="X19" s="154">
        <f>'Acuario (Arribado - mortalidad)'!F31</f>
        <v>0</v>
      </c>
      <c r="Y19" s="154">
        <f>'Acuario (Arribado - mortalidad)'!H31</f>
        <v>0</v>
      </c>
      <c r="Z19" s="154">
        <f>'Acuario (Arribado - mortalidad)'!I31</f>
        <v>0</v>
      </c>
      <c r="AA19" s="154">
        <f>'Acuario (Arribado - mortalidad)'!J31</f>
        <v>0</v>
      </c>
      <c r="AB19" s="154" t="str">
        <f>'Acuario (Arribado - mortalidad)'!K31</f>
        <v/>
      </c>
      <c r="AC19" s="334" t="str">
        <f>IFERROR(('Acuario (Arribado - mortalidad)'!K31/DatosAll[[#This Row],[N_INDIVIDUOS]])*100,"")</f>
        <v/>
      </c>
      <c r="AD19" s="334" t="str">
        <f>IFERROR(('Acuario (Arribado - mortalidad)'!O31/DatosAll[[#This Row],[N_INDIVIDUOS]])*100,"")</f>
        <v/>
      </c>
      <c r="AE19" s="334" t="str">
        <f>IFERROR(('Acuario (Arribado - mortalidad)'!BG31/DatosAll[[#This Row],[N_INDIVIDUOS]])*100,"")</f>
        <v/>
      </c>
      <c r="AF19" s="334" t="str">
        <f>IFERROR(('Acuario (Arribado - mortalidad)'!BH31/DatosAll[[#This Row],[N_INDIVIDUOS]])*100,"")</f>
        <v/>
      </c>
      <c r="AG19" s="154">
        <f>'Acuario (Arribado - mortalidad)'!M31</f>
        <v>0</v>
      </c>
      <c r="AH19" s="154" t="str">
        <f>'Acuario (Arribado - mortalidad)'!G31</f>
        <v/>
      </c>
      <c r="AI19" s="154">
        <f>'Acuario (Arribado - mortalidad)'!O31</f>
        <v>0</v>
      </c>
      <c r="AJ19" s="154">
        <f>'Acuario (Arribado - mortalidad)'!P31</f>
        <v>0</v>
      </c>
      <c r="AK19" s="154">
        <f>'Acuario (Arribado - mortalidad)'!Q31</f>
        <v>0</v>
      </c>
      <c r="AL19" s="154">
        <f>'Acuario (Arribado - mortalidad)'!R31</f>
        <v>0</v>
      </c>
      <c r="AM19" s="154">
        <f>'Acuario (Arribado - mortalidad)'!S31</f>
        <v>0</v>
      </c>
      <c r="AN19" s="154">
        <f>'Acuario (Arribado - mortalidad)'!T31</f>
        <v>0</v>
      </c>
      <c r="AO19" s="154">
        <f>'Acuario (Arribado - mortalidad)'!U31</f>
        <v>0</v>
      </c>
      <c r="AP19" s="154">
        <f>'Acuario (Arribado - mortalidad)'!V31</f>
        <v>0</v>
      </c>
      <c r="AQ19" s="154">
        <f>'Acuario (Arribado - mortalidad)'!W31</f>
        <v>0</v>
      </c>
      <c r="AR19" s="154">
        <f>'Acuario (Arribado - mortalidad)'!X31</f>
        <v>0</v>
      </c>
      <c r="AS19" s="154">
        <f>'Acuario (Arribado - mortalidad)'!Y31</f>
        <v>0</v>
      </c>
      <c r="AT19" s="154">
        <f>'Acuario (Arribado - mortalidad)'!Z31</f>
        <v>0</v>
      </c>
      <c r="AU19" s="154">
        <f>'Acuario (Arribado - mortalidad)'!AA31</f>
        <v>0</v>
      </c>
      <c r="AV19" s="154">
        <f>'Acuario (Arribado - mortalidad)'!AB31</f>
        <v>0</v>
      </c>
      <c r="AW19" s="154">
        <f>'Acuario (Arribado - mortalidad)'!AC31</f>
        <v>0</v>
      </c>
      <c r="AX19" s="154">
        <f>'Acuario (Arribado - mortalidad)'!AD31</f>
        <v>0</v>
      </c>
      <c r="AY19" s="154">
        <f>'Acuario (Arribado - mortalidad)'!AE31</f>
        <v>0</v>
      </c>
      <c r="AZ19" s="154">
        <f>'Acuario (Arribado - mortalidad)'!AF31</f>
        <v>0</v>
      </c>
      <c r="BA19" s="154">
        <f>'Acuario (Arribado - mortalidad)'!AG31</f>
        <v>0</v>
      </c>
      <c r="BB19" s="154">
        <f>'Acuario (Arribado - mortalidad)'!AH31</f>
        <v>0</v>
      </c>
      <c r="BC19" s="154">
        <f>'Acuario (Arribado - mortalidad)'!AI31</f>
        <v>0</v>
      </c>
      <c r="BD19" s="154">
        <f>'Acuario (Arribado - mortalidad)'!AJ31</f>
        <v>0</v>
      </c>
      <c r="BE19" s="154">
        <f>'Acuario (Arribado - mortalidad)'!AK31</f>
        <v>0</v>
      </c>
      <c r="BF19" s="154">
        <f>'Acuario (Arribado - mortalidad)'!AL31</f>
        <v>0</v>
      </c>
      <c r="BG19" s="154">
        <f>'Acuario (Arribado - mortalidad)'!AM31</f>
        <v>0</v>
      </c>
      <c r="BH19" s="154">
        <f>'Acuario (Arribado - mortalidad)'!AN31</f>
        <v>0</v>
      </c>
      <c r="BI19" s="154">
        <f>'Acuario (Arribado - mortalidad)'!AO31</f>
        <v>0</v>
      </c>
      <c r="BJ19" s="154">
        <f>'Acuario (Arribado - mortalidad)'!AP31</f>
        <v>0</v>
      </c>
      <c r="BK19" s="154">
        <f>'Acuario (Arribado - mortalidad)'!AQ31</f>
        <v>0</v>
      </c>
      <c r="BL19" s="154">
        <f>'Acuario (Arribado - mortalidad)'!AR31</f>
        <v>0</v>
      </c>
      <c r="BM19" s="154" t="str">
        <f>'Acuario (Arribado - mortalidad)'!AS31</f>
        <v/>
      </c>
      <c r="BN19" s="154">
        <f>'Acuario (Arribado - mortalidad)'!AT31</f>
        <v>0</v>
      </c>
      <c r="BO19" s="154">
        <f>'Acuario (Arribado - mortalidad)'!AU31</f>
        <v>0</v>
      </c>
      <c r="BP19" s="154">
        <f>'Acuario (Arribado - mortalidad)'!AV31</f>
        <v>0</v>
      </c>
      <c r="BQ19" s="154" t="str">
        <f>'Acuario (Arribado - mortalidad)'!AW31</f>
        <v/>
      </c>
      <c r="BR19" s="154">
        <f>'Acuario (Arribado - mortalidad)'!AX31</f>
        <v>0</v>
      </c>
      <c r="BS19" s="154">
        <f>'Acuario (Arribado - mortalidad)'!AY31</f>
        <v>0</v>
      </c>
      <c r="BT19" s="154" t="str">
        <f>'Acuario (Arribado - mortalidad)'!AZ31</f>
        <v/>
      </c>
      <c r="BU19" s="154" t="str">
        <f>'Acuario (Arribado - mortalidad)'!BA31</f>
        <v/>
      </c>
      <c r="BV19" s="154" t="str">
        <f>'Acuario (Arribado - mortalidad)'!BB31</f>
        <v/>
      </c>
      <c r="BW19" s="154" t="str">
        <f>'Acuario (Arribado - mortalidad)'!BC31</f>
        <v/>
      </c>
      <c r="BX19" s="154">
        <f>'Acuario (Arribado - mortalidad)'!BD31</f>
        <v>0</v>
      </c>
      <c r="BY19" s="154" t="str">
        <f>'Acuario (Arribado - mortalidad)'!BE31</f>
        <v/>
      </c>
      <c r="BZ19" s="23" t="str">
        <f>'Acuario (Arribado - mortalidad)'!BF31</f>
        <v/>
      </c>
    </row>
    <row r="20" spans="1:78" x14ac:dyDescent="0.25">
      <c r="A20" s="154" t="str">
        <f>IF(U20&lt;&gt;0,'ORDEN DE CUARENTENA'!$AE$2,"")</f>
        <v/>
      </c>
      <c r="B20" s="190" t="str">
        <f>IF(U20&lt;&gt;0,'ORDEN DE CUARENTENA'!$AE$3,"")</f>
        <v/>
      </c>
      <c r="C20" s="174" t="str">
        <f t="shared" si="0"/>
        <v/>
      </c>
      <c r="D20" s="329" t="str">
        <f>IF(U20&lt;&gt;0,'ORDEN DE CUARENTENA'!$I$6,"")</f>
        <v/>
      </c>
      <c r="E20" s="174" t="str">
        <f>IF(U20&lt;&gt;0,TEXT('ORDEN DE CUARENTENA'!$I$6,"aaa"),"")</f>
        <v/>
      </c>
      <c r="F20" s="173" t="str">
        <f>IF(U20&lt;&gt;0,TEXT('ORDEN DE CUARENTENA'!$I$6,"dd"),"")</f>
        <v/>
      </c>
      <c r="G20" s="172" t="str">
        <f>IF(U20&lt;&gt;0,TEXT('ORDEN DE CUARENTENA'!$I$6,"mm"),"")</f>
        <v/>
      </c>
      <c r="H20" s="171" t="str">
        <f>IF(U20&lt;&gt;0,TEXT('ORDEN DE CUARENTENA'!$I$6,"yyyy"),"")</f>
        <v/>
      </c>
      <c r="I20" s="154" t="str">
        <f>IF(U20&lt;&gt;0,'ORDEN DE CUARENTENA'!$H$7,"")</f>
        <v/>
      </c>
      <c r="J20" s="154" t="str">
        <f>IF(U20&lt;&gt;0,'ORDEN DE CUARENTENA'!$H$9,"")</f>
        <v/>
      </c>
      <c r="K20" s="154" t="str">
        <f>IF(U20&lt;&gt;0,'ORDEN DE CUARENTENA'!$Q$9,"")</f>
        <v/>
      </c>
      <c r="L20" s="154" t="str">
        <f>IFERROR(VLOOKUP(U20,Item[],4,FALSE),IFERROR(VLOOKUP(U20,Item2[],4,FALSE),""))</f>
        <v/>
      </c>
      <c r="M20" s="154" t="str">
        <f>IFERROR(VLOOKUP(U20,Item[],5,FALSE),IFERROR(VLOOKUP(U20,Item2[],5,FALSE),""))</f>
        <v/>
      </c>
      <c r="N20" s="154" t="str">
        <f>IFERROR(VLOOKUP(W20,SuscepEARs[],2,FALSE),"")</f>
        <v/>
      </c>
      <c r="O20" s="154" t="str">
        <f>IFERROR(VLOOKUP(DatosAll[[#This Row],[ESPECIE]],CITES[],2,FALSE),"")</f>
        <v/>
      </c>
      <c r="P20" s="154">
        <f>IFERROR(VLOOKUP(T20,Hallazgo[],2,FALSE),"")</f>
        <v>0</v>
      </c>
      <c r="Q20" s="154">
        <f>IFERROR(VLOOKUP(T20,Hallazgo[],3,FALSE),"")</f>
        <v>0</v>
      </c>
      <c r="R20" s="154">
        <f>IFERROR(VLOOKUP(T20,Hallazgo[],4,FALSE),"")</f>
        <v>0</v>
      </c>
      <c r="S20" s="154">
        <f>IFERROR(VLOOKUP(T20,Hallazgo[],5,FALSE),"")</f>
        <v>0</v>
      </c>
      <c r="T20" s="154">
        <f>'Acuario (Arribado - mortalidad)'!C32</f>
        <v>0</v>
      </c>
      <c r="U20" s="154">
        <f>'Acuario (Arribado - mortalidad)'!B32</f>
        <v>0</v>
      </c>
      <c r="V20" s="154" t="str">
        <f>'Acuario (Arribado - mortalidad)'!D32</f>
        <v/>
      </c>
      <c r="W20" s="154" t="str">
        <f>'Acuario (Arribado - mortalidad)'!E32</f>
        <v/>
      </c>
      <c r="X20" s="154">
        <f>'Acuario (Arribado - mortalidad)'!F32</f>
        <v>0</v>
      </c>
      <c r="Y20" s="154">
        <f>'Acuario (Arribado - mortalidad)'!H32</f>
        <v>0</v>
      </c>
      <c r="Z20" s="154">
        <f>'Acuario (Arribado - mortalidad)'!I32</f>
        <v>0</v>
      </c>
      <c r="AA20" s="154">
        <f>'Acuario (Arribado - mortalidad)'!J32</f>
        <v>0</v>
      </c>
      <c r="AB20" s="154" t="str">
        <f>'Acuario (Arribado - mortalidad)'!K32</f>
        <v/>
      </c>
      <c r="AC20" s="334" t="str">
        <f>IFERROR(('Acuario (Arribado - mortalidad)'!K32/DatosAll[[#This Row],[N_INDIVIDUOS]])*100,"")</f>
        <v/>
      </c>
      <c r="AD20" s="334" t="str">
        <f>IFERROR(('Acuario (Arribado - mortalidad)'!O32/DatosAll[[#This Row],[N_INDIVIDUOS]])*100,"")</f>
        <v/>
      </c>
      <c r="AE20" s="334" t="str">
        <f>IFERROR(('Acuario (Arribado - mortalidad)'!BG32/DatosAll[[#This Row],[N_INDIVIDUOS]])*100,"")</f>
        <v/>
      </c>
      <c r="AF20" s="334" t="str">
        <f>IFERROR(('Acuario (Arribado - mortalidad)'!BH32/DatosAll[[#This Row],[N_INDIVIDUOS]])*100,"")</f>
        <v/>
      </c>
      <c r="AG20" s="154">
        <f>'Acuario (Arribado - mortalidad)'!M32</f>
        <v>0</v>
      </c>
      <c r="AH20" s="154" t="str">
        <f>'Acuario (Arribado - mortalidad)'!G32</f>
        <v/>
      </c>
      <c r="AI20" s="154">
        <f>'Acuario (Arribado - mortalidad)'!O32</f>
        <v>0</v>
      </c>
      <c r="AJ20" s="154">
        <f>'Acuario (Arribado - mortalidad)'!P32</f>
        <v>0</v>
      </c>
      <c r="AK20" s="154">
        <f>'Acuario (Arribado - mortalidad)'!Q32</f>
        <v>0</v>
      </c>
      <c r="AL20" s="154">
        <f>'Acuario (Arribado - mortalidad)'!R32</f>
        <v>0</v>
      </c>
      <c r="AM20" s="154">
        <f>'Acuario (Arribado - mortalidad)'!S32</f>
        <v>0</v>
      </c>
      <c r="AN20" s="154">
        <f>'Acuario (Arribado - mortalidad)'!T32</f>
        <v>0</v>
      </c>
      <c r="AO20" s="154">
        <f>'Acuario (Arribado - mortalidad)'!U32</f>
        <v>0</v>
      </c>
      <c r="AP20" s="154">
        <f>'Acuario (Arribado - mortalidad)'!V32</f>
        <v>0</v>
      </c>
      <c r="AQ20" s="154">
        <f>'Acuario (Arribado - mortalidad)'!W32</f>
        <v>0</v>
      </c>
      <c r="AR20" s="154">
        <f>'Acuario (Arribado - mortalidad)'!X32</f>
        <v>0</v>
      </c>
      <c r="AS20" s="154">
        <f>'Acuario (Arribado - mortalidad)'!Y32</f>
        <v>0</v>
      </c>
      <c r="AT20" s="154">
        <f>'Acuario (Arribado - mortalidad)'!Z32</f>
        <v>0</v>
      </c>
      <c r="AU20" s="154">
        <f>'Acuario (Arribado - mortalidad)'!AA32</f>
        <v>0</v>
      </c>
      <c r="AV20" s="154">
        <f>'Acuario (Arribado - mortalidad)'!AB32</f>
        <v>0</v>
      </c>
      <c r="AW20" s="154">
        <f>'Acuario (Arribado - mortalidad)'!AC32</f>
        <v>0</v>
      </c>
      <c r="AX20" s="154">
        <f>'Acuario (Arribado - mortalidad)'!AD32</f>
        <v>0</v>
      </c>
      <c r="AY20" s="154">
        <f>'Acuario (Arribado - mortalidad)'!AE32</f>
        <v>0</v>
      </c>
      <c r="AZ20" s="154">
        <f>'Acuario (Arribado - mortalidad)'!AF32</f>
        <v>0</v>
      </c>
      <c r="BA20" s="154">
        <f>'Acuario (Arribado - mortalidad)'!AG32</f>
        <v>0</v>
      </c>
      <c r="BB20" s="154">
        <f>'Acuario (Arribado - mortalidad)'!AH32</f>
        <v>0</v>
      </c>
      <c r="BC20" s="154">
        <f>'Acuario (Arribado - mortalidad)'!AI32</f>
        <v>0</v>
      </c>
      <c r="BD20" s="154">
        <f>'Acuario (Arribado - mortalidad)'!AJ32</f>
        <v>0</v>
      </c>
      <c r="BE20" s="154">
        <f>'Acuario (Arribado - mortalidad)'!AK32</f>
        <v>0</v>
      </c>
      <c r="BF20" s="154">
        <f>'Acuario (Arribado - mortalidad)'!AL32</f>
        <v>0</v>
      </c>
      <c r="BG20" s="154">
        <f>'Acuario (Arribado - mortalidad)'!AM32</f>
        <v>0</v>
      </c>
      <c r="BH20" s="154">
        <f>'Acuario (Arribado - mortalidad)'!AN32</f>
        <v>0</v>
      </c>
      <c r="BI20" s="154">
        <f>'Acuario (Arribado - mortalidad)'!AO32</f>
        <v>0</v>
      </c>
      <c r="BJ20" s="154">
        <f>'Acuario (Arribado - mortalidad)'!AP32</f>
        <v>0</v>
      </c>
      <c r="BK20" s="154">
        <f>'Acuario (Arribado - mortalidad)'!AQ32</f>
        <v>0</v>
      </c>
      <c r="BL20" s="154">
        <f>'Acuario (Arribado - mortalidad)'!AR32</f>
        <v>0</v>
      </c>
      <c r="BM20" s="154" t="str">
        <f>'Acuario (Arribado - mortalidad)'!AS32</f>
        <v/>
      </c>
      <c r="BN20" s="154">
        <f>'Acuario (Arribado - mortalidad)'!AT32</f>
        <v>0</v>
      </c>
      <c r="BO20" s="154">
        <f>'Acuario (Arribado - mortalidad)'!AU32</f>
        <v>0</v>
      </c>
      <c r="BP20" s="154">
        <f>'Acuario (Arribado - mortalidad)'!AV32</f>
        <v>0</v>
      </c>
      <c r="BQ20" s="154" t="str">
        <f>'Acuario (Arribado - mortalidad)'!AW32</f>
        <v/>
      </c>
      <c r="BR20" s="154">
        <f>'Acuario (Arribado - mortalidad)'!AX32</f>
        <v>0</v>
      </c>
      <c r="BS20" s="154">
        <f>'Acuario (Arribado - mortalidad)'!AY32</f>
        <v>0</v>
      </c>
      <c r="BT20" s="154" t="str">
        <f>'Acuario (Arribado - mortalidad)'!AZ32</f>
        <v/>
      </c>
      <c r="BU20" s="154" t="str">
        <f>'Acuario (Arribado - mortalidad)'!BA32</f>
        <v/>
      </c>
      <c r="BV20" s="154" t="str">
        <f>'Acuario (Arribado - mortalidad)'!BB32</f>
        <v/>
      </c>
      <c r="BW20" s="154" t="str">
        <f>'Acuario (Arribado - mortalidad)'!BC32</f>
        <v/>
      </c>
      <c r="BX20" s="154">
        <f>'Acuario (Arribado - mortalidad)'!BD32</f>
        <v>0</v>
      </c>
      <c r="BY20" s="154" t="str">
        <f>'Acuario (Arribado - mortalidad)'!BE32</f>
        <v/>
      </c>
      <c r="BZ20" s="23" t="str">
        <f>'Acuario (Arribado - mortalidad)'!BF32</f>
        <v/>
      </c>
    </row>
    <row r="21" spans="1:78" x14ac:dyDescent="0.25">
      <c r="A21" s="154" t="str">
        <f>IF(U21&lt;&gt;0,'ORDEN DE CUARENTENA'!$AE$2,"")</f>
        <v/>
      </c>
      <c r="B21" s="190" t="str">
        <f>IF(U21&lt;&gt;0,'ORDEN DE CUARENTENA'!$AE$3,"")</f>
        <v/>
      </c>
      <c r="C21" s="174" t="str">
        <f t="shared" si="0"/>
        <v/>
      </c>
      <c r="D21" s="329" t="str">
        <f>IF(U21&lt;&gt;0,'ORDEN DE CUARENTENA'!$I$6,"")</f>
        <v/>
      </c>
      <c r="E21" s="174" t="str">
        <f>IF(U21&lt;&gt;0,TEXT('ORDEN DE CUARENTENA'!$I$6,"aaa"),"")</f>
        <v/>
      </c>
      <c r="F21" s="173" t="str">
        <f>IF(U21&lt;&gt;0,TEXT('ORDEN DE CUARENTENA'!$I$6,"dd"),"")</f>
        <v/>
      </c>
      <c r="G21" s="172" t="str">
        <f>IF(U21&lt;&gt;0,TEXT('ORDEN DE CUARENTENA'!$I$6,"mm"),"")</f>
        <v/>
      </c>
      <c r="H21" s="171" t="str">
        <f>IF(U21&lt;&gt;0,TEXT('ORDEN DE CUARENTENA'!$I$6,"yyyy"),"")</f>
        <v/>
      </c>
      <c r="I21" s="154" t="str">
        <f>IF(U21&lt;&gt;0,'ORDEN DE CUARENTENA'!$H$7,"")</f>
        <v/>
      </c>
      <c r="J21" s="154" t="str">
        <f>IF(U21&lt;&gt;0,'ORDEN DE CUARENTENA'!$H$9,"")</f>
        <v/>
      </c>
      <c r="K21" s="154" t="str">
        <f>IF(U21&lt;&gt;0,'ORDEN DE CUARENTENA'!$Q$9,"")</f>
        <v/>
      </c>
      <c r="L21" s="154" t="str">
        <f>IFERROR(VLOOKUP(U21,Item[],4,FALSE),IFERROR(VLOOKUP(U21,Item2[],4,FALSE),""))</f>
        <v/>
      </c>
      <c r="M21" s="154" t="str">
        <f>IFERROR(VLOOKUP(U21,Item[],5,FALSE),IFERROR(VLOOKUP(U21,Item2[],5,FALSE),""))</f>
        <v/>
      </c>
      <c r="N21" s="154" t="str">
        <f>IFERROR(VLOOKUP(W21,SuscepEARs[],2,FALSE),"")</f>
        <v/>
      </c>
      <c r="O21" s="154" t="str">
        <f>IFERROR(VLOOKUP(DatosAll[[#This Row],[ESPECIE]],CITES[],2,FALSE),"")</f>
        <v/>
      </c>
      <c r="P21" s="154">
        <f>IFERROR(VLOOKUP(T21,Hallazgo[],2,FALSE),"")</f>
        <v>0</v>
      </c>
      <c r="Q21" s="154">
        <f>IFERROR(VLOOKUP(T21,Hallazgo[],3,FALSE),"")</f>
        <v>0</v>
      </c>
      <c r="R21" s="154">
        <f>IFERROR(VLOOKUP(T21,Hallazgo[],4,FALSE),"")</f>
        <v>0</v>
      </c>
      <c r="S21" s="154">
        <f>IFERROR(VLOOKUP(T21,Hallazgo[],5,FALSE),"")</f>
        <v>0</v>
      </c>
      <c r="T21" s="154">
        <f>'Acuario (Arribado - mortalidad)'!C33</f>
        <v>0</v>
      </c>
      <c r="U21" s="154">
        <f>'Acuario (Arribado - mortalidad)'!B33</f>
        <v>0</v>
      </c>
      <c r="V21" s="154" t="str">
        <f>'Acuario (Arribado - mortalidad)'!D33</f>
        <v/>
      </c>
      <c r="W21" s="154" t="str">
        <f>'Acuario (Arribado - mortalidad)'!E33</f>
        <v/>
      </c>
      <c r="X21" s="154">
        <f>'Acuario (Arribado - mortalidad)'!F33</f>
        <v>0</v>
      </c>
      <c r="Y21" s="154">
        <f>'Acuario (Arribado - mortalidad)'!H33</f>
        <v>0</v>
      </c>
      <c r="Z21" s="154">
        <f>'Acuario (Arribado - mortalidad)'!I33</f>
        <v>0</v>
      </c>
      <c r="AA21" s="154">
        <f>'Acuario (Arribado - mortalidad)'!J33</f>
        <v>0</v>
      </c>
      <c r="AB21" s="154" t="str">
        <f>'Acuario (Arribado - mortalidad)'!K33</f>
        <v/>
      </c>
      <c r="AC21" s="334" t="str">
        <f>IFERROR(('Acuario (Arribado - mortalidad)'!K33/DatosAll[[#This Row],[N_INDIVIDUOS]])*100,"")</f>
        <v/>
      </c>
      <c r="AD21" s="334" t="str">
        <f>IFERROR(('Acuario (Arribado - mortalidad)'!O33/DatosAll[[#This Row],[N_INDIVIDUOS]])*100,"")</f>
        <v/>
      </c>
      <c r="AE21" s="334" t="str">
        <f>IFERROR(('Acuario (Arribado - mortalidad)'!BG33/DatosAll[[#This Row],[N_INDIVIDUOS]])*100,"")</f>
        <v/>
      </c>
      <c r="AF21" s="334" t="str">
        <f>IFERROR(('Acuario (Arribado - mortalidad)'!BH33/DatosAll[[#This Row],[N_INDIVIDUOS]])*100,"")</f>
        <v/>
      </c>
      <c r="AG21" s="154">
        <f>'Acuario (Arribado - mortalidad)'!M33</f>
        <v>0</v>
      </c>
      <c r="AH21" s="154" t="str">
        <f>'Acuario (Arribado - mortalidad)'!G33</f>
        <v/>
      </c>
      <c r="AI21" s="154">
        <f>'Acuario (Arribado - mortalidad)'!O33</f>
        <v>0</v>
      </c>
      <c r="AJ21" s="154">
        <f>'Acuario (Arribado - mortalidad)'!P33</f>
        <v>0</v>
      </c>
      <c r="AK21" s="154">
        <f>'Acuario (Arribado - mortalidad)'!Q33</f>
        <v>0</v>
      </c>
      <c r="AL21" s="154">
        <f>'Acuario (Arribado - mortalidad)'!R33</f>
        <v>0</v>
      </c>
      <c r="AM21" s="154">
        <f>'Acuario (Arribado - mortalidad)'!S33</f>
        <v>0</v>
      </c>
      <c r="AN21" s="154">
        <f>'Acuario (Arribado - mortalidad)'!T33</f>
        <v>0</v>
      </c>
      <c r="AO21" s="154">
        <f>'Acuario (Arribado - mortalidad)'!U33</f>
        <v>0</v>
      </c>
      <c r="AP21" s="154">
        <f>'Acuario (Arribado - mortalidad)'!V33</f>
        <v>0</v>
      </c>
      <c r="AQ21" s="154">
        <f>'Acuario (Arribado - mortalidad)'!W33</f>
        <v>0</v>
      </c>
      <c r="AR21" s="154">
        <f>'Acuario (Arribado - mortalidad)'!X33</f>
        <v>0</v>
      </c>
      <c r="AS21" s="154">
        <f>'Acuario (Arribado - mortalidad)'!Y33</f>
        <v>0</v>
      </c>
      <c r="AT21" s="154">
        <f>'Acuario (Arribado - mortalidad)'!Z33</f>
        <v>0</v>
      </c>
      <c r="AU21" s="154">
        <f>'Acuario (Arribado - mortalidad)'!AA33</f>
        <v>0</v>
      </c>
      <c r="AV21" s="154">
        <f>'Acuario (Arribado - mortalidad)'!AB33</f>
        <v>0</v>
      </c>
      <c r="AW21" s="154">
        <f>'Acuario (Arribado - mortalidad)'!AC33</f>
        <v>0</v>
      </c>
      <c r="AX21" s="154">
        <f>'Acuario (Arribado - mortalidad)'!AD33</f>
        <v>0</v>
      </c>
      <c r="AY21" s="154">
        <f>'Acuario (Arribado - mortalidad)'!AE33</f>
        <v>0</v>
      </c>
      <c r="AZ21" s="154">
        <f>'Acuario (Arribado - mortalidad)'!AF33</f>
        <v>0</v>
      </c>
      <c r="BA21" s="154">
        <f>'Acuario (Arribado - mortalidad)'!AG33</f>
        <v>0</v>
      </c>
      <c r="BB21" s="154">
        <f>'Acuario (Arribado - mortalidad)'!AH33</f>
        <v>0</v>
      </c>
      <c r="BC21" s="154">
        <f>'Acuario (Arribado - mortalidad)'!AI33</f>
        <v>0</v>
      </c>
      <c r="BD21" s="154">
        <f>'Acuario (Arribado - mortalidad)'!AJ33</f>
        <v>0</v>
      </c>
      <c r="BE21" s="154">
        <f>'Acuario (Arribado - mortalidad)'!AK33</f>
        <v>0</v>
      </c>
      <c r="BF21" s="154">
        <f>'Acuario (Arribado - mortalidad)'!AL33</f>
        <v>0</v>
      </c>
      <c r="BG21" s="154">
        <f>'Acuario (Arribado - mortalidad)'!AM33</f>
        <v>0</v>
      </c>
      <c r="BH21" s="154">
        <f>'Acuario (Arribado - mortalidad)'!AN33</f>
        <v>0</v>
      </c>
      <c r="BI21" s="154">
        <f>'Acuario (Arribado - mortalidad)'!AO33</f>
        <v>0</v>
      </c>
      <c r="BJ21" s="154">
        <f>'Acuario (Arribado - mortalidad)'!AP33</f>
        <v>0</v>
      </c>
      <c r="BK21" s="154">
        <f>'Acuario (Arribado - mortalidad)'!AQ33</f>
        <v>0</v>
      </c>
      <c r="BL21" s="154">
        <f>'Acuario (Arribado - mortalidad)'!AR33</f>
        <v>0</v>
      </c>
      <c r="BM21" s="154" t="str">
        <f>'Acuario (Arribado - mortalidad)'!AS33</f>
        <v/>
      </c>
      <c r="BN21" s="154">
        <f>'Acuario (Arribado - mortalidad)'!AT33</f>
        <v>0</v>
      </c>
      <c r="BO21" s="154">
        <f>'Acuario (Arribado - mortalidad)'!AU33</f>
        <v>0</v>
      </c>
      <c r="BP21" s="154">
        <f>'Acuario (Arribado - mortalidad)'!AV33</f>
        <v>0</v>
      </c>
      <c r="BQ21" s="154" t="str">
        <f>'Acuario (Arribado - mortalidad)'!AW33</f>
        <v/>
      </c>
      <c r="BR21" s="154">
        <f>'Acuario (Arribado - mortalidad)'!AX33</f>
        <v>0</v>
      </c>
      <c r="BS21" s="154">
        <f>'Acuario (Arribado - mortalidad)'!AY33</f>
        <v>0</v>
      </c>
      <c r="BT21" s="154" t="str">
        <f>'Acuario (Arribado - mortalidad)'!AZ33</f>
        <v/>
      </c>
      <c r="BU21" s="154" t="str">
        <f>'Acuario (Arribado - mortalidad)'!BA33</f>
        <v/>
      </c>
      <c r="BV21" s="154" t="str">
        <f>'Acuario (Arribado - mortalidad)'!BB33</f>
        <v/>
      </c>
      <c r="BW21" s="154" t="str">
        <f>'Acuario (Arribado - mortalidad)'!BC33</f>
        <v/>
      </c>
      <c r="BX21" s="154">
        <f>'Acuario (Arribado - mortalidad)'!BD33</f>
        <v>0</v>
      </c>
      <c r="BY21" s="154" t="str">
        <f>'Acuario (Arribado - mortalidad)'!BE33</f>
        <v/>
      </c>
      <c r="BZ21" s="23" t="str">
        <f>'Acuario (Arribado - mortalidad)'!BF33</f>
        <v/>
      </c>
    </row>
    <row r="22" spans="1:78" x14ac:dyDescent="0.25">
      <c r="A22" s="154" t="str">
        <f>IF(U22&lt;&gt;0,'ORDEN DE CUARENTENA'!$AE$2,"")</f>
        <v/>
      </c>
      <c r="B22" s="190" t="str">
        <f>IF(U22&lt;&gt;0,'ORDEN DE CUARENTENA'!$AE$3,"")</f>
        <v/>
      </c>
      <c r="C22" s="174" t="str">
        <f t="shared" si="0"/>
        <v/>
      </c>
      <c r="D22" s="329" t="str">
        <f>IF(U22&lt;&gt;0,'ORDEN DE CUARENTENA'!$I$6,"")</f>
        <v/>
      </c>
      <c r="E22" s="174" t="str">
        <f>IF(U22&lt;&gt;0,TEXT('ORDEN DE CUARENTENA'!$I$6,"aaa"),"")</f>
        <v/>
      </c>
      <c r="F22" s="173" t="str">
        <f>IF(U22&lt;&gt;0,TEXT('ORDEN DE CUARENTENA'!$I$6,"dd"),"")</f>
        <v/>
      </c>
      <c r="G22" s="172" t="str">
        <f>IF(U22&lt;&gt;0,TEXT('ORDEN DE CUARENTENA'!$I$6,"mm"),"")</f>
        <v/>
      </c>
      <c r="H22" s="171" t="str">
        <f>IF(U22&lt;&gt;0,TEXT('ORDEN DE CUARENTENA'!$I$6,"yyyy"),"")</f>
        <v/>
      </c>
      <c r="I22" s="154" t="str">
        <f>IF(U22&lt;&gt;0,'ORDEN DE CUARENTENA'!$H$7,"")</f>
        <v/>
      </c>
      <c r="J22" s="154" t="str">
        <f>IF(U22&lt;&gt;0,'ORDEN DE CUARENTENA'!$H$9,"")</f>
        <v/>
      </c>
      <c r="K22" s="154" t="str">
        <f>IF(U22&lt;&gt;0,'ORDEN DE CUARENTENA'!$Q$9,"")</f>
        <v/>
      </c>
      <c r="L22" s="154" t="str">
        <f>IFERROR(VLOOKUP(U22,Item[],4,FALSE),IFERROR(VLOOKUP(U22,Item2[],4,FALSE),""))</f>
        <v/>
      </c>
      <c r="M22" s="154" t="str">
        <f>IFERROR(VLOOKUP(U22,Item[],5,FALSE),IFERROR(VLOOKUP(U22,Item2[],5,FALSE),""))</f>
        <v/>
      </c>
      <c r="N22" s="154" t="str">
        <f>IFERROR(VLOOKUP(W22,SuscepEARs[],2,FALSE),"")</f>
        <v/>
      </c>
      <c r="O22" s="154" t="str">
        <f>IFERROR(VLOOKUP(DatosAll[[#This Row],[ESPECIE]],CITES[],2,FALSE),"")</f>
        <v/>
      </c>
      <c r="P22" s="154">
        <f>IFERROR(VLOOKUP(T22,Hallazgo[],2,FALSE),"")</f>
        <v>0</v>
      </c>
      <c r="Q22" s="154">
        <f>IFERROR(VLOOKUP(T22,Hallazgo[],3,FALSE),"")</f>
        <v>0</v>
      </c>
      <c r="R22" s="154">
        <f>IFERROR(VLOOKUP(T22,Hallazgo[],4,FALSE),"")</f>
        <v>0</v>
      </c>
      <c r="S22" s="154">
        <f>IFERROR(VLOOKUP(T22,Hallazgo[],5,FALSE),"")</f>
        <v>0</v>
      </c>
      <c r="T22" s="154">
        <f>'Acuario (Arribado - mortalidad)'!C34</f>
        <v>0</v>
      </c>
      <c r="U22" s="154">
        <f>'Acuario (Arribado - mortalidad)'!B34</f>
        <v>0</v>
      </c>
      <c r="V22" s="154" t="str">
        <f>'Acuario (Arribado - mortalidad)'!D34</f>
        <v/>
      </c>
      <c r="W22" s="154" t="str">
        <f>'Acuario (Arribado - mortalidad)'!E34</f>
        <v/>
      </c>
      <c r="X22" s="154">
        <f>'Acuario (Arribado - mortalidad)'!F34</f>
        <v>0</v>
      </c>
      <c r="Y22" s="154">
        <f>'Acuario (Arribado - mortalidad)'!H34</f>
        <v>0</v>
      </c>
      <c r="Z22" s="154">
        <f>'Acuario (Arribado - mortalidad)'!I34</f>
        <v>0</v>
      </c>
      <c r="AA22" s="154">
        <f>'Acuario (Arribado - mortalidad)'!J34</f>
        <v>0</v>
      </c>
      <c r="AB22" s="154" t="str">
        <f>'Acuario (Arribado - mortalidad)'!K34</f>
        <v/>
      </c>
      <c r="AC22" s="334" t="str">
        <f>IFERROR(('Acuario (Arribado - mortalidad)'!K34/DatosAll[[#This Row],[N_INDIVIDUOS]])*100,"")</f>
        <v/>
      </c>
      <c r="AD22" s="334" t="str">
        <f>IFERROR(('Acuario (Arribado - mortalidad)'!O34/DatosAll[[#This Row],[N_INDIVIDUOS]])*100,"")</f>
        <v/>
      </c>
      <c r="AE22" s="334" t="str">
        <f>IFERROR(('Acuario (Arribado - mortalidad)'!BG34/DatosAll[[#This Row],[N_INDIVIDUOS]])*100,"")</f>
        <v/>
      </c>
      <c r="AF22" s="334" t="str">
        <f>IFERROR(('Acuario (Arribado - mortalidad)'!BH34/DatosAll[[#This Row],[N_INDIVIDUOS]])*100,"")</f>
        <v/>
      </c>
      <c r="AG22" s="154">
        <f>'Acuario (Arribado - mortalidad)'!M34</f>
        <v>0</v>
      </c>
      <c r="AH22" s="154" t="str">
        <f>'Acuario (Arribado - mortalidad)'!G34</f>
        <v/>
      </c>
      <c r="AI22" s="154">
        <f>'Acuario (Arribado - mortalidad)'!O34</f>
        <v>0</v>
      </c>
      <c r="AJ22" s="154">
        <f>'Acuario (Arribado - mortalidad)'!P34</f>
        <v>0</v>
      </c>
      <c r="AK22" s="154">
        <f>'Acuario (Arribado - mortalidad)'!Q34</f>
        <v>0</v>
      </c>
      <c r="AL22" s="154">
        <f>'Acuario (Arribado - mortalidad)'!R34</f>
        <v>0</v>
      </c>
      <c r="AM22" s="154">
        <f>'Acuario (Arribado - mortalidad)'!S34</f>
        <v>0</v>
      </c>
      <c r="AN22" s="154">
        <f>'Acuario (Arribado - mortalidad)'!T34</f>
        <v>0</v>
      </c>
      <c r="AO22" s="154">
        <f>'Acuario (Arribado - mortalidad)'!U34</f>
        <v>0</v>
      </c>
      <c r="AP22" s="154">
        <f>'Acuario (Arribado - mortalidad)'!V34</f>
        <v>0</v>
      </c>
      <c r="AQ22" s="154">
        <f>'Acuario (Arribado - mortalidad)'!W34</f>
        <v>0</v>
      </c>
      <c r="AR22" s="154">
        <f>'Acuario (Arribado - mortalidad)'!X34</f>
        <v>0</v>
      </c>
      <c r="AS22" s="154">
        <f>'Acuario (Arribado - mortalidad)'!Y34</f>
        <v>0</v>
      </c>
      <c r="AT22" s="154">
        <f>'Acuario (Arribado - mortalidad)'!Z34</f>
        <v>0</v>
      </c>
      <c r="AU22" s="154">
        <f>'Acuario (Arribado - mortalidad)'!AA34</f>
        <v>0</v>
      </c>
      <c r="AV22" s="154">
        <f>'Acuario (Arribado - mortalidad)'!AB34</f>
        <v>0</v>
      </c>
      <c r="AW22" s="154">
        <f>'Acuario (Arribado - mortalidad)'!AC34</f>
        <v>0</v>
      </c>
      <c r="AX22" s="154">
        <f>'Acuario (Arribado - mortalidad)'!AD34</f>
        <v>0</v>
      </c>
      <c r="AY22" s="154">
        <f>'Acuario (Arribado - mortalidad)'!AE34</f>
        <v>0</v>
      </c>
      <c r="AZ22" s="154">
        <f>'Acuario (Arribado - mortalidad)'!AF34</f>
        <v>0</v>
      </c>
      <c r="BA22" s="154">
        <f>'Acuario (Arribado - mortalidad)'!AG34</f>
        <v>0</v>
      </c>
      <c r="BB22" s="154">
        <f>'Acuario (Arribado - mortalidad)'!AH34</f>
        <v>0</v>
      </c>
      <c r="BC22" s="154">
        <f>'Acuario (Arribado - mortalidad)'!AI34</f>
        <v>0</v>
      </c>
      <c r="BD22" s="154">
        <f>'Acuario (Arribado - mortalidad)'!AJ34</f>
        <v>0</v>
      </c>
      <c r="BE22" s="154">
        <f>'Acuario (Arribado - mortalidad)'!AK34</f>
        <v>0</v>
      </c>
      <c r="BF22" s="154">
        <f>'Acuario (Arribado - mortalidad)'!AL34</f>
        <v>0</v>
      </c>
      <c r="BG22" s="154">
        <f>'Acuario (Arribado - mortalidad)'!AM34</f>
        <v>0</v>
      </c>
      <c r="BH22" s="154">
        <f>'Acuario (Arribado - mortalidad)'!AN34</f>
        <v>0</v>
      </c>
      <c r="BI22" s="154">
        <f>'Acuario (Arribado - mortalidad)'!AO34</f>
        <v>0</v>
      </c>
      <c r="BJ22" s="154">
        <f>'Acuario (Arribado - mortalidad)'!AP34</f>
        <v>0</v>
      </c>
      <c r="BK22" s="154">
        <f>'Acuario (Arribado - mortalidad)'!AQ34</f>
        <v>0</v>
      </c>
      <c r="BL22" s="154">
        <f>'Acuario (Arribado - mortalidad)'!AR34</f>
        <v>0</v>
      </c>
      <c r="BM22" s="154" t="str">
        <f>'Acuario (Arribado - mortalidad)'!AS34</f>
        <v/>
      </c>
      <c r="BN22" s="154">
        <f>'Acuario (Arribado - mortalidad)'!AT34</f>
        <v>0</v>
      </c>
      <c r="BO22" s="154">
        <f>'Acuario (Arribado - mortalidad)'!AU34</f>
        <v>0</v>
      </c>
      <c r="BP22" s="154">
        <f>'Acuario (Arribado - mortalidad)'!AV34</f>
        <v>0</v>
      </c>
      <c r="BQ22" s="154" t="str">
        <f>'Acuario (Arribado - mortalidad)'!AW34</f>
        <v/>
      </c>
      <c r="BR22" s="154">
        <f>'Acuario (Arribado - mortalidad)'!AX34</f>
        <v>0</v>
      </c>
      <c r="BS22" s="154">
        <f>'Acuario (Arribado - mortalidad)'!AY34</f>
        <v>0</v>
      </c>
      <c r="BT22" s="154" t="str">
        <f>'Acuario (Arribado - mortalidad)'!AZ34</f>
        <v/>
      </c>
      <c r="BU22" s="154" t="str">
        <f>'Acuario (Arribado - mortalidad)'!BA34</f>
        <v/>
      </c>
      <c r="BV22" s="154" t="str">
        <f>'Acuario (Arribado - mortalidad)'!BB34</f>
        <v/>
      </c>
      <c r="BW22" s="154" t="str">
        <f>'Acuario (Arribado - mortalidad)'!BC34</f>
        <v/>
      </c>
      <c r="BX22" s="154">
        <f>'Acuario (Arribado - mortalidad)'!BD34</f>
        <v>0</v>
      </c>
      <c r="BY22" s="154" t="str">
        <f>'Acuario (Arribado - mortalidad)'!BE34</f>
        <v/>
      </c>
      <c r="BZ22" s="23" t="str">
        <f>'Acuario (Arribado - mortalidad)'!BF34</f>
        <v/>
      </c>
    </row>
    <row r="23" spans="1:78" x14ac:dyDescent="0.25">
      <c r="A23" s="154" t="str">
        <f>IF(U23&lt;&gt;0,'ORDEN DE CUARENTENA'!$AE$2,"")</f>
        <v/>
      </c>
      <c r="B23" s="190" t="str">
        <f>IF(U23&lt;&gt;0,'ORDEN DE CUARENTENA'!$AE$3,"")</f>
        <v/>
      </c>
      <c r="C23" s="174" t="str">
        <f t="shared" si="0"/>
        <v/>
      </c>
      <c r="D23" s="329" t="str">
        <f>IF(U23&lt;&gt;0,'ORDEN DE CUARENTENA'!$I$6,"")</f>
        <v/>
      </c>
      <c r="E23" s="174" t="str">
        <f>IF(U23&lt;&gt;0,TEXT('ORDEN DE CUARENTENA'!$I$6,"aaa"),"")</f>
        <v/>
      </c>
      <c r="F23" s="173" t="str">
        <f>IF(U23&lt;&gt;0,TEXT('ORDEN DE CUARENTENA'!$I$6,"dd"),"")</f>
        <v/>
      </c>
      <c r="G23" s="172" t="str">
        <f>IF(U23&lt;&gt;0,TEXT('ORDEN DE CUARENTENA'!$I$6,"mm"),"")</f>
        <v/>
      </c>
      <c r="H23" s="171" t="str">
        <f>IF(U23&lt;&gt;0,TEXT('ORDEN DE CUARENTENA'!$I$6,"yyyy"),"")</f>
        <v/>
      </c>
      <c r="I23" s="154" t="str">
        <f>IF(U23&lt;&gt;0,'ORDEN DE CUARENTENA'!$H$7,"")</f>
        <v/>
      </c>
      <c r="J23" s="154" t="str">
        <f>IF(U23&lt;&gt;0,'ORDEN DE CUARENTENA'!$H$9,"")</f>
        <v/>
      </c>
      <c r="K23" s="154" t="str">
        <f>IF(U23&lt;&gt;0,'ORDEN DE CUARENTENA'!$Q$9,"")</f>
        <v/>
      </c>
      <c r="L23" s="154" t="str">
        <f>IFERROR(VLOOKUP(U23,Item[],4,FALSE),IFERROR(VLOOKUP(U23,Item2[],4,FALSE),""))</f>
        <v/>
      </c>
      <c r="M23" s="154" t="str">
        <f>IFERROR(VLOOKUP(U23,Item[],5,FALSE),IFERROR(VLOOKUP(U23,Item2[],5,FALSE),""))</f>
        <v/>
      </c>
      <c r="N23" s="154" t="str">
        <f>IFERROR(VLOOKUP(W23,SuscepEARs[],2,FALSE),"")</f>
        <v/>
      </c>
      <c r="O23" s="154" t="str">
        <f>IFERROR(VLOOKUP(DatosAll[[#This Row],[ESPECIE]],CITES[],2,FALSE),"")</f>
        <v/>
      </c>
      <c r="P23" s="154">
        <f>IFERROR(VLOOKUP(T23,Hallazgo[],2,FALSE),"")</f>
        <v>0</v>
      </c>
      <c r="Q23" s="154">
        <f>IFERROR(VLOOKUP(T23,Hallazgo[],3,FALSE),"")</f>
        <v>0</v>
      </c>
      <c r="R23" s="154">
        <f>IFERROR(VLOOKUP(T23,Hallazgo[],4,FALSE),"")</f>
        <v>0</v>
      </c>
      <c r="S23" s="154">
        <f>IFERROR(VLOOKUP(T23,Hallazgo[],5,FALSE),"")</f>
        <v>0</v>
      </c>
      <c r="T23" s="154">
        <f>'Acuario (Arribado - mortalidad)'!C35</f>
        <v>0</v>
      </c>
      <c r="U23" s="154">
        <f>'Acuario (Arribado - mortalidad)'!B35</f>
        <v>0</v>
      </c>
      <c r="V23" s="154" t="str">
        <f>'Acuario (Arribado - mortalidad)'!D35</f>
        <v/>
      </c>
      <c r="W23" s="154" t="str">
        <f>'Acuario (Arribado - mortalidad)'!E35</f>
        <v/>
      </c>
      <c r="X23" s="154">
        <f>'Acuario (Arribado - mortalidad)'!F35</f>
        <v>0</v>
      </c>
      <c r="Y23" s="154">
        <f>'Acuario (Arribado - mortalidad)'!H35</f>
        <v>0</v>
      </c>
      <c r="Z23" s="154">
        <f>'Acuario (Arribado - mortalidad)'!I35</f>
        <v>0</v>
      </c>
      <c r="AA23" s="154">
        <f>'Acuario (Arribado - mortalidad)'!J35</f>
        <v>0</v>
      </c>
      <c r="AB23" s="154" t="str">
        <f>'Acuario (Arribado - mortalidad)'!K35</f>
        <v/>
      </c>
      <c r="AC23" s="334" t="str">
        <f>IFERROR(('Acuario (Arribado - mortalidad)'!K35/DatosAll[[#This Row],[N_INDIVIDUOS]])*100,"")</f>
        <v/>
      </c>
      <c r="AD23" s="334" t="str">
        <f>IFERROR(('Acuario (Arribado - mortalidad)'!O35/DatosAll[[#This Row],[N_INDIVIDUOS]])*100,"")</f>
        <v/>
      </c>
      <c r="AE23" s="334" t="str">
        <f>IFERROR(('Acuario (Arribado - mortalidad)'!BG35/DatosAll[[#This Row],[N_INDIVIDUOS]])*100,"")</f>
        <v/>
      </c>
      <c r="AF23" s="334" t="str">
        <f>IFERROR(('Acuario (Arribado - mortalidad)'!BH35/DatosAll[[#This Row],[N_INDIVIDUOS]])*100,"")</f>
        <v/>
      </c>
      <c r="AG23" s="154">
        <f>'Acuario (Arribado - mortalidad)'!M35</f>
        <v>0</v>
      </c>
      <c r="AH23" s="154" t="str">
        <f>'Acuario (Arribado - mortalidad)'!G35</f>
        <v/>
      </c>
      <c r="AI23" s="154">
        <f>'Acuario (Arribado - mortalidad)'!O35</f>
        <v>0</v>
      </c>
      <c r="AJ23" s="154">
        <f>'Acuario (Arribado - mortalidad)'!P35</f>
        <v>0</v>
      </c>
      <c r="AK23" s="154">
        <f>'Acuario (Arribado - mortalidad)'!Q35</f>
        <v>0</v>
      </c>
      <c r="AL23" s="154">
        <f>'Acuario (Arribado - mortalidad)'!R35</f>
        <v>0</v>
      </c>
      <c r="AM23" s="154">
        <f>'Acuario (Arribado - mortalidad)'!S35</f>
        <v>0</v>
      </c>
      <c r="AN23" s="154">
        <f>'Acuario (Arribado - mortalidad)'!T35</f>
        <v>0</v>
      </c>
      <c r="AO23" s="154">
        <f>'Acuario (Arribado - mortalidad)'!U35</f>
        <v>0</v>
      </c>
      <c r="AP23" s="154">
        <f>'Acuario (Arribado - mortalidad)'!V35</f>
        <v>0</v>
      </c>
      <c r="AQ23" s="154">
        <f>'Acuario (Arribado - mortalidad)'!W35</f>
        <v>0</v>
      </c>
      <c r="AR23" s="154">
        <f>'Acuario (Arribado - mortalidad)'!X35</f>
        <v>0</v>
      </c>
      <c r="AS23" s="154">
        <f>'Acuario (Arribado - mortalidad)'!Y35</f>
        <v>0</v>
      </c>
      <c r="AT23" s="154">
        <f>'Acuario (Arribado - mortalidad)'!Z35</f>
        <v>0</v>
      </c>
      <c r="AU23" s="154">
        <f>'Acuario (Arribado - mortalidad)'!AA35</f>
        <v>0</v>
      </c>
      <c r="AV23" s="154">
        <f>'Acuario (Arribado - mortalidad)'!AB35</f>
        <v>0</v>
      </c>
      <c r="AW23" s="154">
        <f>'Acuario (Arribado - mortalidad)'!AC35</f>
        <v>0</v>
      </c>
      <c r="AX23" s="154">
        <f>'Acuario (Arribado - mortalidad)'!AD35</f>
        <v>0</v>
      </c>
      <c r="AY23" s="154">
        <f>'Acuario (Arribado - mortalidad)'!AE35</f>
        <v>0</v>
      </c>
      <c r="AZ23" s="154">
        <f>'Acuario (Arribado - mortalidad)'!AF35</f>
        <v>0</v>
      </c>
      <c r="BA23" s="154">
        <f>'Acuario (Arribado - mortalidad)'!AG35</f>
        <v>0</v>
      </c>
      <c r="BB23" s="154">
        <f>'Acuario (Arribado - mortalidad)'!AH35</f>
        <v>0</v>
      </c>
      <c r="BC23" s="154">
        <f>'Acuario (Arribado - mortalidad)'!AI35</f>
        <v>0</v>
      </c>
      <c r="BD23" s="154">
        <f>'Acuario (Arribado - mortalidad)'!AJ35</f>
        <v>0</v>
      </c>
      <c r="BE23" s="154">
        <f>'Acuario (Arribado - mortalidad)'!AK35</f>
        <v>0</v>
      </c>
      <c r="BF23" s="154">
        <f>'Acuario (Arribado - mortalidad)'!AL35</f>
        <v>0</v>
      </c>
      <c r="BG23" s="154">
        <f>'Acuario (Arribado - mortalidad)'!AM35</f>
        <v>0</v>
      </c>
      <c r="BH23" s="154">
        <f>'Acuario (Arribado - mortalidad)'!AN35</f>
        <v>0</v>
      </c>
      <c r="BI23" s="154">
        <f>'Acuario (Arribado - mortalidad)'!AO35</f>
        <v>0</v>
      </c>
      <c r="BJ23" s="154">
        <f>'Acuario (Arribado - mortalidad)'!AP35</f>
        <v>0</v>
      </c>
      <c r="BK23" s="154">
        <f>'Acuario (Arribado - mortalidad)'!AQ35</f>
        <v>0</v>
      </c>
      <c r="BL23" s="154">
        <f>'Acuario (Arribado - mortalidad)'!AR35</f>
        <v>0</v>
      </c>
      <c r="BM23" s="154" t="str">
        <f>'Acuario (Arribado - mortalidad)'!AS35</f>
        <v/>
      </c>
      <c r="BN23" s="154">
        <f>'Acuario (Arribado - mortalidad)'!AT35</f>
        <v>0</v>
      </c>
      <c r="BO23" s="154">
        <f>'Acuario (Arribado - mortalidad)'!AU35</f>
        <v>0</v>
      </c>
      <c r="BP23" s="154">
        <f>'Acuario (Arribado - mortalidad)'!AV35</f>
        <v>0</v>
      </c>
      <c r="BQ23" s="154" t="str">
        <f>'Acuario (Arribado - mortalidad)'!AW35</f>
        <v/>
      </c>
      <c r="BR23" s="154">
        <f>'Acuario (Arribado - mortalidad)'!AX35</f>
        <v>0</v>
      </c>
      <c r="BS23" s="154">
        <f>'Acuario (Arribado - mortalidad)'!AY35</f>
        <v>0</v>
      </c>
      <c r="BT23" s="154" t="str">
        <f>'Acuario (Arribado - mortalidad)'!AZ35</f>
        <v/>
      </c>
      <c r="BU23" s="154" t="str">
        <f>'Acuario (Arribado - mortalidad)'!BA35</f>
        <v/>
      </c>
      <c r="BV23" s="154" t="str">
        <f>'Acuario (Arribado - mortalidad)'!BB35</f>
        <v/>
      </c>
      <c r="BW23" s="154" t="str">
        <f>'Acuario (Arribado - mortalidad)'!BC35</f>
        <v/>
      </c>
      <c r="BX23" s="154">
        <f>'Acuario (Arribado - mortalidad)'!BD35</f>
        <v>0</v>
      </c>
      <c r="BY23" s="154" t="str">
        <f>'Acuario (Arribado - mortalidad)'!BE35</f>
        <v/>
      </c>
      <c r="BZ23" s="23" t="str">
        <f>'Acuario (Arribado - mortalidad)'!BF35</f>
        <v/>
      </c>
    </row>
    <row r="24" spans="1:78" x14ac:dyDescent="0.25">
      <c r="A24" s="154" t="str">
        <f>IF(U24&lt;&gt;0,'ORDEN DE CUARENTENA'!$AE$2,"")</f>
        <v/>
      </c>
      <c r="B24" s="190" t="str">
        <f>IF(U24&lt;&gt;0,'ORDEN DE CUARENTENA'!$AE$3,"")</f>
        <v/>
      </c>
      <c r="C24" s="174" t="str">
        <f t="shared" si="0"/>
        <v/>
      </c>
      <c r="D24" s="329" t="str">
        <f>IF(U24&lt;&gt;0,'ORDEN DE CUARENTENA'!$I$6,"")</f>
        <v/>
      </c>
      <c r="E24" s="174" t="str">
        <f>IF(U24&lt;&gt;0,TEXT('ORDEN DE CUARENTENA'!$I$6,"aaa"),"")</f>
        <v/>
      </c>
      <c r="F24" s="173" t="str">
        <f>IF(U24&lt;&gt;0,TEXT('ORDEN DE CUARENTENA'!$I$6,"dd"),"")</f>
        <v/>
      </c>
      <c r="G24" s="172" t="str">
        <f>IF(U24&lt;&gt;0,TEXT('ORDEN DE CUARENTENA'!$I$6,"mm"),"")</f>
        <v/>
      </c>
      <c r="H24" s="171" t="str">
        <f>IF(U24&lt;&gt;0,TEXT('ORDEN DE CUARENTENA'!$I$6,"yyyy"),"")</f>
        <v/>
      </c>
      <c r="I24" s="154" t="str">
        <f>IF(U24&lt;&gt;0,'ORDEN DE CUARENTENA'!$H$7,"")</f>
        <v/>
      </c>
      <c r="J24" s="154" t="str">
        <f>IF(U24&lt;&gt;0,'ORDEN DE CUARENTENA'!$H$9,"")</f>
        <v/>
      </c>
      <c r="K24" s="154" t="str">
        <f>IF(U24&lt;&gt;0,'ORDEN DE CUARENTENA'!$Q$9,"")</f>
        <v/>
      </c>
      <c r="L24" s="154" t="str">
        <f>IFERROR(VLOOKUP(U24,Item[],4,FALSE),IFERROR(VLOOKUP(U24,Item2[],4,FALSE),""))</f>
        <v/>
      </c>
      <c r="M24" s="154" t="str">
        <f>IFERROR(VLOOKUP(U24,Item[],5,FALSE),IFERROR(VLOOKUP(U24,Item2[],5,FALSE),""))</f>
        <v/>
      </c>
      <c r="N24" s="154" t="str">
        <f>IFERROR(VLOOKUP(W24,SuscepEARs[],2,FALSE),"")</f>
        <v/>
      </c>
      <c r="O24" s="154" t="str">
        <f>IFERROR(VLOOKUP(DatosAll[[#This Row],[ESPECIE]],CITES[],2,FALSE),"")</f>
        <v/>
      </c>
      <c r="P24" s="154">
        <f>IFERROR(VLOOKUP(T24,Hallazgo[],2,FALSE),"")</f>
        <v>0</v>
      </c>
      <c r="Q24" s="154">
        <f>IFERROR(VLOOKUP(T24,Hallazgo[],3,FALSE),"")</f>
        <v>0</v>
      </c>
      <c r="R24" s="154">
        <f>IFERROR(VLOOKUP(T24,Hallazgo[],4,FALSE),"")</f>
        <v>0</v>
      </c>
      <c r="S24" s="154">
        <f>IFERROR(VLOOKUP(T24,Hallazgo[],5,FALSE),"")</f>
        <v>0</v>
      </c>
      <c r="T24" s="154">
        <f>'Acuario (Arribado - mortalidad)'!C36</f>
        <v>0</v>
      </c>
      <c r="U24" s="154">
        <f>'Acuario (Arribado - mortalidad)'!B36</f>
        <v>0</v>
      </c>
      <c r="V24" s="154" t="str">
        <f>'Acuario (Arribado - mortalidad)'!D36</f>
        <v/>
      </c>
      <c r="W24" s="154" t="str">
        <f>'Acuario (Arribado - mortalidad)'!E36</f>
        <v/>
      </c>
      <c r="X24" s="154">
        <f>'Acuario (Arribado - mortalidad)'!F36</f>
        <v>0</v>
      </c>
      <c r="Y24" s="154">
        <f>'Acuario (Arribado - mortalidad)'!H36</f>
        <v>0</v>
      </c>
      <c r="Z24" s="154">
        <f>'Acuario (Arribado - mortalidad)'!I36</f>
        <v>0</v>
      </c>
      <c r="AA24" s="154">
        <f>'Acuario (Arribado - mortalidad)'!J36</f>
        <v>0</v>
      </c>
      <c r="AB24" s="154" t="str">
        <f>'Acuario (Arribado - mortalidad)'!K36</f>
        <v/>
      </c>
      <c r="AC24" s="334" t="str">
        <f>IFERROR(('Acuario (Arribado - mortalidad)'!K36/DatosAll[[#This Row],[N_INDIVIDUOS]])*100,"")</f>
        <v/>
      </c>
      <c r="AD24" s="334" t="str">
        <f>IFERROR(('Acuario (Arribado - mortalidad)'!O36/DatosAll[[#This Row],[N_INDIVIDUOS]])*100,"")</f>
        <v/>
      </c>
      <c r="AE24" s="334" t="str">
        <f>IFERROR(('Acuario (Arribado - mortalidad)'!BG36/DatosAll[[#This Row],[N_INDIVIDUOS]])*100,"")</f>
        <v/>
      </c>
      <c r="AF24" s="334" t="str">
        <f>IFERROR(('Acuario (Arribado - mortalidad)'!BH36/DatosAll[[#This Row],[N_INDIVIDUOS]])*100,"")</f>
        <v/>
      </c>
      <c r="AG24" s="154">
        <f>'Acuario (Arribado - mortalidad)'!M36</f>
        <v>0</v>
      </c>
      <c r="AH24" s="154" t="str">
        <f>'Acuario (Arribado - mortalidad)'!G36</f>
        <v/>
      </c>
      <c r="AI24" s="154">
        <f>'Acuario (Arribado - mortalidad)'!O36</f>
        <v>0</v>
      </c>
      <c r="AJ24" s="154">
        <f>'Acuario (Arribado - mortalidad)'!P36</f>
        <v>0</v>
      </c>
      <c r="AK24" s="154">
        <f>'Acuario (Arribado - mortalidad)'!Q36</f>
        <v>0</v>
      </c>
      <c r="AL24" s="154">
        <f>'Acuario (Arribado - mortalidad)'!R36</f>
        <v>0</v>
      </c>
      <c r="AM24" s="154">
        <f>'Acuario (Arribado - mortalidad)'!S36</f>
        <v>0</v>
      </c>
      <c r="AN24" s="154">
        <f>'Acuario (Arribado - mortalidad)'!T36</f>
        <v>0</v>
      </c>
      <c r="AO24" s="154">
        <f>'Acuario (Arribado - mortalidad)'!U36</f>
        <v>0</v>
      </c>
      <c r="AP24" s="154">
        <f>'Acuario (Arribado - mortalidad)'!V36</f>
        <v>0</v>
      </c>
      <c r="AQ24" s="154">
        <f>'Acuario (Arribado - mortalidad)'!W36</f>
        <v>0</v>
      </c>
      <c r="AR24" s="154">
        <f>'Acuario (Arribado - mortalidad)'!X36</f>
        <v>0</v>
      </c>
      <c r="AS24" s="154">
        <f>'Acuario (Arribado - mortalidad)'!Y36</f>
        <v>0</v>
      </c>
      <c r="AT24" s="154">
        <f>'Acuario (Arribado - mortalidad)'!Z36</f>
        <v>0</v>
      </c>
      <c r="AU24" s="154">
        <f>'Acuario (Arribado - mortalidad)'!AA36</f>
        <v>0</v>
      </c>
      <c r="AV24" s="154">
        <f>'Acuario (Arribado - mortalidad)'!AB36</f>
        <v>0</v>
      </c>
      <c r="AW24" s="154">
        <f>'Acuario (Arribado - mortalidad)'!AC36</f>
        <v>0</v>
      </c>
      <c r="AX24" s="154">
        <f>'Acuario (Arribado - mortalidad)'!AD36</f>
        <v>0</v>
      </c>
      <c r="AY24" s="154">
        <f>'Acuario (Arribado - mortalidad)'!AE36</f>
        <v>0</v>
      </c>
      <c r="AZ24" s="154">
        <f>'Acuario (Arribado - mortalidad)'!AF36</f>
        <v>0</v>
      </c>
      <c r="BA24" s="154">
        <f>'Acuario (Arribado - mortalidad)'!AG36</f>
        <v>0</v>
      </c>
      <c r="BB24" s="154">
        <f>'Acuario (Arribado - mortalidad)'!AH36</f>
        <v>0</v>
      </c>
      <c r="BC24" s="154">
        <f>'Acuario (Arribado - mortalidad)'!AI36</f>
        <v>0</v>
      </c>
      <c r="BD24" s="154">
        <f>'Acuario (Arribado - mortalidad)'!AJ36</f>
        <v>0</v>
      </c>
      <c r="BE24" s="154">
        <f>'Acuario (Arribado - mortalidad)'!AK36</f>
        <v>0</v>
      </c>
      <c r="BF24" s="154">
        <f>'Acuario (Arribado - mortalidad)'!AL36</f>
        <v>0</v>
      </c>
      <c r="BG24" s="154">
        <f>'Acuario (Arribado - mortalidad)'!AM36</f>
        <v>0</v>
      </c>
      <c r="BH24" s="154">
        <f>'Acuario (Arribado - mortalidad)'!AN36</f>
        <v>0</v>
      </c>
      <c r="BI24" s="154">
        <f>'Acuario (Arribado - mortalidad)'!AO36</f>
        <v>0</v>
      </c>
      <c r="BJ24" s="154">
        <f>'Acuario (Arribado - mortalidad)'!AP36</f>
        <v>0</v>
      </c>
      <c r="BK24" s="154">
        <f>'Acuario (Arribado - mortalidad)'!AQ36</f>
        <v>0</v>
      </c>
      <c r="BL24" s="154">
        <f>'Acuario (Arribado - mortalidad)'!AR36</f>
        <v>0</v>
      </c>
      <c r="BM24" s="154" t="str">
        <f>'Acuario (Arribado - mortalidad)'!AS36</f>
        <v/>
      </c>
      <c r="BN24" s="154">
        <f>'Acuario (Arribado - mortalidad)'!AT36</f>
        <v>0</v>
      </c>
      <c r="BO24" s="154">
        <f>'Acuario (Arribado - mortalidad)'!AU36</f>
        <v>0</v>
      </c>
      <c r="BP24" s="154">
        <f>'Acuario (Arribado - mortalidad)'!AV36</f>
        <v>0</v>
      </c>
      <c r="BQ24" s="154" t="str">
        <f>'Acuario (Arribado - mortalidad)'!AW36</f>
        <v/>
      </c>
      <c r="BR24" s="154">
        <f>'Acuario (Arribado - mortalidad)'!AX36</f>
        <v>0</v>
      </c>
      <c r="BS24" s="154">
        <f>'Acuario (Arribado - mortalidad)'!AY36</f>
        <v>0</v>
      </c>
      <c r="BT24" s="154" t="str">
        <f>'Acuario (Arribado - mortalidad)'!AZ36</f>
        <v/>
      </c>
      <c r="BU24" s="154" t="str">
        <f>'Acuario (Arribado - mortalidad)'!BA36</f>
        <v/>
      </c>
      <c r="BV24" s="154" t="str">
        <f>'Acuario (Arribado - mortalidad)'!BB36</f>
        <v/>
      </c>
      <c r="BW24" s="154" t="str">
        <f>'Acuario (Arribado - mortalidad)'!BC36</f>
        <v/>
      </c>
      <c r="BX24" s="154">
        <f>'Acuario (Arribado - mortalidad)'!BD36</f>
        <v>0</v>
      </c>
      <c r="BY24" s="154" t="str">
        <f>'Acuario (Arribado - mortalidad)'!BE36</f>
        <v/>
      </c>
      <c r="BZ24" s="23" t="str">
        <f>'Acuario (Arribado - mortalidad)'!BF36</f>
        <v/>
      </c>
    </row>
    <row r="25" spans="1:78" x14ac:dyDescent="0.25">
      <c r="A25" s="154" t="str">
        <f>IF(U25&lt;&gt;0,'ORDEN DE CUARENTENA'!$AE$2,"")</f>
        <v/>
      </c>
      <c r="B25" s="190" t="str">
        <f>IF(U25&lt;&gt;0,'ORDEN DE CUARENTENA'!$AE$3,"")</f>
        <v/>
      </c>
      <c r="C25" s="174" t="str">
        <f t="shared" si="0"/>
        <v/>
      </c>
      <c r="D25" s="329" t="str">
        <f>IF(U25&lt;&gt;0,'ORDEN DE CUARENTENA'!$I$6,"")</f>
        <v/>
      </c>
      <c r="E25" s="174" t="str">
        <f>IF(U25&lt;&gt;0,TEXT('ORDEN DE CUARENTENA'!$I$6,"aaa"),"")</f>
        <v/>
      </c>
      <c r="F25" s="173" t="str">
        <f>IF(U25&lt;&gt;0,TEXT('ORDEN DE CUARENTENA'!$I$6,"dd"),"")</f>
        <v/>
      </c>
      <c r="G25" s="172" t="str">
        <f>IF(U25&lt;&gt;0,TEXT('ORDEN DE CUARENTENA'!$I$6,"mm"),"")</f>
        <v/>
      </c>
      <c r="H25" s="171" t="str">
        <f>IF(U25&lt;&gt;0,TEXT('ORDEN DE CUARENTENA'!$I$6,"yyyy"),"")</f>
        <v/>
      </c>
      <c r="I25" s="154" t="str">
        <f>IF(U25&lt;&gt;0,'ORDEN DE CUARENTENA'!$H$7,"")</f>
        <v/>
      </c>
      <c r="J25" s="154" t="str">
        <f>IF(U25&lt;&gt;0,'ORDEN DE CUARENTENA'!$H$9,"")</f>
        <v/>
      </c>
      <c r="K25" s="154" t="str">
        <f>IF(U25&lt;&gt;0,'ORDEN DE CUARENTENA'!$Q$9,"")</f>
        <v/>
      </c>
      <c r="L25" s="154" t="str">
        <f>IFERROR(VLOOKUP(U25,Item[],4,FALSE),IFERROR(VLOOKUP(U25,Item2[],4,FALSE),""))</f>
        <v/>
      </c>
      <c r="M25" s="154" t="str">
        <f>IFERROR(VLOOKUP(U25,Item[],5,FALSE),IFERROR(VLOOKUP(U25,Item2[],5,FALSE),""))</f>
        <v/>
      </c>
      <c r="N25" s="154" t="str">
        <f>IFERROR(VLOOKUP(W25,SuscepEARs[],2,FALSE),"")</f>
        <v/>
      </c>
      <c r="O25" s="154" t="str">
        <f>IFERROR(VLOOKUP(DatosAll[[#This Row],[ESPECIE]],CITES[],2,FALSE),"")</f>
        <v/>
      </c>
      <c r="P25" s="154">
        <f>IFERROR(VLOOKUP(T25,Hallazgo[],2,FALSE),"")</f>
        <v>0</v>
      </c>
      <c r="Q25" s="154">
        <f>IFERROR(VLOOKUP(T25,Hallazgo[],3,FALSE),"")</f>
        <v>0</v>
      </c>
      <c r="R25" s="154">
        <f>IFERROR(VLOOKUP(T25,Hallazgo[],4,FALSE),"")</f>
        <v>0</v>
      </c>
      <c r="S25" s="154">
        <f>IFERROR(VLOOKUP(T25,Hallazgo[],5,FALSE),"")</f>
        <v>0</v>
      </c>
      <c r="T25" s="154">
        <f>'Acuario (Arribado - mortalidad)'!C37</f>
        <v>0</v>
      </c>
      <c r="U25" s="154">
        <f>'Acuario (Arribado - mortalidad)'!B37</f>
        <v>0</v>
      </c>
      <c r="V25" s="154" t="str">
        <f>'Acuario (Arribado - mortalidad)'!D37</f>
        <v/>
      </c>
      <c r="W25" s="154" t="str">
        <f>'Acuario (Arribado - mortalidad)'!E37</f>
        <v/>
      </c>
      <c r="X25" s="154">
        <f>'Acuario (Arribado - mortalidad)'!F37</f>
        <v>0</v>
      </c>
      <c r="Y25" s="154">
        <f>'Acuario (Arribado - mortalidad)'!H37</f>
        <v>0</v>
      </c>
      <c r="Z25" s="154">
        <f>'Acuario (Arribado - mortalidad)'!I37</f>
        <v>0</v>
      </c>
      <c r="AA25" s="154">
        <f>'Acuario (Arribado - mortalidad)'!J37</f>
        <v>0</v>
      </c>
      <c r="AB25" s="154" t="str">
        <f>'Acuario (Arribado - mortalidad)'!K37</f>
        <v/>
      </c>
      <c r="AC25" s="334" t="str">
        <f>IFERROR(('Acuario (Arribado - mortalidad)'!K37/DatosAll[[#This Row],[N_INDIVIDUOS]])*100,"")</f>
        <v/>
      </c>
      <c r="AD25" s="334" t="str">
        <f>IFERROR(('Acuario (Arribado - mortalidad)'!O37/DatosAll[[#This Row],[N_INDIVIDUOS]])*100,"")</f>
        <v/>
      </c>
      <c r="AE25" s="334" t="str">
        <f>IFERROR(('Acuario (Arribado - mortalidad)'!BG37/DatosAll[[#This Row],[N_INDIVIDUOS]])*100,"")</f>
        <v/>
      </c>
      <c r="AF25" s="334" t="str">
        <f>IFERROR(('Acuario (Arribado - mortalidad)'!BH37/DatosAll[[#This Row],[N_INDIVIDUOS]])*100,"")</f>
        <v/>
      </c>
      <c r="AG25" s="154">
        <f>'Acuario (Arribado - mortalidad)'!M37</f>
        <v>0</v>
      </c>
      <c r="AH25" s="154" t="str">
        <f>'Acuario (Arribado - mortalidad)'!G37</f>
        <v/>
      </c>
      <c r="AI25" s="154">
        <f>'Acuario (Arribado - mortalidad)'!O37</f>
        <v>0</v>
      </c>
      <c r="AJ25" s="154">
        <f>'Acuario (Arribado - mortalidad)'!P37</f>
        <v>0</v>
      </c>
      <c r="AK25" s="154">
        <f>'Acuario (Arribado - mortalidad)'!Q37</f>
        <v>0</v>
      </c>
      <c r="AL25" s="154">
        <f>'Acuario (Arribado - mortalidad)'!R37</f>
        <v>0</v>
      </c>
      <c r="AM25" s="154">
        <f>'Acuario (Arribado - mortalidad)'!S37</f>
        <v>0</v>
      </c>
      <c r="AN25" s="154">
        <f>'Acuario (Arribado - mortalidad)'!T37</f>
        <v>0</v>
      </c>
      <c r="AO25" s="154">
        <f>'Acuario (Arribado - mortalidad)'!U37</f>
        <v>0</v>
      </c>
      <c r="AP25" s="154">
        <f>'Acuario (Arribado - mortalidad)'!V37</f>
        <v>0</v>
      </c>
      <c r="AQ25" s="154">
        <f>'Acuario (Arribado - mortalidad)'!W37</f>
        <v>0</v>
      </c>
      <c r="AR25" s="154">
        <f>'Acuario (Arribado - mortalidad)'!X37</f>
        <v>0</v>
      </c>
      <c r="AS25" s="154">
        <f>'Acuario (Arribado - mortalidad)'!Y37</f>
        <v>0</v>
      </c>
      <c r="AT25" s="154">
        <f>'Acuario (Arribado - mortalidad)'!Z37</f>
        <v>0</v>
      </c>
      <c r="AU25" s="154">
        <f>'Acuario (Arribado - mortalidad)'!AA37</f>
        <v>0</v>
      </c>
      <c r="AV25" s="154">
        <f>'Acuario (Arribado - mortalidad)'!AB37</f>
        <v>0</v>
      </c>
      <c r="AW25" s="154">
        <f>'Acuario (Arribado - mortalidad)'!AC37</f>
        <v>0</v>
      </c>
      <c r="AX25" s="154">
        <f>'Acuario (Arribado - mortalidad)'!AD37</f>
        <v>0</v>
      </c>
      <c r="AY25" s="154">
        <f>'Acuario (Arribado - mortalidad)'!AE37</f>
        <v>0</v>
      </c>
      <c r="AZ25" s="154">
        <f>'Acuario (Arribado - mortalidad)'!AF37</f>
        <v>0</v>
      </c>
      <c r="BA25" s="154">
        <f>'Acuario (Arribado - mortalidad)'!AG37</f>
        <v>0</v>
      </c>
      <c r="BB25" s="154">
        <f>'Acuario (Arribado - mortalidad)'!AH37</f>
        <v>0</v>
      </c>
      <c r="BC25" s="154">
        <f>'Acuario (Arribado - mortalidad)'!AI37</f>
        <v>0</v>
      </c>
      <c r="BD25" s="154">
        <f>'Acuario (Arribado - mortalidad)'!AJ37</f>
        <v>0</v>
      </c>
      <c r="BE25" s="154">
        <f>'Acuario (Arribado - mortalidad)'!AK37</f>
        <v>0</v>
      </c>
      <c r="BF25" s="154">
        <f>'Acuario (Arribado - mortalidad)'!AL37</f>
        <v>0</v>
      </c>
      <c r="BG25" s="154">
        <f>'Acuario (Arribado - mortalidad)'!AM37</f>
        <v>0</v>
      </c>
      <c r="BH25" s="154">
        <f>'Acuario (Arribado - mortalidad)'!AN37</f>
        <v>0</v>
      </c>
      <c r="BI25" s="154">
        <f>'Acuario (Arribado - mortalidad)'!AO37</f>
        <v>0</v>
      </c>
      <c r="BJ25" s="154">
        <f>'Acuario (Arribado - mortalidad)'!AP37</f>
        <v>0</v>
      </c>
      <c r="BK25" s="154">
        <f>'Acuario (Arribado - mortalidad)'!AQ37</f>
        <v>0</v>
      </c>
      <c r="BL25" s="154">
        <f>'Acuario (Arribado - mortalidad)'!AR37</f>
        <v>0</v>
      </c>
      <c r="BM25" s="154" t="str">
        <f>'Acuario (Arribado - mortalidad)'!AS37</f>
        <v/>
      </c>
      <c r="BN25" s="154">
        <f>'Acuario (Arribado - mortalidad)'!AT37</f>
        <v>0</v>
      </c>
      <c r="BO25" s="154">
        <f>'Acuario (Arribado - mortalidad)'!AU37</f>
        <v>0</v>
      </c>
      <c r="BP25" s="154">
        <f>'Acuario (Arribado - mortalidad)'!AV37</f>
        <v>0</v>
      </c>
      <c r="BQ25" s="154" t="str">
        <f>'Acuario (Arribado - mortalidad)'!AW37</f>
        <v/>
      </c>
      <c r="BR25" s="154">
        <f>'Acuario (Arribado - mortalidad)'!AX37</f>
        <v>0</v>
      </c>
      <c r="BS25" s="154">
        <f>'Acuario (Arribado - mortalidad)'!AY37</f>
        <v>0</v>
      </c>
      <c r="BT25" s="154" t="str">
        <f>'Acuario (Arribado - mortalidad)'!AZ37</f>
        <v/>
      </c>
      <c r="BU25" s="154" t="str">
        <f>'Acuario (Arribado - mortalidad)'!BA37</f>
        <v/>
      </c>
      <c r="BV25" s="154" t="str">
        <f>'Acuario (Arribado - mortalidad)'!BB37</f>
        <v/>
      </c>
      <c r="BW25" s="154" t="str">
        <f>'Acuario (Arribado - mortalidad)'!BC37</f>
        <v/>
      </c>
      <c r="BX25" s="154">
        <f>'Acuario (Arribado - mortalidad)'!BD37</f>
        <v>0</v>
      </c>
      <c r="BY25" s="154" t="str">
        <f>'Acuario (Arribado - mortalidad)'!BE37</f>
        <v/>
      </c>
      <c r="BZ25" s="23" t="str">
        <f>'Acuario (Arribado - mortalidad)'!BF37</f>
        <v/>
      </c>
    </row>
    <row r="26" spans="1:78" x14ac:dyDescent="0.25">
      <c r="A26" s="154" t="str">
        <f>IF(U26&lt;&gt;0,'ORDEN DE CUARENTENA'!$AE$2,"")</f>
        <v/>
      </c>
      <c r="B26" s="190" t="str">
        <f>IF(U26&lt;&gt;0,'ORDEN DE CUARENTENA'!$AE$3,"")</f>
        <v/>
      </c>
      <c r="C26" s="174" t="str">
        <f t="shared" si="0"/>
        <v/>
      </c>
      <c r="D26" s="329" t="str">
        <f>IF(U26&lt;&gt;0,'ORDEN DE CUARENTENA'!$I$6,"")</f>
        <v/>
      </c>
      <c r="E26" s="174" t="str">
        <f>IF(U26&lt;&gt;0,TEXT('ORDEN DE CUARENTENA'!$I$6,"aaa"),"")</f>
        <v/>
      </c>
      <c r="F26" s="173" t="str">
        <f>IF(U26&lt;&gt;0,TEXT('ORDEN DE CUARENTENA'!$I$6,"dd"),"")</f>
        <v/>
      </c>
      <c r="G26" s="172" t="str">
        <f>IF(U26&lt;&gt;0,TEXT('ORDEN DE CUARENTENA'!$I$6,"mm"),"")</f>
        <v/>
      </c>
      <c r="H26" s="171" t="str">
        <f>IF(U26&lt;&gt;0,TEXT('ORDEN DE CUARENTENA'!$I$6,"yyyy"),"")</f>
        <v/>
      </c>
      <c r="I26" s="154" t="str">
        <f>IF(U26&lt;&gt;0,'ORDEN DE CUARENTENA'!$H$7,"")</f>
        <v/>
      </c>
      <c r="J26" s="154" t="str">
        <f>IF(U26&lt;&gt;0,'ORDEN DE CUARENTENA'!$H$9,"")</f>
        <v/>
      </c>
      <c r="K26" s="154" t="str">
        <f>IF(U26&lt;&gt;0,'ORDEN DE CUARENTENA'!$Q$9,"")</f>
        <v/>
      </c>
      <c r="L26" s="154" t="str">
        <f>IFERROR(VLOOKUP(U26,Item[],4,FALSE),IFERROR(VLOOKUP(U26,Item2[],4,FALSE),""))</f>
        <v/>
      </c>
      <c r="M26" s="154" t="str">
        <f>IFERROR(VLOOKUP(U26,Item[],5,FALSE),IFERROR(VLOOKUP(U26,Item2[],5,FALSE),""))</f>
        <v/>
      </c>
      <c r="N26" s="154" t="str">
        <f>IFERROR(VLOOKUP(W26,SuscepEARs[],2,FALSE),"")</f>
        <v/>
      </c>
      <c r="O26" s="154" t="str">
        <f>IFERROR(VLOOKUP(DatosAll[[#This Row],[ESPECIE]],CITES[],2,FALSE),"")</f>
        <v/>
      </c>
      <c r="P26" s="154">
        <f>IFERROR(VLOOKUP(T26,Hallazgo[],2,FALSE),"")</f>
        <v>0</v>
      </c>
      <c r="Q26" s="154">
        <f>IFERROR(VLOOKUP(T26,Hallazgo[],3,FALSE),"")</f>
        <v>0</v>
      </c>
      <c r="R26" s="154">
        <f>IFERROR(VLOOKUP(T26,Hallazgo[],4,FALSE),"")</f>
        <v>0</v>
      </c>
      <c r="S26" s="154">
        <f>IFERROR(VLOOKUP(T26,Hallazgo[],5,FALSE),"")</f>
        <v>0</v>
      </c>
      <c r="T26" s="154">
        <f>'Acuario (Arribado - mortalidad)'!C38</f>
        <v>0</v>
      </c>
      <c r="U26" s="154">
        <f>'Acuario (Arribado - mortalidad)'!B38</f>
        <v>0</v>
      </c>
      <c r="V26" s="154" t="str">
        <f>'Acuario (Arribado - mortalidad)'!D38</f>
        <v/>
      </c>
      <c r="W26" s="154" t="str">
        <f>'Acuario (Arribado - mortalidad)'!E38</f>
        <v/>
      </c>
      <c r="X26" s="154">
        <f>'Acuario (Arribado - mortalidad)'!F38</f>
        <v>0</v>
      </c>
      <c r="Y26" s="154">
        <f>'Acuario (Arribado - mortalidad)'!H38</f>
        <v>0</v>
      </c>
      <c r="Z26" s="154">
        <f>'Acuario (Arribado - mortalidad)'!I38</f>
        <v>0</v>
      </c>
      <c r="AA26" s="154">
        <f>'Acuario (Arribado - mortalidad)'!J38</f>
        <v>0</v>
      </c>
      <c r="AB26" s="154" t="str">
        <f>'Acuario (Arribado - mortalidad)'!K38</f>
        <v/>
      </c>
      <c r="AC26" s="334" t="str">
        <f>IFERROR(('Acuario (Arribado - mortalidad)'!K38/DatosAll[[#This Row],[N_INDIVIDUOS]])*100,"")</f>
        <v/>
      </c>
      <c r="AD26" s="334" t="str">
        <f>IFERROR(('Acuario (Arribado - mortalidad)'!O38/DatosAll[[#This Row],[N_INDIVIDUOS]])*100,"")</f>
        <v/>
      </c>
      <c r="AE26" s="334" t="str">
        <f>IFERROR(('Acuario (Arribado - mortalidad)'!BG38/DatosAll[[#This Row],[N_INDIVIDUOS]])*100,"")</f>
        <v/>
      </c>
      <c r="AF26" s="334" t="str">
        <f>IFERROR(('Acuario (Arribado - mortalidad)'!BH38/DatosAll[[#This Row],[N_INDIVIDUOS]])*100,"")</f>
        <v/>
      </c>
      <c r="AG26" s="154">
        <f>'Acuario (Arribado - mortalidad)'!M38</f>
        <v>0</v>
      </c>
      <c r="AH26" s="154" t="str">
        <f>'Acuario (Arribado - mortalidad)'!G38</f>
        <v/>
      </c>
      <c r="AI26" s="154">
        <f>'Acuario (Arribado - mortalidad)'!O38</f>
        <v>0</v>
      </c>
      <c r="AJ26" s="154">
        <f>'Acuario (Arribado - mortalidad)'!P38</f>
        <v>0</v>
      </c>
      <c r="AK26" s="154">
        <f>'Acuario (Arribado - mortalidad)'!Q38</f>
        <v>0</v>
      </c>
      <c r="AL26" s="154">
        <f>'Acuario (Arribado - mortalidad)'!R38</f>
        <v>0</v>
      </c>
      <c r="AM26" s="154">
        <f>'Acuario (Arribado - mortalidad)'!S38</f>
        <v>0</v>
      </c>
      <c r="AN26" s="154">
        <f>'Acuario (Arribado - mortalidad)'!T38</f>
        <v>0</v>
      </c>
      <c r="AO26" s="154">
        <f>'Acuario (Arribado - mortalidad)'!U38</f>
        <v>0</v>
      </c>
      <c r="AP26" s="154">
        <f>'Acuario (Arribado - mortalidad)'!V38</f>
        <v>0</v>
      </c>
      <c r="AQ26" s="154">
        <f>'Acuario (Arribado - mortalidad)'!W38</f>
        <v>0</v>
      </c>
      <c r="AR26" s="154">
        <f>'Acuario (Arribado - mortalidad)'!X38</f>
        <v>0</v>
      </c>
      <c r="AS26" s="154">
        <f>'Acuario (Arribado - mortalidad)'!Y38</f>
        <v>0</v>
      </c>
      <c r="AT26" s="154">
        <f>'Acuario (Arribado - mortalidad)'!Z38</f>
        <v>0</v>
      </c>
      <c r="AU26" s="154">
        <f>'Acuario (Arribado - mortalidad)'!AA38</f>
        <v>0</v>
      </c>
      <c r="AV26" s="154">
        <f>'Acuario (Arribado - mortalidad)'!AB38</f>
        <v>0</v>
      </c>
      <c r="AW26" s="154">
        <f>'Acuario (Arribado - mortalidad)'!AC38</f>
        <v>0</v>
      </c>
      <c r="AX26" s="154">
        <f>'Acuario (Arribado - mortalidad)'!AD38</f>
        <v>0</v>
      </c>
      <c r="AY26" s="154">
        <f>'Acuario (Arribado - mortalidad)'!AE38</f>
        <v>0</v>
      </c>
      <c r="AZ26" s="154">
        <f>'Acuario (Arribado - mortalidad)'!AF38</f>
        <v>0</v>
      </c>
      <c r="BA26" s="154">
        <f>'Acuario (Arribado - mortalidad)'!AG38</f>
        <v>0</v>
      </c>
      <c r="BB26" s="154">
        <f>'Acuario (Arribado - mortalidad)'!AH38</f>
        <v>0</v>
      </c>
      <c r="BC26" s="154">
        <f>'Acuario (Arribado - mortalidad)'!AI38</f>
        <v>0</v>
      </c>
      <c r="BD26" s="154">
        <f>'Acuario (Arribado - mortalidad)'!AJ38</f>
        <v>0</v>
      </c>
      <c r="BE26" s="154">
        <f>'Acuario (Arribado - mortalidad)'!AK38</f>
        <v>0</v>
      </c>
      <c r="BF26" s="154">
        <f>'Acuario (Arribado - mortalidad)'!AL38</f>
        <v>0</v>
      </c>
      <c r="BG26" s="154">
        <f>'Acuario (Arribado - mortalidad)'!AM38</f>
        <v>0</v>
      </c>
      <c r="BH26" s="154">
        <f>'Acuario (Arribado - mortalidad)'!AN38</f>
        <v>0</v>
      </c>
      <c r="BI26" s="154">
        <f>'Acuario (Arribado - mortalidad)'!AO38</f>
        <v>0</v>
      </c>
      <c r="BJ26" s="154">
        <f>'Acuario (Arribado - mortalidad)'!AP38</f>
        <v>0</v>
      </c>
      <c r="BK26" s="154">
        <f>'Acuario (Arribado - mortalidad)'!AQ38</f>
        <v>0</v>
      </c>
      <c r="BL26" s="154">
        <f>'Acuario (Arribado - mortalidad)'!AR38</f>
        <v>0</v>
      </c>
      <c r="BM26" s="154" t="str">
        <f>'Acuario (Arribado - mortalidad)'!AS38</f>
        <v/>
      </c>
      <c r="BN26" s="154">
        <f>'Acuario (Arribado - mortalidad)'!AT38</f>
        <v>0</v>
      </c>
      <c r="BO26" s="154">
        <f>'Acuario (Arribado - mortalidad)'!AU38</f>
        <v>0</v>
      </c>
      <c r="BP26" s="154">
        <f>'Acuario (Arribado - mortalidad)'!AV38</f>
        <v>0</v>
      </c>
      <c r="BQ26" s="154" t="str">
        <f>'Acuario (Arribado - mortalidad)'!AW38</f>
        <v/>
      </c>
      <c r="BR26" s="154">
        <f>'Acuario (Arribado - mortalidad)'!AX38</f>
        <v>0</v>
      </c>
      <c r="BS26" s="154">
        <f>'Acuario (Arribado - mortalidad)'!AY38</f>
        <v>0</v>
      </c>
      <c r="BT26" s="154" t="str">
        <f>'Acuario (Arribado - mortalidad)'!AZ38</f>
        <v/>
      </c>
      <c r="BU26" s="154" t="str">
        <f>'Acuario (Arribado - mortalidad)'!BA38</f>
        <v/>
      </c>
      <c r="BV26" s="154" t="str">
        <f>'Acuario (Arribado - mortalidad)'!BB38</f>
        <v/>
      </c>
      <c r="BW26" s="154" t="str">
        <f>'Acuario (Arribado - mortalidad)'!BC38</f>
        <v/>
      </c>
      <c r="BX26" s="154">
        <f>'Acuario (Arribado - mortalidad)'!BD38</f>
        <v>0</v>
      </c>
      <c r="BY26" s="154" t="str">
        <f>'Acuario (Arribado - mortalidad)'!BE38</f>
        <v/>
      </c>
      <c r="BZ26" s="23" t="str">
        <f>'Acuario (Arribado - mortalidad)'!BF38</f>
        <v/>
      </c>
    </row>
    <row r="27" spans="1:78" x14ac:dyDescent="0.25">
      <c r="A27" s="154" t="str">
        <f>IF(U27&lt;&gt;0,'ORDEN DE CUARENTENA'!$AE$2,"")</f>
        <v/>
      </c>
      <c r="B27" s="190" t="str">
        <f>IF(U27&lt;&gt;0,'ORDEN DE CUARENTENA'!$AE$3,"")</f>
        <v/>
      </c>
      <c r="C27" s="174" t="str">
        <f t="shared" si="0"/>
        <v/>
      </c>
      <c r="D27" s="329" t="str">
        <f>IF(U27&lt;&gt;0,'ORDEN DE CUARENTENA'!$I$6,"")</f>
        <v/>
      </c>
      <c r="E27" s="174" t="str">
        <f>IF(U27&lt;&gt;0,TEXT('ORDEN DE CUARENTENA'!$I$6,"aaa"),"")</f>
        <v/>
      </c>
      <c r="F27" s="173" t="str">
        <f>IF(U27&lt;&gt;0,TEXT('ORDEN DE CUARENTENA'!$I$6,"dd"),"")</f>
        <v/>
      </c>
      <c r="G27" s="172" t="str">
        <f>IF(U27&lt;&gt;0,TEXT('ORDEN DE CUARENTENA'!$I$6,"mm"),"")</f>
        <v/>
      </c>
      <c r="H27" s="171" t="str">
        <f>IF(U27&lt;&gt;0,TEXT('ORDEN DE CUARENTENA'!$I$6,"yyyy"),"")</f>
        <v/>
      </c>
      <c r="I27" s="154" t="str">
        <f>IF(U27&lt;&gt;0,'ORDEN DE CUARENTENA'!$H$7,"")</f>
        <v/>
      </c>
      <c r="J27" s="154" t="str">
        <f>IF(U27&lt;&gt;0,'ORDEN DE CUARENTENA'!$H$9,"")</f>
        <v/>
      </c>
      <c r="K27" s="154" t="str">
        <f>IF(U27&lt;&gt;0,'ORDEN DE CUARENTENA'!$Q$9,"")</f>
        <v/>
      </c>
      <c r="L27" s="154" t="str">
        <f>IFERROR(VLOOKUP(U27,Item[],4,FALSE),IFERROR(VLOOKUP(U27,Item2[],4,FALSE),""))</f>
        <v/>
      </c>
      <c r="M27" s="154" t="str">
        <f>IFERROR(VLOOKUP(U27,Item[],5,FALSE),IFERROR(VLOOKUP(U27,Item2[],5,FALSE),""))</f>
        <v/>
      </c>
      <c r="N27" s="154" t="str">
        <f>IFERROR(VLOOKUP(W27,SuscepEARs[],2,FALSE),"")</f>
        <v/>
      </c>
      <c r="O27" s="154" t="str">
        <f>IFERROR(VLOOKUP(DatosAll[[#This Row],[ESPECIE]],CITES[],2,FALSE),"")</f>
        <v/>
      </c>
      <c r="P27" s="154">
        <f>IFERROR(VLOOKUP(T27,Hallazgo[],2,FALSE),"")</f>
        <v>0</v>
      </c>
      <c r="Q27" s="154">
        <f>IFERROR(VLOOKUP(T27,Hallazgo[],3,FALSE),"")</f>
        <v>0</v>
      </c>
      <c r="R27" s="154">
        <f>IFERROR(VLOOKUP(T27,Hallazgo[],4,FALSE),"")</f>
        <v>0</v>
      </c>
      <c r="S27" s="154">
        <f>IFERROR(VLOOKUP(T27,Hallazgo[],5,FALSE),"")</f>
        <v>0</v>
      </c>
      <c r="T27" s="154">
        <f>'Acuario (Arribado - mortalidad)'!C39</f>
        <v>0</v>
      </c>
      <c r="U27" s="154">
        <f>'Acuario (Arribado - mortalidad)'!B39</f>
        <v>0</v>
      </c>
      <c r="V27" s="154" t="str">
        <f>'Acuario (Arribado - mortalidad)'!D39</f>
        <v/>
      </c>
      <c r="W27" s="154" t="str">
        <f>'Acuario (Arribado - mortalidad)'!E39</f>
        <v/>
      </c>
      <c r="X27" s="154">
        <f>'Acuario (Arribado - mortalidad)'!F39</f>
        <v>0</v>
      </c>
      <c r="Y27" s="154">
        <f>'Acuario (Arribado - mortalidad)'!H39</f>
        <v>0</v>
      </c>
      <c r="Z27" s="154">
        <f>'Acuario (Arribado - mortalidad)'!I39</f>
        <v>0</v>
      </c>
      <c r="AA27" s="154">
        <f>'Acuario (Arribado - mortalidad)'!J39</f>
        <v>0</v>
      </c>
      <c r="AB27" s="154" t="str">
        <f>'Acuario (Arribado - mortalidad)'!K39</f>
        <v/>
      </c>
      <c r="AC27" s="334" t="str">
        <f>IFERROR(('Acuario (Arribado - mortalidad)'!K39/DatosAll[[#This Row],[N_INDIVIDUOS]])*100,"")</f>
        <v/>
      </c>
      <c r="AD27" s="334" t="str">
        <f>IFERROR(('Acuario (Arribado - mortalidad)'!O39/DatosAll[[#This Row],[N_INDIVIDUOS]])*100,"")</f>
        <v/>
      </c>
      <c r="AE27" s="334" t="str">
        <f>IFERROR(('Acuario (Arribado - mortalidad)'!BG39/DatosAll[[#This Row],[N_INDIVIDUOS]])*100,"")</f>
        <v/>
      </c>
      <c r="AF27" s="334" t="str">
        <f>IFERROR(('Acuario (Arribado - mortalidad)'!BH39/DatosAll[[#This Row],[N_INDIVIDUOS]])*100,"")</f>
        <v/>
      </c>
      <c r="AG27" s="154">
        <f>'Acuario (Arribado - mortalidad)'!M39</f>
        <v>0</v>
      </c>
      <c r="AH27" s="154" t="str">
        <f>'Acuario (Arribado - mortalidad)'!G39</f>
        <v/>
      </c>
      <c r="AI27" s="154">
        <f>'Acuario (Arribado - mortalidad)'!O39</f>
        <v>0</v>
      </c>
      <c r="AJ27" s="154">
        <f>'Acuario (Arribado - mortalidad)'!P39</f>
        <v>0</v>
      </c>
      <c r="AK27" s="154">
        <f>'Acuario (Arribado - mortalidad)'!Q39</f>
        <v>0</v>
      </c>
      <c r="AL27" s="154">
        <f>'Acuario (Arribado - mortalidad)'!R39</f>
        <v>0</v>
      </c>
      <c r="AM27" s="154">
        <f>'Acuario (Arribado - mortalidad)'!S39</f>
        <v>0</v>
      </c>
      <c r="AN27" s="154">
        <f>'Acuario (Arribado - mortalidad)'!T39</f>
        <v>0</v>
      </c>
      <c r="AO27" s="154">
        <f>'Acuario (Arribado - mortalidad)'!U39</f>
        <v>0</v>
      </c>
      <c r="AP27" s="154">
        <f>'Acuario (Arribado - mortalidad)'!V39</f>
        <v>0</v>
      </c>
      <c r="AQ27" s="154">
        <f>'Acuario (Arribado - mortalidad)'!W39</f>
        <v>0</v>
      </c>
      <c r="AR27" s="154">
        <f>'Acuario (Arribado - mortalidad)'!X39</f>
        <v>0</v>
      </c>
      <c r="AS27" s="154">
        <f>'Acuario (Arribado - mortalidad)'!Y39</f>
        <v>0</v>
      </c>
      <c r="AT27" s="154">
        <f>'Acuario (Arribado - mortalidad)'!Z39</f>
        <v>0</v>
      </c>
      <c r="AU27" s="154">
        <f>'Acuario (Arribado - mortalidad)'!AA39</f>
        <v>0</v>
      </c>
      <c r="AV27" s="154">
        <f>'Acuario (Arribado - mortalidad)'!AB39</f>
        <v>0</v>
      </c>
      <c r="AW27" s="154">
        <f>'Acuario (Arribado - mortalidad)'!AC39</f>
        <v>0</v>
      </c>
      <c r="AX27" s="154">
        <f>'Acuario (Arribado - mortalidad)'!AD39</f>
        <v>0</v>
      </c>
      <c r="AY27" s="154">
        <f>'Acuario (Arribado - mortalidad)'!AE39</f>
        <v>0</v>
      </c>
      <c r="AZ27" s="154">
        <f>'Acuario (Arribado - mortalidad)'!AF39</f>
        <v>0</v>
      </c>
      <c r="BA27" s="154">
        <f>'Acuario (Arribado - mortalidad)'!AG39</f>
        <v>0</v>
      </c>
      <c r="BB27" s="154">
        <f>'Acuario (Arribado - mortalidad)'!AH39</f>
        <v>0</v>
      </c>
      <c r="BC27" s="154">
        <f>'Acuario (Arribado - mortalidad)'!AI39</f>
        <v>0</v>
      </c>
      <c r="BD27" s="154">
        <f>'Acuario (Arribado - mortalidad)'!AJ39</f>
        <v>0</v>
      </c>
      <c r="BE27" s="154">
        <f>'Acuario (Arribado - mortalidad)'!AK39</f>
        <v>0</v>
      </c>
      <c r="BF27" s="154">
        <f>'Acuario (Arribado - mortalidad)'!AL39</f>
        <v>0</v>
      </c>
      <c r="BG27" s="154">
        <f>'Acuario (Arribado - mortalidad)'!AM39</f>
        <v>0</v>
      </c>
      <c r="BH27" s="154">
        <f>'Acuario (Arribado - mortalidad)'!AN39</f>
        <v>0</v>
      </c>
      <c r="BI27" s="154">
        <f>'Acuario (Arribado - mortalidad)'!AO39</f>
        <v>0</v>
      </c>
      <c r="BJ27" s="154">
        <f>'Acuario (Arribado - mortalidad)'!AP39</f>
        <v>0</v>
      </c>
      <c r="BK27" s="154">
        <f>'Acuario (Arribado - mortalidad)'!AQ39</f>
        <v>0</v>
      </c>
      <c r="BL27" s="154">
        <f>'Acuario (Arribado - mortalidad)'!AR39</f>
        <v>0</v>
      </c>
      <c r="BM27" s="154" t="str">
        <f>'Acuario (Arribado - mortalidad)'!AS39</f>
        <v/>
      </c>
      <c r="BN27" s="154">
        <f>'Acuario (Arribado - mortalidad)'!AT39</f>
        <v>0</v>
      </c>
      <c r="BO27" s="154">
        <f>'Acuario (Arribado - mortalidad)'!AU39</f>
        <v>0</v>
      </c>
      <c r="BP27" s="154">
        <f>'Acuario (Arribado - mortalidad)'!AV39</f>
        <v>0</v>
      </c>
      <c r="BQ27" s="154" t="str">
        <f>'Acuario (Arribado - mortalidad)'!AW39</f>
        <v/>
      </c>
      <c r="BR27" s="154">
        <f>'Acuario (Arribado - mortalidad)'!AX39</f>
        <v>0</v>
      </c>
      <c r="BS27" s="154">
        <f>'Acuario (Arribado - mortalidad)'!AY39</f>
        <v>0</v>
      </c>
      <c r="BT27" s="154" t="str">
        <f>'Acuario (Arribado - mortalidad)'!AZ39</f>
        <v/>
      </c>
      <c r="BU27" s="154" t="str">
        <f>'Acuario (Arribado - mortalidad)'!BA39</f>
        <v/>
      </c>
      <c r="BV27" s="154" t="str">
        <f>'Acuario (Arribado - mortalidad)'!BB39</f>
        <v/>
      </c>
      <c r="BW27" s="154" t="str">
        <f>'Acuario (Arribado - mortalidad)'!BC39</f>
        <v/>
      </c>
      <c r="BX27" s="154">
        <f>'Acuario (Arribado - mortalidad)'!BD39</f>
        <v>0</v>
      </c>
      <c r="BY27" s="154" t="str">
        <f>'Acuario (Arribado - mortalidad)'!BE39</f>
        <v/>
      </c>
      <c r="BZ27" s="23" t="str">
        <f>'Acuario (Arribado - mortalidad)'!BF39</f>
        <v/>
      </c>
    </row>
    <row r="28" spans="1:78" x14ac:dyDescent="0.25">
      <c r="A28" s="154" t="str">
        <f>IF(U28&lt;&gt;0,'ORDEN DE CUARENTENA'!$AE$2,"")</f>
        <v/>
      </c>
      <c r="B28" s="190" t="str">
        <f>IF(U28&lt;&gt;0,'ORDEN DE CUARENTENA'!$AE$3,"")</f>
        <v/>
      </c>
      <c r="C28" s="174" t="str">
        <f t="shared" si="0"/>
        <v/>
      </c>
      <c r="D28" s="329" t="str">
        <f>IF(U28&lt;&gt;0,'ORDEN DE CUARENTENA'!$I$6,"")</f>
        <v/>
      </c>
      <c r="E28" s="174" t="str">
        <f>IF(U28&lt;&gt;0,TEXT('ORDEN DE CUARENTENA'!$I$6,"aaa"),"")</f>
        <v/>
      </c>
      <c r="F28" s="173" t="str">
        <f>IF(U28&lt;&gt;0,TEXT('ORDEN DE CUARENTENA'!$I$6,"dd"),"")</f>
        <v/>
      </c>
      <c r="G28" s="172" t="str">
        <f>IF(U28&lt;&gt;0,TEXT('ORDEN DE CUARENTENA'!$I$6,"mm"),"")</f>
        <v/>
      </c>
      <c r="H28" s="171" t="str">
        <f>IF(U28&lt;&gt;0,TEXT('ORDEN DE CUARENTENA'!$I$6,"yyyy"),"")</f>
        <v/>
      </c>
      <c r="I28" s="154" t="str">
        <f>IF(U28&lt;&gt;0,'ORDEN DE CUARENTENA'!$H$7,"")</f>
        <v/>
      </c>
      <c r="J28" s="154" t="str">
        <f>IF(U28&lt;&gt;0,'ORDEN DE CUARENTENA'!$H$9,"")</f>
        <v/>
      </c>
      <c r="K28" s="154" t="str">
        <f>IF(U28&lt;&gt;0,'ORDEN DE CUARENTENA'!$Q$9,"")</f>
        <v/>
      </c>
      <c r="L28" s="154" t="str">
        <f>IFERROR(VLOOKUP(U28,Item[],4,FALSE),IFERROR(VLOOKUP(U28,Item2[],4,FALSE),""))</f>
        <v/>
      </c>
      <c r="M28" s="154" t="str">
        <f>IFERROR(VLOOKUP(U28,Item[],5,FALSE),IFERROR(VLOOKUP(U28,Item2[],5,FALSE),""))</f>
        <v/>
      </c>
      <c r="N28" s="154" t="str">
        <f>IFERROR(VLOOKUP(W28,SuscepEARs[],2,FALSE),"")</f>
        <v/>
      </c>
      <c r="O28" s="154" t="str">
        <f>IFERROR(VLOOKUP(DatosAll[[#This Row],[ESPECIE]],CITES[],2,FALSE),"")</f>
        <v/>
      </c>
      <c r="P28" s="154">
        <f>IFERROR(VLOOKUP(T28,Hallazgo[],2,FALSE),"")</f>
        <v>0</v>
      </c>
      <c r="Q28" s="154">
        <f>IFERROR(VLOOKUP(T28,Hallazgo[],3,FALSE),"")</f>
        <v>0</v>
      </c>
      <c r="R28" s="154">
        <f>IFERROR(VLOOKUP(T28,Hallazgo[],4,FALSE),"")</f>
        <v>0</v>
      </c>
      <c r="S28" s="154">
        <f>IFERROR(VLOOKUP(T28,Hallazgo[],5,FALSE),"")</f>
        <v>0</v>
      </c>
      <c r="T28" s="154">
        <f>'Acuario (Arribado - mortalidad)'!C40</f>
        <v>0</v>
      </c>
      <c r="U28" s="154">
        <f>'Acuario (Arribado - mortalidad)'!B40</f>
        <v>0</v>
      </c>
      <c r="V28" s="154" t="str">
        <f>'Acuario (Arribado - mortalidad)'!D40</f>
        <v/>
      </c>
      <c r="W28" s="154" t="str">
        <f>'Acuario (Arribado - mortalidad)'!E40</f>
        <v/>
      </c>
      <c r="X28" s="154">
        <f>'Acuario (Arribado - mortalidad)'!F40</f>
        <v>0</v>
      </c>
      <c r="Y28" s="154">
        <f>'Acuario (Arribado - mortalidad)'!H40</f>
        <v>0</v>
      </c>
      <c r="Z28" s="154">
        <f>'Acuario (Arribado - mortalidad)'!I40</f>
        <v>0</v>
      </c>
      <c r="AA28" s="154">
        <f>'Acuario (Arribado - mortalidad)'!J40</f>
        <v>0</v>
      </c>
      <c r="AB28" s="154" t="str">
        <f>'Acuario (Arribado - mortalidad)'!K40</f>
        <v/>
      </c>
      <c r="AC28" s="334" t="str">
        <f>IFERROR(('Acuario (Arribado - mortalidad)'!K40/DatosAll[[#This Row],[N_INDIVIDUOS]])*100,"")</f>
        <v/>
      </c>
      <c r="AD28" s="334" t="str">
        <f>IFERROR(('Acuario (Arribado - mortalidad)'!O40/DatosAll[[#This Row],[N_INDIVIDUOS]])*100,"")</f>
        <v/>
      </c>
      <c r="AE28" s="334" t="str">
        <f>IFERROR(('Acuario (Arribado - mortalidad)'!BG40/DatosAll[[#This Row],[N_INDIVIDUOS]])*100,"")</f>
        <v/>
      </c>
      <c r="AF28" s="334" t="str">
        <f>IFERROR(('Acuario (Arribado - mortalidad)'!BH40/DatosAll[[#This Row],[N_INDIVIDUOS]])*100,"")</f>
        <v/>
      </c>
      <c r="AG28" s="154">
        <f>'Acuario (Arribado - mortalidad)'!M40</f>
        <v>0</v>
      </c>
      <c r="AH28" s="154" t="str">
        <f>'Acuario (Arribado - mortalidad)'!G40</f>
        <v/>
      </c>
      <c r="AI28" s="154">
        <f>'Acuario (Arribado - mortalidad)'!O40</f>
        <v>0</v>
      </c>
      <c r="AJ28" s="154">
        <f>'Acuario (Arribado - mortalidad)'!P40</f>
        <v>0</v>
      </c>
      <c r="AK28" s="154">
        <f>'Acuario (Arribado - mortalidad)'!Q40</f>
        <v>0</v>
      </c>
      <c r="AL28" s="154">
        <f>'Acuario (Arribado - mortalidad)'!R40</f>
        <v>0</v>
      </c>
      <c r="AM28" s="154">
        <f>'Acuario (Arribado - mortalidad)'!S40</f>
        <v>0</v>
      </c>
      <c r="AN28" s="154">
        <f>'Acuario (Arribado - mortalidad)'!T40</f>
        <v>0</v>
      </c>
      <c r="AO28" s="154">
        <f>'Acuario (Arribado - mortalidad)'!U40</f>
        <v>0</v>
      </c>
      <c r="AP28" s="154">
        <f>'Acuario (Arribado - mortalidad)'!V40</f>
        <v>0</v>
      </c>
      <c r="AQ28" s="154">
        <f>'Acuario (Arribado - mortalidad)'!W40</f>
        <v>0</v>
      </c>
      <c r="AR28" s="154">
        <f>'Acuario (Arribado - mortalidad)'!X40</f>
        <v>0</v>
      </c>
      <c r="AS28" s="154">
        <f>'Acuario (Arribado - mortalidad)'!Y40</f>
        <v>0</v>
      </c>
      <c r="AT28" s="154">
        <f>'Acuario (Arribado - mortalidad)'!Z40</f>
        <v>0</v>
      </c>
      <c r="AU28" s="154">
        <f>'Acuario (Arribado - mortalidad)'!AA40</f>
        <v>0</v>
      </c>
      <c r="AV28" s="154">
        <f>'Acuario (Arribado - mortalidad)'!AB40</f>
        <v>0</v>
      </c>
      <c r="AW28" s="154">
        <f>'Acuario (Arribado - mortalidad)'!AC40</f>
        <v>0</v>
      </c>
      <c r="AX28" s="154">
        <f>'Acuario (Arribado - mortalidad)'!AD40</f>
        <v>0</v>
      </c>
      <c r="AY28" s="154">
        <f>'Acuario (Arribado - mortalidad)'!AE40</f>
        <v>0</v>
      </c>
      <c r="AZ28" s="154">
        <f>'Acuario (Arribado - mortalidad)'!AF40</f>
        <v>0</v>
      </c>
      <c r="BA28" s="154">
        <f>'Acuario (Arribado - mortalidad)'!AG40</f>
        <v>0</v>
      </c>
      <c r="BB28" s="154">
        <f>'Acuario (Arribado - mortalidad)'!AH40</f>
        <v>0</v>
      </c>
      <c r="BC28" s="154">
        <f>'Acuario (Arribado - mortalidad)'!AI40</f>
        <v>0</v>
      </c>
      <c r="BD28" s="154">
        <f>'Acuario (Arribado - mortalidad)'!AJ40</f>
        <v>0</v>
      </c>
      <c r="BE28" s="154">
        <f>'Acuario (Arribado - mortalidad)'!AK40</f>
        <v>0</v>
      </c>
      <c r="BF28" s="154">
        <f>'Acuario (Arribado - mortalidad)'!AL40</f>
        <v>0</v>
      </c>
      <c r="BG28" s="154">
        <f>'Acuario (Arribado - mortalidad)'!AM40</f>
        <v>0</v>
      </c>
      <c r="BH28" s="154">
        <f>'Acuario (Arribado - mortalidad)'!AN40</f>
        <v>0</v>
      </c>
      <c r="BI28" s="154">
        <f>'Acuario (Arribado - mortalidad)'!AO40</f>
        <v>0</v>
      </c>
      <c r="BJ28" s="154">
        <f>'Acuario (Arribado - mortalidad)'!AP40</f>
        <v>0</v>
      </c>
      <c r="BK28" s="154">
        <f>'Acuario (Arribado - mortalidad)'!AQ40</f>
        <v>0</v>
      </c>
      <c r="BL28" s="154">
        <f>'Acuario (Arribado - mortalidad)'!AR40</f>
        <v>0</v>
      </c>
      <c r="BM28" s="154" t="str">
        <f>'Acuario (Arribado - mortalidad)'!AS40</f>
        <v/>
      </c>
      <c r="BN28" s="154">
        <f>'Acuario (Arribado - mortalidad)'!AT40</f>
        <v>0</v>
      </c>
      <c r="BO28" s="154">
        <f>'Acuario (Arribado - mortalidad)'!AU40</f>
        <v>0</v>
      </c>
      <c r="BP28" s="154">
        <f>'Acuario (Arribado - mortalidad)'!AV40</f>
        <v>0</v>
      </c>
      <c r="BQ28" s="154" t="str">
        <f>'Acuario (Arribado - mortalidad)'!AW40</f>
        <v/>
      </c>
      <c r="BR28" s="154">
        <f>'Acuario (Arribado - mortalidad)'!AX40</f>
        <v>0</v>
      </c>
      <c r="BS28" s="154">
        <f>'Acuario (Arribado - mortalidad)'!AY40</f>
        <v>0</v>
      </c>
      <c r="BT28" s="154" t="str">
        <f>'Acuario (Arribado - mortalidad)'!AZ40</f>
        <v/>
      </c>
      <c r="BU28" s="154" t="str">
        <f>'Acuario (Arribado - mortalidad)'!BA40</f>
        <v/>
      </c>
      <c r="BV28" s="154" t="str">
        <f>'Acuario (Arribado - mortalidad)'!BB40</f>
        <v/>
      </c>
      <c r="BW28" s="154" t="str">
        <f>'Acuario (Arribado - mortalidad)'!BC40</f>
        <v/>
      </c>
      <c r="BX28" s="154">
        <f>'Acuario (Arribado - mortalidad)'!BD40</f>
        <v>0</v>
      </c>
      <c r="BY28" s="154" t="str">
        <f>'Acuario (Arribado - mortalidad)'!BE40</f>
        <v/>
      </c>
      <c r="BZ28" s="23" t="str">
        <f>'Acuario (Arribado - mortalidad)'!BF40</f>
        <v/>
      </c>
    </row>
    <row r="29" spans="1:78" x14ac:dyDescent="0.25">
      <c r="A29" s="154" t="str">
        <f>IF(U29&lt;&gt;0,'ORDEN DE CUARENTENA'!$AE$2,"")</f>
        <v/>
      </c>
      <c r="B29" s="190" t="str">
        <f>IF(U29&lt;&gt;0,'ORDEN DE CUARENTENA'!$AE$3,"")</f>
        <v/>
      </c>
      <c r="C29" s="174" t="str">
        <f t="shared" si="0"/>
        <v/>
      </c>
      <c r="D29" s="329" t="str">
        <f>IF(U29&lt;&gt;0,'ORDEN DE CUARENTENA'!$I$6,"")</f>
        <v/>
      </c>
      <c r="E29" s="174" t="str">
        <f>IF(U29&lt;&gt;0,TEXT('ORDEN DE CUARENTENA'!$I$6,"aaa"),"")</f>
        <v/>
      </c>
      <c r="F29" s="173" t="str">
        <f>IF(U29&lt;&gt;0,TEXT('ORDEN DE CUARENTENA'!$I$6,"dd"),"")</f>
        <v/>
      </c>
      <c r="G29" s="172" t="str">
        <f>IF(U29&lt;&gt;0,TEXT('ORDEN DE CUARENTENA'!$I$6,"mm"),"")</f>
        <v/>
      </c>
      <c r="H29" s="171" t="str">
        <f>IF(U29&lt;&gt;0,TEXT('ORDEN DE CUARENTENA'!$I$6,"yyyy"),"")</f>
        <v/>
      </c>
      <c r="I29" s="154" t="str">
        <f>IF(U29&lt;&gt;0,'ORDEN DE CUARENTENA'!$H$7,"")</f>
        <v/>
      </c>
      <c r="J29" s="154" t="str">
        <f>IF(U29&lt;&gt;0,'ORDEN DE CUARENTENA'!$H$9,"")</f>
        <v/>
      </c>
      <c r="K29" s="154" t="str">
        <f>IF(U29&lt;&gt;0,'ORDEN DE CUARENTENA'!$Q$9,"")</f>
        <v/>
      </c>
      <c r="L29" s="154" t="str">
        <f>IFERROR(VLOOKUP(U29,Item[],4,FALSE),IFERROR(VLOOKUP(U29,Item2[],4,FALSE),""))</f>
        <v/>
      </c>
      <c r="M29" s="154" t="str">
        <f>IFERROR(VLOOKUP(U29,Item[],5,FALSE),IFERROR(VLOOKUP(U29,Item2[],5,FALSE),""))</f>
        <v/>
      </c>
      <c r="N29" s="154" t="str">
        <f>IFERROR(VLOOKUP(W29,SuscepEARs[],2,FALSE),"")</f>
        <v/>
      </c>
      <c r="O29" s="154" t="str">
        <f>IFERROR(VLOOKUP(DatosAll[[#This Row],[ESPECIE]],CITES[],2,FALSE),"")</f>
        <v/>
      </c>
      <c r="P29" s="154">
        <f>IFERROR(VLOOKUP(T29,Hallazgo[],2,FALSE),"")</f>
        <v>0</v>
      </c>
      <c r="Q29" s="154">
        <f>IFERROR(VLOOKUP(T29,Hallazgo[],3,FALSE),"")</f>
        <v>0</v>
      </c>
      <c r="R29" s="154">
        <f>IFERROR(VLOOKUP(T29,Hallazgo[],4,FALSE),"")</f>
        <v>0</v>
      </c>
      <c r="S29" s="154">
        <f>IFERROR(VLOOKUP(T29,Hallazgo[],5,FALSE),"")</f>
        <v>0</v>
      </c>
      <c r="T29" s="154">
        <f>'Acuario (Arribado - mortalidad)'!C41</f>
        <v>0</v>
      </c>
      <c r="U29" s="154">
        <f>'Acuario (Arribado - mortalidad)'!B41</f>
        <v>0</v>
      </c>
      <c r="V29" s="154" t="str">
        <f>'Acuario (Arribado - mortalidad)'!D41</f>
        <v/>
      </c>
      <c r="W29" s="154" t="str">
        <f>'Acuario (Arribado - mortalidad)'!E41</f>
        <v/>
      </c>
      <c r="X29" s="154">
        <f>'Acuario (Arribado - mortalidad)'!F41</f>
        <v>0</v>
      </c>
      <c r="Y29" s="154">
        <f>'Acuario (Arribado - mortalidad)'!H41</f>
        <v>0</v>
      </c>
      <c r="Z29" s="154">
        <f>'Acuario (Arribado - mortalidad)'!I41</f>
        <v>0</v>
      </c>
      <c r="AA29" s="154">
        <f>'Acuario (Arribado - mortalidad)'!J41</f>
        <v>0</v>
      </c>
      <c r="AB29" s="154" t="str">
        <f>'Acuario (Arribado - mortalidad)'!K41</f>
        <v/>
      </c>
      <c r="AC29" s="334" t="str">
        <f>IFERROR(('Acuario (Arribado - mortalidad)'!K41/DatosAll[[#This Row],[N_INDIVIDUOS]])*100,"")</f>
        <v/>
      </c>
      <c r="AD29" s="334" t="str">
        <f>IFERROR(('Acuario (Arribado - mortalidad)'!O41/DatosAll[[#This Row],[N_INDIVIDUOS]])*100,"")</f>
        <v/>
      </c>
      <c r="AE29" s="334" t="str">
        <f>IFERROR(('Acuario (Arribado - mortalidad)'!BG41/DatosAll[[#This Row],[N_INDIVIDUOS]])*100,"")</f>
        <v/>
      </c>
      <c r="AF29" s="334" t="str">
        <f>IFERROR(('Acuario (Arribado - mortalidad)'!BH41/DatosAll[[#This Row],[N_INDIVIDUOS]])*100,"")</f>
        <v/>
      </c>
      <c r="AG29" s="154">
        <f>'Acuario (Arribado - mortalidad)'!M41</f>
        <v>0</v>
      </c>
      <c r="AH29" s="154" t="str">
        <f>'Acuario (Arribado - mortalidad)'!G41</f>
        <v/>
      </c>
      <c r="AI29" s="154">
        <f>'Acuario (Arribado - mortalidad)'!O41</f>
        <v>0</v>
      </c>
      <c r="AJ29" s="154">
        <f>'Acuario (Arribado - mortalidad)'!P41</f>
        <v>0</v>
      </c>
      <c r="AK29" s="154">
        <f>'Acuario (Arribado - mortalidad)'!Q41</f>
        <v>0</v>
      </c>
      <c r="AL29" s="154">
        <f>'Acuario (Arribado - mortalidad)'!R41</f>
        <v>0</v>
      </c>
      <c r="AM29" s="154">
        <f>'Acuario (Arribado - mortalidad)'!S41</f>
        <v>0</v>
      </c>
      <c r="AN29" s="154">
        <f>'Acuario (Arribado - mortalidad)'!T41</f>
        <v>0</v>
      </c>
      <c r="AO29" s="154">
        <f>'Acuario (Arribado - mortalidad)'!U41</f>
        <v>0</v>
      </c>
      <c r="AP29" s="154">
        <f>'Acuario (Arribado - mortalidad)'!V41</f>
        <v>0</v>
      </c>
      <c r="AQ29" s="154">
        <f>'Acuario (Arribado - mortalidad)'!W41</f>
        <v>0</v>
      </c>
      <c r="AR29" s="154">
        <f>'Acuario (Arribado - mortalidad)'!X41</f>
        <v>0</v>
      </c>
      <c r="AS29" s="154">
        <f>'Acuario (Arribado - mortalidad)'!Y41</f>
        <v>0</v>
      </c>
      <c r="AT29" s="154">
        <f>'Acuario (Arribado - mortalidad)'!Z41</f>
        <v>0</v>
      </c>
      <c r="AU29" s="154">
        <f>'Acuario (Arribado - mortalidad)'!AA41</f>
        <v>0</v>
      </c>
      <c r="AV29" s="154">
        <f>'Acuario (Arribado - mortalidad)'!AB41</f>
        <v>0</v>
      </c>
      <c r="AW29" s="154">
        <f>'Acuario (Arribado - mortalidad)'!AC41</f>
        <v>0</v>
      </c>
      <c r="AX29" s="154">
        <f>'Acuario (Arribado - mortalidad)'!AD41</f>
        <v>0</v>
      </c>
      <c r="AY29" s="154">
        <f>'Acuario (Arribado - mortalidad)'!AE41</f>
        <v>0</v>
      </c>
      <c r="AZ29" s="154">
        <f>'Acuario (Arribado - mortalidad)'!AF41</f>
        <v>0</v>
      </c>
      <c r="BA29" s="154">
        <f>'Acuario (Arribado - mortalidad)'!AG41</f>
        <v>0</v>
      </c>
      <c r="BB29" s="154">
        <f>'Acuario (Arribado - mortalidad)'!AH41</f>
        <v>0</v>
      </c>
      <c r="BC29" s="154">
        <f>'Acuario (Arribado - mortalidad)'!AI41</f>
        <v>0</v>
      </c>
      <c r="BD29" s="154">
        <f>'Acuario (Arribado - mortalidad)'!AJ41</f>
        <v>0</v>
      </c>
      <c r="BE29" s="154">
        <f>'Acuario (Arribado - mortalidad)'!AK41</f>
        <v>0</v>
      </c>
      <c r="BF29" s="154">
        <f>'Acuario (Arribado - mortalidad)'!AL41</f>
        <v>0</v>
      </c>
      <c r="BG29" s="154">
        <f>'Acuario (Arribado - mortalidad)'!AM41</f>
        <v>0</v>
      </c>
      <c r="BH29" s="154">
        <f>'Acuario (Arribado - mortalidad)'!AN41</f>
        <v>0</v>
      </c>
      <c r="BI29" s="154">
        <f>'Acuario (Arribado - mortalidad)'!AO41</f>
        <v>0</v>
      </c>
      <c r="BJ29" s="154">
        <f>'Acuario (Arribado - mortalidad)'!AP41</f>
        <v>0</v>
      </c>
      <c r="BK29" s="154">
        <f>'Acuario (Arribado - mortalidad)'!AQ41</f>
        <v>0</v>
      </c>
      <c r="BL29" s="154">
        <f>'Acuario (Arribado - mortalidad)'!AR41</f>
        <v>0</v>
      </c>
      <c r="BM29" s="154" t="str">
        <f>'Acuario (Arribado - mortalidad)'!AS41</f>
        <v/>
      </c>
      <c r="BN29" s="154">
        <f>'Acuario (Arribado - mortalidad)'!AT41</f>
        <v>0</v>
      </c>
      <c r="BO29" s="154">
        <f>'Acuario (Arribado - mortalidad)'!AU41</f>
        <v>0</v>
      </c>
      <c r="BP29" s="154">
        <f>'Acuario (Arribado - mortalidad)'!AV41</f>
        <v>0</v>
      </c>
      <c r="BQ29" s="154" t="str">
        <f>'Acuario (Arribado - mortalidad)'!AW41</f>
        <v/>
      </c>
      <c r="BR29" s="154">
        <f>'Acuario (Arribado - mortalidad)'!AX41</f>
        <v>0</v>
      </c>
      <c r="BS29" s="154">
        <f>'Acuario (Arribado - mortalidad)'!AY41</f>
        <v>0</v>
      </c>
      <c r="BT29" s="154" t="str">
        <f>'Acuario (Arribado - mortalidad)'!AZ41</f>
        <v/>
      </c>
      <c r="BU29" s="154" t="str">
        <f>'Acuario (Arribado - mortalidad)'!BA41</f>
        <v/>
      </c>
      <c r="BV29" s="154" t="str">
        <f>'Acuario (Arribado - mortalidad)'!BB41</f>
        <v/>
      </c>
      <c r="BW29" s="154" t="str">
        <f>'Acuario (Arribado - mortalidad)'!BC41</f>
        <v/>
      </c>
      <c r="BX29" s="154">
        <f>'Acuario (Arribado - mortalidad)'!BD41</f>
        <v>0</v>
      </c>
      <c r="BY29" s="154" t="str">
        <f>'Acuario (Arribado - mortalidad)'!BE41</f>
        <v/>
      </c>
      <c r="BZ29" s="23" t="str">
        <f>'Acuario (Arribado - mortalidad)'!BF41</f>
        <v/>
      </c>
    </row>
    <row r="30" spans="1:78" x14ac:dyDescent="0.25">
      <c r="A30" s="154" t="str">
        <f>IF(U30&lt;&gt;0,'ORDEN DE CUARENTENA'!$AE$2,"")</f>
        <v/>
      </c>
      <c r="B30" s="190" t="str">
        <f>IF(U30&lt;&gt;0,'ORDEN DE CUARENTENA'!$AE$3,"")</f>
        <v/>
      </c>
      <c r="C30" s="174" t="str">
        <f t="shared" si="0"/>
        <v/>
      </c>
      <c r="D30" s="329" t="str">
        <f>IF(U30&lt;&gt;0,'ORDEN DE CUARENTENA'!$I$6,"")</f>
        <v/>
      </c>
      <c r="E30" s="174" t="str">
        <f>IF(U30&lt;&gt;0,TEXT('ORDEN DE CUARENTENA'!$I$6,"aaa"),"")</f>
        <v/>
      </c>
      <c r="F30" s="173" t="str">
        <f>IF(U30&lt;&gt;0,TEXT('ORDEN DE CUARENTENA'!$I$6,"dd"),"")</f>
        <v/>
      </c>
      <c r="G30" s="172" t="str">
        <f>IF(U30&lt;&gt;0,TEXT('ORDEN DE CUARENTENA'!$I$6,"mm"),"")</f>
        <v/>
      </c>
      <c r="H30" s="171" t="str">
        <f>IF(U30&lt;&gt;0,TEXT('ORDEN DE CUARENTENA'!$I$6,"yyyy"),"")</f>
        <v/>
      </c>
      <c r="I30" s="154" t="str">
        <f>IF(U30&lt;&gt;0,'ORDEN DE CUARENTENA'!$H$7,"")</f>
        <v/>
      </c>
      <c r="J30" s="154" t="str">
        <f>IF(U30&lt;&gt;0,'ORDEN DE CUARENTENA'!$H$9,"")</f>
        <v/>
      </c>
      <c r="K30" s="154" t="str">
        <f>IF(U30&lt;&gt;0,'ORDEN DE CUARENTENA'!$Q$9,"")</f>
        <v/>
      </c>
      <c r="L30" s="154" t="str">
        <f>IFERROR(VLOOKUP(U30,Item[],4,FALSE),IFERROR(VLOOKUP(U30,Item2[],4,FALSE),""))</f>
        <v/>
      </c>
      <c r="M30" s="154" t="str">
        <f>IFERROR(VLOOKUP(U30,Item[],5,FALSE),IFERROR(VLOOKUP(U30,Item2[],5,FALSE),""))</f>
        <v/>
      </c>
      <c r="N30" s="154" t="str">
        <f>IFERROR(VLOOKUP(W30,SuscepEARs[],2,FALSE),"")</f>
        <v/>
      </c>
      <c r="O30" s="154" t="str">
        <f>IFERROR(VLOOKUP(DatosAll[[#This Row],[ESPECIE]],CITES[],2,FALSE),"")</f>
        <v/>
      </c>
      <c r="P30" s="154">
        <f>IFERROR(VLOOKUP(T30,Hallazgo[],2,FALSE),"")</f>
        <v>0</v>
      </c>
      <c r="Q30" s="154">
        <f>IFERROR(VLOOKUP(T30,Hallazgo[],3,FALSE),"")</f>
        <v>0</v>
      </c>
      <c r="R30" s="154">
        <f>IFERROR(VLOOKUP(T30,Hallazgo[],4,FALSE),"")</f>
        <v>0</v>
      </c>
      <c r="S30" s="154">
        <f>IFERROR(VLOOKUP(T30,Hallazgo[],5,FALSE),"")</f>
        <v>0</v>
      </c>
      <c r="T30" s="154">
        <f>'Acuario (Arribado - mortalidad)'!C42</f>
        <v>0</v>
      </c>
      <c r="U30" s="154">
        <f>'Acuario (Arribado - mortalidad)'!B42</f>
        <v>0</v>
      </c>
      <c r="V30" s="154" t="str">
        <f>'Acuario (Arribado - mortalidad)'!D42</f>
        <v/>
      </c>
      <c r="W30" s="154" t="str">
        <f>'Acuario (Arribado - mortalidad)'!E42</f>
        <v/>
      </c>
      <c r="X30" s="154">
        <f>'Acuario (Arribado - mortalidad)'!F42</f>
        <v>0</v>
      </c>
      <c r="Y30" s="154">
        <f>'Acuario (Arribado - mortalidad)'!H42</f>
        <v>0</v>
      </c>
      <c r="Z30" s="154">
        <f>'Acuario (Arribado - mortalidad)'!I42</f>
        <v>0</v>
      </c>
      <c r="AA30" s="154">
        <f>'Acuario (Arribado - mortalidad)'!J42</f>
        <v>0</v>
      </c>
      <c r="AB30" s="154" t="str">
        <f>'Acuario (Arribado - mortalidad)'!K42</f>
        <v/>
      </c>
      <c r="AC30" s="334" t="str">
        <f>IFERROR(('Acuario (Arribado - mortalidad)'!K42/DatosAll[[#This Row],[N_INDIVIDUOS]])*100,"")</f>
        <v/>
      </c>
      <c r="AD30" s="334" t="str">
        <f>IFERROR(('Acuario (Arribado - mortalidad)'!O42/DatosAll[[#This Row],[N_INDIVIDUOS]])*100,"")</f>
        <v/>
      </c>
      <c r="AE30" s="334" t="str">
        <f>IFERROR(('Acuario (Arribado - mortalidad)'!BG42/DatosAll[[#This Row],[N_INDIVIDUOS]])*100,"")</f>
        <v/>
      </c>
      <c r="AF30" s="334" t="str">
        <f>IFERROR(('Acuario (Arribado - mortalidad)'!BH42/DatosAll[[#This Row],[N_INDIVIDUOS]])*100,"")</f>
        <v/>
      </c>
      <c r="AG30" s="154">
        <f>'Acuario (Arribado - mortalidad)'!M42</f>
        <v>0</v>
      </c>
      <c r="AH30" s="154" t="str">
        <f>'Acuario (Arribado - mortalidad)'!G42</f>
        <v/>
      </c>
      <c r="AI30" s="154">
        <f>'Acuario (Arribado - mortalidad)'!O42</f>
        <v>0</v>
      </c>
      <c r="AJ30" s="154">
        <f>'Acuario (Arribado - mortalidad)'!P42</f>
        <v>0</v>
      </c>
      <c r="AK30" s="154">
        <f>'Acuario (Arribado - mortalidad)'!Q42</f>
        <v>0</v>
      </c>
      <c r="AL30" s="154">
        <f>'Acuario (Arribado - mortalidad)'!R42</f>
        <v>0</v>
      </c>
      <c r="AM30" s="154">
        <f>'Acuario (Arribado - mortalidad)'!S42</f>
        <v>0</v>
      </c>
      <c r="AN30" s="154">
        <f>'Acuario (Arribado - mortalidad)'!T42</f>
        <v>0</v>
      </c>
      <c r="AO30" s="154">
        <f>'Acuario (Arribado - mortalidad)'!U42</f>
        <v>0</v>
      </c>
      <c r="AP30" s="154">
        <f>'Acuario (Arribado - mortalidad)'!V42</f>
        <v>0</v>
      </c>
      <c r="AQ30" s="154">
        <f>'Acuario (Arribado - mortalidad)'!W42</f>
        <v>0</v>
      </c>
      <c r="AR30" s="154">
        <f>'Acuario (Arribado - mortalidad)'!X42</f>
        <v>0</v>
      </c>
      <c r="AS30" s="154">
        <f>'Acuario (Arribado - mortalidad)'!Y42</f>
        <v>0</v>
      </c>
      <c r="AT30" s="154">
        <f>'Acuario (Arribado - mortalidad)'!Z42</f>
        <v>0</v>
      </c>
      <c r="AU30" s="154">
        <f>'Acuario (Arribado - mortalidad)'!AA42</f>
        <v>0</v>
      </c>
      <c r="AV30" s="154">
        <f>'Acuario (Arribado - mortalidad)'!AB42</f>
        <v>0</v>
      </c>
      <c r="AW30" s="154">
        <f>'Acuario (Arribado - mortalidad)'!AC42</f>
        <v>0</v>
      </c>
      <c r="AX30" s="154">
        <f>'Acuario (Arribado - mortalidad)'!AD42</f>
        <v>0</v>
      </c>
      <c r="AY30" s="154">
        <f>'Acuario (Arribado - mortalidad)'!AE42</f>
        <v>0</v>
      </c>
      <c r="AZ30" s="154">
        <f>'Acuario (Arribado - mortalidad)'!AF42</f>
        <v>0</v>
      </c>
      <c r="BA30" s="154">
        <f>'Acuario (Arribado - mortalidad)'!AG42</f>
        <v>0</v>
      </c>
      <c r="BB30" s="154">
        <f>'Acuario (Arribado - mortalidad)'!AH42</f>
        <v>0</v>
      </c>
      <c r="BC30" s="154">
        <f>'Acuario (Arribado - mortalidad)'!AI42</f>
        <v>0</v>
      </c>
      <c r="BD30" s="154">
        <f>'Acuario (Arribado - mortalidad)'!AJ42</f>
        <v>0</v>
      </c>
      <c r="BE30" s="154">
        <f>'Acuario (Arribado - mortalidad)'!AK42</f>
        <v>0</v>
      </c>
      <c r="BF30" s="154">
        <f>'Acuario (Arribado - mortalidad)'!AL42</f>
        <v>0</v>
      </c>
      <c r="BG30" s="154">
        <f>'Acuario (Arribado - mortalidad)'!AM42</f>
        <v>0</v>
      </c>
      <c r="BH30" s="154">
        <f>'Acuario (Arribado - mortalidad)'!AN42</f>
        <v>0</v>
      </c>
      <c r="BI30" s="154">
        <f>'Acuario (Arribado - mortalidad)'!AO42</f>
        <v>0</v>
      </c>
      <c r="BJ30" s="154">
        <f>'Acuario (Arribado - mortalidad)'!AP42</f>
        <v>0</v>
      </c>
      <c r="BK30" s="154">
        <f>'Acuario (Arribado - mortalidad)'!AQ42</f>
        <v>0</v>
      </c>
      <c r="BL30" s="154">
        <f>'Acuario (Arribado - mortalidad)'!AR42</f>
        <v>0</v>
      </c>
      <c r="BM30" s="154" t="str">
        <f>'Acuario (Arribado - mortalidad)'!AS42</f>
        <v/>
      </c>
      <c r="BN30" s="154">
        <f>'Acuario (Arribado - mortalidad)'!AT42</f>
        <v>0</v>
      </c>
      <c r="BO30" s="154">
        <f>'Acuario (Arribado - mortalidad)'!AU42</f>
        <v>0</v>
      </c>
      <c r="BP30" s="154">
        <f>'Acuario (Arribado - mortalidad)'!AV42</f>
        <v>0</v>
      </c>
      <c r="BQ30" s="154" t="str">
        <f>'Acuario (Arribado - mortalidad)'!AW42</f>
        <v/>
      </c>
      <c r="BR30" s="154">
        <f>'Acuario (Arribado - mortalidad)'!AX42</f>
        <v>0</v>
      </c>
      <c r="BS30" s="154">
        <f>'Acuario (Arribado - mortalidad)'!AY42</f>
        <v>0</v>
      </c>
      <c r="BT30" s="154" t="str">
        <f>'Acuario (Arribado - mortalidad)'!AZ42</f>
        <v/>
      </c>
      <c r="BU30" s="154" t="str">
        <f>'Acuario (Arribado - mortalidad)'!BA42</f>
        <v/>
      </c>
      <c r="BV30" s="154" t="str">
        <f>'Acuario (Arribado - mortalidad)'!BB42</f>
        <v/>
      </c>
      <c r="BW30" s="154" t="str">
        <f>'Acuario (Arribado - mortalidad)'!BC42</f>
        <v/>
      </c>
      <c r="BX30" s="154">
        <f>'Acuario (Arribado - mortalidad)'!BD42</f>
        <v>0</v>
      </c>
      <c r="BY30" s="154" t="str">
        <f>'Acuario (Arribado - mortalidad)'!BE42</f>
        <v/>
      </c>
      <c r="BZ30" s="23" t="str">
        <f>'Acuario (Arribado - mortalidad)'!BF42</f>
        <v/>
      </c>
    </row>
    <row r="31" spans="1:78" x14ac:dyDescent="0.25">
      <c r="A31" s="154" t="str">
        <f>IF(U31&lt;&gt;0,'ORDEN DE CUARENTENA'!$AE$2,"")</f>
        <v/>
      </c>
      <c r="B31" s="190" t="str">
        <f>IF(U31&lt;&gt;0,'ORDEN DE CUARENTENA'!$AE$3,"")</f>
        <v/>
      </c>
      <c r="C31" s="174" t="str">
        <f t="shared" si="0"/>
        <v/>
      </c>
      <c r="D31" s="329" t="str">
        <f>IF(U31&lt;&gt;0,'ORDEN DE CUARENTENA'!$I$6,"")</f>
        <v/>
      </c>
      <c r="E31" s="174" t="str">
        <f>IF(U31&lt;&gt;0,TEXT('ORDEN DE CUARENTENA'!$I$6,"aaa"),"")</f>
        <v/>
      </c>
      <c r="F31" s="173" t="str">
        <f>IF(U31&lt;&gt;0,TEXT('ORDEN DE CUARENTENA'!$I$6,"dd"),"")</f>
        <v/>
      </c>
      <c r="G31" s="172" t="str">
        <f>IF(U31&lt;&gt;0,TEXT('ORDEN DE CUARENTENA'!$I$6,"mm"),"")</f>
        <v/>
      </c>
      <c r="H31" s="171" t="str">
        <f>IF(U31&lt;&gt;0,TEXT('ORDEN DE CUARENTENA'!$I$6,"yyyy"),"")</f>
        <v/>
      </c>
      <c r="I31" s="154" t="str">
        <f>IF(U31&lt;&gt;0,'ORDEN DE CUARENTENA'!$H$7,"")</f>
        <v/>
      </c>
      <c r="J31" s="154" t="str">
        <f>IF(U31&lt;&gt;0,'ORDEN DE CUARENTENA'!$H$9,"")</f>
        <v/>
      </c>
      <c r="K31" s="154" t="str">
        <f>IF(U31&lt;&gt;0,'ORDEN DE CUARENTENA'!$Q$9,"")</f>
        <v/>
      </c>
      <c r="L31" s="154" t="str">
        <f>IFERROR(VLOOKUP(U31,Item[],4,FALSE),IFERROR(VLOOKUP(U31,Item2[],4,FALSE),""))</f>
        <v/>
      </c>
      <c r="M31" s="154" t="str">
        <f>IFERROR(VLOOKUP(U31,Item[],5,FALSE),IFERROR(VLOOKUP(U31,Item2[],5,FALSE),""))</f>
        <v/>
      </c>
      <c r="N31" s="154" t="str">
        <f>IFERROR(VLOOKUP(W31,SuscepEARs[],2,FALSE),"")</f>
        <v/>
      </c>
      <c r="O31" s="154" t="str">
        <f>IFERROR(VLOOKUP(DatosAll[[#This Row],[ESPECIE]],CITES[],2,FALSE),"")</f>
        <v/>
      </c>
      <c r="P31" s="154">
        <f>IFERROR(VLOOKUP(T31,Hallazgo[],2,FALSE),"")</f>
        <v>0</v>
      </c>
      <c r="Q31" s="154">
        <f>IFERROR(VLOOKUP(T31,Hallazgo[],3,FALSE),"")</f>
        <v>0</v>
      </c>
      <c r="R31" s="154">
        <f>IFERROR(VLOOKUP(T31,Hallazgo[],4,FALSE),"")</f>
        <v>0</v>
      </c>
      <c r="S31" s="154">
        <f>IFERROR(VLOOKUP(T31,Hallazgo[],5,FALSE),"")</f>
        <v>0</v>
      </c>
      <c r="T31" s="154">
        <f>'Acuario (Arribado - mortalidad)'!C43</f>
        <v>0</v>
      </c>
      <c r="U31" s="154">
        <f>'Acuario (Arribado - mortalidad)'!B43</f>
        <v>0</v>
      </c>
      <c r="V31" s="154" t="str">
        <f>'Acuario (Arribado - mortalidad)'!D43</f>
        <v/>
      </c>
      <c r="W31" s="154" t="str">
        <f>'Acuario (Arribado - mortalidad)'!E43</f>
        <v/>
      </c>
      <c r="X31" s="154">
        <f>'Acuario (Arribado - mortalidad)'!F43</f>
        <v>0</v>
      </c>
      <c r="Y31" s="154">
        <f>'Acuario (Arribado - mortalidad)'!H43</f>
        <v>0</v>
      </c>
      <c r="Z31" s="154">
        <f>'Acuario (Arribado - mortalidad)'!I43</f>
        <v>0</v>
      </c>
      <c r="AA31" s="154">
        <f>'Acuario (Arribado - mortalidad)'!J43</f>
        <v>0</v>
      </c>
      <c r="AB31" s="154" t="str">
        <f>'Acuario (Arribado - mortalidad)'!K43</f>
        <v/>
      </c>
      <c r="AC31" s="334" t="str">
        <f>IFERROR(('Acuario (Arribado - mortalidad)'!K43/DatosAll[[#This Row],[N_INDIVIDUOS]])*100,"")</f>
        <v/>
      </c>
      <c r="AD31" s="334" t="str">
        <f>IFERROR(('Acuario (Arribado - mortalidad)'!O43/DatosAll[[#This Row],[N_INDIVIDUOS]])*100,"")</f>
        <v/>
      </c>
      <c r="AE31" s="334" t="str">
        <f>IFERROR(('Acuario (Arribado - mortalidad)'!BG43/DatosAll[[#This Row],[N_INDIVIDUOS]])*100,"")</f>
        <v/>
      </c>
      <c r="AF31" s="334" t="str">
        <f>IFERROR(('Acuario (Arribado - mortalidad)'!BH43/DatosAll[[#This Row],[N_INDIVIDUOS]])*100,"")</f>
        <v/>
      </c>
      <c r="AG31" s="154">
        <f>'Acuario (Arribado - mortalidad)'!M43</f>
        <v>0</v>
      </c>
      <c r="AH31" s="154" t="str">
        <f>'Acuario (Arribado - mortalidad)'!G43</f>
        <v/>
      </c>
      <c r="AI31" s="154">
        <f>'Acuario (Arribado - mortalidad)'!O43</f>
        <v>0</v>
      </c>
      <c r="AJ31" s="154">
        <f>'Acuario (Arribado - mortalidad)'!P43</f>
        <v>0</v>
      </c>
      <c r="AK31" s="154">
        <f>'Acuario (Arribado - mortalidad)'!Q43</f>
        <v>0</v>
      </c>
      <c r="AL31" s="154">
        <f>'Acuario (Arribado - mortalidad)'!R43</f>
        <v>0</v>
      </c>
      <c r="AM31" s="154">
        <f>'Acuario (Arribado - mortalidad)'!S43</f>
        <v>0</v>
      </c>
      <c r="AN31" s="154">
        <f>'Acuario (Arribado - mortalidad)'!T43</f>
        <v>0</v>
      </c>
      <c r="AO31" s="154">
        <f>'Acuario (Arribado - mortalidad)'!U43</f>
        <v>0</v>
      </c>
      <c r="AP31" s="154">
        <f>'Acuario (Arribado - mortalidad)'!V43</f>
        <v>0</v>
      </c>
      <c r="AQ31" s="154">
        <f>'Acuario (Arribado - mortalidad)'!W43</f>
        <v>0</v>
      </c>
      <c r="AR31" s="154">
        <f>'Acuario (Arribado - mortalidad)'!X43</f>
        <v>0</v>
      </c>
      <c r="AS31" s="154">
        <f>'Acuario (Arribado - mortalidad)'!Y43</f>
        <v>0</v>
      </c>
      <c r="AT31" s="154">
        <f>'Acuario (Arribado - mortalidad)'!Z43</f>
        <v>0</v>
      </c>
      <c r="AU31" s="154">
        <f>'Acuario (Arribado - mortalidad)'!AA43</f>
        <v>0</v>
      </c>
      <c r="AV31" s="154">
        <f>'Acuario (Arribado - mortalidad)'!AB43</f>
        <v>0</v>
      </c>
      <c r="AW31" s="154">
        <f>'Acuario (Arribado - mortalidad)'!AC43</f>
        <v>0</v>
      </c>
      <c r="AX31" s="154">
        <f>'Acuario (Arribado - mortalidad)'!AD43</f>
        <v>0</v>
      </c>
      <c r="AY31" s="154">
        <f>'Acuario (Arribado - mortalidad)'!AE43</f>
        <v>0</v>
      </c>
      <c r="AZ31" s="154">
        <f>'Acuario (Arribado - mortalidad)'!AF43</f>
        <v>0</v>
      </c>
      <c r="BA31" s="154">
        <f>'Acuario (Arribado - mortalidad)'!AG43</f>
        <v>0</v>
      </c>
      <c r="BB31" s="154">
        <f>'Acuario (Arribado - mortalidad)'!AH43</f>
        <v>0</v>
      </c>
      <c r="BC31" s="154">
        <f>'Acuario (Arribado - mortalidad)'!AI43</f>
        <v>0</v>
      </c>
      <c r="BD31" s="154">
        <f>'Acuario (Arribado - mortalidad)'!AJ43</f>
        <v>0</v>
      </c>
      <c r="BE31" s="154">
        <f>'Acuario (Arribado - mortalidad)'!AK43</f>
        <v>0</v>
      </c>
      <c r="BF31" s="154">
        <f>'Acuario (Arribado - mortalidad)'!AL43</f>
        <v>0</v>
      </c>
      <c r="BG31" s="154">
        <f>'Acuario (Arribado - mortalidad)'!AM43</f>
        <v>0</v>
      </c>
      <c r="BH31" s="154">
        <f>'Acuario (Arribado - mortalidad)'!AN43</f>
        <v>0</v>
      </c>
      <c r="BI31" s="154">
        <f>'Acuario (Arribado - mortalidad)'!AO43</f>
        <v>0</v>
      </c>
      <c r="BJ31" s="154">
        <f>'Acuario (Arribado - mortalidad)'!AP43</f>
        <v>0</v>
      </c>
      <c r="BK31" s="154">
        <f>'Acuario (Arribado - mortalidad)'!AQ43</f>
        <v>0</v>
      </c>
      <c r="BL31" s="154">
        <f>'Acuario (Arribado - mortalidad)'!AR43</f>
        <v>0</v>
      </c>
      <c r="BM31" s="154" t="str">
        <f>'Acuario (Arribado - mortalidad)'!AS43</f>
        <v/>
      </c>
      <c r="BN31" s="154">
        <f>'Acuario (Arribado - mortalidad)'!AT43</f>
        <v>0</v>
      </c>
      <c r="BO31" s="154">
        <f>'Acuario (Arribado - mortalidad)'!AU43</f>
        <v>0</v>
      </c>
      <c r="BP31" s="154">
        <f>'Acuario (Arribado - mortalidad)'!AV43</f>
        <v>0</v>
      </c>
      <c r="BQ31" s="154" t="str">
        <f>'Acuario (Arribado - mortalidad)'!AW43</f>
        <v/>
      </c>
      <c r="BR31" s="154">
        <f>'Acuario (Arribado - mortalidad)'!AX43</f>
        <v>0</v>
      </c>
      <c r="BS31" s="154">
        <f>'Acuario (Arribado - mortalidad)'!AY43</f>
        <v>0</v>
      </c>
      <c r="BT31" s="154" t="str">
        <f>'Acuario (Arribado - mortalidad)'!AZ43</f>
        <v/>
      </c>
      <c r="BU31" s="154" t="str">
        <f>'Acuario (Arribado - mortalidad)'!BA43</f>
        <v/>
      </c>
      <c r="BV31" s="154" t="str">
        <f>'Acuario (Arribado - mortalidad)'!BB43</f>
        <v/>
      </c>
      <c r="BW31" s="154" t="str">
        <f>'Acuario (Arribado - mortalidad)'!BC43</f>
        <v/>
      </c>
      <c r="BX31" s="154">
        <f>'Acuario (Arribado - mortalidad)'!BD43</f>
        <v>0</v>
      </c>
      <c r="BY31" s="154" t="str">
        <f>'Acuario (Arribado - mortalidad)'!BE43</f>
        <v/>
      </c>
      <c r="BZ31" s="23" t="str">
        <f>'Acuario (Arribado - mortalidad)'!BF43</f>
        <v/>
      </c>
    </row>
    <row r="32" spans="1:78" x14ac:dyDescent="0.25">
      <c r="A32" s="154" t="str">
        <f>IF(U32&lt;&gt;0,'ORDEN DE CUARENTENA'!$AE$2,"")</f>
        <v/>
      </c>
      <c r="B32" s="190" t="str">
        <f>IF(U32&lt;&gt;0,'ORDEN DE CUARENTENA'!$AE$3,"")</f>
        <v/>
      </c>
      <c r="C32" s="174" t="str">
        <f t="shared" si="0"/>
        <v/>
      </c>
      <c r="D32" s="329" t="str">
        <f>IF(U32&lt;&gt;0,'ORDEN DE CUARENTENA'!$I$6,"")</f>
        <v/>
      </c>
      <c r="E32" s="174" t="str">
        <f>IF(U32&lt;&gt;0,TEXT('ORDEN DE CUARENTENA'!$I$6,"aaa"),"")</f>
        <v/>
      </c>
      <c r="F32" s="173" t="str">
        <f>IF(U32&lt;&gt;0,TEXT('ORDEN DE CUARENTENA'!$I$6,"dd"),"")</f>
        <v/>
      </c>
      <c r="G32" s="172" t="str">
        <f>IF(U32&lt;&gt;0,TEXT('ORDEN DE CUARENTENA'!$I$6,"mm"),"")</f>
        <v/>
      </c>
      <c r="H32" s="171" t="str">
        <f>IF(U32&lt;&gt;0,TEXT('ORDEN DE CUARENTENA'!$I$6,"yyyy"),"")</f>
        <v/>
      </c>
      <c r="I32" s="154" t="str">
        <f>IF(U32&lt;&gt;0,'ORDEN DE CUARENTENA'!$H$7,"")</f>
        <v/>
      </c>
      <c r="J32" s="154" t="str">
        <f>IF(U32&lt;&gt;0,'ORDEN DE CUARENTENA'!$H$9,"")</f>
        <v/>
      </c>
      <c r="K32" s="154" t="str">
        <f>IF(U32&lt;&gt;0,'ORDEN DE CUARENTENA'!$Q$9,"")</f>
        <v/>
      </c>
      <c r="L32" s="154" t="str">
        <f>IFERROR(VLOOKUP(U32,Item[],4,FALSE),IFERROR(VLOOKUP(U32,Item2[],4,FALSE),""))</f>
        <v/>
      </c>
      <c r="M32" s="154" t="str">
        <f>IFERROR(VLOOKUP(U32,Item[],5,FALSE),IFERROR(VLOOKUP(U32,Item2[],5,FALSE),""))</f>
        <v/>
      </c>
      <c r="N32" s="154" t="str">
        <f>IFERROR(VLOOKUP(W32,SuscepEARs[],2,FALSE),"")</f>
        <v/>
      </c>
      <c r="O32" s="154" t="str">
        <f>IFERROR(VLOOKUP(DatosAll[[#This Row],[ESPECIE]],CITES[],2,FALSE),"")</f>
        <v/>
      </c>
      <c r="P32" s="154">
        <f>IFERROR(VLOOKUP(T32,Hallazgo[],2,FALSE),"")</f>
        <v>0</v>
      </c>
      <c r="Q32" s="154">
        <f>IFERROR(VLOOKUP(T32,Hallazgo[],3,FALSE),"")</f>
        <v>0</v>
      </c>
      <c r="R32" s="154">
        <f>IFERROR(VLOOKUP(T32,Hallazgo[],4,FALSE),"")</f>
        <v>0</v>
      </c>
      <c r="S32" s="154">
        <f>IFERROR(VLOOKUP(T32,Hallazgo[],5,FALSE),"")</f>
        <v>0</v>
      </c>
      <c r="T32" s="154">
        <f>'Acuario (Arribado - mortalidad)'!C44</f>
        <v>0</v>
      </c>
      <c r="U32" s="154">
        <f>'Acuario (Arribado - mortalidad)'!B44</f>
        <v>0</v>
      </c>
      <c r="V32" s="154" t="str">
        <f>'Acuario (Arribado - mortalidad)'!D44</f>
        <v/>
      </c>
      <c r="W32" s="154" t="str">
        <f>'Acuario (Arribado - mortalidad)'!E44</f>
        <v/>
      </c>
      <c r="X32" s="154">
        <f>'Acuario (Arribado - mortalidad)'!F44</f>
        <v>0</v>
      </c>
      <c r="Y32" s="154">
        <f>'Acuario (Arribado - mortalidad)'!H44</f>
        <v>0</v>
      </c>
      <c r="Z32" s="154">
        <f>'Acuario (Arribado - mortalidad)'!I44</f>
        <v>0</v>
      </c>
      <c r="AA32" s="154">
        <f>'Acuario (Arribado - mortalidad)'!J44</f>
        <v>0</v>
      </c>
      <c r="AB32" s="154" t="str">
        <f>'Acuario (Arribado - mortalidad)'!K44</f>
        <v/>
      </c>
      <c r="AC32" s="334" t="str">
        <f>IFERROR(('Acuario (Arribado - mortalidad)'!K44/DatosAll[[#This Row],[N_INDIVIDUOS]])*100,"")</f>
        <v/>
      </c>
      <c r="AD32" s="334" t="str">
        <f>IFERROR(('Acuario (Arribado - mortalidad)'!O44/DatosAll[[#This Row],[N_INDIVIDUOS]])*100,"")</f>
        <v/>
      </c>
      <c r="AE32" s="334" t="str">
        <f>IFERROR(('Acuario (Arribado - mortalidad)'!BG44/DatosAll[[#This Row],[N_INDIVIDUOS]])*100,"")</f>
        <v/>
      </c>
      <c r="AF32" s="334" t="str">
        <f>IFERROR(('Acuario (Arribado - mortalidad)'!BH44/DatosAll[[#This Row],[N_INDIVIDUOS]])*100,"")</f>
        <v/>
      </c>
      <c r="AG32" s="154">
        <f>'Acuario (Arribado - mortalidad)'!M44</f>
        <v>0</v>
      </c>
      <c r="AH32" s="154" t="str">
        <f>'Acuario (Arribado - mortalidad)'!G44</f>
        <v/>
      </c>
      <c r="AI32" s="154">
        <f>'Acuario (Arribado - mortalidad)'!O44</f>
        <v>0</v>
      </c>
      <c r="AJ32" s="154">
        <f>'Acuario (Arribado - mortalidad)'!P44</f>
        <v>0</v>
      </c>
      <c r="AK32" s="154">
        <f>'Acuario (Arribado - mortalidad)'!Q44</f>
        <v>0</v>
      </c>
      <c r="AL32" s="154">
        <f>'Acuario (Arribado - mortalidad)'!R44</f>
        <v>0</v>
      </c>
      <c r="AM32" s="154">
        <f>'Acuario (Arribado - mortalidad)'!S44</f>
        <v>0</v>
      </c>
      <c r="AN32" s="154">
        <f>'Acuario (Arribado - mortalidad)'!T44</f>
        <v>0</v>
      </c>
      <c r="AO32" s="154">
        <f>'Acuario (Arribado - mortalidad)'!U44</f>
        <v>0</v>
      </c>
      <c r="AP32" s="154">
        <f>'Acuario (Arribado - mortalidad)'!V44</f>
        <v>0</v>
      </c>
      <c r="AQ32" s="154">
        <f>'Acuario (Arribado - mortalidad)'!W44</f>
        <v>0</v>
      </c>
      <c r="AR32" s="154">
        <f>'Acuario (Arribado - mortalidad)'!X44</f>
        <v>0</v>
      </c>
      <c r="AS32" s="154">
        <f>'Acuario (Arribado - mortalidad)'!Y44</f>
        <v>0</v>
      </c>
      <c r="AT32" s="154">
        <f>'Acuario (Arribado - mortalidad)'!Z44</f>
        <v>0</v>
      </c>
      <c r="AU32" s="154">
        <f>'Acuario (Arribado - mortalidad)'!AA44</f>
        <v>0</v>
      </c>
      <c r="AV32" s="154">
        <f>'Acuario (Arribado - mortalidad)'!AB44</f>
        <v>0</v>
      </c>
      <c r="AW32" s="154">
        <f>'Acuario (Arribado - mortalidad)'!AC44</f>
        <v>0</v>
      </c>
      <c r="AX32" s="154">
        <f>'Acuario (Arribado - mortalidad)'!AD44</f>
        <v>0</v>
      </c>
      <c r="AY32" s="154">
        <f>'Acuario (Arribado - mortalidad)'!AE44</f>
        <v>0</v>
      </c>
      <c r="AZ32" s="154">
        <f>'Acuario (Arribado - mortalidad)'!AF44</f>
        <v>0</v>
      </c>
      <c r="BA32" s="154">
        <f>'Acuario (Arribado - mortalidad)'!AG44</f>
        <v>0</v>
      </c>
      <c r="BB32" s="154">
        <f>'Acuario (Arribado - mortalidad)'!AH44</f>
        <v>0</v>
      </c>
      <c r="BC32" s="154">
        <f>'Acuario (Arribado - mortalidad)'!AI44</f>
        <v>0</v>
      </c>
      <c r="BD32" s="154">
        <f>'Acuario (Arribado - mortalidad)'!AJ44</f>
        <v>0</v>
      </c>
      <c r="BE32" s="154">
        <f>'Acuario (Arribado - mortalidad)'!AK44</f>
        <v>0</v>
      </c>
      <c r="BF32" s="154">
        <f>'Acuario (Arribado - mortalidad)'!AL44</f>
        <v>0</v>
      </c>
      <c r="BG32" s="154">
        <f>'Acuario (Arribado - mortalidad)'!AM44</f>
        <v>0</v>
      </c>
      <c r="BH32" s="154">
        <f>'Acuario (Arribado - mortalidad)'!AN44</f>
        <v>0</v>
      </c>
      <c r="BI32" s="154">
        <f>'Acuario (Arribado - mortalidad)'!AO44</f>
        <v>0</v>
      </c>
      <c r="BJ32" s="154">
        <f>'Acuario (Arribado - mortalidad)'!AP44</f>
        <v>0</v>
      </c>
      <c r="BK32" s="154">
        <f>'Acuario (Arribado - mortalidad)'!AQ44</f>
        <v>0</v>
      </c>
      <c r="BL32" s="154">
        <f>'Acuario (Arribado - mortalidad)'!AR44</f>
        <v>0</v>
      </c>
      <c r="BM32" s="154" t="str">
        <f>'Acuario (Arribado - mortalidad)'!AS44</f>
        <v/>
      </c>
      <c r="BN32" s="154">
        <f>'Acuario (Arribado - mortalidad)'!AT44</f>
        <v>0</v>
      </c>
      <c r="BO32" s="154">
        <f>'Acuario (Arribado - mortalidad)'!AU44</f>
        <v>0</v>
      </c>
      <c r="BP32" s="154">
        <f>'Acuario (Arribado - mortalidad)'!AV44</f>
        <v>0</v>
      </c>
      <c r="BQ32" s="154" t="str">
        <f>'Acuario (Arribado - mortalidad)'!AW44</f>
        <v/>
      </c>
      <c r="BR32" s="154">
        <f>'Acuario (Arribado - mortalidad)'!AX44</f>
        <v>0</v>
      </c>
      <c r="BS32" s="154">
        <f>'Acuario (Arribado - mortalidad)'!AY44</f>
        <v>0</v>
      </c>
      <c r="BT32" s="154" t="str">
        <f>'Acuario (Arribado - mortalidad)'!AZ44</f>
        <v/>
      </c>
      <c r="BU32" s="154" t="str">
        <f>'Acuario (Arribado - mortalidad)'!BA44</f>
        <v/>
      </c>
      <c r="BV32" s="154" t="str">
        <f>'Acuario (Arribado - mortalidad)'!BB44</f>
        <v/>
      </c>
      <c r="BW32" s="154" t="str">
        <f>'Acuario (Arribado - mortalidad)'!BC44</f>
        <v/>
      </c>
      <c r="BX32" s="154">
        <f>'Acuario (Arribado - mortalidad)'!BD44</f>
        <v>0</v>
      </c>
      <c r="BY32" s="154" t="str">
        <f>'Acuario (Arribado - mortalidad)'!BE44</f>
        <v/>
      </c>
      <c r="BZ32" s="23" t="str">
        <f>'Acuario (Arribado - mortalidad)'!BF44</f>
        <v/>
      </c>
    </row>
    <row r="33" spans="1:78" x14ac:dyDescent="0.25">
      <c r="A33" s="154" t="str">
        <f>IF(U33&lt;&gt;0,'ORDEN DE CUARENTENA'!$AE$2,"")</f>
        <v/>
      </c>
      <c r="B33" s="190" t="str">
        <f>IF(U33&lt;&gt;0,'ORDEN DE CUARENTENA'!$AE$3,"")</f>
        <v/>
      </c>
      <c r="C33" s="174" t="str">
        <f t="shared" si="0"/>
        <v/>
      </c>
      <c r="D33" s="329" t="str">
        <f>IF(U33&lt;&gt;0,'ORDEN DE CUARENTENA'!$I$6,"")</f>
        <v/>
      </c>
      <c r="E33" s="174" t="str">
        <f>IF(U33&lt;&gt;0,TEXT('ORDEN DE CUARENTENA'!$I$6,"aaa"),"")</f>
        <v/>
      </c>
      <c r="F33" s="173" t="str">
        <f>IF(U33&lt;&gt;0,TEXT('ORDEN DE CUARENTENA'!$I$6,"dd"),"")</f>
        <v/>
      </c>
      <c r="G33" s="172" t="str">
        <f>IF(U33&lt;&gt;0,TEXT('ORDEN DE CUARENTENA'!$I$6,"mm"),"")</f>
        <v/>
      </c>
      <c r="H33" s="171" t="str">
        <f>IF(U33&lt;&gt;0,TEXT('ORDEN DE CUARENTENA'!$I$6,"yyyy"),"")</f>
        <v/>
      </c>
      <c r="I33" s="154" t="str">
        <f>IF(U33&lt;&gt;0,'ORDEN DE CUARENTENA'!$H$7,"")</f>
        <v/>
      </c>
      <c r="J33" s="154" t="str">
        <f>IF(U33&lt;&gt;0,'ORDEN DE CUARENTENA'!$H$9,"")</f>
        <v/>
      </c>
      <c r="K33" s="154" t="str">
        <f>IF(U33&lt;&gt;0,'ORDEN DE CUARENTENA'!$Q$9,"")</f>
        <v/>
      </c>
      <c r="L33" s="154" t="str">
        <f>IFERROR(VLOOKUP(U33,Item[],4,FALSE),IFERROR(VLOOKUP(U33,Item2[],4,FALSE),""))</f>
        <v/>
      </c>
      <c r="M33" s="154" t="str">
        <f>IFERROR(VLOOKUP(U33,Item[],5,FALSE),IFERROR(VLOOKUP(U33,Item2[],5,FALSE),""))</f>
        <v/>
      </c>
      <c r="N33" s="154" t="str">
        <f>IFERROR(VLOOKUP(W33,SuscepEARs[],2,FALSE),"")</f>
        <v/>
      </c>
      <c r="O33" s="154" t="str">
        <f>IFERROR(VLOOKUP(DatosAll[[#This Row],[ESPECIE]],CITES[],2,FALSE),"")</f>
        <v/>
      </c>
      <c r="P33" s="154">
        <f>IFERROR(VLOOKUP(T33,Hallazgo[],2,FALSE),"")</f>
        <v>0</v>
      </c>
      <c r="Q33" s="154">
        <f>IFERROR(VLOOKUP(T33,Hallazgo[],3,FALSE),"")</f>
        <v>0</v>
      </c>
      <c r="R33" s="154">
        <f>IFERROR(VLOOKUP(T33,Hallazgo[],4,FALSE),"")</f>
        <v>0</v>
      </c>
      <c r="S33" s="154">
        <f>IFERROR(VLOOKUP(T33,Hallazgo[],5,FALSE),"")</f>
        <v>0</v>
      </c>
      <c r="T33" s="154">
        <f>'Acuario (Arribado - mortalidad)'!C45</f>
        <v>0</v>
      </c>
      <c r="U33" s="154">
        <f>'Acuario (Arribado - mortalidad)'!B45</f>
        <v>0</v>
      </c>
      <c r="V33" s="154" t="str">
        <f>'Acuario (Arribado - mortalidad)'!D45</f>
        <v/>
      </c>
      <c r="W33" s="154" t="str">
        <f>'Acuario (Arribado - mortalidad)'!E45</f>
        <v/>
      </c>
      <c r="X33" s="154">
        <f>'Acuario (Arribado - mortalidad)'!F45</f>
        <v>0</v>
      </c>
      <c r="Y33" s="154">
        <f>'Acuario (Arribado - mortalidad)'!H45</f>
        <v>0</v>
      </c>
      <c r="Z33" s="154">
        <f>'Acuario (Arribado - mortalidad)'!I45</f>
        <v>0</v>
      </c>
      <c r="AA33" s="154">
        <f>'Acuario (Arribado - mortalidad)'!J45</f>
        <v>0</v>
      </c>
      <c r="AB33" s="154" t="str">
        <f>'Acuario (Arribado - mortalidad)'!K45</f>
        <v/>
      </c>
      <c r="AC33" s="334" t="str">
        <f>IFERROR(('Acuario (Arribado - mortalidad)'!K45/DatosAll[[#This Row],[N_INDIVIDUOS]])*100,"")</f>
        <v/>
      </c>
      <c r="AD33" s="334" t="str">
        <f>IFERROR(('Acuario (Arribado - mortalidad)'!O45/DatosAll[[#This Row],[N_INDIVIDUOS]])*100,"")</f>
        <v/>
      </c>
      <c r="AE33" s="334" t="str">
        <f>IFERROR(('Acuario (Arribado - mortalidad)'!BG45/DatosAll[[#This Row],[N_INDIVIDUOS]])*100,"")</f>
        <v/>
      </c>
      <c r="AF33" s="334" t="str">
        <f>IFERROR(('Acuario (Arribado - mortalidad)'!BH45/DatosAll[[#This Row],[N_INDIVIDUOS]])*100,"")</f>
        <v/>
      </c>
      <c r="AG33" s="154">
        <f>'Acuario (Arribado - mortalidad)'!M45</f>
        <v>0</v>
      </c>
      <c r="AH33" s="154" t="str">
        <f>'Acuario (Arribado - mortalidad)'!G45</f>
        <v/>
      </c>
      <c r="AI33" s="154">
        <f>'Acuario (Arribado - mortalidad)'!O45</f>
        <v>0</v>
      </c>
      <c r="AJ33" s="154">
        <f>'Acuario (Arribado - mortalidad)'!P45</f>
        <v>0</v>
      </c>
      <c r="AK33" s="154">
        <f>'Acuario (Arribado - mortalidad)'!Q45</f>
        <v>0</v>
      </c>
      <c r="AL33" s="154">
        <f>'Acuario (Arribado - mortalidad)'!R45</f>
        <v>0</v>
      </c>
      <c r="AM33" s="154">
        <f>'Acuario (Arribado - mortalidad)'!S45</f>
        <v>0</v>
      </c>
      <c r="AN33" s="154">
        <f>'Acuario (Arribado - mortalidad)'!T45</f>
        <v>0</v>
      </c>
      <c r="AO33" s="154">
        <f>'Acuario (Arribado - mortalidad)'!U45</f>
        <v>0</v>
      </c>
      <c r="AP33" s="154">
        <f>'Acuario (Arribado - mortalidad)'!V45</f>
        <v>0</v>
      </c>
      <c r="AQ33" s="154">
        <f>'Acuario (Arribado - mortalidad)'!W45</f>
        <v>0</v>
      </c>
      <c r="AR33" s="154">
        <f>'Acuario (Arribado - mortalidad)'!X45</f>
        <v>0</v>
      </c>
      <c r="AS33" s="154">
        <f>'Acuario (Arribado - mortalidad)'!Y45</f>
        <v>0</v>
      </c>
      <c r="AT33" s="154">
        <f>'Acuario (Arribado - mortalidad)'!Z45</f>
        <v>0</v>
      </c>
      <c r="AU33" s="154">
        <f>'Acuario (Arribado - mortalidad)'!AA45</f>
        <v>0</v>
      </c>
      <c r="AV33" s="154">
        <f>'Acuario (Arribado - mortalidad)'!AB45</f>
        <v>0</v>
      </c>
      <c r="AW33" s="154">
        <f>'Acuario (Arribado - mortalidad)'!AC45</f>
        <v>0</v>
      </c>
      <c r="AX33" s="154">
        <f>'Acuario (Arribado - mortalidad)'!AD45</f>
        <v>0</v>
      </c>
      <c r="AY33" s="154">
        <f>'Acuario (Arribado - mortalidad)'!AE45</f>
        <v>0</v>
      </c>
      <c r="AZ33" s="154">
        <f>'Acuario (Arribado - mortalidad)'!AF45</f>
        <v>0</v>
      </c>
      <c r="BA33" s="154">
        <f>'Acuario (Arribado - mortalidad)'!AG45</f>
        <v>0</v>
      </c>
      <c r="BB33" s="154">
        <f>'Acuario (Arribado - mortalidad)'!AH45</f>
        <v>0</v>
      </c>
      <c r="BC33" s="154">
        <f>'Acuario (Arribado - mortalidad)'!AI45</f>
        <v>0</v>
      </c>
      <c r="BD33" s="154">
        <f>'Acuario (Arribado - mortalidad)'!AJ45</f>
        <v>0</v>
      </c>
      <c r="BE33" s="154">
        <f>'Acuario (Arribado - mortalidad)'!AK45</f>
        <v>0</v>
      </c>
      <c r="BF33" s="154">
        <f>'Acuario (Arribado - mortalidad)'!AL45</f>
        <v>0</v>
      </c>
      <c r="BG33" s="154">
        <f>'Acuario (Arribado - mortalidad)'!AM45</f>
        <v>0</v>
      </c>
      <c r="BH33" s="154">
        <f>'Acuario (Arribado - mortalidad)'!AN45</f>
        <v>0</v>
      </c>
      <c r="BI33" s="154">
        <f>'Acuario (Arribado - mortalidad)'!AO45</f>
        <v>0</v>
      </c>
      <c r="BJ33" s="154">
        <f>'Acuario (Arribado - mortalidad)'!AP45</f>
        <v>0</v>
      </c>
      <c r="BK33" s="154">
        <f>'Acuario (Arribado - mortalidad)'!AQ45</f>
        <v>0</v>
      </c>
      <c r="BL33" s="154">
        <f>'Acuario (Arribado - mortalidad)'!AR45</f>
        <v>0</v>
      </c>
      <c r="BM33" s="154" t="str">
        <f>'Acuario (Arribado - mortalidad)'!AS45</f>
        <v/>
      </c>
      <c r="BN33" s="154">
        <f>'Acuario (Arribado - mortalidad)'!AT45</f>
        <v>0</v>
      </c>
      <c r="BO33" s="154">
        <f>'Acuario (Arribado - mortalidad)'!AU45</f>
        <v>0</v>
      </c>
      <c r="BP33" s="154">
        <f>'Acuario (Arribado - mortalidad)'!AV45</f>
        <v>0</v>
      </c>
      <c r="BQ33" s="154" t="str">
        <f>'Acuario (Arribado - mortalidad)'!AW45</f>
        <v/>
      </c>
      <c r="BR33" s="154">
        <f>'Acuario (Arribado - mortalidad)'!AX45</f>
        <v>0</v>
      </c>
      <c r="BS33" s="154">
        <f>'Acuario (Arribado - mortalidad)'!AY45</f>
        <v>0</v>
      </c>
      <c r="BT33" s="154" t="str">
        <f>'Acuario (Arribado - mortalidad)'!AZ45</f>
        <v/>
      </c>
      <c r="BU33" s="154" t="str">
        <f>'Acuario (Arribado - mortalidad)'!BA45</f>
        <v/>
      </c>
      <c r="BV33" s="154" t="str">
        <f>'Acuario (Arribado - mortalidad)'!BB45</f>
        <v/>
      </c>
      <c r="BW33" s="154" t="str">
        <f>'Acuario (Arribado - mortalidad)'!BC45</f>
        <v/>
      </c>
      <c r="BX33" s="154">
        <f>'Acuario (Arribado - mortalidad)'!BD45</f>
        <v>0</v>
      </c>
      <c r="BY33" s="154" t="str">
        <f>'Acuario (Arribado - mortalidad)'!BE45</f>
        <v/>
      </c>
      <c r="BZ33" s="23" t="str">
        <f>'Acuario (Arribado - mortalidad)'!BF45</f>
        <v/>
      </c>
    </row>
    <row r="34" spans="1:78" x14ac:dyDescent="0.25">
      <c r="A34" s="154" t="str">
        <f>IF(U34&lt;&gt;0,'ORDEN DE CUARENTENA'!$AE$2,"")</f>
        <v/>
      </c>
      <c r="B34" s="190" t="str">
        <f>IF(U34&lt;&gt;0,'ORDEN DE CUARENTENA'!$AE$3,"")</f>
        <v/>
      </c>
      <c r="C34" s="174" t="str">
        <f t="shared" ref="C34:C65" si="1">IF(U34&lt;&gt;0,CONCATENATE(B34,"-",TEXT(H34,"yyyy")),"")</f>
        <v/>
      </c>
      <c r="D34" s="329" t="str">
        <f>IF(U34&lt;&gt;0,'ORDEN DE CUARENTENA'!$I$6,"")</f>
        <v/>
      </c>
      <c r="E34" s="174" t="str">
        <f>IF(U34&lt;&gt;0,TEXT('ORDEN DE CUARENTENA'!$I$6,"aaa"),"")</f>
        <v/>
      </c>
      <c r="F34" s="173" t="str">
        <f>IF(U34&lt;&gt;0,TEXT('ORDEN DE CUARENTENA'!$I$6,"dd"),"")</f>
        <v/>
      </c>
      <c r="G34" s="172" t="str">
        <f>IF(U34&lt;&gt;0,TEXT('ORDEN DE CUARENTENA'!$I$6,"mm"),"")</f>
        <v/>
      </c>
      <c r="H34" s="171" t="str">
        <f>IF(U34&lt;&gt;0,TEXT('ORDEN DE CUARENTENA'!$I$6,"yyyy"),"")</f>
        <v/>
      </c>
      <c r="I34" s="154" t="str">
        <f>IF(U34&lt;&gt;0,'ORDEN DE CUARENTENA'!$H$7,"")</f>
        <v/>
      </c>
      <c r="J34" s="154" t="str">
        <f>IF(U34&lt;&gt;0,'ORDEN DE CUARENTENA'!$H$9,"")</f>
        <v/>
      </c>
      <c r="K34" s="154" t="str">
        <f>IF(U34&lt;&gt;0,'ORDEN DE CUARENTENA'!$Q$9,"")</f>
        <v/>
      </c>
      <c r="L34" s="154" t="str">
        <f>IFERROR(VLOOKUP(U34,Item[],4,FALSE),IFERROR(VLOOKUP(U34,Item2[],4,FALSE),""))</f>
        <v/>
      </c>
      <c r="M34" s="154" t="str">
        <f>IFERROR(VLOOKUP(U34,Item[],5,FALSE),IFERROR(VLOOKUP(U34,Item2[],5,FALSE),""))</f>
        <v/>
      </c>
      <c r="N34" s="154" t="str">
        <f>IFERROR(VLOOKUP(W34,SuscepEARs[],2,FALSE),"")</f>
        <v/>
      </c>
      <c r="O34" s="154" t="str">
        <f>IFERROR(VLOOKUP(DatosAll[[#This Row],[ESPECIE]],CITES[],2,FALSE),"")</f>
        <v/>
      </c>
      <c r="P34" s="154">
        <f>IFERROR(VLOOKUP(T34,Hallazgo[],2,FALSE),"")</f>
        <v>0</v>
      </c>
      <c r="Q34" s="154">
        <f>IFERROR(VLOOKUP(T34,Hallazgo[],3,FALSE),"")</f>
        <v>0</v>
      </c>
      <c r="R34" s="154">
        <f>IFERROR(VLOOKUP(T34,Hallazgo[],4,FALSE),"")</f>
        <v>0</v>
      </c>
      <c r="S34" s="154">
        <f>IFERROR(VLOOKUP(T34,Hallazgo[],5,FALSE),"")</f>
        <v>0</v>
      </c>
      <c r="T34" s="154">
        <f>'Acuario (Arribado - mortalidad)'!C46</f>
        <v>0</v>
      </c>
      <c r="U34" s="154">
        <f>'Acuario (Arribado - mortalidad)'!B46</f>
        <v>0</v>
      </c>
      <c r="V34" s="154" t="str">
        <f>'Acuario (Arribado - mortalidad)'!D46</f>
        <v/>
      </c>
      <c r="W34" s="154" t="str">
        <f>'Acuario (Arribado - mortalidad)'!E46</f>
        <v/>
      </c>
      <c r="X34" s="154">
        <f>'Acuario (Arribado - mortalidad)'!F46</f>
        <v>0</v>
      </c>
      <c r="Y34" s="154">
        <f>'Acuario (Arribado - mortalidad)'!H46</f>
        <v>0</v>
      </c>
      <c r="Z34" s="154">
        <f>'Acuario (Arribado - mortalidad)'!I46</f>
        <v>0</v>
      </c>
      <c r="AA34" s="154">
        <f>'Acuario (Arribado - mortalidad)'!J46</f>
        <v>0</v>
      </c>
      <c r="AB34" s="154" t="str">
        <f>'Acuario (Arribado - mortalidad)'!K46</f>
        <v/>
      </c>
      <c r="AC34" s="334" t="str">
        <f>IFERROR(('Acuario (Arribado - mortalidad)'!K46/DatosAll[[#This Row],[N_INDIVIDUOS]])*100,"")</f>
        <v/>
      </c>
      <c r="AD34" s="334" t="str">
        <f>IFERROR(('Acuario (Arribado - mortalidad)'!O46/DatosAll[[#This Row],[N_INDIVIDUOS]])*100,"")</f>
        <v/>
      </c>
      <c r="AE34" s="334" t="str">
        <f>IFERROR(('Acuario (Arribado - mortalidad)'!BG46/DatosAll[[#This Row],[N_INDIVIDUOS]])*100,"")</f>
        <v/>
      </c>
      <c r="AF34" s="334" t="str">
        <f>IFERROR(('Acuario (Arribado - mortalidad)'!BH46/DatosAll[[#This Row],[N_INDIVIDUOS]])*100,"")</f>
        <v/>
      </c>
      <c r="AG34" s="154">
        <f>'Acuario (Arribado - mortalidad)'!M46</f>
        <v>0</v>
      </c>
      <c r="AH34" s="154" t="str">
        <f>'Acuario (Arribado - mortalidad)'!G46</f>
        <v/>
      </c>
      <c r="AI34" s="154">
        <f>'Acuario (Arribado - mortalidad)'!O46</f>
        <v>0</v>
      </c>
      <c r="AJ34" s="154">
        <f>'Acuario (Arribado - mortalidad)'!P46</f>
        <v>0</v>
      </c>
      <c r="AK34" s="154">
        <f>'Acuario (Arribado - mortalidad)'!Q46</f>
        <v>0</v>
      </c>
      <c r="AL34" s="154">
        <f>'Acuario (Arribado - mortalidad)'!R46</f>
        <v>0</v>
      </c>
      <c r="AM34" s="154">
        <f>'Acuario (Arribado - mortalidad)'!S46</f>
        <v>0</v>
      </c>
      <c r="AN34" s="154">
        <f>'Acuario (Arribado - mortalidad)'!T46</f>
        <v>0</v>
      </c>
      <c r="AO34" s="154">
        <f>'Acuario (Arribado - mortalidad)'!U46</f>
        <v>0</v>
      </c>
      <c r="AP34" s="154">
        <f>'Acuario (Arribado - mortalidad)'!V46</f>
        <v>0</v>
      </c>
      <c r="AQ34" s="154">
        <f>'Acuario (Arribado - mortalidad)'!W46</f>
        <v>0</v>
      </c>
      <c r="AR34" s="154">
        <f>'Acuario (Arribado - mortalidad)'!X46</f>
        <v>0</v>
      </c>
      <c r="AS34" s="154">
        <f>'Acuario (Arribado - mortalidad)'!Y46</f>
        <v>0</v>
      </c>
      <c r="AT34" s="154">
        <f>'Acuario (Arribado - mortalidad)'!Z46</f>
        <v>0</v>
      </c>
      <c r="AU34" s="154">
        <f>'Acuario (Arribado - mortalidad)'!AA46</f>
        <v>0</v>
      </c>
      <c r="AV34" s="154">
        <f>'Acuario (Arribado - mortalidad)'!AB46</f>
        <v>0</v>
      </c>
      <c r="AW34" s="154">
        <f>'Acuario (Arribado - mortalidad)'!AC46</f>
        <v>0</v>
      </c>
      <c r="AX34" s="154">
        <f>'Acuario (Arribado - mortalidad)'!AD46</f>
        <v>0</v>
      </c>
      <c r="AY34" s="154">
        <f>'Acuario (Arribado - mortalidad)'!AE46</f>
        <v>0</v>
      </c>
      <c r="AZ34" s="154">
        <f>'Acuario (Arribado - mortalidad)'!AF46</f>
        <v>0</v>
      </c>
      <c r="BA34" s="154">
        <f>'Acuario (Arribado - mortalidad)'!AG46</f>
        <v>0</v>
      </c>
      <c r="BB34" s="154">
        <f>'Acuario (Arribado - mortalidad)'!AH46</f>
        <v>0</v>
      </c>
      <c r="BC34" s="154">
        <f>'Acuario (Arribado - mortalidad)'!AI46</f>
        <v>0</v>
      </c>
      <c r="BD34" s="154">
        <f>'Acuario (Arribado - mortalidad)'!AJ46</f>
        <v>0</v>
      </c>
      <c r="BE34" s="154">
        <f>'Acuario (Arribado - mortalidad)'!AK46</f>
        <v>0</v>
      </c>
      <c r="BF34" s="154">
        <f>'Acuario (Arribado - mortalidad)'!AL46</f>
        <v>0</v>
      </c>
      <c r="BG34" s="154">
        <f>'Acuario (Arribado - mortalidad)'!AM46</f>
        <v>0</v>
      </c>
      <c r="BH34" s="154">
        <f>'Acuario (Arribado - mortalidad)'!AN46</f>
        <v>0</v>
      </c>
      <c r="BI34" s="154">
        <f>'Acuario (Arribado - mortalidad)'!AO46</f>
        <v>0</v>
      </c>
      <c r="BJ34" s="154">
        <f>'Acuario (Arribado - mortalidad)'!AP46</f>
        <v>0</v>
      </c>
      <c r="BK34" s="154">
        <f>'Acuario (Arribado - mortalidad)'!AQ46</f>
        <v>0</v>
      </c>
      <c r="BL34" s="154">
        <f>'Acuario (Arribado - mortalidad)'!AR46</f>
        <v>0</v>
      </c>
      <c r="BM34" s="154" t="str">
        <f>'Acuario (Arribado - mortalidad)'!AS46</f>
        <v/>
      </c>
      <c r="BN34" s="154">
        <f>'Acuario (Arribado - mortalidad)'!AT46</f>
        <v>0</v>
      </c>
      <c r="BO34" s="154">
        <f>'Acuario (Arribado - mortalidad)'!AU46</f>
        <v>0</v>
      </c>
      <c r="BP34" s="154">
        <f>'Acuario (Arribado - mortalidad)'!AV46</f>
        <v>0</v>
      </c>
      <c r="BQ34" s="154" t="str">
        <f>'Acuario (Arribado - mortalidad)'!AW46</f>
        <v/>
      </c>
      <c r="BR34" s="154">
        <f>'Acuario (Arribado - mortalidad)'!AX46</f>
        <v>0</v>
      </c>
      <c r="BS34" s="154">
        <f>'Acuario (Arribado - mortalidad)'!AY46</f>
        <v>0</v>
      </c>
      <c r="BT34" s="154" t="str">
        <f>'Acuario (Arribado - mortalidad)'!AZ46</f>
        <v/>
      </c>
      <c r="BU34" s="154" t="str">
        <f>'Acuario (Arribado - mortalidad)'!BA46</f>
        <v/>
      </c>
      <c r="BV34" s="154" t="str">
        <f>'Acuario (Arribado - mortalidad)'!BB46</f>
        <v/>
      </c>
      <c r="BW34" s="154" t="str">
        <f>'Acuario (Arribado - mortalidad)'!BC46</f>
        <v/>
      </c>
      <c r="BX34" s="154">
        <f>'Acuario (Arribado - mortalidad)'!BD46</f>
        <v>0</v>
      </c>
      <c r="BY34" s="154" t="str">
        <f>'Acuario (Arribado - mortalidad)'!BE46</f>
        <v/>
      </c>
      <c r="BZ34" s="23" t="str">
        <f>'Acuario (Arribado - mortalidad)'!BF46</f>
        <v/>
      </c>
    </row>
    <row r="35" spans="1:78" x14ac:dyDescent="0.25">
      <c r="A35" s="154" t="str">
        <f>IF(U35&lt;&gt;0,'ORDEN DE CUARENTENA'!$AE$2,"")</f>
        <v/>
      </c>
      <c r="B35" s="190" t="str">
        <f>IF(U35&lt;&gt;0,'ORDEN DE CUARENTENA'!$AE$3,"")</f>
        <v/>
      </c>
      <c r="C35" s="174" t="str">
        <f t="shared" si="1"/>
        <v/>
      </c>
      <c r="D35" s="329" t="str">
        <f>IF(U35&lt;&gt;0,'ORDEN DE CUARENTENA'!$I$6,"")</f>
        <v/>
      </c>
      <c r="E35" s="174" t="str">
        <f>IF(U35&lt;&gt;0,TEXT('ORDEN DE CUARENTENA'!$I$6,"aaa"),"")</f>
        <v/>
      </c>
      <c r="F35" s="173" t="str">
        <f>IF(U35&lt;&gt;0,TEXT('ORDEN DE CUARENTENA'!$I$6,"dd"),"")</f>
        <v/>
      </c>
      <c r="G35" s="172" t="str">
        <f>IF(U35&lt;&gt;0,TEXT('ORDEN DE CUARENTENA'!$I$6,"mm"),"")</f>
        <v/>
      </c>
      <c r="H35" s="171" t="str">
        <f>IF(U35&lt;&gt;0,TEXT('ORDEN DE CUARENTENA'!$I$6,"yyyy"),"")</f>
        <v/>
      </c>
      <c r="I35" s="154" t="str">
        <f>IF(U35&lt;&gt;0,'ORDEN DE CUARENTENA'!$H$7,"")</f>
        <v/>
      </c>
      <c r="J35" s="154" t="str">
        <f>IF(U35&lt;&gt;0,'ORDEN DE CUARENTENA'!$H$9,"")</f>
        <v/>
      </c>
      <c r="K35" s="154" t="str">
        <f>IF(U35&lt;&gt;0,'ORDEN DE CUARENTENA'!$Q$9,"")</f>
        <v/>
      </c>
      <c r="L35" s="154" t="str">
        <f>IFERROR(VLOOKUP(U35,Item[],4,FALSE),IFERROR(VLOOKUP(U35,Item2[],4,FALSE),""))</f>
        <v/>
      </c>
      <c r="M35" s="154" t="str">
        <f>IFERROR(VLOOKUP(U35,Item[],5,FALSE),IFERROR(VLOOKUP(U35,Item2[],5,FALSE),""))</f>
        <v/>
      </c>
      <c r="N35" s="154" t="str">
        <f>IFERROR(VLOOKUP(W35,SuscepEARs[],2,FALSE),"")</f>
        <v/>
      </c>
      <c r="O35" s="154" t="str">
        <f>IFERROR(VLOOKUP(DatosAll[[#This Row],[ESPECIE]],CITES[],2,FALSE),"")</f>
        <v/>
      </c>
      <c r="P35" s="154">
        <f>IFERROR(VLOOKUP(T35,Hallazgo[],2,FALSE),"")</f>
        <v>0</v>
      </c>
      <c r="Q35" s="154">
        <f>IFERROR(VLOOKUP(T35,Hallazgo[],3,FALSE),"")</f>
        <v>0</v>
      </c>
      <c r="R35" s="154">
        <f>IFERROR(VLOOKUP(T35,Hallazgo[],4,FALSE),"")</f>
        <v>0</v>
      </c>
      <c r="S35" s="154">
        <f>IFERROR(VLOOKUP(T35,Hallazgo[],5,FALSE),"")</f>
        <v>0</v>
      </c>
      <c r="T35" s="154">
        <f>'Acuario (Arribado - mortalidad)'!C47</f>
        <v>0</v>
      </c>
      <c r="U35" s="154">
        <f>'Acuario (Arribado - mortalidad)'!B47</f>
        <v>0</v>
      </c>
      <c r="V35" s="154" t="str">
        <f>'Acuario (Arribado - mortalidad)'!D47</f>
        <v/>
      </c>
      <c r="W35" s="154" t="str">
        <f>'Acuario (Arribado - mortalidad)'!E47</f>
        <v/>
      </c>
      <c r="X35" s="154">
        <f>'Acuario (Arribado - mortalidad)'!F47</f>
        <v>0</v>
      </c>
      <c r="Y35" s="154">
        <f>'Acuario (Arribado - mortalidad)'!H47</f>
        <v>0</v>
      </c>
      <c r="Z35" s="154">
        <f>'Acuario (Arribado - mortalidad)'!I47</f>
        <v>0</v>
      </c>
      <c r="AA35" s="154">
        <f>'Acuario (Arribado - mortalidad)'!J47</f>
        <v>0</v>
      </c>
      <c r="AB35" s="154" t="str">
        <f>'Acuario (Arribado - mortalidad)'!K47</f>
        <v/>
      </c>
      <c r="AC35" s="334" t="str">
        <f>IFERROR(('Acuario (Arribado - mortalidad)'!K47/DatosAll[[#This Row],[N_INDIVIDUOS]])*100,"")</f>
        <v/>
      </c>
      <c r="AD35" s="334" t="str">
        <f>IFERROR(('Acuario (Arribado - mortalidad)'!O47/DatosAll[[#This Row],[N_INDIVIDUOS]])*100,"")</f>
        <v/>
      </c>
      <c r="AE35" s="334" t="str">
        <f>IFERROR(('Acuario (Arribado - mortalidad)'!BG47/DatosAll[[#This Row],[N_INDIVIDUOS]])*100,"")</f>
        <v/>
      </c>
      <c r="AF35" s="334" t="str">
        <f>IFERROR(('Acuario (Arribado - mortalidad)'!BH47/DatosAll[[#This Row],[N_INDIVIDUOS]])*100,"")</f>
        <v/>
      </c>
      <c r="AG35" s="154">
        <f>'Acuario (Arribado - mortalidad)'!M47</f>
        <v>0</v>
      </c>
      <c r="AH35" s="154" t="str">
        <f>'Acuario (Arribado - mortalidad)'!G47</f>
        <v/>
      </c>
      <c r="AI35" s="154">
        <f>'Acuario (Arribado - mortalidad)'!O47</f>
        <v>0</v>
      </c>
      <c r="AJ35" s="154">
        <f>'Acuario (Arribado - mortalidad)'!P47</f>
        <v>0</v>
      </c>
      <c r="AK35" s="154">
        <f>'Acuario (Arribado - mortalidad)'!Q47</f>
        <v>0</v>
      </c>
      <c r="AL35" s="154">
        <f>'Acuario (Arribado - mortalidad)'!R47</f>
        <v>0</v>
      </c>
      <c r="AM35" s="154">
        <f>'Acuario (Arribado - mortalidad)'!S47</f>
        <v>0</v>
      </c>
      <c r="AN35" s="154">
        <f>'Acuario (Arribado - mortalidad)'!T47</f>
        <v>0</v>
      </c>
      <c r="AO35" s="154">
        <f>'Acuario (Arribado - mortalidad)'!U47</f>
        <v>0</v>
      </c>
      <c r="AP35" s="154">
        <f>'Acuario (Arribado - mortalidad)'!V47</f>
        <v>0</v>
      </c>
      <c r="AQ35" s="154">
        <f>'Acuario (Arribado - mortalidad)'!W47</f>
        <v>0</v>
      </c>
      <c r="AR35" s="154">
        <f>'Acuario (Arribado - mortalidad)'!X47</f>
        <v>0</v>
      </c>
      <c r="AS35" s="154">
        <f>'Acuario (Arribado - mortalidad)'!Y47</f>
        <v>0</v>
      </c>
      <c r="AT35" s="154">
        <f>'Acuario (Arribado - mortalidad)'!Z47</f>
        <v>0</v>
      </c>
      <c r="AU35" s="154">
        <f>'Acuario (Arribado - mortalidad)'!AA47</f>
        <v>0</v>
      </c>
      <c r="AV35" s="154">
        <f>'Acuario (Arribado - mortalidad)'!AB47</f>
        <v>0</v>
      </c>
      <c r="AW35" s="154">
        <f>'Acuario (Arribado - mortalidad)'!AC47</f>
        <v>0</v>
      </c>
      <c r="AX35" s="154">
        <f>'Acuario (Arribado - mortalidad)'!AD47</f>
        <v>0</v>
      </c>
      <c r="AY35" s="154">
        <f>'Acuario (Arribado - mortalidad)'!AE47</f>
        <v>0</v>
      </c>
      <c r="AZ35" s="154">
        <f>'Acuario (Arribado - mortalidad)'!AF47</f>
        <v>0</v>
      </c>
      <c r="BA35" s="154">
        <f>'Acuario (Arribado - mortalidad)'!AG47</f>
        <v>0</v>
      </c>
      <c r="BB35" s="154">
        <f>'Acuario (Arribado - mortalidad)'!AH47</f>
        <v>0</v>
      </c>
      <c r="BC35" s="154">
        <f>'Acuario (Arribado - mortalidad)'!AI47</f>
        <v>0</v>
      </c>
      <c r="BD35" s="154">
        <f>'Acuario (Arribado - mortalidad)'!AJ47</f>
        <v>0</v>
      </c>
      <c r="BE35" s="154">
        <f>'Acuario (Arribado - mortalidad)'!AK47</f>
        <v>0</v>
      </c>
      <c r="BF35" s="154">
        <f>'Acuario (Arribado - mortalidad)'!AL47</f>
        <v>0</v>
      </c>
      <c r="BG35" s="154">
        <f>'Acuario (Arribado - mortalidad)'!AM47</f>
        <v>0</v>
      </c>
      <c r="BH35" s="154">
        <f>'Acuario (Arribado - mortalidad)'!AN47</f>
        <v>0</v>
      </c>
      <c r="BI35" s="154">
        <f>'Acuario (Arribado - mortalidad)'!AO47</f>
        <v>0</v>
      </c>
      <c r="BJ35" s="154">
        <f>'Acuario (Arribado - mortalidad)'!AP47</f>
        <v>0</v>
      </c>
      <c r="BK35" s="154">
        <f>'Acuario (Arribado - mortalidad)'!AQ47</f>
        <v>0</v>
      </c>
      <c r="BL35" s="154">
        <f>'Acuario (Arribado - mortalidad)'!AR47</f>
        <v>0</v>
      </c>
      <c r="BM35" s="154" t="str">
        <f>'Acuario (Arribado - mortalidad)'!AS47</f>
        <v/>
      </c>
      <c r="BN35" s="154">
        <f>'Acuario (Arribado - mortalidad)'!AT47</f>
        <v>0</v>
      </c>
      <c r="BO35" s="154">
        <f>'Acuario (Arribado - mortalidad)'!AU47</f>
        <v>0</v>
      </c>
      <c r="BP35" s="154">
        <f>'Acuario (Arribado - mortalidad)'!AV47</f>
        <v>0</v>
      </c>
      <c r="BQ35" s="154" t="str">
        <f>'Acuario (Arribado - mortalidad)'!AW47</f>
        <v/>
      </c>
      <c r="BR35" s="154">
        <f>'Acuario (Arribado - mortalidad)'!AX47</f>
        <v>0</v>
      </c>
      <c r="BS35" s="154">
        <f>'Acuario (Arribado - mortalidad)'!AY47</f>
        <v>0</v>
      </c>
      <c r="BT35" s="154" t="str">
        <f>'Acuario (Arribado - mortalidad)'!AZ47</f>
        <v/>
      </c>
      <c r="BU35" s="154" t="str">
        <f>'Acuario (Arribado - mortalidad)'!BA47</f>
        <v/>
      </c>
      <c r="BV35" s="154" t="str">
        <f>'Acuario (Arribado - mortalidad)'!BB47</f>
        <v/>
      </c>
      <c r="BW35" s="154" t="str">
        <f>'Acuario (Arribado - mortalidad)'!BC47</f>
        <v/>
      </c>
      <c r="BX35" s="154">
        <f>'Acuario (Arribado - mortalidad)'!BD47</f>
        <v>0</v>
      </c>
      <c r="BY35" s="154" t="str">
        <f>'Acuario (Arribado - mortalidad)'!BE47</f>
        <v/>
      </c>
      <c r="BZ35" s="23" t="str">
        <f>'Acuario (Arribado - mortalidad)'!BF47</f>
        <v/>
      </c>
    </row>
    <row r="36" spans="1:78" x14ac:dyDescent="0.25">
      <c r="A36" s="154" t="str">
        <f>IF(U36&lt;&gt;0,'ORDEN DE CUARENTENA'!$AE$2,"")</f>
        <v/>
      </c>
      <c r="B36" s="190" t="str">
        <f>IF(U36&lt;&gt;0,'ORDEN DE CUARENTENA'!$AE$3,"")</f>
        <v/>
      </c>
      <c r="C36" s="174" t="str">
        <f t="shared" si="1"/>
        <v/>
      </c>
      <c r="D36" s="329" t="str">
        <f>IF(U36&lt;&gt;0,'ORDEN DE CUARENTENA'!$I$6,"")</f>
        <v/>
      </c>
      <c r="E36" s="174" t="str">
        <f>IF(U36&lt;&gt;0,TEXT('ORDEN DE CUARENTENA'!$I$6,"aaa"),"")</f>
        <v/>
      </c>
      <c r="F36" s="173" t="str">
        <f>IF(U36&lt;&gt;0,TEXT('ORDEN DE CUARENTENA'!$I$6,"dd"),"")</f>
        <v/>
      </c>
      <c r="G36" s="172" t="str">
        <f>IF(U36&lt;&gt;0,TEXT('ORDEN DE CUARENTENA'!$I$6,"mm"),"")</f>
        <v/>
      </c>
      <c r="H36" s="171" t="str">
        <f>IF(U36&lt;&gt;0,TEXT('ORDEN DE CUARENTENA'!$I$6,"yyyy"),"")</f>
        <v/>
      </c>
      <c r="I36" s="154" t="str">
        <f>IF(U36&lt;&gt;0,'ORDEN DE CUARENTENA'!$H$7,"")</f>
        <v/>
      </c>
      <c r="J36" s="154" t="str">
        <f>IF(U36&lt;&gt;0,'ORDEN DE CUARENTENA'!$H$9,"")</f>
        <v/>
      </c>
      <c r="K36" s="154" t="str">
        <f>IF(U36&lt;&gt;0,'ORDEN DE CUARENTENA'!$Q$9,"")</f>
        <v/>
      </c>
      <c r="L36" s="154" t="str">
        <f>IFERROR(VLOOKUP(U36,Item[],4,FALSE),IFERROR(VLOOKUP(U36,Item2[],4,FALSE),""))</f>
        <v/>
      </c>
      <c r="M36" s="154" t="str">
        <f>IFERROR(VLOOKUP(U36,Item[],5,FALSE),IFERROR(VLOOKUP(U36,Item2[],5,FALSE),""))</f>
        <v/>
      </c>
      <c r="N36" s="154" t="str">
        <f>IFERROR(VLOOKUP(W36,SuscepEARs[],2,FALSE),"")</f>
        <v/>
      </c>
      <c r="O36" s="154" t="str">
        <f>IFERROR(VLOOKUP(DatosAll[[#This Row],[ESPECIE]],CITES[],2,FALSE),"")</f>
        <v/>
      </c>
      <c r="P36" s="154">
        <f>IFERROR(VLOOKUP(T36,Hallazgo[],2,FALSE),"")</f>
        <v>0</v>
      </c>
      <c r="Q36" s="154">
        <f>IFERROR(VLOOKUP(T36,Hallazgo[],3,FALSE),"")</f>
        <v>0</v>
      </c>
      <c r="R36" s="154">
        <f>IFERROR(VLOOKUP(T36,Hallazgo[],4,FALSE),"")</f>
        <v>0</v>
      </c>
      <c r="S36" s="154">
        <f>IFERROR(VLOOKUP(T36,Hallazgo[],5,FALSE),"")</f>
        <v>0</v>
      </c>
      <c r="T36" s="154">
        <f>'Acuario (Arribado - mortalidad)'!C48</f>
        <v>0</v>
      </c>
      <c r="U36" s="154">
        <f>'Acuario (Arribado - mortalidad)'!B48</f>
        <v>0</v>
      </c>
      <c r="V36" s="154" t="str">
        <f>'Acuario (Arribado - mortalidad)'!D48</f>
        <v/>
      </c>
      <c r="W36" s="154" t="str">
        <f>'Acuario (Arribado - mortalidad)'!E48</f>
        <v/>
      </c>
      <c r="X36" s="154">
        <f>'Acuario (Arribado - mortalidad)'!F48</f>
        <v>0</v>
      </c>
      <c r="Y36" s="154">
        <f>'Acuario (Arribado - mortalidad)'!H48</f>
        <v>0</v>
      </c>
      <c r="Z36" s="154">
        <f>'Acuario (Arribado - mortalidad)'!I48</f>
        <v>0</v>
      </c>
      <c r="AA36" s="154">
        <f>'Acuario (Arribado - mortalidad)'!J48</f>
        <v>0</v>
      </c>
      <c r="AB36" s="154" t="str">
        <f>'Acuario (Arribado - mortalidad)'!K48</f>
        <v/>
      </c>
      <c r="AC36" s="334" t="str">
        <f>IFERROR(('Acuario (Arribado - mortalidad)'!K48/DatosAll[[#This Row],[N_INDIVIDUOS]])*100,"")</f>
        <v/>
      </c>
      <c r="AD36" s="334" t="str">
        <f>IFERROR(('Acuario (Arribado - mortalidad)'!O48/DatosAll[[#This Row],[N_INDIVIDUOS]])*100,"")</f>
        <v/>
      </c>
      <c r="AE36" s="334" t="str">
        <f>IFERROR(('Acuario (Arribado - mortalidad)'!BG48/DatosAll[[#This Row],[N_INDIVIDUOS]])*100,"")</f>
        <v/>
      </c>
      <c r="AF36" s="334" t="str">
        <f>IFERROR(('Acuario (Arribado - mortalidad)'!BH48/DatosAll[[#This Row],[N_INDIVIDUOS]])*100,"")</f>
        <v/>
      </c>
      <c r="AG36" s="154">
        <f>'Acuario (Arribado - mortalidad)'!M48</f>
        <v>0</v>
      </c>
      <c r="AH36" s="154" t="str">
        <f>'Acuario (Arribado - mortalidad)'!G48</f>
        <v/>
      </c>
      <c r="AI36" s="154">
        <f>'Acuario (Arribado - mortalidad)'!O48</f>
        <v>0</v>
      </c>
      <c r="AJ36" s="154">
        <f>'Acuario (Arribado - mortalidad)'!P48</f>
        <v>0</v>
      </c>
      <c r="AK36" s="154">
        <f>'Acuario (Arribado - mortalidad)'!Q48</f>
        <v>0</v>
      </c>
      <c r="AL36" s="154">
        <f>'Acuario (Arribado - mortalidad)'!R48</f>
        <v>0</v>
      </c>
      <c r="AM36" s="154">
        <f>'Acuario (Arribado - mortalidad)'!S48</f>
        <v>0</v>
      </c>
      <c r="AN36" s="154">
        <f>'Acuario (Arribado - mortalidad)'!T48</f>
        <v>0</v>
      </c>
      <c r="AO36" s="154">
        <f>'Acuario (Arribado - mortalidad)'!U48</f>
        <v>0</v>
      </c>
      <c r="AP36" s="154">
        <f>'Acuario (Arribado - mortalidad)'!V48</f>
        <v>0</v>
      </c>
      <c r="AQ36" s="154">
        <f>'Acuario (Arribado - mortalidad)'!W48</f>
        <v>0</v>
      </c>
      <c r="AR36" s="154">
        <f>'Acuario (Arribado - mortalidad)'!X48</f>
        <v>0</v>
      </c>
      <c r="AS36" s="154">
        <f>'Acuario (Arribado - mortalidad)'!Y48</f>
        <v>0</v>
      </c>
      <c r="AT36" s="154">
        <f>'Acuario (Arribado - mortalidad)'!Z48</f>
        <v>0</v>
      </c>
      <c r="AU36" s="154">
        <f>'Acuario (Arribado - mortalidad)'!AA48</f>
        <v>0</v>
      </c>
      <c r="AV36" s="154">
        <f>'Acuario (Arribado - mortalidad)'!AB48</f>
        <v>0</v>
      </c>
      <c r="AW36" s="154">
        <f>'Acuario (Arribado - mortalidad)'!AC48</f>
        <v>0</v>
      </c>
      <c r="AX36" s="154">
        <f>'Acuario (Arribado - mortalidad)'!AD48</f>
        <v>0</v>
      </c>
      <c r="AY36" s="154">
        <f>'Acuario (Arribado - mortalidad)'!AE48</f>
        <v>0</v>
      </c>
      <c r="AZ36" s="154">
        <f>'Acuario (Arribado - mortalidad)'!AF48</f>
        <v>0</v>
      </c>
      <c r="BA36" s="154">
        <f>'Acuario (Arribado - mortalidad)'!AG48</f>
        <v>0</v>
      </c>
      <c r="BB36" s="154">
        <f>'Acuario (Arribado - mortalidad)'!AH48</f>
        <v>0</v>
      </c>
      <c r="BC36" s="154">
        <f>'Acuario (Arribado - mortalidad)'!AI48</f>
        <v>0</v>
      </c>
      <c r="BD36" s="154">
        <f>'Acuario (Arribado - mortalidad)'!AJ48</f>
        <v>0</v>
      </c>
      <c r="BE36" s="154">
        <f>'Acuario (Arribado - mortalidad)'!AK48</f>
        <v>0</v>
      </c>
      <c r="BF36" s="154">
        <f>'Acuario (Arribado - mortalidad)'!AL48</f>
        <v>0</v>
      </c>
      <c r="BG36" s="154">
        <f>'Acuario (Arribado - mortalidad)'!AM48</f>
        <v>0</v>
      </c>
      <c r="BH36" s="154">
        <f>'Acuario (Arribado - mortalidad)'!AN48</f>
        <v>0</v>
      </c>
      <c r="BI36" s="154">
        <f>'Acuario (Arribado - mortalidad)'!AO48</f>
        <v>0</v>
      </c>
      <c r="BJ36" s="154">
        <f>'Acuario (Arribado - mortalidad)'!AP48</f>
        <v>0</v>
      </c>
      <c r="BK36" s="154">
        <f>'Acuario (Arribado - mortalidad)'!AQ48</f>
        <v>0</v>
      </c>
      <c r="BL36" s="154">
        <f>'Acuario (Arribado - mortalidad)'!AR48</f>
        <v>0</v>
      </c>
      <c r="BM36" s="154" t="str">
        <f>'Acuario (Arribado - mortalidad)'!AS48</f>
        <v/>
      </c>
      <c r="BN36" s="154">
        <f>'Acuario (Arribado - mortalidad)'!AT48</f>
        <v>0</v>
      </c>
      <c r="BO36" s="154">
        <f>'Acuario (Arribado - mortalidad)'!AU48</f>
        <v>0</v>
      </c>
      <c r="BP36" s="154">
        <f>'Acuario (Arribado - mortalidad)'!AV48</f>
        <v>0</v>
      </c>
      <c r="BQ36" s="154" t="str">
        <f>'Acuario (Arribado - mortalidad)'!AW48</f>
        <v/>
      </c>
      <c r="BR36" s="154">
        <f>'Acuario (Arribado - mortalidad)'!AX48</f>
        <v>0</v>
      </c>
      <c r="BS36" s="154">
        <f>'Acuario (Arribado - mortalidad)'!AY48</f>
        <v>0</v>
      </c>
      <c r="BT36" s="154" t="str">
        <f>'Acuario (Arribado - mortalidad)'!AZ48</f>
        <v/>
      </c>
      <c r="BU36" s="154" t="str">
        <f>'Acuario (Arribado - mortalidad)'!BA48</f>
        <v/>
      </c>
      <c r="BV36" s="154" t="str">
        <f>'Acuario (Arribado - mortalidad)'!BB48</f>
        <v/>
      </c>
      <c r="BW36" s="154" t="str">
        <f>'Acuario (Arribado - mortalidad)'!BC48</f>
        <v/>
      </c>
      <c r="BX36" s="154">
        <f>'Acuario (Arribado - mortalidad)'!BD48</f>
        <v>0</v>
      </c>
      <c r="BY36" s="154" t="str">
        <f>'Acuario (Arribado - mortalidad)'!BE48</f>
        <v/>
      </c>
      <c r="BZ36" s="23" t="str">
        <f>'Acuario (Arribado - mortalidad)'!BF48</f>
        <v/>
      </c>
    </row>
    <row r="37" spans="1:78" x14ac:dyDescent="0.25">
      <c r="A37" s="154" t="str">
        <f>IF(U37&lt;&gt;0,'ORDEN DE CUARENTENA'!$AE$2,"")</f>
        <v/>
      </c>
      <c r="B37" s="190" t="str">
        <f>IF(U37&lt;&gt;0,'ORDEN DE CUARENTENA'!$AE$3,"")</f>
        <v/>
      </c>
      <c r="C37" s="174" t="str">
        <f t="shared" si="1"/>
        <v/>
      </c>
      <c r="D37" s="329" t="str">
        <f>IF(U37&lt;&gt;0,'ORDEN DE CUARENTENA'!$I$6,"")</f>
        <v/>
      </c>
      <c r="E37" s="174" t="str">
        <f>IF(U37&lt;&gt;0,TEXT('ORDEN DE CUARENTENA'!$I$6,"aaa"),"")</f>
        <v/>
      </c>
      <c r="F37" s="173" t="str">
        <f>IF(U37&lt;&gt;0,TEXT('ORDEN DE CUARENTENA'!$I$6,"dd"),"")</f>
        <v/>
      </c>
      <c r="G37" s="172" t="str">
        <f>IF(U37&lt;&gt;0,TEXT('ORDEN DE CUARENTENA'!$I$6,"mm"),"")</f>
        <v/>
      </c>
      <c r="H37" s="171" t="str">
        <f>IF(U37&lt;&gt;0,TEXT('ORDEN DE CUARENTENA'!$I$6,"yyyy"),"")</f>
        <v/>
      </c>
      <c r="I37" s="154" t="str">
        <f>IF(U37&lt;&gt;0,'ORDEN DE CUARENTENA'!$H$7,"")</f>
        <v/>
      </c>
      <c r="J37" s="154" t="str">
        <f>IF(U37&lt;&gt;0,'ORDEN DE CUARENTENA'!$H$9,"")</f>
        <v/>
      </c>
      <c r="K37" s="154" t="str">
        <f>IF(U37&lt;&gt;0,'ORDEN DE CUARENTENA'!$Q$9,"")</f>
        <v/>
      </c>
      <c r="L37" s="154" t="str">
        <f>IFERROR(VLOOKUP(U37,Item[],4,FALSE),IFERROR(VLOOKUP(U37,Item2[],4,FALSE),""))</f>
        <v/>
      </c>
      <c r="M37" s="154" t="str">
        <f>IFERROR(VLOOKUP(U37,Item[],5,FALSE),IFERROR(VLOOKUP(U37,Item2[],5,FALSE),""))</f>
        <v/>
      </c>
      <c r="N37" s="154" t="str">
        <f>IFERROR(VLOOKUP(W37,SuscepEARs[],2,FALSE),"")</f>
        <v/>
      </c>
      <c r="O37" s="154" t="str">
        <f>IFERROR(VLOOKUP(DatosAll[[#This Row],[ESPECIE]],CITES[],2,FALSE),"")</f>
        <v/>
      </c>
      <c r="P37" s="154">
        <f>IFERROR(VLOOKUP(T37,Hallazgo[],2,FALSE),"")</f>
        <v>0</v>
      </c>
      <c r="Q37" s="154">
        <f>IFERROR(VLOOKUP(T37,Hallazgo[],3,FALSE),"")</f>
        <v>0</v>
      </c>
      <c r="R37" s="154">
        <f>IFERROR(VLOOKUP(T37,Hallazgo[],4,FALSE),"")</f>
        <v>0</v>
      </c>
      <c r="S37" s="154">
        <f>IFERROR(VLOOKUP(T37,Hallazgo[],5,FALSE),"")</f>
        <v>0</v>
      </c>
      <c r="T37" s="154">
        <f>'Acuario (Arribado - mortalidad)'!C49</f>
        <v>0</v>
      </c>
      <c r="U37" s="154">
        <f>'Acuario (Arribado - mortalidad)'!B49</f>
        <v>0</v>
      </c>
      <c r="V37" s="154" t="str">
        <f>'Acuario (Arribado - mortalidad)'!D49</f>
        <v/>
      </c>
      <c r="W37" s="154" t="str">
        <f>'Acuario (Arribado - mortalidad)'!E49</f>
        <v/>
      </c>
      <c r="X37" s="154">
        <f>'Acuario (Arribado - mortalidad)'!F49</f>
        <v>0</v>
      </c>
      <c r="Y37" s="154">
        <f>'Acuario (Arribado - mortalidad)'!H49</f>
        <v>0</v>
      </c>
      <c r="Z37" s="154">
        <f>'Acuario (Arribado - mortalidad)'!I49</f>
        <v>0</v>
      </c>
      <c r="AA37" s="154">
        <f>'Acuario (Arribado - mortalidad)'!J49</f>
        <v>0</v>
      </c>
      <c r="AB37" s="154" t="str">
        <f>'Acuario (Arribado - mortalidad)'!K49</f>
        <v/>
      </c>
      <c r="AC37" s="334" t="str">
        <f>IFERROR(('Acuario (Arribado - mortalidad)'!K49/DatosAll[[#This Row],[N_INDIVIDUOS]])*100,"")</f>
        <v/>
      </c>
      <c r="AD37" s="334" t="str">
        <f>IFERROR(('Acuario (Arribado - mortalidad)'!O49/DatosAll[[#This Row],[N_INDIVIDUOS]])*100,"")</f>
        <v/>
      </c>
      <c r="AE37" s="334" t="str">
        <f>IFERROR(('Acuario (Arribado - mortalidad)'!BG49/DatosAll[[#This Row],[N_INDIVIDUOS]])*100,"")</f>
        <v/>
      </c>
      <c r="AF37" s="334" t="str">
        <f>IFERROR(('Acuario (Arribado - mortalidad)'!BH49/DatosAll[[#This Row],[N_INDIVIDUOS]])*100,"")</f>
        <v/>
      </c>
      <c r="AG37" s="154">
        <f>'Acuario (Arribado - mortalidad)'!M49</f>
        <v>0</v>
      </c>
      <c r="AH37" s="154" t="str">
        <f>'Acuario (Arribado - mortalidad)'!G49</f>
        <v/>
      </c>
      <c r="AI37" s="154">
        <f>'Acuario (Arribado - mortalidad)'!O49</f>
        <v>0</v>
      </c>
      <c r="AJ37" s="154">
        <f>'Acuario (Arribado - mortalidad)'!P49</f>
        <v>0</v>
      </c>
      <c r="AK37" s="154">
        <f>'Acuario (Arribado - mortalidad)'!Q49</f>
        <v>0</v>
      </c>
      <c r="AL37" s="154">
        <f>'Acuario (Arribado - mortalidad)'!R49</f>
        <v>0</v>
      </c>
      <c r="AM37" s="154">
        <f>'Acuario (Arribado - mortalidad)'!S49</f>
        <v>0</v>
      </c>
      <c r="AN37" s="154">
        <f>'Acuario (Arribado - mortalidad)'!T49</f>
        <v>0</v>
      </c>
      <c r="AO37" s="154">
        <f>'Acuario (Arribado - mortalidad)'!U49</f>
        <v>0</v>
      </c>
      <c r="AP37" s="154">
        <f>'Acuario (Arribado - mortalidad)'!V49</f>
        <v>0</v>
      </c>
      <c r="AQ37" s="154">
        <f>'Acuario (Arribado - mortalidad)'!W49</f>
        <v>0</v>
      </c>
      <c r="AR37" s="154">
        <f>'Acuario (Arribado - mortalidad)'!X49</f>
        <v>0</v>
      </c>
      <c r="AS37" s="154">
        <f>'Acuario (Arribado - mortalidad)'!Y49</f>
        <v>0</v>
      </c>
      <c r="AT37" s="154">
        <f>'Acuario (Arribado - mortalidad)'!Z49</f>
        <v>0</v>
      </c>
      <c r="AU37" s="154">
        <f>'Acuario (Arribado - mortalidad)'!AA49</f>
        <v>0</v>
      </c>
      <c r="AV37" s="154">
        <f>'Acuario (Arribado - mortalidad)'!AB49</f>
        <v>0</v>
      </c>
      <c r="AW37" s="154">
        <f>'Acuario (Arribado - mortalidad)'!AC49</f>
        <v>0</v>
      </c>
      <c r="AX37" s="154">
        <f>'Acuario (Arribado - mortalidad)'!AD49</f>
        <v>0</v>
      </c>
      <c r="AY37" s="154">
        <f>'Acuario (Arribado - mortalidad)'!AE49</f>
        <v>0</v>
      </c>
      <c r="AZ37" s="154">
        <f>'Acuario (Arribado - mortalidad)'!AF49</f>
        <v>0</v>
      </c>
      <c r="BA37" s="154">
        <f>'Acuario (Arribado - mortalidad)'!AG49</f>
        <v>0</v>
      </c>
      <c r="BB37" s="154">
        <f>'Acuario (Arribado - mortalidad)'!AH49</f>
        <v>0</v>
      </c>
      <c r="BC37" s="154">
        <f>'Acuario (Arribado - mortalidad)'!AI49</f>
        <v>0</v>
      </c>
      <c r="BD37" s="154">
        <f>'Acuario (Arribado - mortalidad)'!AJ49</f>
        <v>0</v>
      </c>
      <c r="BE37" s="154">
        <f>'Acuario (Arribado - mortalidad)'!AK49</f>
        <v>0</v>
      </c>
      <c r="BF37" s="154">
        <f>'Acuario (Arribado - mortalidad)'!AL49</f>
        <v>0</v>
      </c>
      <c r="BG37" s="154">
        <f>'Acuario (Arribado - mortalidad)'!AM49</f>
        <v>0</v>
      </c>
      <c r="BH37" s="154">
        <f>'Acuario (Arribado - mortalidad)'!AN49</f>
        <v>0</v>
      </c>
      <c r="BI37" s="154">
        <f>'Acuario (Arribado - mortalidad)'!AO49</f>
        <v>0</v>
      </c>
      <c r="BJ37" s="154">
        <f>'Acuario (Arribado - mortalidad)'!AP49</f>
        <v>0</v>
      </c>
      <c r="BK37" s="154">
        <f>'Acuario (Arribado - mortalidad)'!AQ49</f>
        <v>0</v>
      </c>
      <c r="BL37" s="154">
        <f>'Acuario (Arribado - mortalidad)'!AR49</f>
        <v>0</v>
      </c>
      <c r="BM37" s="154" t="str">
        <f>'Acuario (Arribado - mortalidad)'!AS49</f>
        <v/>
      </c>
      <c r="BN37" s="154">
        <f>'Acuario (Arribado - mortalidad)'!AT49</f>
        <v>0</v>
      </c>
      <c r="BO37" s="154">
        <f>'Acuario (Arribado - mortalidad)'!AU49</f>
        <v>0</v>
      </c>
      <c r="BP37" s="154">
        <f>'Acuario (Arribado - mortalidad)'!AV49</f>
        <v>0</v>
      </c>
      <c r="BQ37" s="154" t="str">
        <f>'Acuario (Arribado - mortalidad)'!AW49</f>
        <v/>
      </c>
      <c r="BR37" s="154">
        <f>'Acuario (Arribado - mortalidad)'!AX49</f>
        <v>0</v>
      </c>
      <c r="BS37" s="154">
        <f>'Acuario (Arribado - mortalidad)'!AY49</f>
        <v>0</v>
      </c>
      <c r="BT37" s="154" t="str">
        <f>'Acuario (Arribado - mortalidad)'!AZ49</f>
        <v/>
      </c>
      <c r="BU37" s="154" t="str">
        <f>'Acuario (Arribado - mortalidad)'!BA49</f>
        <v/>
      </c>
      <c r="BV37" s="154" t="str">
        <f>'Acuario (Arribado - mortalidad)'!BB49</f>
        <v/>
      </c>
      <c r="BW37" s="154" t="str">
        <f>'Acuario (Arribado - mortalidad)'!BC49</f>
        <v/>
      </c>
      <c r="BX37" s="154">
        <f>'Acuario (Arribado - mortalidad)'!BD49</f>
        <v>0</v>
      </c>
      <c r="BY37" s="154" t="str">
        <f>'Acuario (Arribado - mortalidad)'!BE49</f>
        <v/>
      </c>
      <c r="BZ37" s="23" t="str">
        <f>'Acuario (Arribado - mortalidad)'!BF49</f>
        <v/>
      </c>
    </row>
    <row r="38" spans="1:78" x14ac:dyDescent="0.25">
      <c r="A38" s="154" t="str">
        <f>IF(U38&lt;&gt;0,'ORDEN DE CUARENTENA'!$AE$2,"")</f>
        <v/>
      </c>
      <c r="B38" s="190" t="str">
        <f>IF(U38&lt;&gt;0,'ORDEN DE CUARENTENA'!$AE$3,"")</f>
        <v/>
      </c>
      <c r="C38" s="174" t="str">
        <f t="shared" si="1"/>
        <v/>
      </c>
      <c r="D38" s="329" t="str">
        <f>IF(U38&lt;&gt;0,'ORDEN DE CUARENTENA'!$I$6,"")</f>
        <v/>
      </c>
      <c r="E38" s="174" t="str">
        <f>IF(U38&lt;&gt;0,TEXT('ORDEN DE CUARENTENA'!$I$6,"aaa"),"")</f>
        <v/>
      </c>
      <c r="F38" s="173" t="str">
        <f>IF(U38&lt;&gt;0,TEXT('ORDEN DE CUARENTENA'!$I$6,"dd"),"")</f>
        <v/>
      </c>
      <c r="G38" s="172" t="str">
        <f>IF(U38&lt;&gt;0,TEXT('ORDEN DE CUARENTENA'!$I$6,"mm"),"")</f>
        <v/>
      </c>
      <c r="H38" s="171" t="str">
        <f>IF(U38&lt;&gt;0,TEXT('ORDEN DE CUARENTENA'!$I$6,"yyyy"),"")</f>
        <v/>
      </c>
      <c r="I38" s="154" t="str">
        <f>IF(U38&lt;&gt;0,'ORDEN DE CUARENTENA'!$H$7,"")</f>
        <v/>
      </c>
      <c r="J38" s="154" t="str">
        <f>IF(U38&lt;&gt;0,'ORDEN DE CUARENTENA'!$H$9,"")</f>
        <v/>
      </c>
      <c r="K38" s="154" t="str">
        <f>IF(U38&lt;&gt;0,'ORDEN DE CUARENTENA'!$Q$9,"")</f>
        <v/>
      </c>
      <c r="L38" s="154" t="str">
        <f>IFERROR(VLOOKUP(U38,Item[],4,FALSE),IFERROR(VLOOKUP(U38,Item2[],4,FALSE),""))</f>
        <v/>
      </c>
      <c r="M38" s="154" t="str">
        <f>IFERROR(VLOOKUP(U38,Item[],5,FALSE),IFERROR(VLOOKUP(U38,Item2[],5,FALSE),""))</f>
        <v/>
      </c>
      <c r="N38" s="154" t="str">
        <f>IFERROR(VLOOKUP(W38,SuscepEARs[],2,FALSE),"")</f>
        <v/>
      </c>
      <c r="O38" s="154" t="str">
        <f>IFERROR(VLOOKUP(DatosAll[[#This Row],[ESPECIE]],CITES[],2,FALSE),"")</f>
        <v/>
      </c>
      <c r="P38" s="154">
        <f>IFERROR(VLOOKUP(T38,Hallazgo[],2,FALSE),"")</f>
        <v>0</v>
      </c>
      <c r="Q38" s="154">
        <f>IFERROR(VLOOKUP(T38,Hallazgo[],3,FALSE),"")</f>
        <v>0</v>
      </c>
      <c r="R38" s="154">
        <f>IFERROR(VLOOKUP(T38,Hallazgo[],4,FALSE),"")</f>
        <v>0</v>
      </c>
      <c r="S38" s="154">
        <f>IFERROR(VLOOKUP(T38,Hallazgo[],5,FALSE),"")</f>
        <v>0</v>
      </c>
      <c r="T38" s="154">
        <f>'Acuario (Arribado - mortalidad)'!C50</f>
        <v>0</v>
      </c>
      <c r="U38" s="154">
        <f>'Acuario (Arribado - mortalidad)'!B50</f>
        <v>0</v>
      </c>
      <c r="V38" s="154" t="str">
        <f>'Acuario (Arribado - mortalidad)'!D50</f>
        <v/>
      </c>
      <c r="W38" s="154" t="str">
        <f>'Acuario (Arribado - mortalidad)'!E50</f>
        <v/>
      </c>
      <c r="X38" s="154">
        <f>'Acuario (Arribado - mortalidad)'!F50</f>
        <v>0</v>
      </c>
      <c r="Y38" s="154">
        <f>'Acuario (Arribado - mortalidad)'!H50</f>
        <v>0</v>
      </c>
      <c r="Z38" s="154">
        <f>'Acuario (Arribado - mortalidad)'!I50</f>
        <v>0</v>
      </c>
      <c r="AA38" s="154">
        <f>'Acuario (Arribado - mortalidad)'!J50</f>
        <v>0</v>
      </c>
      <c r="AB38" s="154" t="str">
        <f>'Acuario (Arribado - mortalidad)'!K50</f>
        <v/>
      </c>
      <c r="AC38" s="334" t="str">
        <f>IFERROR(('Acuario (Arribado - mortalidad)'!K50/DatosAll[[#This Row],[N_INDIVIDUOS]])*100,"")</f>
        <v/>
      </c>
      <c r="AD38" s="334" t="str">
        <f>IFERROR(('Acuario (Arribado - mortalidad)'!O50/DatosAll[[#This Row],[N_INDIVIDUOS]])*100,"")</f>
        <v/>
      </c>
      <c r="AE38" s="334" t="str">
        <f>IFERROR(('Acuario (Arribado - mortalidad)'!BG50/DatosAll[[#This Row],[N_INDIVIDUOS]])*100,"")</f>
        <v/>
      </c>
      <c r="AF38" s="334" t="str">
        <f>IFERROR(('Acuario (Arribado - mortalidad)'!BH50/DatosAll[[#This Row],[N_INDIVIDUOS]])*100,"")</f>
        <v/>
      </c>
      <c r="AG38" s="154">
        <f>'Acuario (Arribado - mortalidad)'!M50</f>
        <v>0</v>
      </c>
      <c r="AH38" s="154" t="str">
        <f>'Acuario (Arribado - mortalidad)'!G50</f>
        <v/>
      </c>
      <c r="AI38" s="154">
        <f>'Acuario (Arribado - mortalidad)'!O50</f>
        <v>0</v>
      </c>
      <c r="AJ38" s="154">
        <f>'Acuario (Arribado - mortalidad)'!P50</f>
        <v>0</v>
      </c>
      <c r="AK38" s="154">
        <f>'Acuario (Arribado - mortalidad)'!Q50</f>
        <v>0</v>
      </c>
      <c r="AL38" s="154">
        <f>'Acuario (Arribado - mortalidad)'!R50</f>
        <v>0</v>
      </c>
      <c r="AM38" s="154">
        <f>'Acuario (Arribado - mortalidad)'!S50</f>
        <v>0</v>
      </c>
      <c r="AN38" s="154">
        <f>'Acuario (Arribado - mortalidad)'!T50</f>
        <v>0</v>
      </c>
      <c r="AO38" s="154">
        <f>'Acuario (Arribado - mortalidad)'!U50</f>
        <v>0</v>
      </c>
      <c r="AP38" s="154">
        <f>'Acuario (Arribado - mortalidad)'!V50</f>
        <v>0</v>
      </c>
      <c r="AQ38" s="154">
        <f>'Acuario (Arribado - mortalidad)'!W50</f>
        <v>0</v>
      </c>
      <c r="AR38" s="154">
        <f>'Acuario (Arribado - mortalidad)'!X50</f>
        <v>0</v>
      </c>
      <c r="AS38" s="154">
        <f>'Acuario (Arribado - mortalidad)'!Y50</f>
        <v>0</v>
      </c>
      <c r="AT38" s="154">
        <f>'Acuario (Arribado - mortalidad)'!Z50</f>
        <v>0</v>
      </c>
      <c r="AU38" s="154">
        <f>'Acuario (Arribado - mortalidad)'!AA50</f>
        <v>0</v>
      </c>
      <c r="AV38" s="154">
        <f>'Acuario (Arribado - mortalidad)'!AB50</f>
        <v>0</v>
      </c>
      <c r="AW38" s="154">
        <f>'Acuario (Arribado - mortalidad)'!AC50</f>
        <v>0</v>
      </c>
      <c r="AX38" s="154">
        <f>'Acuario (Arribado - mortalidad)'!AD50</f>
        <v>0</v>
      </c>
      <c r="AY38" s="154">
        <f>'Acuario (Arribado - mortalidad)'!AE50</f>
        <v>0</v>
      </c>
      <c r="AZ38" s="154">
        <f>'Acuario (Arribado - mortalidad)'!AF50</f>
        <v>0</v>
      </c>
      <c r="BA38" s="154">
        <f>'Acuario (Arribado - mortalidad)'!AG50</f>
        <v>0</v>
      </c>
      <c r="BB38" s="154">
        <f>'Acuario (Arribado - mortalidad)'!AH50</f>
        <v>0</v>
      </c>
      <c r="BC38" s="154">
        <f>'Acuario (Arribado - mortalidad)'!AI50</f>
        <v>0</v>
      </c>
      <c r="BD38" s="154">
        <f>'Acuario (Arribado - mortalidad)'!AJ50</f>
        <v>0</v>
      </c>
      <c r="BE38" s="154">
        <f>'Acuario (Arribado - mortalidad)'!AK50</f>
        <v>0</v>
      </c>
      <c r="BF38" s="154">
        <f>'Acuario (Arribado - mortalidad)'!AL50</f>
        <v>0</v>
      </c>
      <c r="BG38" s="154">
        <f>'Acuario (Arribado - mortalidad)'!AM50</f>
        <v>0</v>
      </c>
      <c r="BH38" s="154">
        <f>'Acuario (Arribado - mortalidad)'!AN50</f>
        <v>0</v>
      </c>
      <c r="BI38" s="154">
        <f>'Acuario (Arribado - mortalidad)'!AO50</f>
        <v>0</v>
      </c>
      <c r="BJ38" s="154">
        <f>'Acuario (Arribado - mortalidad)'!AP50</f>
        <v>0</v>
      </c>
      <c r="BK38" s="154">
        <f>'Acuario (Arribado - mortalidad)'!AQ50</f>
        <v>0</v>
      </c>
      <c r="BL38" s="154">
        <f>'Acuario (Arribado - mortalidad)'!AR50</f>
        <v>0</v>
      </c>
      <c r="BM38" s="154" t="str">
        <f>'Acuario (Arribado - mortalidad)'!AS50</f>
        <v/>
      </c>
      <c r="BN38" s="154">
        <f>'Acuario (Arribado - mortalidad)'!AT50</f>
        <v>0</v>
      </c>
      <c r="BO38" s="154">
        <f>'Acuario (Arribado - mortalidad)'!AU50</f>
        <v>0</v>
      </c>
      <c r="BP38" s="154">
        <f>'Acuario (Arribado - mortalidad)'!AV50</f>
        <v>0</v>
      </c>
      <c r="BQ38" s="154" t="str">
        <f>'Acuario (Arribado - mortalidad)'!AW50</f>
        <v/>
      </c>
      <c r="BR38" s="154">
        <f>'Acuario (Arribado - mortalidad)'!AX50</f>
        <v>0</v>
      </c>
      <c r="BS38" s="154">
        <f>'Acuario (Arribado - mortalidad)'!AY50</f>
        <v>0</v>
      </c>
      <c r="BT38" s="154" t="str">
        <f>'Acuario (Arribado - mortalidad)'!AZ50</f>
        <v/>
      </c>
      <c r="BU38" s="154" t="str">
        <f>'Acuario (Arribado - mortalidad)'!BA50</f>
        <v/>
      </c>
      <c r="BV38" s="154" t="str">
        <f>'Acuario (Arribado - mortalidad)'!BB50</f>
        <v/>
      </c>
      <c r="BW38" s="154" t="str">
        <f>'Acuario (Arribado - mortalidad)'!BC50</f>
        <v/>
      </c>
      <c r="BX38" s="154">
        <f>'Acuario (Arribado - mortalidad)'!BD50</f>
        <v>0</v>
      </c>
      <c r="BY38" s="154" t="str">
        <f>'Acuario (Arribado - mortalidad)'!BE50</f>
        <v/>
      </c>
      <c r="BZ38" s="23" t="str">
        <f>'Acuario (Arribado - mortalidad)'!BF50</f>
        <v/>
      </c>
    </row>
    <row r="39" spans="1:78" x14ac:dyDescent="0.25">
      <c r="A39" s="154" t="str">
        <f>IF(U39&lt;&gt;0,'ORDEN DE CUARENTENA'!$AE$2,"")</f>
        <v/>
      </c>
      <c r="B39" s="190" t="str">
        <f>IF(U39&lt;&gt;0,'ORDEN DE CUARENTENA'!$AE$3,"")</f>
        <v/>
      </c>
      <c r="C39" s="174" t="str">
        <f t="shared" si="1"/>
        <v/>
      </c>
      <c r="D39" s="329" t="str">
        <f>IF(U39&lt;&gt;0,'ORDEN DE CUARENTENA'!$I$6,"")</f>
        <v/>
      </c>
      <c r="E39" s="174" t="str">
        <f>IF(U39&lt;&gt;0,TEXT('ORDEN DE CUARENTENA'!$I$6,"aaa"),"")</f>
        <v/>
      </c>
      <c r="F39" s="173" t="str">
        <f>IF(U39&lt;&gt;0,TEXT('ORDEN DE CUARENTENA'!$I$6,"dd"),"")</f>
        <v/>
      </c>
      <c r="G39" s="172" t="str">
        <f>IF(U39&lt;&gt;0,TEXT('ORDEN DE CUARENTENA'!$I$6,"mm"),"")</f>
        <v/>
      </c>
      <c r="H39" s="171" t="str">
        <f>IF(U39&lt;&gt;0,TEXT('ORDEN DE CUARENTENA'!$I$6,"yyyy"),"")</f>
        <v/>
      </c>
      <c r="I39" s="154" t="str">
        <f>IF(U39&lt;&gt;0,'ORDEN DE CUARENTENA'!$H$7,"")</f>
        <v/>
      </c>
      <c r="J39" s="154" t="str">
        <f>IF(U39&lt;&gt;0,'ORDEN DE CUARENTENA'!$H$9,"")</f>
        <v/>
      </c>
      <c r="K39" s="154" t="str">
        <f>IF(U39&lt;&gt;0,'ORDEN DE CUARENTENA'!$Q$9,"")</f>
        <v/>
      </c>
      <c r="L39" s="154" t="str">
        <f>IFERROR(VLOOKUP(U39,Item[],4,FALSE),IFERROR(VLOOKUP(U39,Item2[],4,FALSE),""))</f>
        <v/>
      </c>
      <c r="M39" s="154" t="str">
        <f>IFERROR(VLOOKUP(U39,Item[],5,FALSE),IFERROR(VLOOKUP(U39,Item2[],5,FALSE),""))</f>
        <v/>
      </c>
      <c r="N39" s="154" t="str">
        <f>IFERROR(VLOOKUP(W39,SuscepEARs[],2,FALSE),"")</f>
        <v/>
      </c>
      <c r="O39" s="154" t="str">
        <f>IFERROR(VLOOKUP(DatosAll[[#This Row],[ESPECIE]],CITES[],2,FALSE),"")</f>
        <v/>
      </c>
      <c r="P39" s="154">
        <f>IFERROR(VLOOKUP(T39,Hallazgo[],2,FALSE),"")</f>
        <v>0</v>
      </c>
      <c r="Q39" s="154">
        <f>IFERROR(VLOOKUP(T39,Hallazgo[],3,FALSE),"")</f>
        <v>0</v>
      </c>
      <c r="R39" s="154">
        <f>IFERROR(VLOOKUP(T39,Hallazgo[],4,FALSE),"")</f>
        <v>0</v>
      </c>
      <c r="S39" s="154">
        <f>IFERROR(VLOOKUP(T39,Hallazgo[],5,FALSE),"")</f>
        <v>0</v>
      </c>
      <c r="T39" s="154">
        <f>'Acuario (Arribado - mortalidad)'!C51</f>
        <v>0</v>
      </c>
      <c r="U39" s="154">
        <f>'Acuario (Arribado - mortalidad)'!B51</f>
        <v>0</v>
      </c>
      <c r="V39" s="154" t="str">
        <f>'Acuario (Arribado - mortalidad)'!D51</f>
        <v/>
      </c>
      <c r="W39" s="154" t="str">
        <f>'Acuario (Arribado - mortalidad)'!E51</f>
        <v/>
      </c>
      <c r="X39" s="154">
        <f>'Acuario (Arribado - mortalidad)'!F51</f>
        <v>0</v>
      </c>
      <c r="Y39" s="154">
        <f>'Acuario (Arribado - mortalidad)'!H51</f>
        <v>0</v>
      </c>
      <c r="Z39" s="154">
        <f>'Acuario (Arribado - mortalidad)'!I51</f>
        <v>0</v>
      </c>
      <c r="AA39" s="154">
        <f>'Acuario (Arribado - mortalidad)'!J51</f>
        <v>0</v>
      </c>
      <c r="AB39" s="154" t="str">
        <f>'Acuario (Arribado - mortalidad)'!K51</f>
        <v/>
      </c>
      <c r="AC39" s="334" t="str">
        <f>IFERROR(('Acuario (Arribado - mortalidad)'!K51/DatosAll[[#This Row],[N_INDIVIDUOS]])*100,"")</f>
        <v/>
      </c>
      <c r="AD39" s="334" t="str">
        <f>IFERROR(('Acuario (Arribado - mortalidad)'!O51/DatosAll[[#This Row],[N_INDIVIDUOS]])*100,"")</f>
        <v/>
      </c>
      <c r="AE39" s="334" t="str">
        <f>IFERROR(('Acuario (Arribado - mortalidad)'!BG51/DatosAll[[#This Row],[N_INDIVIDUOS]])*100,"")</f>
        <v/>
      </c>
      <c r="AF39" s="334" t="str">
        <f>IFERROR(('Acuario (Arribado - mortalidad)'!BH51/DatosAll[[#This Row],[N_INDIVIDUOS]])*100,"")</f>
        <v/>
      </c>
      <c r="AG39" s="154">
        <f>'Acuario (Arribado - mortalidad)'!M51</f>
        <v>0</v>
      </c>
      <c r="AH39" s="154" t="str">
        <f>'Acuario (Arribado - mortalidad)'!G51</f>
        <v/>
      </c>
      <c r="AI39" s="154">
        <f>'Acuario (Arribado - mortalidad)'!O51</f>
        <v>0</v>
      </c>
      <c r="AJ39" s="154">
        <f>'Acuario (Arribado - mortalidad)'!P51</f>
        <v>0</v>
      </c>
      <c r="AK39" s="154">
        <f>'Acuario (Arribado - mortalidad)'!Q51</f>
        <v>0</v>
      </c>
      <c r="AL39" s="154">
        <f>'Acuario (Arribado - mortalidad)'!R51</f>
        <v>0</v>
      </c>
      <c r="AM39" s="154">
        <f>'Acuario (Arribado - mortalidad)'!S51</f>
        <v>0</v>
      </c>
      <c r="AN39" s="154">
        <f>'Acuario (Arribado - mortalidad)'!T51</f>
        <v>0</v>
      </c>
      <c r="AO39" s="154">
        <f>'Acuario (Arribado - mortalidad)'!U51</f>
        <v>0</v>
      </c>
      <c r="AP39" s="154">
        <f>'Acuario (Arribado - mortalidad)'!V51</f>
        <v>0</v>
      </c>
      <c r="AQ39" s="154">
        <f>'Acuario (Arribado - mortalidad)'!W51</f>
        <v>0</v>
      </c>
      <c r="AR39" s="154">
        <f>'Acuario (Arribado - mortalidad)'!X51</f>
        <v>0</v>
      </c>
      <c r="AS39" s="154">
        <f>'Acuario (Arribado - mortalidad)'!Y51</f>
        <v>0</v>
      </c>
      <c r="AT39" s="154">
        <f>'Acuario (Arribado - mortalidad)'!Z51</f>
        <v>0</v>
      </c>
      <c r="AU39" s="154">
        <f>'Acuario (Arribado - mortalidad)'!AA51</f>
        <v>0</v>
      </c>
      <c r="AV39" s="154">
        <f>'Acuario (Arribado - mortalidad)'!AB51</f>
        <v>0</v>
      </c>
      <c r="AW39" s="154">
        <f>'Acuario (Arribado - mortalidad)'!AC51</f>
        <v>0</v>
      </c>
      <c r="AX39" s="154">
        <f>'Acuario (Arribado - mortalidad)'!AD51</f>
        <v>0</v>
      </c>
      <c r="AY39" s="154">
        <f>'Acuario (Arribado - mortalidad)'!AE51</f>
        <v>0</v>
      </c>
      <c r="AZ39" s="154">
        <f>'Acuario (Arribado - mortalidad)'!AF51</f>
        <v>0</v>
      </c>
      <c r="BA39" s="154">
        <f>'Acuario (Arribado - mortalidad)'!AG51</f>
        <v>0</v>
      </c>
      <c r="BB39" s="154">
        <f>'Acuario (Arribado - mortalidad)'!AH51</f>
        <v>0</v>
      </c>
      <c r="BC39" s="154">
        <f>'Acuario (Arribado - mortalidad)'!AI51</f>
        <v>0</v>
      </c>
      <c r="BD39" s="154">
        <f>'Acuario (Arribado - mortalidad)'!AJ51</f>
        <v>0</v>
      </c>
      <c r="BE39" s="154">
        <f>'Acuario (Arribado - mortalidad)'!AK51</f>
        <v>0</v>
      </c>
      <c r="BF39" s="154">
        <f>'Acuario (Arribado - mortalidad)'!AL51</f>
        <v>0</v>
      </c>
      <c r="BG39" s="154">
        <f>'Acuario (Arribado - mortalidad)'!AM51</f>
        <v>0</v>
      </c>
      <c r="BH39" s="154">
        <f>'Acuario (Arribado - mortalidad)'!AN51</f>
        <v>0</v>
      </c>
      <c r="BI39" s="154">
        <f>'Acuario (Arribado - mortalidad)'!AO51</f>
        <v>0</v>
      </c>
      <c r="BJ39" s="154">
        <f>'Acuario (Arribado - mortalidad)'!AP51</f>
        <v>0</v>
      </c>
      <c r="BK39" s="154">
        <f>'Acuario (Arribado - mortalidad)'!AQ51</f>
        <v>0</v>
      </c>
      <c r="BL39" s="154">
        <f>'Acuario (Arribado - mortalidad)'!AR51</f>
        <v>0</v>
      </c>
      <c r="BM39" s="154" t="str">
        <f>'Acuario (Arribado - mortalidad)'!AS51</f>
        <v/>
      </c>
      <c r="BN39" s="154">
        <f>'Acuario (Arribado - mortalidad)'!AT51</f>
        <v>0</v>
      </c>
      <c r="BO39" s="154">
        <f>'Acuario (Arribado - mortalidad)'!AU51</f>
        <v>0</v>
      </c>
      <c r="BP39" s="154">
        <f>'Acuario (Arribado - mortalidad)'!AV51</f>
        <v>0</v>
      </c>
      <c r="BQ39" s="154" t="str">
        <f>'Acuario (Arribado - mortalidad)'!AW51</f>
        <v/>
      </c>
      <c r="BR39" s="154">
        <f>'Acuario (Arribado - mortalidad)'!AX51</f>
        <v>0</v>
      </c>
      <c r="BS39" s="154">
        <f>'Acuario (Arribado - mortalidad)'!AY51</f>
        <v>0</v>
      </c>
      <c r="BT39" s="154" t="str">
        <f>'Acuario (Arribado - mortalidad)'!AZ51</f>
        <v/>
      </c>
      <c r="BU39" s="154" t="str">
        <f>'Acuario (Arribado - mortalidad)'!BA51</f>
        <v/>
      </c>
      <c r="BV39" s="154" t="str">
        <f>'Acuario (Arribado - mortalidad)'!BB51</f>
        <v/>
      </c>
      <c r="BW39" s="154" t="str">
        <f>'Acuario (Arribado - mortalidad)'!BC51</f>
        <v/>
      </c>
      <c r="BX39" s="154">
        <f>'Acuario (Arribado - mortalidad)'!BD51</f>
        <v>0</v>
      </c>
      <c r="BY39" s="154" t="str">
        <f>'Acuario (Arribado - mortalidad)'!BE51</f>
        <v/>
      </c>
      <c r="BZ39" s="23" t="str">
        <f>'Acuario (Arribado - mortalidad)'!BF51</f>
        <v/>
      </c>
    </row>
    <row r="40" spans="1:78" x14ac:dyDescent="0.25">
      <c r="A40" s="154" t="str">
        <f>IF(U40&lt;&gt;0,'ORDEN DE CUARENTENA'!$AE$2,"")</f>
        <v/>
      </c>
      <c r="B40" s="190" t="str">
        <f>IF(U40&lt;&gt;0,'ORDEN DE CUARENTENA'!$AE$3,"")</f>
        <v/>
      </c>
      <c r="C40" s="174" t="str">
        <f t="shared" si="1"/>
        <v/>
      </c>
      <c r="D40" s="329" t="str">
        <f>IF(U40&lt;&gt;0,'ORDEN DE CUARENTENA'!$I$6,"")</f>
        <v/>
      </c>
      <c r="E40" s="174" t="str">
        <f>IF(U40&lt;&gt;0,TEXT('ORDEN DE CUARENTENA'!$I$6,"aaa"),"")</f>
        <v/>
      </c>
      <c r="F40" s="173" t="str">
        <f>IF(U40&lt;&gt;0,TEXT('ORDEN DE CUARENTENA'!$I$6,"dd"),"")</f>
        <v/>
      </c>
      <c r="G40" s="172" t="str">
        <f>IF(U40&lt;&gt;0,TEXT('ORDEN DE CUARENTENA'!$I$6,"mm"),"")</f>
        <v/>
      </c>
      <c r="H40" s="171" t="str">
        <f>IF(U40&lt;&gt;0,TEXT('ORDEN DE CUARENTENA'!$I$6,"yyyy"),"")</f>
        <v/>
      </c>
      <c r="I40" s="154" t="str">
        <f>IF(U40&lt;&gt;0,'ORDEN DE CUARENTENA'!$H$7,"")</f>
        <v/>
      </c>
      <c r="J40" s="154" t="str">
        <f>IF(U40&lt;&gt;0,'ORDEN DE CUARENTENA'!$H$9,"")</f>
        <v/>
      </c>
      <c r="K40" s="154" t="str">
        <f>IF(U40&lt;&gt;0,'ORDEN DE CUARENTENA'!$Q$9,"")</f>
        <v/>
      </c>
      <c r="L40" s="154" t="str">
        <f>IFERROR(VLOOKUP(U40,Item[],4,FALSE),IFERROR(VLOOKUP(U40,Item2[],4,FALSE),""))</f>
        <v/>
      </c>
      <c r="M40" s="154" t="str">
        <f>IFERROR(VLOOKUP(U40,Item[],5,FALSE),IFERROR(VLOOKUP(U40,Item2[],5,FALSE),""))</f>
        <v/>
      </c>
      <c r="N40" s="154" t="str">
        <f>IFERROR(VLOOKUP(W40,SuscepEARs[],2,FALSE),"")</f>
        <v/>
      </c>
      <c r="O40" s="154" t="str">
        <f>IFERROR(VLOOKUP(DatosAll[[#This Row],[ESPECIE]],CITES[],2,FALSE),"")</f>
        <v/>
      </c>
      <c r="P40" s="154">
        <f>IFERROR(VLOOKUP(T40,Hallazgo[],2,FALSE),"")</f>
        <v>0</v>
      </c>
      <c r="Q40" s="154">
        <f>IFERROR(VLOOKUP(T40,Hallazgo[],3,FALSE),"")</f>
        <v>0</v>
      </c>
      <c r="R40" s="154">
        <f>IFERROR(VLOOKUP(T40,Hallazgo[],4,FALSE),"")</f>
        <v>0</v>
      </c>
      <c r="S40" s="154">
        <f>IFERROR(VLOOKUP(T40,Hallazgo[],5,FALSE),"")</f>
        <v>0</v>
      </c>
      <c r="T40" s="154">
        <f>'Acuario (Arribado - mortalidad)'!C52</f>
        <v>0</v>
      </c>
      <c r="U40" s="154">
        <f>'Acuario (Arribado - mortalidad)'!B52</f>
        <v>0</v>
      </c>
      <c r="V40" s="154" t="str">
        <f>'Acuario (Arribado - mortalidad)'!D52</f>
        <v/>
      </c>
      <c r="W40" s="154" t="str">
        <f>'Acuario (Arribado - mortalidad)'!E52</f>
        <v/>
      </c>
      <c r="X40" s="154">
        <f>'Acuario (Arribado - mortalidad)'!F52</f>
        <v>0</v>
      </c>
      <c r="Y40" s="154">
        <f>'Acuario (Arribado - mortalidad)'!H52</f>
        <v>0</v>
      </c>
      <c r="Z40" s="154">
        <f>'Acuario (Arribado - mortalidad)'!I52</f>
        <v>0</v>
      </c>
      <c r="AA40" s="154">
        <f>'Acuario (Arribado - mortalidad)'!J52</f>
        <v>0</v>
      </c>
      <c r="AB40" s="154" t="str">
        <f>'Acuario (Arribado - mortalidad)'!K52</f>
        <v/>
      </c>
      <c r="AC40" s="334" t="str">
        <f>IFERROR(('Acuario (Arribado - mortalidad)'!K52/DatosAll[[#This Row],[N_INDIVIDUOS]])*100,"")</f>
        <v/>
      </c>
      <c r="AD40" s="334" t="str">
        <f>IFERROR(('Acuario (Arribado - mortalidad)'!O52/DatosAll[[#This Row],[N_INDIVIDUOS]])*100,"")</f>
        <v/>
      </c>
      <c r="AE40" s="334" t="str">
        <f>IFERROR(('Acuario (Arribado - mortalidad)'!BG52/DatosAll[[#This Row],[N_INDIVIDUOS]])*100,"")</f>
        <v/>
      </c>
      <c r="AF40" s="334" t="str">
        <f>IFERROR(('Acuario (Arribado - mortalidad)'!BH52/DatosAll[[#This Row],[N_INDIVIDUOS]])*100,"")</f>
        <v/>
      </c>
      <c r="AG40" s="154">
        <f>'Acuario (Arribado - mortalidad)'!M52</f>
        <v>0</v>
      </c>
      <c r="AH40" s="154" t="str">
        <f>'Acuario (Arribado - mortalidad)'!G52</f>
        <v/>
      </c>
      <c r="AI40" s="154">
        <f>'Acuario (Arribado - mortalidad)'!O52</f>
        <v>0</v>
      </c>
      <c r="AJ40" s="154">
        <f>'Acuario (Arribado - mortalidad)'!P52</f>
        <v>0</v>
      </c>
      <c r="AK40" s="154">
        <f>'Acuario (Arribado - mortalidad)'!Q52</f>
        <v>0</v>
      </c>
      <c r="AL40" s="154">
        <f>'Acuario (Arribado - mortalidad)'!R52</f>
        <v>0</v>
      </c>
      <c r="AM40" s="154">
        <f>'Acuario (Arribado - mortalidad)'!S52</f>
        <v>0</v>
      </c>
      <c r="AN40" s="154">
        <f>'Acuario (Arribado - mortalidad)'!T52</f>
        <v>0</v>
      </c>
      <c r="AO40" s="154">
        <f>'Acuario (Arribado - mortalidad)'!U52</f>
        <v>0</v>
      </c>
      <c r="AP40" s="154">
        <f>'Acuario (Arribado - mortalidad)'!V52</f>
        <v>0</v>
      </c>
      <c r="AQ40" s="154">
        <f>'Acuario (Arribado - mortalidad)'!W52</f>
        <v>0</v>
      </c>
      <c r="AR40" s="154">
        <f>'Acuario (Arribado - mortalidad)'!X52</f>
        <v>0</v>
      </c>
      <c r="AS40" s="154">
        <f>'Acuario (Arribado - mortalidad)'!Y52</f>
        <v>0</v>
      </c>
      <c r="AT40" s="154">
        <f>'Acuario (Arribado - mortalidad)'!Z52</f>
        <v>0</v>
      </c>
      <c r="AU40" s="154">
        <f>'Acuario (Arribado - mortalidad)'!AA52</f>
        <v>0</v>
      </c>
      <c r="AV40" s="154">
        <f>'Acuario (Arribado - mortalidad)'!AB52</f>
        <v>0</v>
      </c>
      <c r="AW40" s="154">
        <f>'Acuario (Arribado - mortalidad)'!AC52</f>
        <v>0</v>
      </c>
      <c r="AX40" s="154">
        <f>'Acuario (Arribado - mortalidad)'!AD52</f>
        <v>0</v>
      </c>
      <c r="AY40" s="154">
        <f>'Acuario (Arribado - mortalidad)'!AE52</f>
        <v>0</v>
      </c>
      <c r="AZ40" s="154">
        <f>'Acuario (Arribado - mortalidad)'!AF52</f>
        <v>0</v>
      </c>
      <c r="BA40" s="154">
        <f>'Acuario (Arribado - mortalidad)'!AG52</f>
        <v>0</v>
      </c>
      <c r="BB40" s="154">
        <f>'Acuario (Arribado - mortalidad)'!AH52</f>
        <v>0</v>
      </c>
      <c r="BC40" s="154">
        <f>'Acuario (Arribado - mortalidad)'!AI52</f>
        <v>0</v>
      </c>
      <c r="BD40" s="154">
        <f>'Acuario (Arribado - mortalidad)'!AJ52</f>
        <v>0</v>
      </c>
      <c r="BE40" s="154">
        <f>'Acuario (Arribado - mortalidad)'!AK52</f>
        <v>0</v>
      </c>
      <c r="BF40" s="154">
        <f>'Acuario (Arribado - mortalidad)'!AL52</f>
        <v>0</v>
      </c>
      <c r="BG40" s="154">
        <f>'Acuario (Arribado - mortalidad)'!AM52</f>
        <v>0</v>
      </c>
      <c r="BH40" s="154">
        <f>'Acuario (Arribado - mortalidad)'!AN52</f>
        <v>0</v>
      </c>
      <c r="BI40" s="154">
        <f>'Acuario (Arribado - mortalidad)'!AO52</f>
        <v>0</v>
      </c>
      <c r="BJ40" s="154">
        <f>'Acuario (Arribado - mortalidad)'!AP52</f>
        <v>0</v>
      </c>
      <c r="BK40" s="154">
        <f>'Acuario (Arribado - mortalidad)'!AQ52</f>
        <v>0</v>
      </c>
      <c r="BL40" s="154">
        <f>'Acuario (Arribado - mortalidad)'!AR52</f>
        <v>0</v>
      </c>
      <c r="BM40" s="154" t="str">
        <f>'Acuario (Arribado - mortalidad)'!AS52</f>
        <v/>
      </c>
      <c r="BN40" s="154">
        <f>'Acuario (Arribado - mortalidad)'!AT52</f>
        <v>0</v>
      </c>
      <c r="BO40" s="154">
        <f>'Acuario (Arribado - mortalidad)'!AU52</f>
        <v>0</v>
      </c>
      <c r="BP40" s="154">
        <f>'Acuario (Arribado - mortalidad)'!AV52</f>
        <v>0</v>
      </c>
      <c r="BQ40" s="154" t="str">
        <f>'Acuario (Arribado - mortalidad)'!AW52</f>
        <v/>
      </c>
      <c r="BR40" s="154">
        <f>'Acuario (Arribado - mortalidad)'!AX52</f>
        <v>0</v>
      </c>
      <c r="BS40" s="154">
        <f>'Acuario (Arribado - mortalidad)'!AY52</f>
        <v>0</v>
      </c>
      <c r="BT40" s="154" t="str">
        <f>'Acuario (Arribado - mortalidad)'!AZ52</f>
        <v/>
      </c>
      <c r="BU40" s="154" t="str">
        <f>'Acuario (Arribado - mortalidad)'!BA52</f>
        <v/>
      </c>
      <c r="BV40" s="154" t="str">
        <f>'Acuario (Arribado - mortalidad)'!BB52</f>
        <v/>
      </c>
      <c r="BW40" s="154" t="str">
        <f>'Acuario (Arribado - mortalidad)'!BC52</f>
        <v/>
      </c>
      <c r="BX40" s="154">
        <f>'Acuario (Arribado - mortalidad)'!BD52</f>
        <v>0</v>
      </c>
      <c r="BY40" s="154" t="str">
        <f>'Acuario (Arribado - mortalidad)'!BE52</f>
        <v/>
      </c>
      <c r="BZ40" s="23" t="str">
        <f>'Acuario (Arribado - mortalidad)'!BF52</f>
        <v/>
      </c>
    </row>
    <row r="41" spans="1:78" x14ac:dyDescent="0.25">
      <c r="A41" s="154" t="str">
        <f>IF(U41&lt;&gt;0,'ORDEN DE CUARENTENA'!$AE$2,"")</f>
        <v/>
      </c>
      <c r="B41" s="190" t="str">
        <f>IF(U41&lt;&gt;0,'ORDEN DE CUARENTENA'!$AE$3,"")</f>
        <v/>
      </c>
      <c r="C41" s="174" t="str">
        <f t="shared" si="1"/>
        <v/>
      </c>
      <c r="D41" s="329" t="str">
        <f>IF(U41&lt;&gt;0,'ORDEN DE CUARENTENA'!$I$6,"")</f>
        <v/>
      </c>
      <c r="E41" s="174" t="str">
        <f>IF(U41&lt;&gt;0,TEXT('ORDEN DE CUARENTENA'!$I$6,"aaa"),"")</f>
        <v/>
      </c>
      <c r="F41" s="173" t="str">
        <f>IF(U41&lt;&gt;0,TEXT('ORDEN DE CUARENTENA'!$I$6,"dd"),"")</f>
        <v/>
      </c>
      <c r="G41" s="172" t="str">
        <f>IF(U41&lt;&gt;0,TEXT('ORDEN DE CUARENTENA'!$I$6,"mm"),"")</f>
        <v/>
      </c>
      <c r="H41" s="171" t="str">
        <f>IF(U41&lt;&gt;0,TEXT('ORDEN DE CUARENTENA'!$I$6,"yyyy"),"")</f>
        <v/>
      </c>
      <c r="I41" s="154" t="str">
        <f>IF(U41&lt;&gt;0,'ORDEN DE CUARENTENA'!$H$7,"")</f>
        <v/>
      </c>
      <c r="J41" s="154" t="str">
        <f>IF(U41&lt;&gt;0,'ORDEN DE CUARENTENA'!$H$9,"")</f>
        <v/>
      </c>
      <c r="K41" s="154" t="str">
        <f>IF(U41&lt;&gt;0,'ORDEN DE CUARENTENA'!$Q$9,"")</f>
        <v/>
      </c>
      <c r="L41" s="154" t="str">
        <f>IFERROR(VLOOKUP(U41,Item[],4,FALSE),IFERROR(VLOOKUP(U41,Item2[],4,FALSE),""))</f>
        <v/>
      </c>
      <c r="M41" s="154" t="str">
        <f>IFERROR(VLOOKUP(U41,Item[],5,FALSE),IFERROR(VLOOKUP(U41,Item2[],5,FALSE),""))</f>
        <v/>
      </c>
      <c r="N41" s="154" t="str">
        <f>IFERROR(VLOOKUP(W41,SuscepEARs[],2,FALSE),"")</f>
        <v/>
      </c>
      <c r="O41" s="154" t="str">
        <f>IFERROR(VLOOKUP(DatosAll[[#This Row],[ESPECIE]],CITES[],2,FALSE),"")</f>
        <v/>
      </c>
      <c r="P41" s="154">
        <f>IFERROR(VLOOKUP(T41,Hallazgo[],2,FALSE),"")</f>
        <v>0</v>
      </c>
      <c r="Q41" s="154">
        <f>IFERROR(VLOOKUP(T41,Hallazgo[],3,FALSE),"")</f>
        <v>0</v>
      </c>
      <c r="R41" s="154">
        <f>IFERROR(VLOOKUP(T41,Hallazgo[],4,FALSE),"")</f>
        <v>0</v>
      </c>
      <c r="S41" s="154">
        <f>IFERROR(VLOOKUP(T41,Hallazgo[],5,FALSE),"")</f>
        <v>0</v>
      </c>
      <c r="T41" s="154">
        <f>'Acuario (Arribado - mortalidad)'!C53</f>
        <v>0</v>
      </c>
      <c r="U41" s="154">
        <f>'Acuario (Arribado - mortalidad)'!B53</f>
        <v>0</v>
      </c>
      <c r="V41" s="154" t="str">
        <f>'Acuario (Arribado - mortalidad)'!D53</f>
        <v/>
      </c>
      <c r="W41" s="154" t="str">
        <f>'Acuario (Arribado - mortalidad)'!E53</f>
        <v/>
      </c>
      <c r="X41" s="154">
        <f>'Acuario (Arribado - mortalidad)'!F53</f>
        <v>0</v>
      </c>
      <c r="Y41" s="154">
        <f>'Acuario (Arribado - mortalidad)'!H53</f>
        <v>0</v>
      </c>
      <c r="Z41" s="154">
        <f>'Acuario (Arribado - mortalidad)'!I53</f>
        <v>0</v>
      </c>
      <c r="AA41" s="154">
        <f>'Acuario (Arribado - mortalidad)'!J53</f>
        <v>0</v>
      </c>
      <c r="AB41" s="154" t="str">
        <f>'Acuario (Arribado - mortalidad)'!K53</f>
        <v/>
      </c>
      <c r="AC41" s="334" t="str">
        <f>IFERROR(('Acuario (Arribado - mortalidad)'!K53/DatosAll[[#This Row],[N_INDIVIDUOS]])*100,"")</f>
        <v/>
      </c>
      <c r="AD41" s="334" t="str">
        <f>IFERROR(('Acuario (Arribado - mortalidad)'!O53/DatosAll[[#This Row],[N_INDIVIDUOS]])*100,"")</f>
        <v/>
      </c>
      <c r="AE41" s="334" t="str">
        <f>IFERROR(('Acuario (Arribado - mortalidad)'!BG53/DatosAll[[#This Row],[N_INDIVIDUOS]])*100,"")</f>
        <v/>
      </c>
      <c r="AF41" s="334" t="str">
        <f>IFERROR(('Acuario (Arribado - mortalidad)'!BH53/DatosAll[[#This Row],[N_INDIVIDUOS]])*100,"")</f>
        <v/>
      </c>
      <c r="AG41" s="154">
        <f>'Acuario (Arribado - mortalidad)'!M53</f>
        <v>0</v>
      </c>
      <c r="AH41" s="154" t="str">
        <f>'Acuario (Arribado - mortalidad)'!G53</f>
        <v/>
      </c>
      <c r="AI41" s="154">
        <f>'Acuario (Arribado - mortalidad)'!O53</f>
        <v>0</v>
      </c>
      <c r="AJ41" s="154">
        <f>'Acuario (Arribado - mortalidad)'!P53</f>
        <v>0</v>
      </c>
      <c r="AK41" s="154">
        <f>'Acuario (Arribado - mortalidad)'!Q53</f>
        <v>0</v>
      </c>
      <c r="AL41" s="154">
        <f>'Acuario (Arribado - mortalidad)'!R53</f>
        <v>0</v>
      </c>
      <c r="AM41" s="154">
        <f>'Acuario (Arribado - mortalidad)'!S53</f>
        <v>0</v>
      </c>
      <c r="AN41" s="154">
        <f>'Acuario (Arribado - mortalidad)'!T53</f>
        <v>0</v>
      </c>
      <c r="AO41" s="154">
        <f>'Acuario (Arribado - mortalidad)'!U53</f>
        <v>0</v>
      </c>
      <c r="AP41" s="154">
        <f>'Acuario (Arribado - mortalidad)'!V53</f>
        <v>0</v>
      </c>
      <c r="AQ41" s="154">
        <f>'Acuario (Arribado - mortalidad)'!W53</f>
        <v>0</v>
      </c>
      <c r="AR41" s="154">
        <f>'Acuario (Arribado - mortalidad)'!X53</f>
        <v>0</v>
      </c>
      <c r="AS41" s="154">
        <f>'Acuario (Arribado - mortalidad)'!Y53</f>
        <v>0</v>
      </c>
      <c r="AT41" s="154">
        <f>'Acuario (Arribado - mortalidad)'!Z53</f>
        <v>0</v>
      </c>
      <c r="AU41" s="154">
        <f>'Acuario (Arribado - mortalidad)'!AA53</f>
        <v>0</v>
      </c>
      <c r="AV41" s="154">
        <f>'Acuario (Arribado - mortalidad)'!AB53</f>
        <v>0</v>
      </c>
      <c r="AW41" s="154">
        <f>'Acuario (Arribado - mortalidad)'!AC53</f>
        <v>0</v>
      </c>
      <c r="AX41" s="154">
        <f>'Acuario (Arribado - mortalidad)'!AD53</f>
        <v>0</v>
      </c>
      <c r="AY41" s="154">
        <f>'Acuario (Arribado - mortalidad)'!AE53</f>
        <v>0</v>
      </c>
      <c r="AZ41" s="154">
        <f>'Acuario (Arribado - mortalidad)'!AF53</f>
        <v>0</v>
      </c>
      <c r="BA41" s="154">
        <f>'Acuario (Arribado - mortalidad)'!AG53</f>
        <v>0</v>
      </c>
      <c r="BB41" s="154">
        <f>'Acuario (Arribado - mortalidad)'!AH53</f>
        <v>0</v>
      </c>
      <c r="BC41" s="154">
        <f>'Acuario (Arribado - mortalidad)'!AI53</f>
        <v>0</v>
      </c>
      <c r="BD41" s="154">
        <f>'Acuario (Arribado - mortalidad)'!AJ53</f>
        <v>0</v>
      </c>
      <c r="BE41" s="154">
        <f>'Acuario (Arribado - mortalidad)'!AK53</f>
        <v>0</v>
      </c>
      <c r="BF41" s="154">
        <f>'Acuario (Arribado - mortalidad)'!AL53</f>
        <v>0</v>
      </c>
      <c r="BG41" s="154">
        <f>'Acuario (Arribado - mortalidad)'!AM53</f>
        <v>0</v>
      </c>
      <c r="BH41" s="154">
        <f>'Acuario (Arribado - mortalidad)'!AN53</f>
        <v>0</v>
      </c>
      <c r="BI41" s="154">
        <f>'Acuario (Arribado - mortalidad)'!AO53</f>
        <v>0</v>
      </c>
      <c r="BJ41" s="154">
        <f>'Acuario (Arribado - mortalidad)'!AP53</f>
        <v>0</v>
      </c>
      <c r="BK41" s="154">
        <f>'Acuario (Arribado - mortalidad)'!AQ53</f>
        <v>0</v>
      </c>
      <c r="BL41" s="154">
        <f>'Acuario (Arribado - mortalidad)'!AR53</f>
        <v>0</v>
      </c>
      <c r="BM41" s="154" t="str">
        <f>'Acuario (Arribado - mortalidad)'!AS53</f>
        <v/>
      </c>
      <c r="BN41" s="154">
        <f>'Acuario (Arribado - mortalidad)'!AT53</f>
        <v>0</v>
      </c>
      <c r="BO41" s="154">
        <f>'Acuario (Arribado - mortalidad)'!AU53</f>
        <v>0</v>
      </c>
      <c r="BP41" s="154">
        <f>'Acuario (Arribado - mortalidad)'!AV53</f>
        <v>0</v>
      </c>
      <c r="BQ41" s="154" t="str">
        <f>'Acuario (Arribado - mortalidad)'!AW53</f>
        <v/>
      </c>
      <c r="BR41" s="154">
        <f>'Acuario (Arribado - mortalidad)'!AX53</f>
        <v>0</v>
      </c>
      <c r="BS41" s="154">
        <f>'Acuario (Arribado - mortalidad)'!AY53</f>
        <v>0</v>
      </c>
      <c r="BT41" s="154" t="str">
        <f>'Acuario (Arribado - mortalidad)'!AZ53</f>
        <v/>
      </c>
      <c r="BU41" s="154" t="str">
        <f>'Acuario (Arribado - mortalidad)'!BA53</f>
        <v/>
      </c>
      <c r="BV41" s="154" t="str">
        <f>'Acuario (Arribado - mortalidad)'!BB53</f>
        <v/>
      </c>
      <c r="BW41" s="154" t="str">
        <f>'Acuario (Arribado - mortalidad)'!BC53</f>
        <v/>
      </c>
      <c r="BX41" s="154">
        <f>'Acuario (Arribado - mortalidad)'!BD53</f>
        <v>0</v>
      </c>
      <c r="BY41" s="154" t="str">
        <f>'Acuario (Arribado - mortalidad)'!BE53</f>
        <v/>
      </c>
      <c r="BZ41" s="23" t="str">
        <f>'Acuario (Arribado - mortalidad)'!BF53</f>
        <v/>
      </c>
    </row>
    <row r="42" spans="1:78" x14ac:dyDescent="0.25">
      <c r="A42" s="154" t="str">
        <f>IF(U42&lt;&gt;0,'ORDEN DE CUARENTENA'!$AE$2,"")</f>
        <v/>
      </c>
      <c r="B42" s="190" t="str">
        <f>IF(U42&lt;&gt;0,'ORDEN DE CUARENTENA'!$AE$3,"")</f>
        <v/>
      </c>
      <c r="C42" s="174" t="str">
        <f t="shared" si="1"/>
        <v/>
      </c>
      <c r="D42" s="329" t="str">
        <f>IF(U42&lt;&gt;0,'ORDEN DE CUARENTENA'!$I$6,"")</f>
        <v/>
      </c>
      <c r="E42" s="174" t="str">
        <f>IF(U42&lt;&gt;0,TEXT('ORDEN DE CUARENTENA'!$I$6,"aaa"),"")</f>
        <v/>
      </c>
      <c r="F42" s="173" t="str">
        <f>IF(U42&lt;&gt;0,TEXT('ORDEN DE CUARENTENA'!$I$6,"dd"),"")</f>
        <v/>
      </c>
      <c r="G42" s="172" t="str">
        <f>IF(U42&lt;&gt;0,TEXT('ORDEN DE CUARENTENA'!$I$6,"mm"),"")</f>
        <v/>
      </c>
      <c r="H42" s="171" t="str">
        <f>IF(U42&lt;&gt;0,TEXT('ORDEN DE CUARENTENA'!$I$6,"yyyy"),"")</f>
        <v/>
      </c>
      <c r="I42" s="154" t="str">
        <f>IF(U42&lt;&gt;0,'ORDEN DE CUARENTENA'!$H$7,"")</f>
        <v/>
      </c>
      <c r="J42" s="154" t="str">
        <f>IF(U42&lt;&gt;0,'ORDEN DE CUARENTENA'!$H$9,"")</f>
        <v/>
      </c>
      <c r="K42" s="154" t="str">
        <f>IF(U42&lt;&gt;0,'ORDEN DE CUARENTENA'!$Q$9,"")</f>
        <v/>
      </c>
      <c r="L42" s="154" t="str">
        <f>IFERROR(VLOOKUP(U42,Item[],4,FALSE),IFERROR(VLOOKUP(U42,Item2[],4,FALSE),""))</f>
        <v/>
      </c>
      <c r="M42" s="154" t="str">
        <f>IFERROR(VLOOKUP(U42,Item[],5,FALSE),IFERROR(VLOOKUP(U42,Item2[],5,FALSE),""))</f>
        <v/>
      </c>
      <c r="N42" s="154" t="str">
        <f>IFERROR(VLOOKUP(W42,SuscepEARs[],2,FALSE),"")</f>
        <v/>
      </c>
      <c r="O42" s="154" t="str">
        <f>IFERROR(VLOOKUP(DatosAll[[#This Row],[ESPECIE]],CITES[],2,FALSE),"")</f>
        <v/>
      </c>
      <c r="P42" s="154">
        <f>IFERROR(VLOOKUP(T42,Hallazgo[],2,FALSE),"")</f>
        <v>0</v>
      </c>
      <c r="Q42" s="154">
        <f>IFERROR(VLOOKUP(T42,Hallazgo[],3,FALSE),"")</f>
        <v>0</v>
      </c>
      <c r="R42" s="154">
        <f>IFERROR(VLOOKUP(T42,Hallazgo[],4,FALSE),"")</f>
        <v>0</v>
      </c>
      <c r="S42" s="154">
        <f>IFERROR(VLOOKUP(T42,Hallazgo[],5,FALSE),"")</f>
        <v>0</v>
      </c>
      <c r="T42" s="154">
        <f>'Acuario (Arribado - mortalidad)'!C54</f>
        <v>0</v>
      </c>
      <c r="U42" s="154">
        <f>'Acuario (Arribado - mortalidad)'!B54</f>
        <v>0</v>
      </c>
      <c r="V42" s="154" t="str">
        <f>'Acuario (Arribado - mortalidad)'!D54</f>
        <v/>
      </c>
      <c r="W42" s="154" t="str">
        <f>'Acuario (Arribado - mortalidad)'!E54</f>
        <v/>
      </c>
      <c r="X42" s="154">
        <f>'Acuario (Arribado - mortalidad)'!F54</f>
        <v>0</v>
      </c>
      <c r="Y42" s="154">
        <f>'Acuario (Arribado - mortalidad)'!H54</f>
        <v>0</v>
      </c>
      <c r="Z42" s="154">
        <f>'Acuario (Arribado - mortalidad)'!I54</f>
        <v>0</v>
      </c>
      <c r="AA42" s="154">
        <f>'Acuario (Arribado - mortalidad)'!J54</f>
        <v>0</v>
      </c>
      <c r="AB42" s="154" t="str">
        <f>'Acuario (Arribado - mortalidad)'!K54</f>
        <v/>
      </c>
      <c r="AC42" s="334" t="str">
        <f>IFERROR(('Acuario (Arribado - mortalidad)'!K54/DatosAll[[#This Row],[N_INDIVIDUOS]])*100,"")</f>
        <v/>
      </c>
      <c r="AD42" s="334" t="str">
        <f>IFERROR(('Acuario (Arribado - mortalidad)'!O54/DatosAll[[#This Row],[N_INDIVIDUOS]])*100,"")</f>
        <v/>
      </c>
      <c r="AE42" s="334" t="str">
        <f>IFERROR(('Acuario (Arribado - mortalidad)'!BG54/DatosAll[[#This Row],[N_INDIVIDUOS]])*100,"")</f>
        <v/>
      </c>
      <c r="AF42" s="334" t="str">
        <f>IFERROR(('Acuario (Arribado - mortalidad)'!BH54/DatosAll[[#This Row],[N_INDIVIDUOS]])*100,"")</f>
        <v/>
      </c>
      <c r="AG42" s="154">
        <f>'Acuario (Arribado - mortalidad)'!M54</f>
        <v>0</v>
      </c>
      <c r="AH42" s="154" t="str">
        <f>'Acuario (Arribado - mortalidad)'!G54</f>
        <v/>
      </c>
      <c r="AI42" s="154">
        <f>'Acuario (Arribado - mortalidad)'!O54</f>
        <v>0</v>
      </c>
      <c r="AJ42" s="154">
        <f>'Acuario (Arribado - mortalidad)'!P54</f>
        <v>0</v>
      </c>
      <c r="AK42" s="154">
        <f>'Acuario (Arribado - mortalidad)'!Q54</f>
        <v>0</v>
      </c>
      <c r="AL42" s="154">
        <f>'Acuario (Arribado - mortalidad)'!R54</f>
        <v>0</v>
      </c>
      <c r="AM42" s="154">
        <f>'Acuario (Arribado - mortalidad)'!S54</f>
        <v>0</v>
      </c>
      <c r="AN42" s="154">
        <f>'Acuario (Arribado - mortalidad)'!T54</f>
        <v>0</v>
      </c>
      <c r="AO42" s="154">
        <f>'Acuario (Arribado - mortalidad)'!U54</f>
        <v>0</v>
      </c>
      <c r="AP42" s="154">
        <f>'Acuario (Arribado - mortalidad)'!V54</f>
        <v>0</v>
      </c>
      <c r="AQ42" s="154">
        <f>'Acuario (Arribado - mortalidad)'!W54</f>
        <v>0</v>
      </c>
      <c r="AR42" s="154">
        <f>'Acuario (Arribado - mortalidad)'!X54</f>
        <v>0</v>
      </c>
      <c r="AS42" s="154">
        <f>'Acuario (Arribado - mortalidad)'!Y54</f>
        <v>0</v>
      </c>
      <c r="AT42" s="154">
        <f>'Acuario (Arribado - mortalidad)'!Z54</f>
        <v>0</v>
      </c>
      <c r="AU42" s="154">
        <f>'Acuario (Arribado - mortalidad)'!AA54</f>
        <v>0</v>
      </c>
      <c r="AV42" s="154">
        <f>'Acuario (Arribado - mortalidad)'!AB54</f>
        <v>0</v>
      </c>
      <c r="AW42" s="154">
        <f>'Acuario (Arribado - mortalidad)'!AC54</f>
        <v>0</v>
      </c>
      <c r="AX42" s="154">
        <f>'Acuario (Arribado - mortalidad)'!AD54</f>
        <v>0</v>
      </c>
      <c r="AY42" s="154">
        <f>'Acuario (Arribado - mortalidad)'!AE54</f>
        <v>0</v>
      </c>
      <c r="AZ42" s="154">
        <f>'Acuario (Arribado - mortalidad)'!AF54</f>
        <v>0</v>
      </c>
      <c r="BA42" s="154">
        <f>'Acuario (Arribado - mortalidad)'!AG54</f>
        <v>0</v>
      </c>
      <c r="BB42" s="154">
        <f>'Acuario (Arribado - mortalidad)'!AH54</f>
        <v>0</v>
      </c>
      <c r="BC42" s="154">
        <f>'Acuario (Arribado - mortalidad)'!AI54</f>
        <v>0</v>
      </c>
      <c r="BD42" s="154">
        <f>'Acuario (Arribado - mortalidad)'!AJ54</f>
        <v>0</v>
      </c>
      <c r="BE42" s="154">
        <f>'Acuario (Arribado - mortalidad)'!AK54</f>
        <v>0</v>
      </c>
      <c r="BF42" s="154">
        <f>'Acuario (Arribado - mortalidad)'!AL54</f>
        <v>0</v>
      </c>
      <c r="BG42" s="154">
        <f>'Acuario (Arribado - mortalidad)'!AM54</f>
        <v>0</v>
      </c>
      <c r="BH42" s="154">
        <f>'Acuario (Arribado - mortalidad)'!AN54</f>
        <v>0</v>
      </c>
      <c r="BI42" s="154">
        <f>'Acuario (Arribado - mortalidad)'!AO54</f>
        <v>0</v>
      </c>
      <c r="BJ42" s="154">
        <f>'Acuario (Arribado - mortalidad)'!AP54</f>
        <v>0</v>
      </c>
      <c r="BK42" s="154">
        <f>'Acuario (Arribado - mortalidad)'!AQ54</f>
        <v>0</v>
      </c>
      <c r="BL42" s="154">
        <f>'Acuario (Arribado - mortalidad)'!AR54</f>
        <v>0</v>
      </c>
      <c r="BM42" s="154" t="str">
        <f>'Acuario (Arribado - mortalidad)'!AS54</f>
        <v/>
      </c>
      <c r="BN42" s="154">
        <f>'Acuario (Arribado - mortalidad)'!AT54</f>
        <v>0</v>
      </c>
      <c r="BO42" s="154">
        <f>'Acuario (Arribado - mortalidad)'!AU54</f>
        <v>0</v>
      </c>
      <c r="BP42" s="154">
        <f>'Acuario (Arribado - mortalidad)'!AV54</f>
        <v>0</v>
      </c>
      <c r="BQ42" s="154" t="str">
        <f>'Acuario (Arribado - mortalidad)'!AW54</f>
        <v/>
      </c>
      <c r="BR42" s="154">
        <f>'Acuario (Arribado - mortalidad)'!AX54</f>
        <v>0</v>
      </c>
      <c r="BS42" s="154">
        <f>'Acuario (Arribado - mortalidad)'!AY54</f>
        <v>0</v>
      </c>
      <c r="BT42" s="154" t="str">
        <f>'Acuario (Arribado - mortalidad)'!AZ54</f>
        <v/>
      </c>
      <c r="BU42" s="154" t="str">
        <f>'Acuario (Arribado - mortalidad)'!BA54</f>
        <v/>
      </c>
      <c r="BV42" s="154" t="str">
        <f>'Acuario (Arribado - mortalidad)'!BB54</f>
        <v/>
      </c>
      <c r="BW42" s="154" t="str">
        <f>'Acuario (Arribado - mortalidad)'!BC54</f>
        <v/>
      </c>
      <c r="BX42" s="154">
        <f>'Acuario (Arribado - mortalidad)'!BD54</f>
        <v>0</v>
      </c>
      <c r="BY42" s="154" t="str">
        <f>'Acuario (Arribado - mortalidad)'!BE54</f>
        <v/>
      </c>
      <c r="BZ42" s="23" t="str">
        <f>'Acuario (Arribado - mortalidad)'!BF54</f>
        <v/>
      </c>
    </row>
    <row r="43" spans="1:78" x14ac:dyDescent="0.25">
      <c r="A43" s="154" t="str">
        <f>IF(U43&lt;&gt;0,'ORDEN DE CUARENTENA'!$AE$2,"")</f>
        <v/>
      </c>
      <c r="B43" s="190" t="str">
        <f>IF(U43&lt;&gt;0,'ORDEN DE CUARENTENA'!$AE$3,"")</f>
        <v/>
      </c>
      <c r="C43" s="174" t="str">
        <f t="shared" si="1"/>
        <v/>
      </c>
      <c r="D43" s="329" t="str">
        <f>IF(U43&lt;&gt;0,'ORDEN DE CUARENTENA'!$I$6,"")</f>
        <v/>
      </c>
      <c r="E43" s="174" t="str">
        <f>IF(U43&lt;&gt;0,TEXT('ORDEN DE CUARENTENA'!$I$6,"aaa"),"")</f>
        <v/>
      </c>
      <c r="F43" s="173" t="str">
        <f>IF(U43&lt;&gt;0,TEXT('ORDEN DE CUARENTENA'!$I$6,"dd"),"")</f>
        <v/>
      </c>
      <c r="G43" s="172" t="str">
        <f>IF(U43&lt;&gt;0,TEXT('ORDEN DE CUARENTENA'!$I$6,"mm"),"")</f>
        <v/>
      </c>
      <c r="H43" s="171" t="str">
        <f>IF(U43&lt;&gt;0,TEXT('ORDEN DE CUARENTENA'!$I$6,"yyyy"),"")</f>
        <v/>
      </c>
      <c r="I43" s="154" t="str">
        <f>IF(U43&lt;&gt;0,'ORDEN DE CUARENTENA'!$H$7,"")</f>
        <v/>
      </c>
      <c r="J43" s="154" t="str">
        <f>IF(U43&lt;&gt;0,'ORDEN DE CUARENTENA'!$H$9,"")</f>
        <v/>
      </c>
      <c r="K43" s="154" t="str">
        <f>IF(U43&lt;&gt;0,'ORDEN DE CUARENTENA'!$Q$9,"")</f>
        <v/>
      </c>
      <c r="L43" s="154" t="str">
        <f>IFERROR(VLOOKUP(U43,Item[],4,FALSE),IFERROR(VLOOKUP(U43,Item2[],4,FALSE),""))</f>
        <v/>
      </c>
      <c r="M43" s="154" t="str">
        <f>IFERROR(VLOOKUP(U43,Item[],5,FALSE),IFERROR(VLOOKUP(U43,Item2[],5,FALSE),""))</f>
        <v/>
      </c>
      <c r="N43" s="154" t="str">
        <f>IFERROR(VLOOKUP(W43,SuscepEARs[],2,FALSE),"")</f>
        <v/>
      </c>
      <c r="O43" s="154" t="str">
        <f>IFERROR(VLOOKUP(DatosAll[[#This Row],[ESPECIE]],CITES[],2,FALSE),"")</f>
        <v/>
      </c>
      <c r="P43" s="154">
        <f>IFERROR(VLOOKUP(T43,Hallazgo[],2,FALSE),"")</f>
        <v>0</v>
      </c>
      <c r="Q43" s="154">
        <f>IFERROR(VLOOKUP(T43,Hallazgo[],3,FALSE),"")</f>
        <v>0</v>
      </c>
      <c r="R43" s="154">
        <f>IFERROR(VLOOKUP(T43,Hallazgo[],4,FALSE),"")</f>
        <v>0</v>
      </c>
      <c r="S43" s="154">
        <f>IFERROR(VLOOKUP(T43,Hallazgo[],5,FALSE),"")</f>
        <v>0</v>
      </c>
      <c r="T43" s="154">
        <f>'Acuario (Arribado - mortalidad)'!C55</f>
        <v>0</v>
      </c>
      <c r="U43" s="154">
        <f>'Acuario (Arribado - mortalidad)'!B55</f>
        <v>0</v>
      </c>
      <c r="V43" s="154" t="str">
        <f>'Acuario (Arribado - mortalidad)'!D55</f>
        <v/>
      </c>
      <c r="W43" s="154" t="str">
        <f>'Acuario (Arribado - mortalidad)'!E55</f>
        <v/>
      </c>
      <c r="X43" s="154">
        <f>'Acuario (Arribado - mortalidad)'!F55</f>
        <v>0</v>
      </c>
      <c r="Y43" s="154">
        <f>'Acuario (Arribado - mortalidad)'!H55</f>
        <v>0</v>
      </c>
      <c r="Z43" s="154">
        <f>'Acuario (Arribado - mortalidad)'!I55</f>
        <v>0</v>
      </c>
      <c r="AA43" s="154">
        <f>'Acuario (Arribado - mortalidad)'!J55</f>
        <v>0</v>
      </c>
      <c r="AB43" s="154" t="str">
        <f>'Acuario (Arribado - mortalidad)'!K55</f>
        <v/>
      </c>
      <c r="AC43" s="334" t="str">
        <f>IFERROR(('Acuario (Arribado - mortalidad)'!K55/DatosAll[[#This Row],[N_INDIVIDUOS]])*100,"")</f>
        <v/>
      </c>
      <c r="AD43" s="334" t="str">
        <f>IFERROR(('Acuario (Arribado - mortalidad)'!O55/DatosAll[[#This Row],[N_INDIVIDUOS]])*100,"")</f>
        <v/>
      </c>
      <c r="AE43" s="334" t="str">
        <f>IFERROR(('Acuario (Arribado - mortalidad)'!BG55/DatosAll[[#This Row],[N_INDIVIDUOS]])*100,"")</f>
        <v/>
      </c>
      <c r="AF43" s="334" t="str">
        <f>IFERROR(('Acuario (Arribado - mortalidad)'!BH55/DatosAll[[#This Row],[N_INDIVIDUOS]])*100,"")</f>
        <v/>
      </c>
      <c r="AG43" s="154">
        <f>'Acuario (Arribado - mortalidad)'!M55</f>
        <v>0</v>
      </c>
      <c r="AH43" s="154" t="str">
        <f>'Acuario (Arribado - mortalidad)'!G55</f>
        <v/>
      </c>
      <c r="AI43" s="154">
        <f>'Acuario (Arribado - mortalidad)'!O55</f>
        <v>0</v>
      </c>
      <c r="AJ43" s="154">
        <f>'Acuario (Arribado - mortalidad)'!P55</f>
        <v>0</v>
      </c>
      <c r="AK43" s="154">
        <f>'Acuario (Arribado - mortalidad)'!Q55</f>
        <v>0</v>
      </c>
      <c r="AL43" s="154">
        <f>'Acuario (Arribado - mortalidad)'!R55</f>
        <v>0</v>
      </c>
      <c r="AM43" s="154">
        <f>'Acuario (Arribado - mortalidad)'!S55</f>
        <v>0</v>
      </c>
      <c r="AN43" s="154">
        <f>'Acuario (Arribado - mortalidad)'!T55</f>
        <v>0</v>
      </c>
      <c r="AO43" s="154">
        <f>'Acuario (Arribado - mortalidad)'!U55</f>
        <v>0</v>
      </c>
      <c r="AP43" s="154">
        <f>'Acuario (Arribado - mortalidad)'!V55</f>
        <v>0</v>
      </c>
      <c r="AQ43" s="154">
        <f>'Acuario (Arribado - mortalidad)'!W55</f>
        <v>0</v>
      </c>
      <c r="AR43" s="154">
        <f>'Acuario (Arribado - mortalidad)'!X55</f>
        <v>0</v>
      </c>
      <c r="AS43" s="154">
        <f>'Acuario (Arribado - mortalidad)'!Y55</f>
        <v>0</v>
      </c>
      <c r="AT43" s="154">
        <f>'Acuario (Arribado - mortalidad)'!Z55</f>
        <v>0</v>
      </c>
      <c r="AU43" s="154">
        <f>'Acuario (Arribado - mortalidad)'!AA55</f>
        <v>0</v>
      </c>
      <c r="AV43" s="154">
        <f>'Acuario (Arribado - mortalidad)'!AB55</f>
        <v>0</v>
      </c>
      <c r="AW43" s="154">
        <f>'Acuario (Arribado - mortalidad)'!AC55</f>
        <v>0</v>
      </c>
      <c r="AX43" s="154">
        <f>'Acuario (Arribado - mortalidad)'!AD55</f>
        <v>0</v>
      </c>
      <c r="AY43" s="154">
        <f>'Acuario (Arribado - mortalidad)'!AE55</f>
        <v>0</v>
      </c>
      <c r="AZ43" s="154">
        <f>'Acuario (Arribado - mortalidad)'!AF55</f>
        <v>0</v>
      </c>
      <c r="BA43" s="154">
        <f>'Acuario (Arribado - mortalidad)'!AG55</f>
        <v>0</v>
      </c>
      <c r="BB43" s="154">
        <f>'Acuario (Arribado - mortalidad)'!AH55</f>
        <v>0</v>
      </c>
      <c r="BC43" s="154">
        <f>'Acuario (Arribado - mortalidad)'!AI55</f>
        <v>0</v>
      </c>
      <c r="BD43" s="154">
        <f>'Acuario (Arribado - mortalidad)'!AJ55</f>
        <v>0</v>
      </c>
      <c r="BE43" s="154">
        <f>'Acuario (Arribado - mortalidad)'!AK55</f>
        <v>0</v>
      </c>
      <c r="BF43" s="154">
        <f>'Acuario (Arribado - mortalidad)'!AL55</f>
        <v>0</v>
      </c>
      <c r="BG43" s="154">
        <f>'Acuario (Arribado - mortalidad)'!AM55</f>
        <v>0</v>
      </c>
      <c r="BH43" s="154">
        <f>'Acuario (Arribado - mortalidad)'!AN55</f>
        <v>0</v>
      </c>
      <c r="BI43" s="154">
        <f>'Acuario (Arribado - mortalidad)'!AO55</f>
        <v>0</v>
      </c>
      <c r="BJ43" s="154">
        <f>'Acuario (Arribado - mortalidad)'!AP55</f>
        <v>0</v>
      </c>
      <c r="BK43" s="154">
        <f>'Acuario (Arribado - mortalidad)'!AQ55</f>
        <v>0</v>
      </c>
      <c r="BL43" s="154">
        <f>'Acuario (Arribado - mortalidad)'!AR55</f>
        <v>0</v>
      </c>
      <c r="BM43" s="154" t="str">
        <f>'Acuario (Arribado - mortalidad)'!AS55</f>
        <v/>
      </c>
      <c r="BN43" s="154">
        <f>'Acuario (Arribado - mortalidad)'!AT55</f>
        <v>0</v>
      </c>
      <c r="BO43" s="154">
        <f>'Acuario (Arribado - mortalidad)'!AU55</f>
        <v>0</v>
      </c>
      <c r="BP43" s="154">
        <f>'Acuario (Arribado - mortalidad)'!AV55</f>
        <v>0</v>
      </c>
      <c r="BQ43" s="154" t="str">
        <f>'Acuario (Arribado - mortalidad)'!AW55</f>
        <v/>
      </c>
      <c r="BR43" s="154">
        <f>'Acuario (Arribado - mortalidad)'!AX55</f>
        <v>0</v>
      </c>
      <c r="BS43" s="154">
        <f>'Acuario (Arribado - mortalidad)'!AY55</f>
        <v>0</v>
      </c>
      <c r="BT43" s="154" t="str">
        <f>'Acuario (Arribado - mortalidad)'!AZ55</f>
        <v/>
      </c>
      <c r="BU43" s="154" t="str">
        <f>'Acuario (Arribado - mortalidad)'!BA55</f>
        <v/>
      </c>
      <c r="BV43" s="154" t="str">
        <f>'Acuario (Arribado - mortalidad)'!BB55</f>
        <v/>
      </c>
      <c r="BW43" s="154" t="str">
        <f>'Acuario (Arribado - mortalidad)'!BC55</f>
        <v/>
      </c>
      <c r="BX43" s="154">
        <f>'Acuario (Arribado - mortalidad)'!BD55</f>
        <v>0</v>
      </c>
      <c r="BY43" s="154" t="str">
        <f>'Acuario (Arribado - mortalidad)'!BE55</f>
        <v/>
      </c>
      <c r="BZ43" s="23" t="str">
        <f>'Acuario (Arribado - mortalidad)'!BF55</f>
        <v/>
      </c>
    </row>
    <row r="44" spans="1:78" x14ac:dyDescent="0.25">
      <c r="A44" s="154" t="str">
        <f>IF(U44&lt;&gt;0,'ORDEN DE CUARENTENA'!$AE$2,"")</f>
        <v/>
      </c>
      <c r="B44" s="190" t="str">
        <f>IF(U44&lt;&gt;0,'ORDEN DE CUARENTENA'!$AE$3,"")</f>
        <v/>
      </c>
      <c r="C44" s="174" t="str">
        <f t="shared" si="1"/>
        <v/>
      </c>
      <c r="D44" s="329" t="str">
        <f>IF(U44&lt;&gt;0,'ORDEN DE CUARENTENA'!$I$6,"")</f>
        <v/>
      </c>
      <c r="E44" s="174" t="str">
        <f>IF(U44&lt;&gt;0,TEXT('ORDEN DE CUARENTENA'!$I$6,"aaa"),"")</f>
        <v/>
      </c>
      <c r="F44" s="173" t="str">
        <f>IF(U44&lt;&gt;0,TEXT('ORDEN DE CUARENTENA'!$I$6,"dd"),"")</f>
        <v/>
      </c>
      <c r="G44" s="172" t="str">
        <f>IF(U44&lt;&gt;0,TEXT('ORDEN DE CUARENTENA'!$I$6,"mm"),"")</f>
        <v/>
      </c>
      <c r="H44" s="171" t="str">
        <f>IF(U44&lt;&gt;0,TEXT('ORDEN DE CUARENTENA'!$I$6,"yyyy"),"")</f>
        <v/>
      </c>
      <c r="I44" s="154" t="str">
        <f>IF(U44&lt;&gt;0,'ORDEN DE CUARENTENA'!$H$7,"")</f>
        <v/>
      </c>
      <c r="J44" s="154" t="str">
        <f>IF(U44&lt;&gt;0,'ORDEN DE CUARENTENA'!$H$9,"")</f>
        <v/>
      </c>
      <c r="K44" s="154" t="str">
        <f>IF(U44&lt;&gt;0,'ORDEN DE CUARENTENA'!$Q$9,"")</f>
        <v/>
      </c>
      <c r="L44" s="154" t="str">
        <f>IFERROR(VLOOKUP(U44,Item[],4,FALSE),IFERROR(VLOOKUP(U44,Item2[],4,FALSE),""))</f>
        <v/>
      </c>
      <c r="M44" s="154" t="str">
        <f>IFERROR(VLOOKUP(U44,Item[],5,FALSE),IFERROR(VLOOKUP(U44,Item2[],5,FALSE),""))</f>
        <v/>
      </c>
      <c r="N44" s="154" t="str">
        <f>IFERROR(VLOOKUP(W44,SuscepEARs[],2,FALSE),"")</f>
        <v/>
      </c>
      <c r="O44" s="154" t="str">
        <f>IFERROR(VLOOKUP(DatosAll[[#This Row],[ESPECIE]],CITES[],2,FALSE),"")</f>
        <v/>
      </c>
      <c r="P44" s="154">
        <f>IFERROR(VLOOKUP(T44,Hallazgo[],2,FALSE),"")</f>
        <v>0</v>
      </c>
      <c r="Q44" s="154">
        <f>IFERROR(VLOOKUP(T44,Hallazgo[],3,FALSE),"")</f>
        <v>0</v>
      </c>
      <c r="R44" s="154">
        <f>IFERROR(VLOOKUP(T44,Hallazgo[],4,FALSE),"")</f>
        <v>0</v>
      </c>
      <c r="S44" s="154">
        <f>IFERROR(VLOOKUP(T44,Hallazgo[],5,FALSE),"")</f>
        <v>0</v>
      </c>
      <c r="T44" s="154">
        <f>'Acuario (Arribado - mortalidad)'!C56</f>
        <v>0</v>
      </c>
      <c r="U44" s="154">
        <f>'Acuario (Arribado - mortalidad)'!B56</f>
        <v>0</v>
      </c>
      <c r="V44" s="154" t="str">
        <f>'Acuario (Arribado - mortalidad)'!D56</f>
        <v/>
      </c>
      <c r="W44" s="154" t="str">
        <f>'Acuario (Arribado - mortalidad)'!E56</f>
        <v/>
      </c>
      <c r="X44" s="154">
        <f>'Acuario (Arribado - mortalidad)'!F56</f>
        <v>0</v>
      </c>
      <c r="Y44" s="154">
        <f>'Acuario (Arribado - mortalidad)'!H56</f>
        <v>0</v>
      </c>
      <c r="Z44" s="154">
        <f>'Acuario (Arribado - mortalidad)'!I56</f>
        <v>0</v>
      </c>
      <c r="AA44" s="154">
        <f>'Acuario (Arribado - mortalidad)'!J56</f>
        <v>0</v>
      </c>
      <c r="AB44" s="154" t="str">
        <f>'Acuario (Arribado - mortalidad)'!K56</f>
        <v/>
      </c>
      <c r="AC44" s="334" t="str">
        <f>IFERROR(('Acuario (Arribado - mortalidad)'!K56/DatosAll[[#This Row],[N_INDIVIDUOS]])*100,"")</f>
        <v/>
      </c>
      <c r="AD44" s="334" t="str">
        <f>IFERROR(('Acuario (Arribado - mortalidad)'!O56/DatosAll[[#This Row],[N_INDIVIDUOS]])*100,"")</f>
        <v/>
      </c>
      <c r="AE44" s="334" t="str">
        <f>IFERROR(('Acuario (Arribado - mortalidad)'!BG56/DatosAll[[#This Row],[N_INDIVIDUOS]])*100,"")</f>
        <v/>
      </c>
      <c r="AF44" s="334" t="str">
        <f>IFERROR(('Acuario (Arribado - mortalidad)'!BH56/DatosAll[[#This Row],[N_INDIVIDUOS]])*100,"")</f>
        <v/>
      </c>
      <c r="AG44" s="154">
        <f>'Acuario (Arribado - mortalidad)'!M56</f>
        <v>0</v>
      </c>
      <c r="AH44" s="154" t="str">
        <f>'Acuario (Arribado - mortalidad)'!G56</f>
        <v/>
      </c>
      <c r="AI44" s="154">
        <f>'Acuario (Arribado - mortalidad)'!O56</f>
        <v>0</v>
      </c>
      <c r="AJ44" s="154">
        <f>'Acuario (Arribado - mortalidad)'!P56</f>
        <v>0</v>
      </c>
      <c r="AK44" s="154">
        <f>'Acuario (Arribado - mortalidad)'!Q56</f>
        <v>0</v>
      </c>
      <c r="AL44" s="154">
        <f>'Acuario (Arribado - mortalidad)'!R56</f>
        <v>0</v>
      </c>
      <c r="AM44" s="154">
        <f>'Acuario (Arribado - mortalidad)'!S56</f>
        <v>0</v>
      </c>
      <c r="AN44" s="154">
        <f>'Acuario (Arribado - mortalidad)'!T56</f>
        <v>0</v>
      </c>
      <c r="AO44" s="154">
        <f>'Acuario (Arribado - mortalidad)'!U56</f>
        <v>0</v>
      </c>
      <c r="AP44" s="154">
        <f>'Acuario (Arribado - mortalidad)'!V56</f>
        <v>0</v>
      </c>
      <c r="AQ44" s="154">
        <f>'Acuario (Arribado - mortalidad)'!W56</f>
        <v>0</v>
      </c>
      <c r="AR44" s="154">
        <f>'Acuario (Arribado - mortalidad)'!X56</f>
        <v>0</v>
      </c>
      <c r="AS44" s="154">
        <f>'Acuario (Arribado - mortalidad)'!Y56</f>
        <v>0</v>
      </c>
      <c r="AT44" s="154">
        <f>'Acuario (Arribado - mortalidad)'!Z56</f>
        <v>0</v>
      </c>
      <c r="AU44" s="154">
        <f>'Acuario (Arribado - mortalidad)'!AA56</f>
        <v>0</v>
      </c>
      <c r="AV44" s="154">
        <f>'Acuario (Arribado - mortalidad)'!AB56</f>
        <v>0</v>
      </c>
      <c r="AW44" s="154">
        <f>'Acuario (Arribado - mortalidad)'!AC56</f>
        <v>0</v>
      </c>
      <c r="AX44" s="154">
        <f>'Acuario (Arribado - mortalidad)'!AD56</f>
        <v>0</v>
      </c>
      <c r="AY44" s="154">
        <f>'Acuario (Arribado - mortalidad)'!AE56</f>
        <v>0</v>
      </c>
      <c r="AZ44" s="154">
        <f>'Acuario (Arribado - mortalidad)'!AF56</f>
        <v>0</v>
      </c>
      <c r="BA44" s="154">
        <f>'Acuario (Arribado - mortalidad)'!AG56</f>
        <v>0</v>
      </c>
      <c r="BB44" s="154">
        <f>'Acuario (Arribado - mortalidad)'!AH56</f>
        <v>0</v>
      </c>
      <c r="BC44" s="154">
        <f>'Acuario (Arribado - mortalidad)'!AI56</f>
        <v>0</v>
      </c>
      <c r="BD44" s="154">
        <f>'Acuario (Arribado - mortalidad)'!AJ56</f>
        <v>0</v>
      </c>
      <c r="BE44" s="154">
        <f>'Acuario (Arribado - mortalidad)'!AK56</f>
        <v>0</v>
      </c>
      <c r="BF44" s="154">
        <f>'Acuario (Arribado - mortalidad)'!AL56</f>
        <v>0</v>
      </c>
      <c r="BG44" s="154">
        <f>'Acuario (Arribado - mortalidad)'!AM56</f>
        <v>0</v>
      </c>
      <c r="BH44" s="154">
        <f>'Acuario (Arribado - mortalidad)'!AN56</f>
        <v>0</v>
      </c>
      <c r="BI44" s="154">
        <f>'Acuario (Arribado - mortalidad)'!AO56</f>
        <v>0</v>
      </c>
      <c r="BJ44" s="154">
        <f>'Acuario (Arribado - mortalidad)'!AP56</f>
        <v>0</v>
      </c>
      <c r="BK44" s="154">
        <f>'Acuario (Arribado - mortalidad)'!AQ56</f>
        <v>0</v>
      </c>
      <c r="BL44" s="154">
        <f>'Acuario (Arribado - mortalidad)'!AR56</f>
        <v>0</v>
      </c>
      <c r="BM44" s="154" t="str">
        <f>'Acuario (Arribado - mortalidad)'!AS56</f>
        <v/>
      </c>
      <c r="BN44" s="154">
        <f>'Acuario (Arribado - mortalidad)'!AT56</f>
        <v>0</v>
      </c>
      <c r="BO44" s="154">
        <f>'Acuario (Arribado - mortalidad)'!AU56</f>
        <v>0</v>
      </c>
      <c r="BP44" s="154">
        <f>'Acuario (Arribado - mortalidad)'!AV56</f>
        <v>0</v>
      </c>
      <c r="BQ44" s="154" t="str">
        <f>'Acuario (Arribado - mortalidad)'!AW56</f>
        <v/>
      </c>
      <c r="BR44" s="154">
        <f>'Acuario (Arribado - mortalidad)'!AX56</f>
        <v>0</v>
      </c>
      <c r="BS44" s="154">
        <f>'Acuario (Arribado - mortalidad)'!AY56</f>
        <v>0</v>
      </c>
      <c r="BT44" s="154" t="str">
        <f>'Acuario (Arribado - mortalidad)'!AZ56</f>
        <v/>
      </c>
      <c r="BU44" s="154" t="str">
        <f>'Acuario (Arribado - mortalidad)'!BA56</f>
        <v/>
      </c>
      <c r="BV44" s="154" t="str">
        <f>'Acuario (Arribado - mortalidad)'!BB56</f>
        <v/>
      </c>
      <c r="BW44" s="154" t="str">
        <f>'Acuario (Arribado - mortalidad)'!BC56</f>
        <v/>
      </c>
      <c r="BX44" s="154">
        <f>'Acuario (Arribado - mortalidad)'!BD56</f>
        <v>0</v>
      </c>
      <c r="BY44" s="154" t="str">
        <f>'Acuario (Arribado - mortalidad)'!BE56</f>
        <v/>
      </c>
      <c r="BZ44" s="23" t="str">
        <f>'Acuario (Arribado - mortalidad)'!BF56</f>
        <v/>
      </c>
    </row>
    <row r="45" spans="1:78" x14ac:dyDescent="0.25">
      <c r="A45" s="154" t="str">
        <f>IF(U45&lt;&gt;0,'ORDEN DE CUARENTENA'!$AE$2,"")</f>
        <v/>
      </c>
      <c r="B45" s="190" t="str">
        <f>IF(U45&lt;&gt;0,'ORDEN DE CUARENTENA'!$AE$3,"")</f>
        <v/>
      </c>
      <c r="C45" s="174" t="str">
        <f t="shared" si="1"/>
        <v/>
      </c>
      <c r="D45" s="329" t="str">
        <f>IF(U45&lt;&gt;0,'ORDEN DE CUARENTENA'!$I$6,"")</f>
        <v/>
      </c>
      <c r="E45" s="174" t="str">
        <f>IF(U45&lt;&gt;0,TEXT('ORDEN DE CUARENTENA'!$I$6,"aaa"),"")</f>
        <v/>
      </c>
      <c r="F45" s="173" t="str">
        <f>IF(U45&lt;&gt;0,TEXT('ORDEN DE CUARENTENA'!$I$6,"dd"),"")</f>
        <v/>
      </c>
      <c r="G45" s="172" t="str">
        <f>IF(U45&lt;&gt;0,TEXT('ORDEN DE CUARENTENA'!$I$6,"mm"),"")</f>
        <v/>
      </c>
      <c r="H45" s="171" t="str">
        <f>IF(U45&lt;&gt;0,TEXT('ORDEN DE CUARENTENA'!$I$6,"yyyy"),"")</f>
        <v/>
      </c>
      <c r="I45" s="154" t="str">
        <f>IF(U45&lt;&gt;0,'ORDEN DE CUARENTENA'!$H$7,"")</f>
        <v/>
      </c>
      <c r="J45" s="154" t="str">
        <f>IF(U45&lt;&gt;0,'ORDEN DE CUARENTENA'!$H$9,"")</f>
        <v/>
      </c>
      <c r="K45" s="154" t="str">
        <f>IF(U45&lt;&gt;0,'ORDEN DE CUARENTENA'!$Q$9,"")</f>
        <v/>
      </c>
      <c r="L45" s="154" t="str">
        <f>IFERROR(VLOOKUP(U45,Item[],4,FALSE),IFERROR(VLOOKUP(U45,Item2[],4,FALSE),""))</f>
        <v/>
      </c>
      <c r="M45" s="154" t="str">
        <f>IFERROR(VLOOKUP(U45,Item[],5,FALSE),IFERROR(VLOOKUP(U45,Item2[],5,FALSE),""))</f>
        <v/>
      </c>
      <c r="N45" s="154" t="str">
        <f>IFERROR(VLOOKUP(W45,SuscepEARs[],2,FALSE),"")</f>
        <v/>
      </c>
      <c r="O45" s="154" t="str">
        <f>IFERROR(VLOOKUP(DatosAll[[#This Row],[ESPECIE]],CITES[],2,FALSE),"")</f>
        <v/>
      </c>
      <c r="P45" s="154">
        <f>IFERROR(VLOOKUP(T45,Hallazgo[],2,FALSE),"")</f>
        <v>0</v>
      </c>
      <c r="Q45" s="154">
        <f>IFERROR(VLOOKUP(T45,Hallazgo[],3,FALSE),"")</f>
        <v>0</v>
      </c>
      <c r="R45" s="154">
        <f>IFERROR(VLOOKUP(T45,Hallazgo[],4,FALSE),"")</f>
        <v>0</v>
      </c>
      <c r="S45" s="154">
        <f>IFERROR(VLOOKUP(T45,Hallazgo[],5,FALSE),"")</f>
        <v>0</v>
      </c>
      <c r="T45" s="154">
        <f>'Acuario (Arribado - mortalidad)'!C57</f>
        <v>0</v>
      </c>
      <c r="U45" s="154">
        <f>'Acuario (Arribado - mortalidad)'!B57</f>
        <v>0</v>
      </c>
      <c r="V45" s="154" t="str">
        <f>'Acuario (Arribado - mortalidad)'!D57</f>
        <v/>
      </c>
      <c r="W45" s="154" t="str">
        <f>'Acuario (Arribado - mortalidad)'!E57</f>
        <v/>
      </c>
      <c r="X45" s="154">
        <f>'Acuario (Arribado - mortalidad)'!F57</f>
        <v>0</v>
      </c>
      <c r="Y45" s="154">
        <f>'Acuario (Arribado - mortalidad)'!H57</f>
        <v>0</v>
      </c>
      <c r="Z45" s="154">
        <f>'Acuario (Arribado - mortalidad)'!I57</f>
        <v>0</v>
      </c>
      <c r="AA45" s="154">
        <f>'Acuario (Arribado - mortalidad)'!J57</f>
        <v>0</v>
      </c>
      <c r="AB45" s="154" t="str">
        <f>'Acuario (Arribado - mortalidad)'!K57</f>
        <v/>
      </c>
      <c r="AC45" s="334" t="str">
        <f>IFERROR(('Acuario (Arribado - mortalidad)'!K57/DatosAll[[#This Row],[N_INDIVIDUOS]])*100,"")</f>
        <v/>
      </c>
      <c r="AD45" s="334" t="str">
        <f>IFERROR(('Acuario (Arribado - mortalidad)'!O57/DatosAll[[#This Row],[N_INDIVIDUOS]])*100,"")</f>
        <v/>
      </c>
      <c r="AE45" s="334" t="str">
        <f>IFERROR(('Acuario (Arribado - mortalidad)'!BG57/DatosAll[[#This Row],[N_INDIVIDUOS]])*100,"")</f>
        <v/>
      </c>
      <c r="AF45" s="334" t="str">
        <f>IFERROR(('Acuario (Arribado - mortalidad)'!BH57/DatosAll[[#This Row],[N_INDIVIDUOS]])*100,"")</f>
        <v/>
      </c>
      <c r="AG45" s="154">
        <f>'Acuario (Arribado - mortalidad)'!M57</f>
        <v>0</v>
      </c>
      <c r="AH45" s="154" t="str">
        <f>'Acuario (Arribado - mortalidad)'!G57</f>
        <v/>
      </c>
      <c r="AI45" s="154">
        <f>'Acuario (Arribado - mortalidad)'!O57</f>
        <v>0</v>
      </c>
      <c r="AJ45" s="154">
        <f>'Acuario (Arribado - mortalidad)'!P57</f>
        <v>0</v>
      </c>
      <c r="AK45" s="154">
        <f>'Acuario (Arribado - mortalidad)'!Q57</f>
        <v>0</v>
      </c>
      <c r="AL45" s="154">
        <f>'Acuario (Arribado - mortalidad)'!R57</f>
        <v>0</v>
      </c>
      <c r="AM45" s="154">
        <f>'Acuario (Arribado - mortalidad)'!S57</f>
        <v>0</v>
      </c>
      <c r="AN45" s="154">
        <f>'Acuario (Arribado - mortalidad)'!T57</f>
        <v>0</v>
      </c>
      <c r="AO45" s="154">
        <f>'Acuario (Arribado - mortalidad)'!U57</f>
        <v>0</v>
      </c>
      <c r="AP45" s="154">
        <f>'Acuario (Arribado - mortalidad)'!V57</f>
        <v>0</v>
      </c>
      <c r="AQ45" s="154">
        <f>'Acuario (Arribado - mortalidad)'!W57</f>
        <v>0</v>
      </c>
      <c r="AR45" s="154">
        <f>'Acuario (Arribado - mortalidad)'!X57</f>
        <v>0</v>
      </c>
      <c r="AS45" s="154">
        <f>'Acuario (Arribado - mortalidad)'!Y57</f>
        <v>0</v>
      </c>
      <c r="AT45" s="154">
        <f>'Acuario (Arribado - mortalidad)'!Z57</f>
        <v>0</v>
      </c>
      <c r="AU45" s="154">
        <f>'Acuario (Arribado - mortalidad)'!AA57</f>
        <v>0</v>
      </c>
      <c r="AV45" s="154">
        <f>'Acuario (Arribado - mortalidad)'!AB57</f>
        <v>0</v>
      </c>
      <c r="AW45" s="154">
        <f>'Acuario (Arribado - mortalidad)'!AC57</f>
        <v>0</v>
      </c>
      <c r="AX45" s="154">
        <f>'Acuario (Arribado - mortalidad)'!AD57</f>
        <v>0</v>
      </c>
      <c r="AY45" s="154">
        <f>'Acuario (Arribado - mortalidad)'!AE57</f>
        <v>0</v>
      </c>
      <c r="AZ45" s="154">
        <f>'Acuario (Arribado - mortalidad)'!AF57</f>
        <v>0</v>
      </c>
      <c r="BA45" s="154">
        <f>'Acuario (Arribado - mortalidad)'!AG57</f>
        <v>0</v>
      </c>
      <c r="BB45" s="154">
        <f>'Acuario (Arribado - mortalidad)'!AH57</f>
        <v>0</v>
      </c>
      <c r="BC45" s="154">
        <f>'Acuario (Arribado - mortalidad)'!AI57</f>
        <v>0</v>
      </c>
      <c r="BD45" s="154">
        <f>'Acuario (Arribado - mortalidad)'!AJ57</f>
        <v>0</v>
      </c>
      <c r="BE45" s="154">
        <f>'Acuario (Arribado - mortalidad)'!AK57</f>
        <v>0</v>
      </c>
      <c r="BF45" s="154">
        <f>'Acuario (Arribado - mortalidad)'!AL57</f>
        <v>0</v>
      </c>
      <c r="BG45" s="154">
        <f>'Acuario (Arribado - mortalidad)'!AM57</f>
        <v>0</v>
      </c>
      <c r="BH45" s="154">
        <f>'Acuario (Arribado - mortalidad)'!AN57</f>
        <v>0</v>
      </c>
      <c r="BI45" s="154">
        <f>'Acuario (Arribado - mortalidad)'!AO57</f>
        <v>0</v>
      </c>
      <c r="BJ45" s="154">
        <f>'Acuario (Arribado - mortalidad)'!AP57</f>
        <v>0</v>
      </c>
      <c r="BK45" s="154">
        <f>'Acuario (Arribado - mortalidad)'!AQ57</f>
        <v>0</v>
      </c>
      <c r="BL45" s="154">
        <f>'Acuario (Arribado - mortalidad)'!AR57</f>
        <v>0</v>
      </c>
      <c r="BM45" s="154" t="str">
        <f>'Acuario (Arribado - mortalidad)'!AS57</f>
        <v/>
      </c>
      <c r="BN45" s="154">
        <f>'Acuario (Arribado - mortalidad)'!AT57</f>
        <v>0</v>
      </c>
      <c r="BO45" s="154">
        <f>'Acuario (Arribado - mortalidad)'!AU57</f>
        <v>0</v>
      </c>
      <c r="BP45" s="154">
        <f>'Acuario (Arribado - mortalidad)'!AV57</f>
        <v>0</v>
      </c>
      <c r="BQ45" s="154" t="str">
        <f>'Acuario (Arribado - mortalidad)'!AW57</f>
        <v/>
      </c>
      <c r="BR45" s="154">
        <f>'Acuario (Arribado - mortalidad)'!AX57</f>
        <v>0</v>
      </c>
      <c r="BS45" s="154">
        <f>'Acuario (Arribado - mortalidad)'!AY57</f>
        <v>0</v>
      </c>
      <c r="BT45" s="154" t="str">
        <f>'Acuario (Arribado - mortalidad)'!AZ57</f>
        <v/>
      </c>
      <c r="BU45" s="154" t="str">
        <f>'Acuario (Arribado - mortalidad)'!BA57</f>
        <v/>
      </c>
      <c r="BV45" s="154" t="str">
        <f>'Acuario (Arribado - mortalidad)'!BB57</f>
        <v/>
      </c>
      <c r="BW45" s="154" t="str">
        <f>'Acuario (Arribado - mortalidad)'!BC57</f>
        <v/>
      </c>
      <c r="BX45" s="154">
        <f>'Acuario (Arribado - mortalidad)'!BD57</f>
        <v>0</v>
      </c>
      <c r="BY45" s="154" t="str">
        <f>'Acuario (Arribado - mortalidad)'!BE57</f>
        <v/>
      </c>
      <c r="BZ45" s="23" t="str">
        <f>'Acuario (Arribado - mortalidad)'!BF57</f>
        <v/>
      </c>
    </row>
    <row r="46" spans="1:78" x14ac:dyDescent="0.25">
      <c r="A46" s="154" t="str">
        <f>IF(U46&lt;&gt;0,'ORDEN DE CUARENTENA'!$AE$2,"")</f>
        <v/>
      </c>
      <c r="B46" s="190" t="str">
        <f>IF(U46&lt;&gt;0,'ORDEN DE CUARENTENA'!$AE$3,"")</f>
        <v/>
      </c>
      <c r="C46" s="174" t="str">
        <f t="shared" si="1"/>
        <v/>
      </c>
      <c r="D46" s="329" t="str">
        <f>IF(U46&lt;&gt;0,'ORDEN DE CUARENTENA'!$I$6,"")</f>
        <v/>
      </c>
      <c r="E46" s="174" t="str">
        <f>IF(U46&lt;&gt;0,TEXT('ORDEN DE CUARENTENA'!$I$6,"aaa"),"")</f>
        <v/>
      </c>
      <c r="F46" s="173" t="str">
        <f>IF(U46&lt;&gt;0,TEXT('ORDEN DE CUARENTENA'!$I$6,"dd"),"")</f>
        <v/>
      </c>
      <c r="G46" s="172" t="str">
        <f>IF(U46&lt;&gt;0,TEXT('ORDEN DE CUARENTENA'!$I$6,"mm"),"")</f>
        <v/>
      </c>
      <c r="H46" s="171" t="str">
        <f>IF(U46&lt;&gt;0,TEXT('ORDEN DE CUARENTENA'!$I$6,"yyyy"),"")</f>
        <v/>
      </c>
      <c r="I46" s="154" t="str">
        <f>IF(U46&lt;&gt;0,'ORDEN DE CUARENTENA'!$H$7,"")</f>
        <v/>
      </c>
      <c r="J46" s="154" t="str">
        <f>IF(U46&lt;&gt;0,'ORDEN DE CUARENTENA'!$H$9,"")</f>
        <v/>
      </c>
      <c r="K46" s="154" t="str">
        <f>IF(U46&lt;&gt;0,'ORDEN DE CUARENTENA'!$Q$9,"")</f>
        <v/>
      </c>
      <c r="L46" s="154" t="str">
        <f>IFERROR(VLOOKUP(U46,Item[],4,FALSE),IFERROR(VLOOKUP(U46,Item2[],4,FALSE),""))</f>
        <v/>
      </c>
      <c r="M46" s="154" t="str">
        <f>IFERROR(VLOOKUP(U46,Item[],5,FALSE),IFERROR(VLOOKUP(U46,Item2[],5,FALSE),""))</f>
        <v/>
      </c>
      <c r="N46" s="154" t="str">
        <f>IFERROR(VLOOKUP(W46,SuscepEARs[],2,FALSE),"")</f>
        <v/>
      </c>
      <c r="O46" s="154" t="str">
        <f>IFERROR(VLOOKUP(DatosAll[[#This Row],[ESPECIE]],CITES[],2,FALSE),"")</f>
        <v/>
      </c>
      <c r="P46" s="154">
        <f>IFERROR(VLOOKUP(T46,Hallazgo[],2,FALSE),"")</f>
        <v>0</v>
      </c>
      <c r="Q46" s="154">
        <f>IFERROR(VLOOKUP(T46,Hallazgo[],3,FALSE),"")</f>
        <v>0</v>
      </c>
      <c r="R46" s="154">
        <f>IFERROR(VLOOKUP(T46,Hallazgo[],4,FALSE),"")</f>
        <v>0</v>
      </c>
      <c r="S46" s="154">
        <f>IFERROR(VLOOKUP(T46,Hallazgo[],5,FALSE),"")</f>
        <v>0</v>
      </c>
      <c r="T46" s="154">
        <f>'Acuario (Arribado - mortalidad)'!C58</f>
        <v>0</v>
      </c>
      <c r="U46" s="154">
        <f>'Acuario (Arribado - mortalidad)'!B58</f>
        <v>0</v>
      </c>
      <c r="V46" s="154" t="str">
        <f>'Acuario (Arribado - mortalidad)'!D58</f>
        <v/>
      </c>
      <c r="W46" s="154" t="str">
        <f>'Acuario (Arribado - mortalidad)'!E58</f>
        <v/>
      </c>
      <c r="X46" s="154">
        <f>'Acuario (Arribado - mortalidad)'!F58</f>
        <v>0</v>
      </c>
      <c r="Y46" s="154">
        <f>'Acuario (Arribado - mortalidad)'!H58</f>
        <v>0</v>
      </c>
      <c r="Z46" s="154">
        <f>'Acuario (Arribado - mortalidad)'!I58</f>
        <v>0</v>
      </c>
      <c r="AA46" s="154">
        <f>'Acuario (Arribado - mortalidad)'!J58</f>
        <v>0</v>
      </c>
      <c r="AB46" s="154" t="str">
        <f>'Acuario (Arribado - mortalidad)'!K58</f>
        <v/>
      </c>
      <c r="AC46" s="334" t="str">
        <f>IFERROR(('Acuario (Arribado - mortalidad)'!K58/DatosAll[[#This Row],[N_INDIVIDUOS]])*100,"")</f>
        <v/>
      </c>
      <c r="AD46" s="334" t="str">
        <f>IFERROR(('Acuario (Arribado - mortalidad)'!O58/DatosAll[[#This Row],[N_INDIVIDUOS]])*100,"")</f>
        <v/>
      </c>
      <c r="AE46" s="334" t="str">
        <f>IFERROR(('Acuario (Arribado - mortalidad)'!BG58/DatosAll[[#This Row],[N_INDIVIDUOS]])*100,"")</f>
        <v/>
      </c>
      <c r="AF46" s="334" t="str">
        <f>IFERROR(('Acuario (Arribado - mortalidad)'!BH58/DatosAll[[#This Row],[N_INDIVIDUOS]])*100,"")</f>
        <v/>
      </c>
      <c r="AG46" s="154">
        <f>'Acuario (Arribado - mortalidad)'!M58</f>
        <v>0</v>
      </c>
      <c r="AH46" s="154" t="str">
        <f>'Acuario (Arribado - mortalidad)'!G58</f>
        <v/>
      </c>
      <c r="AI46" s="154">
        <f>'Acuario (Arribado - mortalidad)'!O58</f>
        <v>0</v>
      </c>
      <c r="AJ46" s="154">
        <f>'Acuario (Arribado - mortalidad)'!P58</f>
        <v>0</v>
      </c>
      <c r="AK46" s="154">
        <f>'Acuario (Arribado - mortalidad)'!Q58</f>
        <v>0</v>
      </c>
      <c r="AL46" s="154">
        <f>'Acuario (Arribado - mortalidad)'!R58</f>
        <v>0</v>
      </c>
      <c r="AM46" s="154">
        <f>'Acuario (Arribado - mortalidad)'!S58</f>
        <v>0</v>
      </c>
      <c r="AN46" s="154">
        <f>'Acuario (Arribado - mortalidad)'!T58</f>
        <v>0</v>
      </c>
      <c r="AO46" s="154">
        <f>'Acuario (Arribado - mortalidad)'!U58</f>
        <v>0</v>
      </c>
      <c r="AP46" s="154">
        <f>'Acuario (Arribado - mortalidad)'!V58</f>
        <v>0</v>
      </c>
      <c r="AQ46" s="154">
        <f>'Acuario (Arribado - mortalidad)'!W58</f>
        <v>0</v>
      </c>
      <c r="AR46" s="154">
        <f>'Acuario (Arribado - mortalidad)'!X58</f>
        <v>0</v>
      </c>
      <c r="AS46" s="154">
        <f>'Acuario (Arribado - mortalidad)'!Y58</f>
        <v>0</v>
      </c>
      <c r="AT46" s="154">
        <f>'Acuario (Arribado - mortalidad)'!Z58</f>
        <v>0</v>
      </c>
      <c r="AU46" s="154">
        <f>'Acuario (Arribado - mortalidad)'!AA58</f>
        <v>0</v>
      </c>
      <c r="AV46" s="154">
        <f>'Acuario (Arribado - mortalidad)'!AB58</f>
        <v>0</v>
      </c>
      <c r="AW46" s="154">
        <f>'Acuario (Arribado - mortalidad)'!AC58</f>
        <v>0</v>
      </c>
      <c r="AX46" s="154">
        <f>'Acuario (Arribado - mortalidad)'!AD58</f>
        <v>0</v>
      </c>
      <c r="AY46" s="154">
        <f>'Acuario (Arribado - mortalidad)'!AE58</f>
        <v>0</v>
      </c>
      <c r="AZ46" s="154">
        <f>'Acuario (Arribado - mortalidad)'!AF58</f>
        <v>0</v>
      </c>
      <c r="BA46" s="154">
        <f>'Acuario (Arribado - mortalidad)'!AG58</f>
        <v>0</v>
      </c>
      <c r="BB46" s="154">
        <f>'Acuario (Arribado - mortalidad)'!AH58</f>
        <v>0</v>
      </c>
      <c r="BC46" s="154">
        <f>'Acuario (Arribado - mortalidad)'!AI58</f>
        <v>0</v>
      </c>
      <c r="BD46" s="154">
        <f>'Acuario (Arribado - mortalidad)'!AJ58</f>
        <v>0</v>
      </c>
      <c r="BE46" s="154">
        <f>'Acuario (Arribado - mortalidad)'!AK58</f>
        <v>0</v>
      </c>
      <c r="BF46" s="154">
        <f>'Acuario (Arribado - mortalidad)'!AL58</f>
        <v>0</v>
      </c>
      <c r="BG46" s="154">
        <f>'Acuario (Arribado - mortalidad)'!AM58</f>
        <v>0</v>
      </c>
      <c r="BH46" s="154">
        <f>'Acuario (Arribado - mortalidad)'!AN58</f>
        <v>0</v>
      </c>
      <c r="BI46" s="154">
        <f>'Acuario (Arribado - mortalidad)'!AO58</f>
        <v>0</v>
      </c>
      <c r="BJ46" s="154">
        <f>'Acuario (Arribado - mortalidad)'!AP58</f>
        <v>0</v>
      </c>
      <c r="BK46" s="154">
        <f>'Acuario (Arribado - mortalidad)'!AQ58</f>
        <v>0</v>
      </c>
      <c r="BL46" s="154">
        <f>'Acuario (Arribado - mortalidad)'!AR58</f>
        <v>0</v>
      </c>
      <c r="BM46" s="154" t="str">
        <f>'Acuario (Arribado - mortalidad)'!AS58</f>
        <v/>
      </c>
      <c r="BN46" s="154">
        <f>'Acuario (Arribado - mortalidad)'!AT58</f>
        <v>0</v>
      </c>
      <c r="BO46" s="154">
        <f>'Acuario (Arribado - mortalidad)'!AU58</f>
        <v>0</v>
      </c>
      <c r="BP46" s="154">
        <f>'Acuario (Arribado - mortalidad)'!AV58</f>
        <v>0</v>
      </c>
      <c r="BQ46" s="154" t="str">
        <f>'Acuario (Arribado - mortalidad)'!AW58</f>
        <v/>
      </c>
      <c r="BR46" s="154">
        <f>'Acuario (Arribado - mortalidad)'!AX58</f>
        <v>0</v>
      </c>
      <c r="BS46" s="154">
        <f>'Acuario (Arribado - mortalidad)'!AY58</f>
        <v>0</v>
      </c>
      <c r="BT46" s="154" t="str">
        <f>'Acuario (Arribado - mortalidad)'!AZ58</f>
        <v/>
      </c>
      <c r="BU46" s="154" t="str">
        <f>'Acuario (Arribado - mortalidad)'!BA58</f>
        <v/>
      </c>
      <c r="BV46" s="154" t="str">
        <f>'Acuario (Arribado - mortalidad)'!BB58</f>
        <v/>
      </c>
      <c r="BW46" s="154" t="str">
        <f>'Acuario (Arribado - mortalidad)'!BC58</f>
        <v/>
      </c>
      <c r="BX46" s="154">
        <f>'Acuario (Arribado - mortalidad)'!BD58</f>
        <v>0</v>
      </c>
      <c r="BY46" s="154" t="str">
        <f>'Acuario (Arribado - mortalidad)'!BE58</f>
        <v/>
      </c>
      <c r="BZ46" s="23" t="str">
        <f>'Acuario (Arribado - mortalidad)'!BF58</f>
        <v/>
      </c>
    </row>
    <row r="47" spans="1:78" x14ac:dyDescent="0.25">
      <c r="A47" s="154" t="str">
        <f>IF(U47&lt;&gt;0,'ORDEN DE CUARENTENA'!$AE$2,"")</f>
        <v/>
      </c>
      <c r="B47" s="190" t="str">
        <f>IF(U47&lt;&gt;0,'ORDEN DE CUARENTENA'!$AE$3,"")</f>
        <v/>
      </c>
      <c r="C47" s="174" t="str">
        <f t="shared" si="1"/>
        <v/>
      </c>
      <c r="D47" s="329" t="str">
        <f>IF(U47&lt;&gt;0,'ORDEN DE CUARENTENA'!$I$6,"")</f>
        <v/>
      </c>
      <c r="E47" s="174" t="str">
        <f>IF(U47&lt;&gt;0,TEXT('ORDEN DE CUARENTENA'!$I$6,"aaa"),"")</f>
        <v/>
      </c>
      <c r="F47" s="173" t="str">
        <f>IF(U47&lt;&gt;0,TEXT('ORDEN DE CUARENTENA'!$I$6,"dd"),"")</f>
        <v/>
      </c>
      <c r="G47" s="172" t="str">
        <f>IF(U47&lt;&gt;0,TEXT('ORDEN DE CUARENTENA'!$I$6,"mm"),"")</f>
        <v/>
      </c>
      <c r="H47" s="171" t="str">
        <f>IF(U47&lt;&gt;0,TEXT('ORDEN DE CUARENTENA'!$I$6,"yyyy"),"")</f>
        <v/>
      </c>
      <c r="I47" s="154" t="str">
        <f>IF(U47&lt;&gt;0,'ORDEN DE CUARENTENA'!$H$7,"")</f>
        <v/>
      </c>
      <c r="J47" s="154" t="str">
        <f>IF(U47&lt;&gt;0,'ORDEN DE CUARENTENA'!$H$9,"")</f>
        <v/>
      </c>
      <c r="K47" s="154" t="str">
        <f>IF(U47&lt;&gt;0,'ORDEN DE CUARENTENA'!$Q$9,"")</f>
        <v/>
      </c>
      <c r="L47" s="154" t="str">
        <f>IFERROR(VLOOKUP(U47,Item[],4,FALSE),IFERROR(VLOOKUP(U47,Item2[],4,FALSE),""))</f>
        <v/>
      </c>
      <c r="M47" s="154" t="str">
        <f>IFERROR(VLOOKUP(U47,Item[],5,FALSE),IFERROR(VLOOKUP(U47,Item2[],5,FALSE),""))</f>
        <v/>
      </c>
      <c r="N47" s="154" t="str">
        <f>IFERROR(VLOOKUP(W47,SuscepEARs[],2,FALSE),"")</f>
        <v/>
      </c>
      <c r="O47" s="154" t="str">
        <f>IFERROR(VLOOKUP(DatosAll[[#This Row],[ESPECIE]],CITES[],2,FALSE),"")</f>
        <v/>
      </c>
      <c r="P47" s="154">
        <f>IFERROR(VLOOKUP(T47,Hallazgo[],2,FALSE),"")</f>
        <v>0</v>
      </c>
      <c r="Q47" s="154">
        <f>IFERROR(VLOOKUP(T47,Hallazgo[],3,FALSE),"")</f>
        <v>0</v>
      </c>
      <c r="R47" s="154">
        <f>IFERROR(VLOOKUP(T47,Hallazgo[],4,FALSE),"")</f>
        <v>0</v>
      </c>
      <c r="S47" s="154">
        <f>IFERROR(VLOOKUP(T47,Hallazgo[],5,FALSE),"")</f>
        <v>0</v>
      </c>
      <c r="T47" s="154">
        <f>'Acuario (Arribado - mortalidad)'!C59</f>
        <v>0</v>
      </c>
      <c r="U47" s="154">
        <f>'Acuario (Arribado - mortalidad)'!B59</f>
        <v>0</v>
      </c>
      <c r="V47" s="154" t="str">
        <f>'Acuario (Arribado - mortalidad)'!D59</f>
        <v/>
      </c>
      <c r="W47" s="154" t="str">
        <f>'Acuario (Arribado - mortalidad)'!E59</f>
        <v/>
      </c>
      <c r="X47" s="154">
        <f>'Acuario (Arribado - mortalidad)'!F59</f>
        <v>0</v>
      </c>
      <c r="Y47" s="154">
        <f>'Acuario (Arribado - mortalidad)'!H59</f>
        <v>0</v>
      </c>
      <c r="Z47" s="154">
        <f>'Acuario (Arribado - mortalidad)'!I59</f>
        <v>0</v>
      </c>
      <c r="AA47" s="154">
        <f>'Acuario (Arribado - mortalidad)'!J59</f>
        <v>0</v>
      </c>
      <c r="AB47" s="154" t="str">
        <f>'Acuario (Arribado - mortalidad)'!K59</f>
        <v/>
      </c>
      <c r="AC47" s="334" t="str">
        <f>IFERROR(('Acuario (Arribado - mortalidad)'!K59/DatosAll[[#This Row],[N_INDIVIDUOS]])*100,"")</f>
        <v/>
      </c>
      <c r="AD47" s="334" t="str">
        <f>IFERROR(('Acuario (Arribado - mortalidad)'!O59/DatosAll[[#This Row],[N_INDIVIDUOS]])*100,"")</f>
        <v/>
      </c>
      <c r="AE47" s="334" t="str">
        <f>IFERROR(('Acuario (Arribado - mortalidad)'!BG59/DatosAll[[#This Row],[N_INDIVIDUOS]])*100,"")</f>
        <v/>
      </c>
      <c r="AF47" s="334" t="str">
        <f>IFERROR(('Acuario (Arribado - mortalidad)'!BH59/DatosAll[[#This Row],[N_INDIVIDUOS]])*100,"")</f>
        <v/>
      </c>
      <c r="AG47" s="154">
        <f>'Acuario (Arribado - mortalidad)'!M59</f>
        <v>0</v>
      </c>
      <c r="AH47" s="154" t="str">
        <f>'Acuario (Arribado - mortalidad)'!G59</f>
        <v/>
      </c>
      <c r="AI47" s="154">
        <f>'Acuario (Arribado - mortalidad)'!O59</f>
        <v>0</v>
      </c>
      <c r="AJ47" s="154">
        <f>'Acuario (Arribado - mortalidad)'!P59</f>
        <v>0</v>
      </c>
      <c r="AK47" s="154">
        <f>'Acuario (Arribado - mortalidad)'!Q59</f>
        <v>0</v>
      </c>
      <c r="AL47" s="154">
        <f>'Acuario (Arribado - mortalidad)'!R59</f>
        <v>0</v>
      </c>
      <c r="AM47" s="154">
        <f>'Acuario (Arribado - mortalidad)'!S59</f>
        <v>0</v>
      </c>
      <c r="AN47" s="154">
        <f>'Acuario (Arribado - mortalidad)'!T59</f>
        <v>0</v>
      </c>
      <c r="AO47" s="154">
        <f>'Acuario (Arribado - mortalidad)'!U59</f>
        <v>0</v>
      </c>
      <c r="AP47" s="154">
        <f>'Acuario (Arribado - mortalidad)'!V59</f>
        <v>0</v>
      </c>
      <c r="AQ47" s="154">
        <f>'Acuario (Arribado - mortalidad)'!W59</f>
        <v>0</v>
      </c>
      <c r="AR47" s="154">
        <f>'Acuario (Arribado - mortalidad)'!X59</f>
        <v>0</v>
      </c>
      <c r="AS47" s="154">
        <f>'Acuario (Arribado - mortalidad)'!Y59</f>
        <v>0</v>
      </c>
      <c r="AT47" s="154">
        <f>'Acuario (Arribado - mortalidad)'!Z59</f>
        <v>0</v>
      </c>
      <c r="AU47" s="154">
        <f>'Acuario (Arribado - mortalidad)'!AA59</f>
        <v>0</v>
      </c>
      <c r="AV47" s="154">
        <f>'Acuario (Arribado - mortalidad)'!AB59</f>
        <v>0</v>
      </c>
      <c r="AW47" s="154">
        <f>'Acuario (Arribado - mortalidad)'!AC59</f>
        <v>0</v>
      </c>
      <c r="AX47" s="154">
        <f>'Acuario (Arribado - mortalidad)'!AD59</f>
        <v>0</v>
      </c>
      <c r="AY47" s="154">
        <f>'Acuario (Arribado - mortalidad)'!AE59</f>
        <v>0</v>
      </c>
      <c r="AZ47" s="154">
        <f>'Acuario (Arribado - mortalidad)'!AF59</f>
        <v>0</v>
      </c>
      <c r="BA47" s="154">
        <f>'Acuario (Arribado - mortalidad)'!AG59</f>
        <v>0</v>
      </c>
      <c r="BB47" s="154">
        <f>'Acuario (Arribado - mortalidad)'!AH59</f>
        <v>0</v>
      </c>
      <c r="BC47" s="154">
        <f>'Acuario (Arribado - mortalidad)'!AI59</f>
        <v>0</v>
      </c>
      <c r="BD47" s="154">
        <f>'Acuario (Arribado - mortalidad)'!AJ59</f>
        <v>0</v>
      </c>
      <c r="BE47" s="154">
        <f>'Acuario (Arribado - mortalidad)'!AK59</f>
        <v>0</v>
      </c>
      <c r="BF47" s="154">
        <f>'Acuario (Arribado - mortalidad)'!AL59</f>
        <v>0</v>
      </c>
      <c r="BG47" s="154">
        <f>'Acuario (Arribado - mortalidad)'!AM59</f>
        <v>0</v>
      </c>
      <c r="BH47" s="154">
        <f>'Acuario (Arribado - mortalidad)'!AN59</f>
        <v>0</v>
      </c>
      <c r="BI47" s="154">
        <f>'Acuario (Arribado - mortalidad)'!AO59</f>
        <v>0</v>
      </c>
      <c r="BJ47" s="154">
        <f>'Acuario (Arribado - mortalidad)'!AP59</f>
        <v>0</v>
      </c>
      <c r="BK47" s="154">
        <f>'Acuario (Arribado - mortalidad)'!AQ59</f>
        <v>0</v>
      </c>
      <c r="BL47" s="154">
        <f>'Acuario (Arribado - mortalidad)'!AR59</f>
        <v>0</v>
      </c>
      <c r="BM47" s="154" t="str">
        <f>'Acuario (Arribado - mortalidad)'!AS59</f>
        <v/>
      </c>
      <c r="BN47" s="154">
        <f>'Acuario (Arribado - mortalidad)'!AT59</f>
        <v>0</v>
      </c>
      <c r="BO47" s="154">
        <f>'Acuario (Arribado - mortalidad)'!AU59</f>
        <v>0</v>
      </c>
      <c r="BP47" s="154">
        <f>'Acuario (Arribado - mortalidad)'!AV59</f>
        <v>0</v>
      </c>
      <c r="BQ47" s="154" t="str">
        <f>'Acuario (Arribado - mortalidad)'!AW59</f>
        <v/>
      </c>
      <c r="BR47" s="154">
        <f>'Acuario (Arribado - mortalidad)'!AX59</f>
        <v>0</v>
      </c>
      <c r="BS47" s="154">
        <f>'Acuario (Arribado - mortalidad)'!AY59</f>
        <v>0</v>
      </c>
      <c r="BT47" s="154" t="str">
        <f>'Acuario (Arribado - mortalidad)'!AZ59</f>
        <v/>
      </c>
      <c r="BU47" s="154" t="str">
        <f>'Acuario (Arribado - mortalidad)'!BA59</f>
        <v/>
      </c>
      <c r="BV47" s="154" t="str">
        <f>'Acuario (Arribado - mortalidad)'!BB59</f>
        <v/>
      </c>
      <c r="BW47" s="154" t="str">
        <f>'Acuario (Arribado - mortalidad)'!BC59</f>
        <v/>
      </c>
      <c r="BX47" s="154">
        <f>'Acuario (Arribado - mortalidad)'!BD59</f>
        <v>0</v>
      </c>
      <c r="BY47" s="154" t="str">
        <f>'Acuario (Arribado - mortalidad)'!BE59</f>
        <v/>
      </c>
      <c r="BZ47" s="23" t="str">
        <f>'Acuario (Arribado - mortalidad)'!BF59</f>
        <v/>
      </c>
    </row>
    <row r="48" spans="1:78" x14ac:dyDescent="0.25">
      <c r="A48" s="154" t="str">
        <f>IF(U48&lt;&gt;0,'ORDEN DE CUARENTENA'!$AE$2,"")</f>
        <v/>
      </c>
      <c r="B48" s="190" t="str">
        <f>IF(U48&lt;&gt;0,'ORDEN DE CUARENTENA'!$AE$3,"")</f>
        <v/>
      </c>
      <c r="C48" s="174" t="str">
        <f t="shared" si="1"/>
        <v/>
      </c>
      <c r="D48" s="329" t="str">
        <f>IF(U48&lt;&gt;0,'ORDEN DE CUARENTENA'!$I$6,"")</f>
        <v/>
      </c>
      <c r="E48" s="174" t="str">
        <f>IF(U48&lt;&gt;0,TEXT('ORDEN DE CUARENTENA'!$I$6,"aaa"),"")</f>
        <v/>
      </c>
      <c r="F48" s="173" t="str">
        <f>IF(U48&lt;&gt;0,TEXT('ORDEN DE CUARENTENA'!$I$6,"dd"),"")</f>
        <v/>
      </c>
      <c r="G48" s="172" t="str">
        <f>IF(U48&lt;&gt;0,TEXT('ORDEN DE CUARENTENA'!$I$6,"mm"),"")</f>
        <v/>
      </c>
      <c r="H48" s="171" t="str">
        <f>IF(U48&lt;&gt;0,TEXT('ORDEN DE CUARENTENA'!$I$6,"yyyy"),"")</f>
        <v/>
      </c>
      <c r="I48" s="154" t="str">
        <f>IF(U48&lt;&gt;0,'ORDEN DE CUARENTENA'!$H$7,"")</f>
        <v/>
      </c>
      <c r="J48" s="154" t="str">
        <f>IF(U48&lt;&gt;0,'ORDEN DE CUARENTENA'!$H$9,"")</f>
        <v/>
      </c>
      <c r="K48" s="154" t="str">
        <f>IF(U48&lt;&gt;0,'ORDEN DE CUARENTENA'!$Q$9,"")</f>
        <v/>
      </c>
      <c r="L48" s="154" t="str">
        <f>IFERROR(VLOOKUP(U48,Item[],4,FALSE),IFERROR(VLOOKUP(U48,Item2[],4,FALSE),""))</f>
        <v/>
      </c>
      <c r="M48" s="154" t="str">
        <f>IFERROR(VLOOKUP(U48,Item[],5,FALSE),IFERROR(VLOOKUP(U48,Item2[],5,FALSE),""))</f>
        <v/>
      </c>
      <c r="N48" s="154" t="str">
        <f>IFERROR(VLOOKUP(W48,SuscepEARs[],2,FALSE),"")</f>
        <v/>
      </c>
      <c r="O48" s="154" t="str">
        <f>IFERROR(VLOOKUP(DatosAll[[#This Row],[ESPECIE]],CITES[],2,FALSE),"")</f>
        <v/>
      </c>
      <c r="P48" s="154">
        <f>IFERROR(VLOOKUP(T48,Hallazgo[],2,FALSE),"")</f>
        <v>0</v>
      </c>
      <c r="Q48" s="154">
        <f>IFERROR(VLOOKUP(T48,Hallazgo[],3,FALSE),"")</f>
        <v>0</v>
      </c>
      <c r="R48" s="154">
        <f>IFERROR(VLOOKUP(T48,Hallazgo[],4,FALSE),"")</f>
        <v>0</v>
      </c>
      <c r="S48" s="154">
        <f>IFERROR(VLOOKUP(T48,Hallazgo[],5,FALSE),"")</f>
        <v>0</v>
      </c>
      <c r="T48" s="154">
        <f>'Acuario (Arribado - mortalidad)'!C60</f>
        <v>0</v>
      </c>
      <c r="U48" s="154">
        <f>'Acuario (Arribado - mortalidad)'!B60</f>
        <v>0</v>
      </c>
      <c r="V48" s="154" t="str">
        <f>'Acuario (Arribado - mortalidad)'!D60</f>
        <v/>
      </c>
      <c r="W48" s="154" t="str">
        <f>'Acuario (Arribado - mortalidad)'!E60</f>
        <v/>
      </c>
      <c r="X48" s="154">
        <f>'Acuario (Arribado - mortalidad)'!F60</f>
        <v>0</v>
      </c>
      <c r="Y48" s="154">
        <f>'Acuario (Arribado - mortalidad)'!H60</f>
        <v>0</v>
      </c>
      <c r="Z48" s="154">
        <f>'Acuario (Arribado - mortalidad)'!I60</f>
        <v>0</v>
      </c>
      <c r="AA48" s="154">
        <f>'Acuario (Arribado - mortalidad)'!J60</f>
        <v>0</v>
      </c>
      <c r="AB48" s="154" t="str">
        <f>'Acuario (Arribado - mortalidad)'!K60</f>
        <v/>
      </c>
      <c r="AC48" s="334" t="str">
        <f>IFERROR(('Acuario (Arribado - mortalidad)'!K60/DatosAll[[#This Row],[N_INDIVIDUOS]])*100,"")</f>
        <v/>
      </c>
      <c r="AD48" s="334" t="str">
        <f>IFERROR(('Acuario (Arribado - mortalidad)'!O60/DatosAll[[#This Row],[N_INDIVIDUOS]])*100,"")</f>
        <v/>
      </c>
      <c r="AE48" s="334" t="str">
        <f>IFERROR(('Acuario (Arribado - mortalidad)'!BG60/DatosAll[[#This Row],[N_INDIVIDUOS]])*100,"")</f>
        <v/>
      </c>
      <c r="AF48" s="334" t="str">
        <f>IFERROR(('Acuario (Arribado - mortalidad)'!BH60/DatosAll[[#This Row],[N_INDIVIDUOS]])*100,"")</f>
        <v/>
      </c>
      <c r="AG48" s="154">
        <f>'Acuario (Arribado - mortalidad)'!M60</f>
        <v>0</v>
      </c>
      <c r="AH48" s="154" t="str">
        <f>'Acuario (Arribado - mortalidad)'!G60</f>
        <v/>
      </c>
      <c r="AI48" s="154">
        <f>'Acuario (Arribado - mortalidad)'!O60</f>
        <v>0</v>
      </c>
      <c r="AJ48" s="154">
        <f>'Acuario (Arribado - mortalidad)'!P60</f>
        <v>0</v>
      </c>
      <c r="AK48" s="154">
        <f>'Acuario (Arribado - mortalidad)'!Q60</f>
        <v>0</v>
      </c>
      <c r="AL48" s="154">
        <f>'Acuario (Arribado - mortalidad)'!R60</f>
        <v>0</v>
      </c>
      <c r="AM48" s="154">
        <f>'Acuario (Arribado - mortalidad)'!S60</f>
        <v>0</v>
      </c>
      <c r="AN48" s="154">
        <f>'Acuario (Arribado - mortalidad)'!T60</f>
        <v>0</v>
      </c>
      <c r="AO48" s="154">
        <f>'Acuario (Arribado - mortalidad)'!U60</f>
        <v>0</v>
      </c>
      <c r="AP48" s="154">
        <f>'Acuario (Arribado - mortalidad)'!V60</f>
        <v>0</v>
      </c>
      <c r="AQ48" s="154">
        <f>'Acuario (Arribado - mortalidad)'!W60</f>
        <v>0</v>
      </c>
      <c r="AR48" s="154">
        <f>'Acuario (Arribado - mortalidad)'!X60</f>
        <v>0</v>
      </c>
      <c r="AS48" s="154">
        <f>'Acuario (Arribado - mortalidad)'!Y60</f>
        <v>0</v>
      </c>
      <c r="AT48" s="154">
        <f>'Acuario (Arribado - mortalidad)'!Z60</f>
        <v>0</v>
      </c>
      <c r="AU48" s="154">
        <f>'Acuario (Arribado - mortalidad)'!AA60</f>
        <v>0</v>
      </c>
      <c r="AV48" s="154">
        <f>'Acuario (Arribado - mortalidad)'!AB60</f>
        <v>0</v>
      </c>
      <c r="AW48" s="154">
        <f>'Acuario (Arribado - mortalidad)'!AC60</f>
        <v>0</v>
      </c>
      <c r="AX48" s="154">
        <f>'Acuario (Arribado - mortalidad)'!AD60</f>
        <v>0</v>
      </c>
      <c r="AY48" s="154">
        <f>'Acuario (Arribado - mortalidad)'!AE60</f>
        <v>0</v>
      </c>
      <c r="AZ48" s="154">
        <f>'Acuario (Arribado - mortalidad)'!AF60</f>
        <v>0</v>
      </c>
      <c r="BA48" s="154">
        <f>'Acuario (Arribado - mortalidad)'!AG60</f>
        <v>0</v>
      </c>
      <c r="BB48" s="154">
        <f>'Acuario (Arribado - mortalidad)'!AH60</f>
        <v>0</v>
      </c>
      <c r="BC48" s="154">
        <f>'Acuario (Arribado - mortalidad)'!AI60</f>
        <v>0</v>
      </c>
      <c r="BD48" s="154">
        <f>'Acuario (Arribado - mortalidad)'!AJ60</f>
        <v>0</v>
      </c>
      <c r="BE48" s="154">
        <f>'Acuario (Arribado - mortalidad)'!AK60</f>
        <v>0</v>
      </c>
      <c r="BF48" s="154">
        <f>'Acuario (Arribado - mortalidad)'!AL60</f>
        <v>0</v>
      </c>
      <c r="BG48" s="154">
        <f>'Acuario (Arribado - mortalidad)'!AM60</f>
        <v>0</v>
      </c>
      <c r="BH48" s="154">
        <f>'Acuario (Arribado - mortalidad)'!AN60</f>
        <v>0</v>
      </c>
      <c r="BI48" s="154">
        <f>'Acuario (Arribado - mortalidad)'!AO60</f>
        <v>0</v>
      </c>
      <c r="BJ48" s="154">
        <f>'Acuario (Arribado - mortalidad)'!AP60</f>
        <v>0</v>
      </c>
      <c r="BK48" s="154">
        <f>'Acuario (Arribado - mortalidad)'!AQ60</f>
        <v>0</v>
      </c>
      <c r="BL48" s="154">
        <f>'Acuario (Arribado - mortalidad)'!AR60</f>
        <v>0</v>
      </c>
      <c r="BM48" s="154" t="str">
        <f>'Acuario (Arribado - mortalidad)'!AS60</f>
        <v/>
      </c>
      <c r="BN48" s="154">
        <f>'Acuario (Arribado - mortalidad)'!AT60</f>
        <v>0</v>
      </c>
      <c r="BO48" s="154">
        <f>'Acuario (Arribado - mortalidad)'!AU60</f>
        <v>0</v>
      </c>
      <c r="BP48" s="154">
        <f>'Acuario (Arribado - mortalidad)'!AV60</f>
        <v>0</v>
      </c>
      <c r="BQ48" s="154" t="str">
        <f>'Acuario (Arribado - mortalidad)'!AW60</f>
        <v/>
      </c>
      <c r="BR48" s="154">
        <f>'Acuario (Arribado - mortalidad)'!AX60</f>
        <v>0</v>
      </c>
      <c r="BS48" s="154">
        <f>'Acuario (Arribado - mortalidad)'!AY60</f>
        <v>0</v>
      </c>
      <c r="BT48" s="154" t="str">
        <f>'Acuario (Arribado - mortalidad)'!AZ60</f>
        <v/>
      </c>
      <c r="BU48" s="154" t="str">
        <f>'Acuario (Arribado - mortalidad)'!BA60</f>
        <v/>
      </c>
      <c r="BV48" s="154" t="str">
        <f>'Acuario (Arribado - mortalidad)'!BB60</f>
        <v/>
      </c>
      <c r="BW48" s="154" t="str">
        <f>'Acuario (Arribado - mortalidad)'!BC60</f>
        <v/>
      </c>
      <c r="BX48" s="154">
        <f>'Acuario (Arribado - mortalidad)'!BD60</f>
        <v>0</v>
      </c>
      <c r="BY48" s="154" t="str">
        <f>'Acuario (Arribado - mortalidad)'!BE60</f>
        <v/>
      </c>
      <c r="BZ48" s="23" t="str">
        <f>'Acuario (Arribado - mortalidad)'!BF60</f>
        <v/>
      </c>
    </row>
    <row r="49" spans="1:78" x14ac:dyDescent="0.25">
      <c r="A49" s="154" t="str">
        <f>IF(U49&lt;&gt;0,'ORDEN DE CUARENTENA'!$AE$2,"")</f>
        <v/>
      </c>
      <c r="B49" s="190" t="str">
        <f>IF(U49&lt;&gt;0,'ORDEN DE CUARENTENA'!$AE$3,"")</f>
        <v/>
      </c>
      <c r="C49" s="174" t="str">
        <f t="shared" si="1"/>
        <v/>
      </c>
      <c r="D49" s="329" t="str">
        <f>IF(U49&lt;&gt;0,'ORDEN DE CUARENTENA'!$I$6,"")</f>
        <v/>
      </c>
      <c r="E49" s="174" t="str">
        <f>IF(U49&lt;&gt;0,TEXT('ORDEN DE CUARENTENA'!$I$6,"aaa"),"")</f>
        <v/>
      </c>
      <c r="F49" s="173" t="str">
        <f>IF(U49&lt;&gt;0,TEXT('ORDEN DE CUARENTENA'!$I$6,"dd"),"")</f>
        <v/>
      </c>
      <c r="G49" s="172" t="str">
        <f>IF(U49&lt;&gt;0,TEXT('ORDEN DE CUARENTENA'!$I$6,"mm"),"")</f>
        <v/>
      </c>
      <c r="H49" s="171" t="str">
        <f>IF(U49&lt;&gt;0,TEXT('ORDEN DE CUARENTENA'!$I$6,"yyyy"),"")</f>
        <v/>
      </c>
      <c r="I49" s="154" t="str">
        <f>IF(U49&lt;&gt;0,'ORDEN DE CUARENTENA'!$H$7,"")</f>
        <v/>
      </c>
      <c r="J49" s="154" t="str">
        <f>IF(U49&lt;&gt;0,'ORDEN DE CUARENTENA'!$H$9,"")</f>
        <v/>
      </c>
      <c r="K49" s="154" t="str">
        <f>IF(U49&lt;&gt;0,'ORDEN DE CUARENTENA'!$Q$9,"")</f>
        <v/>
      </c>
      <c r="L49" s="154" t="str">
        <f>IFERROR(VLOOKUP(U49,Item[],4,FALSE),IFERROR(VLOOKUP(U49,Item2[],4,FALSE),""))</f>
        <v/>
      </c>
      <c r="M49" s="154" t="str">
        <f>IFERROR(VLOOKUP(U49,Item[],5,FALSE),IFERROR(VLOOKUP(U49,Item2[],5,FALSE),""))</f>
        <v/>
      </c>
      <c r="N49" s="154" t="str">
        <f>IFERROR(VLOOKUP(W49,SuscepEARs[],2,FALSE),"")</f>
        <v/>
      </c>
      <c r="O49" s="154" t="str">
        <f>IFERROR(VLOOKUP(DatosAll[[#This Row],[ESPECIE]],CITES[],2,FALSE),"")</f>
        <v/>
      </c>
      <c r="P49" s="154">
        <f>IFERROR(VLOOKUP(T49,Hallazgo[],2,FALSE),"")</f>
        <v>0</v>
      </c>
      <c r="Q49" s="154">
        <f>IFERROR(VLOOKUP(T49,Hallazgo[],3,FALSE),"")</f>
        <v>0</v>
      </c>
      <c r="R49" s="154">
        <f>IFERROR(VLOOKUP(T49,Hallazgo[],4,FALSE),"")</f>
        <v>0</v>
      </c>
      <c r="S49" s="154">
        <f>IFERROR(VLOOKUP(T49,Hallazgo[],5,FALSE),"")</f>
        <v>0</v>
      </c>
      <c r="T49" s="154">
        <f>'Acuario (Arribado - mortalidad)'!C61</f>
        <v>0</v>
      </c>
      <c r="U49" s="154">
        <f>'Acuario (Arribado - mortalidad)'!B61</f>
        <v>0</v>
      </c>
      <c r="V49" s="154" t="str">
        <f>'Acuario (Arribado - mortalidad)'!D61</f>
        <v/>
      </c>
      <c r="W49" s="154" t="str">
        <f>'Acuario (Arribado - mortalidad)'!E61</f>
        <v/>
      </c>
      <c r="X49" s="154">
        <f>'Acuario (Arribado - mortalidad)'!F61</f>
        <v>0</v>
      </c>
      <c r="Y49" s="154">
        <f>'Acuario (Arribado - mortalidad)'!H61</f>
        <v>0</v>
      </c>
      <c r="Z49" s="154">
        <f>'Acuario (Arribado - mortalidad)'!I61</f>
        <v>0</v>
      </c>
      <c r="AA49" s="154">
        <f>'Acuario (Arribado - mortalidad)'!J61</f>
        <v>0</v>
      </c>
      <c r="AB49" s="154" t="str">
        <f>'Acuario (Arribado - mortalidad)'!K61</f>
        <v/>
      </c>
      <c r="AC49" s="334" t="str">
        <f>IFERROR(('Acuario (Arribado - mortalidad)'!K61/DatosAll[[#This Row],[N_INDIVIDUOS]])*100,"")</f>
        <v/>
      </c>
      <c r="AD49" s="334" t="str">
        <f>IFERROR(('Acuario (Arribado - mortalidad)'!O61/DatosAll[[#This Row],[N_INDIVIDUOS]])*100,"")</f>
        <v/>
      </c>
      <c r="AE49" s="334" t="str">
        <f>IFERROR(('Acuario (Arribado - mortalidad)'!BG61/DatosAll[[#This Row],[N_INDIVIDUOS]])*100,"")</f>
        <v/>
      </c>
      <c r="AF49" s="334" t="str">
        <f>IFERROR(('Acuario (Arribado - mortalidad)'!BH61/DatosAll[[#This Row],[N_INDIVIDUOS]])*100,"")</f>
        <v/>
      </c>
      <c r="AG49" s="154">
        <f>'Acuario (Arribado - mortalidad)'!M61</f>
        <v>0</v>
      </c>
      <c r="AH49" s="154" t="str">
        <f>'Acuario (Arribado - mortalidad)'!G61</f>
        <v/>
      </c>
      <c r="AI49" s="154">
        <f>'Acuario (Arribado - mortalidad)'!O61</f>
        <v>0</v>
      </c>
      <c r="AJ49" s="154">
        <f>'Acuario (Arribado - mortalidad)'!P61</f>
        <v>0</v>
      </c>
      <c r="AK49" s="154">
        <f>'Acuario (Arribado - mortalidad)'!Q61</f>
        <v>0</v>
      </c>
      <c r="AL49" s="154">
        <f>'Acuario (Arribado - mortalidad)'!R61</f>
        <v>0</v>
      </c>
      <c r="AM49" s="154">
        <f>'Acuario (Arribado - mortalidad)'!S61</f>
        <v>0</v>
      </c>
      <c r="AN49" s="154">
        <f>'Acuario (Arribado - mortalidad)'!T61</f>
        <v>0</v>
      </c>
      <c r="AO49" s="154">
        <f>'Acuario (Arribado - mortalidad)'!U61</f>
        <v>0</v>
      </c>
      <c r="AP49" s="154">
        <f>'Acuario (Arribado - mortalidad)'!V61</f>
        <v>0</v>
      </c>
      <c r="AQ49" s="154">
        <f>'Acuario (Arribado - mortalidad)'!W61</f>
        <v>0</v>
      </c>
      <c r="AR49" s="154">
        <f>'Acuario (Arribado - mortalidad)'!X61</f>
        <v>0</v>
      </c>
      <c r="AS49" s="154">
        <f>'Acuario (Arribado - mortalidad)'!Y61</f>
        <v>0</v>
      </c>
      <c r="AT49" s="154">
        <f>'Acuario (Arribado - mortalidad)'!Z61</f>
        <v>0</v>
      </c>
      <c r="AU49" s="154">
        <f>'Acuario (Arribado - mortalidad)'!AA61</f>
        <v>0</v>
      </c>
      <c r="AV49" s="154">
        <f>'Acuario (Arribado - mortalidad)'!AB61</f>
        <v>0</v>
      </c>
      <c r="AW49" s="154">
        <f>'Acuario (Arribado - mortalidad)'!AC61</f>
        <v>0</v>
      </c>
      <c r="AX49" s="154">
        <f>'Acuario (Arribado - mortalidad)'!AD61</f>
        <v>0</v>
      </c>
      <c r="AY49" s="154">
        <f>'Acuario (Arribado - mortalidad)'!AE61</f>
        <v>0</v>
      </c>
      <c r="AZ49" s="154">
        <f>'Acuario (Arribado - mortalidad)'!AF61</f>
        <v>0</v>
      </c>
      <c r="BA49" s="154">
        <f>'Acuario (Arribado - mortalidad)'!AG61</f>
        <v>0</v>
      </c>
      <c r="BB49" s="154">
        <f>'Acuario (Arribado - mortalidad)'!AH61</f>
        <v>0</v>
      </c>
      <c r="BC49" s="154">
        <f>'Acuario (Arribado - mortalidad)'!AI61</f>
        <v>0</v>
      </c>
      <c r="BD49" s="154">
        <f>'Acuario (Arribado - mortalidad)'!AJ61</f>
        <v>0</v>
      </c>
      <c r="BE49" s="154">
        <f>'Acuario (Arribado - mortalidad)'!AK61</f>
        <v>0</v>
      </c>
      <c r="BF49" s="154">
        <f>'Acuario (Arribado - mortalidad)'!AL61</f>
        <v>0</v>
      </c>
      <c r="BG49" s="154">
        <f>'Acuario (Arribado - mortalidad)'!AM61</f>
        <v>0</v>
      </c>
      <c r="BH49" s="154">
        <f>'Acuario (Arribado - mortalidad)'!AN61</f>
        <v>0</v>
      </c>
      <c r="BI49" s="154">
        <f>'Acuario (Arribado - mortalidad)'!AO61</f>
        <v>0</v>
      </c>
      <c r="BJ49" s="154">
        <f>'Acuario (Arribado - mortalidad)'!AP61</f>
        <v>0</v>
      </c>
      <c r="BK49" s="154">
        <f>'Acuario (Arribado - mortalidad)'!AQ61</f>
        <v>0</v>
      </c>
      <c r="BL49" s="154">
        <f>'Acuario (Arribado - mortalidad)'!AR61</f>
        <v>0</v>
      </c>
      <c r="BM49" s="154" t="str">
        <f>'Acuario (Arribado - mortalidad)'!AS61</f>
        <v/>
      </c>
      <c r="BN49" s="154">
        <f>'Acuario (Arribado - mortalidad)'!AT61</f>
        <v>0</v>
      </c>
      <c r="BO49" s="154">
        <f>'Acuario (Arribado - mortalidad)'!AU61</f>
        <v>0</v>
      </c>
      <c r="BP49" s="154">
        <f>'Acuario (Arribado - mortalidad)'!AV61</f>
        <v>0</v>
      </c>
      <c r="BQ49" s="154" t="str">
        <f>'Acuario (Arribado - mortalidad)'!AW61</f>
        <v/>
      </c>
      <c r="BR49" s="154">
        <f>'Acuario (Arribado - mortalidad)'!AX61</f>
        <v>0</v>
      </c>
      <c r="BS49" s="154">
        <f>'Acuario (Arribado - mortalidad)'!AY61</f>
        <v>0</v>
      </c>
      <c r="BT49" s="154" t="str">
        <f>'Acuario (Arribado - mortalidad)'!AZ61</f>
        <v/>
      </c>
      <c r="BU49" s="154" t="str">
        <f>'Acuario (Arribado - mortalidad)'!BA61</f>
        <v/>
      </c>
      <c r="BV49" s="154" t="str">
        <f>'Acuario (Arribado - mortalidad)'!BB61</f>
        <v/>
      </c>
      <c r="BW49" s="154" t="str">
        <f>'Acuario (Arribado - mortalidad)'!BC61</f>
        <v/>
      </c>
      <c r="BX49" s="154">
        <f>'Acuario (Arribado - mortalidad)'!BD61</f>
        <v>0</v>
      </c>
      <c r="BY49" s="154" t="str">
        <f>'Acuario (Arribado - mortalidad)'!BE61</f>
        <v/>
      </c>
      <c r="BZ49" s="23" t="str">
        <f>'Acuario (Arribado - mortalidad)'!BF61</f>
        <v/>
      </c>
    </row>
    <row r="50" spans="1:78" x14ac:dyDescent="0.25">
      <c r="A50" s="154" t="str">
        <f>IF(U50&lt;&gt;0,'ORDEN DE CUARENTENA'!$AE$2,"")</f>
        <v/>
      </c>
      <c r="B50" s="190" t="str">
        <f>IF(U50&lt;&gt;0,'ORDEN DE CUARENTENA'!$AE$3,"")</f>
        <v/>
      </c>
      <c r="C50" s="174" t="str">
        <f t="shared" si="1"/>
        <v/>
      </c>
      <c r="D50" s="329" t="str">
        <f>IF(U50&lt;&gt;0,'ORDEN DE CUARENTENA'!$I$6,"")</f>
        <v/>
      </c>
      <c r="E50" s="174" t="str">
        <f>IF(U50&lt;&gt;0,TEXT('ORDEN DE CUARENTENA'!$I$6,"aaa"),"")</f>
        <v/>
      </c>
      <c r="F50" s="173" t="str">
        <f>IF(U50&lt;&gt;0,TEXT('ORDEN DE CUARENTENA'!$I$6,"dd"),"")</f>
        <v/>
      </c>
      <c r="G50" s="172" t="str">
        <f>IF(U50&lt;&gt;0,TEXT('ORDEN DE CUARENTENA'!$I$6,"mm"),"")</f>
        <v/>
      </c>
      <c r="H50" s="171" t="str">
        <f>IF(U50&lt;&gt;0,TEXT('ORDEN DE CUARENTENA'!$I$6,"yyyy"),"")</f>
        <v/>
      </c>
      <c r="I50" s="154" t="str">
        <f>IF(U50&lt;&gt;0,'ORDEN DE CUARENTENA'!$H$7,"")</f>
        <v/>
      </c>
      <c r="J50" s="154" t="str">
        <f>IF(U50&lt;&gt;0,'ORDEN DE CUARENTENA'!$H$9,"")</f>
        <v/>
      </c>
      <c r="K50" s="154" t="str">
        <f>IF(U50&lt;&gt;0,'ORDEN DE CUARENTENA'!$Q$9,"")</f>
        <v/>
      </c>
      <c r="L50" s="154" t="str">
        <f>IFERROR(VLOOKUP(U50,Item[],4,FALSE),IFERROR(VLOOKUP(U50,Item2[],4,FALSE),""))</f>
        <v/>
      </c>
      <c r="M50" s="154" t="str">
        <f>IFERROR(VLOOKUP(U50,Item[],5,FALSE),IFERROR(VLOOKUP(U50,Item2[],5,FALSE),""))</f>
        <v/>
      </c>
      <c r="N50" s="154" t="str">
        <f>IFERROR(VLOOKUP(W50,SuscepEARs[],2,FALSE),"")</f>
        <v/>
      </c>
      <c r="O50" s="154" t="str">
        <f>IFERROR(VLOOKUP(DatosAll[[#This Row],[ESPECIE]],CITES[],2,FALSE),"")</f>
        <v/>
      </c>
      <c r="P50" s="154">
        <f>IFERROR(VLOOKUP(T50,Hallazgo[],2,FALSE),"")</f>
        <v>0</v>
      </c>
      <c r="Q50" s="154">
        <f>IFERROR(VLOOKUP(T50,Hallazgo[],3,FALSE),"")</f>
        <v>0</v>
      </c>
      <c r="R50" s="154">
        <f>IFERROR(VLOOKUP(T50,Hallazgo[],4,FALSE),"")</f>
        <v>0</v>
      </c>
      <c r="S50" s="154">
        <f>IFERROR(VLOOKUP(T50,Hallazgo[],5,FALSE),"")</f>
        <v>0</v>
      </c>
      <c r="T50" s="154">
        <f>'Acuario (Arribado - mortalidad)'!C62</f>
        <v>0</v>
      </c>
      <c r="U50" s="154">
        <f>'Acuario (Arribado - mortalidad)'!B62</f>
        <v>0</v>
      </c>
      <c r="V50" s="154" t="str">
        <f>'Acuario (Arribado - mortalidad)'!D62</f>
        <v/>
      </c>
      <c r="W50" s="154" t="str">
        <f>'Acuario (Arribado - mortalidad)'!E62</f>
        <v/>
      </c>
      <c r="X50" s="154">
        <f>'Acuario (Arribado - mortalidad)'!F62</f>
        <v>0</v>
      </c>
      <c r="Y50" s="154">
        <f>'Acuario (Arribado - mortalidad)'!H62</f>
        <v>0</v>
      </c>
      <c r="Z50" s="154">
        <f>'Acuario (Arribado - mortalidad)'!I62</f>
        <v>0</v>
      </c>
      <c r="AA50" s="154">
        <f>'Acuario (Arribado - mortalidad)'!J62</f>
        <v>0</v>
      </c>
      <c r="AB50" s="154" t="str">
        <f>'Acuario (Arribado - mortalidad)'!K62</f>
        <v/>
      </c>
      <c r="AC50" s="334" t="str">
        <f>IFERROR(('Acuario (Arribado - mortalidad)'!K62/DatosAll[[#This Row],[N_INDIVIDUOS]])*100,"")</f>
        <v/>
      </c>
      <c r="AD50" s="334" t="str">
        <f>IFERROR(('Acuario (Arribado - mortalidad)'!O62/DatosAll[[#This Row],[N_INDIVIDUOS]])*100,"")</f>
        <v/>
      </c>
      <c r="AE50" s="334" t="str">
        <f>IFERROR(('Acuario (Arribado - mortalidad)'!BG62/DatosAll[[#This Row],[N_INDIVIDUOS]])*100,"")</f>
        <v/>
      </c>
      <c r="AF50" s="334" t="str">
        <f>IFERROR(('Acuario (Arribado - mortalidad)'!BH62/DatosAll[[#This Row],[N_INDIVIDUOS]])*100,"")</f>
        <v/>
      </c>
      <c r="AG50" s="154">
        <f>'Acuario (Arribado - mortalidad)'!M62</f>
        <v>0</v>
      </c>
      <c r="AH50" s="154" t="str">
        <f>'Acuario (Arribado - mortalidad)'!G62</f>
        <v/>
      </c>
      <c r="AI50" s="154">
        <f>'Acuario (Arribado - mortalidad)'!O62</f>
        <v>0</v>
      </c>
      <c r="AJ50" s="154">
        <f>'Acuario (Arribado - mortalidad)'!P62</f>
        <v>0</v>
      </c>
      <c r="AK50" s="154">
        <f>'Acuario (Arribado - mortalidad)'!Q62</f>
        <v>0</v>
      </c>
      <c r="AL50" s="154">
        <f>'Acuario (Arribado - mortalidad)'!R62</f>
        <v>0</v>
      </c>
      <c r="AM50" s="154">
        <f>'Acuario (Arribado - mortalidad)'!S62</f>
        <v>0</v>
      </c>
      <c r="AN50" s="154">
        <f>'Acuario (Arribado - mortalidad)'!T62</f>
        <v>0</v>
      </c>
      <c r="AO50" s="154">
        <f>'Acuario (Arribado - mortalidad)'!U62</f>
        <v>0</v>
      </c>
      <c r="AP50" s="154">
        <f>'Acuario (Arribado - mortalidad)'!V62</f>
        <v>0</v>
      </c>
      <c r="AQ50" s="154">
        <f>'Acuario (Arribado - mortalidad)'!W62</f>
        <v>0</v>
      </c>
      <c r="AR50" s="154">
        <f>'Acuario (Arribado - mortalidad)'!X62</f>
        <v>0</v>
      </c>
      <c r="AS50" s="154">
        <f>'Acuario (Arribado - mortalidad)'!Y62</f>
        <v>0</v>
      </c>
      <c r="AT50" s="154">
        <f>'Acuario (Arribado - mortalidad)'!Z62</f>
        <v>0</v>
      </c>
      <c r="AU50" s="154">
        <f>'Acuario (Arribado - mortalidad)'!AA62</f>
        <v>0</v>
      </c>
      <c r="AV50" s="154">
        <f>'Acuario (Arribado - mortalidad)'!AB62</f>
        <v>0</v>
      </c>
      <c r="AW50" s="154">
        <f>'Acuario (Arribado - mortalidad)'!AC62</f>
        <v>0</v>
      </c>
      <c r="AX50" s="154">
        <f>'Acuario (Arribado - mortalidad)'!AD62</f>
        <v>0</v>
      </c>
      <c r="AY50" s="154">
        <f>'Acuario (Arribado - mortalidad)'!AE62</f>
        <v>0</v>
      </c>
      <c r="AZ50" s="154">
        <f>'Acuario (Arribado - mortalidad)'!AF62</f>
        <v>0</v>
      </c>
      <c r="BA50" s="154">
        <f>'Acuario (Arribado - mortalidad)'!AG62</f>
        <v>0</v>
      </c>
      <c r="BB50" s="154">
        <f>'Acuario (Arribado - mortalidad)'!AH62</f>
        <v>0</v>
      </c>
      <c r="BC50" s="154">
        <f>'Acuario (Arribado - mortalidad)'!AI62</f>
        <v>0</v>
      </c>
      <c r="BD50" s="154">
        <f>'Acuario (Arribado - mortalidad)'!AJ62</f>
        <v>0</v>
      </c>
      <c r="BE50" s="154">
        <f>'Acuario (Arribado - mortalidad)'!AK62</f>
        <v>0</v>
      </c>
      <c r="BF50" s="154">
        <f>'Acuario (Arribado - mortalidad)'!AL62</f>
        <v>0</v>
      </c>
      <c r="BG50" s="154">
        <f>'Acuario (Arribado - mortalidad)'!AM62</f>
        <v>0</v>
      </c>
      <c r="BH50" s="154">
        <f>'Acuario (Arribado - mortalidad)'!AN62</f>
        <v>0</v>
      </c>
      <c r="BI50" s="154">
        <f>'Acuario (Arribado - mortalidad)'!AO62</f>
        <v>0</v>
      </c>
      <c r="BJ50" s="154">
        <f>'Acuario (Arribado - mortalidad)'!AP62</f>
        <v>0</v>
      </c>
      <c r="BK50" s="154">
        <f>'Acuario (Arribado - mortalidad)'!AQ62</f>
        <v>0</v>
      </c>
      <c r="BL50" s="154">
        <f>'Acuario (Arribado - mortalidad)'!AR62</f>
        <v>0</v>
      </c>
      <c r="BM50" s="154" t="str">
        <f>'Acuario (Arribado - mortalidad)'!AS62</f>
        <v/>
      </c>
      <c r="BN50" s="154">
        <f>'Acuario (Arribado - mortalidad)'!AT62</f>
        <v>0</v>
      </c>
      <c r="BO50" s="154">
        <f>'Acuario (Arribado - mortalidad)'!AU62</f>
        <v>0</v>
      </c>
      <c r="BP50" s="154">
        <f>'Acuario (Arribado - mortalidad)'!AV62</f>
        <v>0</v>
      </c>
      <c r="BQ50" s="154" t="str">
        <f>'Acuario (Arribado - mortalidad)'!AW62</f>
        <v/>
      </c>
      <c r="BR50" s="154">
        <f>'Acuario (Arribado - mortalidad)'!AX62</f>
        <v>0</v>
      </c>
      <c r="BS50" s="154">
        <f>'Acuario (Arribado - mortalidad)'!AY62</f>
        <v>0</v>
      </c>
      <c r="BT50" s="154" t="str">
        <f>'Acuario (Arribado - mortalidad)'!AZ62</f>
        <v/>
      </c>
      <c r="BU50" s="154" t="str">
        <f>'Acuario (Arribado - mortalidad)'!BA62</f>
        <v/>
      </c>
      <c r="BV50" s="154" t="str">
        <f>'Acuario (Arribado - mortalidad)'!BB62</f>
        <v/>
      </c>
      <c r="BW50" s="154" t="str">
        <f>'Acuario (Arribado - mortalidad)'!BC62</f>
        <v/>
      </c>
      <c r="BX50" s="154">
        <f>'Acuario (Arribado - mortalidad)'!BD62</f>
        <v>0</v>
      </c>
      <c r="BY50" s="154" t="str">
        <f>'Acuario (Arribado - mortalidad)'!BE62</f>
        <v/>
      </c>
      <c r="BZ50" s="23" t="str">
        <f>'Acuario (Arribado - mortalidad)'!BF62</f>
        <v/>
      </c>
    </row>
    <row r="51" spans="1:78" x14ac:dyDescent="0.25">
      <c r="A51" s="154" t="str">
        <f>IF(U51&lt;&gt;0,'ORDEN DE CUARENTENA'!$AE$2,"")</f>
        <v/>
      </c>
      <c r="B51" s="190" t="str">
        <f>IF(U51&lt;&gt;0,'ORDEN DE CUARENTENA'!$AE$3,"")</f>
        <v/>
      </c>
      <c r="C51" s="174" t="str">
        <f t="shared" si="1"/>
        <v/>
      </c>
      <c r="D51" s="329" t="str">
        <f>IF(U51&lt;&gt;0,'ORDEN DE CUARENTENA'!$I$6,"")</f>
        <v/>
      </c>
      <c r="E51" s="174" t="str">
        <f>IF(U51&lt;&gt;0,TEXT('ORDEN DE CUARENTENA'!$I$6,"aaa"),"")</f>
        <v/>
      </c>
      <c r="F51" s="173" t="str">
        <f>IF(U51&lt;&gt;0,TEXT('ORDEN DE CUARENTENA'!$I$6,"dd"),"")</f>
        <v/>
      </c>
      <c r="G51" s="172" t="str">
        <f>IF(U51&lt;&gt;0,TEXT('ORDEN DE CUARENTENA'!$I$6,"mm"),"")</f>
        <v/>
      </c>
      <c r="H51" s="171" t="str">
        <f>IF(U51&lt;&gt;0,TEXT('ORDEN DE CUARENTENA'!$I$6,"yyyy"),"")</f>
        <v/>
      </c>
      <c r="I51" s="154" t="str">
        <f>IF(U51&lt;&gt;0,'ORDEN DE CUARENTENA'!$H$7,"")</f>
        <v/>
      </c>
      <c r="J51" s="154" t="str">
        <f>IF(U51&lt;&gt;0,'ORDEN DE CUARENTENA'!$H$9,"")</f>
        <v/>
      </c>
      <c r="K51" s="154" t="str">
        <f>IF(U51&lt;&gt;0,'ORDEN DE CUARENTENA'!$Q$9,"")</f>
        <v/>
      </c>
      <c r="L51" s="154" t="str">
        <f>IFERROR(VLOOKUP(U51,Item[],4,FALSE),IFERROR(VLOOKUP(U51,Item2[],4,FALSE),""))</f>
        <v/>
      </c>
      <c r="M51" s="154" t="str">
        <f>IFERROR(VLOOKUP(U51,Item[],5,FALSE),IFERROR(VLOOKUP(U51,Item2[],5,FALSE),""))</f>
        <v/>
      </c>
      <c r="N51" s="154" t="str">
        <f>IFERROR(VLOOKUP(W51,SuscepEARs[],2,FALSE),"")</f>
        <v/>
      </c>
      <c r="O51" s="154" t="str">
        <f>IFERROR(VLOOKUP(DatosAll[[#This Row],[ESPECIE]],CITES[],2,FALSE),"")</f>
        <v/>
      </c>
      <c r="P51" s="154">
        <f>IFERROR(VLOOKUP(T51,Hallazgo[],2,FALSE),"")</f>
        <v>0</v>
      </c>
      <c r="Q51" s="154">
        <f>IFERROR(VLOOKUP(T51,Hallazgo[],3,FALSE),"")</f>
        <v>0</v>
      </c>
      <c r="R51" s="154">
        <f>IFERROR(VLOOKUP(T51,Hallazgo[],4,FALSE),"")</f>
        <v>0</v>
      </c>
      <c r="S51" s="154">
        <f>IFERROR(VLOOKUP(T51,Hallazgo[],5,FALSE),"")</f>
        <v>0</v>
      </c>
      <c r="T51" s="154">
        <f>'Acuario (Arribado - mortalidad)'!C63</f>
        <v>0</v>
      </c>
      <c r="U51" s="154">
        <f>'Acuario (Arribado - mortalidad)'!B63</f>
        <v>0</v>
      </c>
      <c r="V51" s="154" t="str">
        <f>'Acuario (Arribado - mortalidad)'!D63</f>
        <v/>
      </c>
      <c r="W51" s="154" t="str">
        <f>'Acuario (Arribado - mortalidad)'!E63</f>
        <v/>
      </c>
      <c r="X51" s="154">
        <f>'Acuario (Arribado - mortalidad)'!F63</f>
        <v>0</v>
      </c>
      <c r="Y51" s="154">
        <f>'Acuario (Arribado - mortalidad)'!H63</f>
        <v>0</v>
      </c>
      <c r="Z51" s="154">
        <f>'Acuario (Arribado - mortalidad)'!I63</f>
        <v>0</v>
      </c>
      <c r="AA51" s="154">
        <f>'Acuario (Arribado - mortalidad)'!J63</f>
        <v>0</v>
      </c>
      <c r="AB51" s="154" t="str">
        <f>'Acuario (Arribado - mortalidad)'!K63</f>
        <v/>
      </c>
      <c r="AC51" s="334" t="str">
        <f>IFERROR(('Acuario (Arribado - mortalidad)'!K63/DatosAll[[#This Row],[N_INDIVIDUOS]])*100,"")</f>
        <v/>
      </c>
      <c r="AD51" s="334" t="str">
        <f>IFERROR(('Acuario (Arribado - mortalidad)'!O63/DatosAll[[#This Row],[N_INDIVIDUOS]])*100,"")</f>
        <v/>
      </c>
      <c r="AE51" s="334" t="str">
        <f>IFERROR(('Acuario (Arribado - mortalidad)'!BG63/DatosAll[[#This Row],[N_INDIVIDUOS]])*100,"")</f>
        <v/>
      </c>
      <c r="AF51" s="334" t="str">
        <f>IFERROR(('Acuario (Arribado - mortalidad)'!BH63/DatosAll[[#This Row],[N_INDIVIDUOS]])*100,"")</f>
        <v/>
      </c>
      <c r="AG51" s="154">
        <f>'Acuario (Arribado - mortalidad)'!M63</f>
        <v>0</v>
      </c>
      <c r="AH51" s="154" t="str">
        <f>'Acuario (Arribado - mortalidad)'!G63</f>
        <v/>
      </c>
      <c r="AI51" s="154">
        <f>'Acuario (Arribado - mortalidad)'!O63</f>
        <v>0</v>
      </c>
      <c r="AJ51" s="154">
        <f>'Acuario (Arribado - mortalidad)'!P63</f>
        <v>0</v>
      </c>
      <c r="AK51" s="154">
        <f>'Acuario (Arribado - mortalidad)'!Q63</f>
        <v>0</v>
      </c>
      <c r="AL51" s="154">
        <f>'Acuario (Arribado - mortalidad)'!R63</f>
        <v>0</v>
      </c>
      <c r="AM51" s="154">
        <f>'Acuario (Arribado - mortalidad)'!S63</f>
        <v>0</v>
      </c>
      <c r="AN51" s="154">
        <f>'Acuario (Arribado - mortalidad)'!T63</f>
        <v>0</v>
      </c>
      <c r="AO51" s="154">
        <f>'Acuario (Arribado - mortalidad)'!U63</f>
        <v>0</v>
      </c>
      <c r="AP51" s="154">
        <f>'Acuario (Arribado - mortalidad)'!V63</f>
        <v>0</v>
      </c>
      <c r="AQ51" s="154">
        <f>'Acuario (Arribado - mortalidad)'!W63</f>
        <v>0</v>
      </c>
      <c r="AR51" s="154">
        <f>'Acuario (Arribado - mortalidad)'!X63</f>
        <v>0</v>
      </c>
      <c r="AS51" s="154">
        <f>'Acuario (Arribado - mortalidad)'!Y63</f>
        <v>0</v>
      </c>
      <c r="AT51" s="154">
        <f>'Acuario (Arribado - mortalidad)'!Z63</f>
        <v>0</v>
      </c>
      <c r="AU51" s="154">
        <f>'Acuario (Arribado - mortalidad)'!AA63</f>
        <v>0</v>
      </c>
      <c r="AV51" s="154">
        <f>'Acuario (Arribado - mortalidad)'!AB63</f>
        <v>0</v>
      </c>
      <c r="AW51" s="154">
        <f>'Acuario (Arribado - mortalidad)'!AC63</f>
        <v>0</v>
      </c>
      <c r="AX51" s="154">
        <f>'Acuario (Arribado - mortalidad)'!AD63</f>
        <v>0</v>
      </c>
      <c r="AY51" s="154">
        <f>'Acuario (Arribado - mortalidad)'!AE63</f>
        <v>0</v>
      </c>
      <c r="AZ51" s="154">
        <f>'Acuario (Arribado - mortalidad)'!AF63</f>
        <v>0</v>
      </c>
      <c r="BA51" s="154">
        <f>'Acuario (Arribado - mortalidad)'!AG63</f>
        <v>0</v>
      </c>
      <c r="BB51" s="154">
        <f>'Acuario (Arribado - mortalidad)'!AH63</f>
        <v>0</v>
      </c>
      <c r="BC51" s="154">
        <f>'Acuario (Arribado - mortalidad)'!AI63</f>
        <v>0</v>
      </c>
      <c r="BD51" s="154">
        <f>'Acuario (Arribado - mortalidad)'!AJ63</f>
        <v>0</v>
      </c>
      <c r="BE51" s="154">
        <f>'Acuario (Arribado - mortalidad)'!AK63</f>
        <v>0</v>
      </c>
      <c r="BF51" s="154">
        <f>'Acuario (Arribado - mortalidad)'!AL63</f>
        <v>0</v>
      </c>
      <c r="BG51" s="154">
        <f>'Acuario (Arribado - mortalidad)'!AM63</f>
        <v>0</v>
      </c>
      <c r="BH51" s="154">
        <f>'Acuario (Arribado - mortalidad)'!AN63</f>
        <v>0</v>
      </c>
      <c r="BI51" s="154">
        <f>'Acuario (Arribado - mortalidad)'!AO63</f>
        <v>0</v>
      </c>
      <c r="BJ51" s="154">
        <f>'Acuario (Arribado - mortalidad)'!AP63</f>
        <v>0</v>
      </c>
      <c r="BK51" s="154">
        <f>'Acuario (Arribado - mortalidad)'!AQ63</f>
        <v>0</v>
      </c>
      <c r="BL51" s="154">
        <f>'Acuario (Arribado - mortalidad)'!AR63</f>
        <v>0</v>
      </c>
      <c r="BM51" s="154" t="str">
        <f>'Acuario (Arribado - mortalidad)'!AS63</f>
        <v/>
      </c>
      <c r="BN51" s="154">
        <f>'Acuario (Arribado - mortalidad)'!AT63</f>
        <v>0</v>
      </c>
      <c r="BO51" s="154">
        <f>'Acuario (Arribado - mortalidad)'!AU63</f>
        <v>0</v>
      </c>
      <c r="BP51" s="154">
        <f>'Acuario (Arribado - mortalidad)'!AV63</f>
        <v>0</v>
      </c>
      <c r="BQ51" s="154" t="str">
        <f>'Acuario (Arribado - mortalidad)'!AW63</f>
        <v/>
      </c>
      <c r="BR51" s="154">
        <f>'Acuario (Arribado - mortalidad)'!AX63</f>
        <v>0</v>
      </c>
      <c r="BS51" s="154">
        <f>'Acuario (Arribado - mortalidad)'!AY63</f>
        <v>0</v>
      </c>
      <c r="BT51" s="154" t="str">
        <f>'Acuario (Arribado - mortalidad)'!AZ63</f>
        <v/>
      </c>
      <c r="BU51" s="154" t="str">
        <f>'Acuario (Arribado - mortalidad)'!BA63</f>
        <v/>
      </c>
      <c r="BV51" s="154" t="str">
        <f>'Acuario (Arribado - mortalidad)'!BB63</f>
        <v/>
      </c>
      <c r="BW51" s="154" t="str">
        <f>'Acuario (Arribado - mortalidad)'!BC63</f>
        <v/>
      </c>
      <c r="BX51" s="154">
        <f>'Acuario (Arribado - mortalidad)'!BD63</f>
        <v>0</v>
      </c>
      <c r="BY51" s="154" t="str">
        <f>'Acuario (Arribado - mortalidad)'!BE63</f>
        <v/>
      </c>
      <c r="BZ51" s="23" t="str">
        <f>'Acuario (Arribado - mortalidad)'!BF63</f>
        <v/>
      </c>
    </row>
    <row r="52" spans="1:78" x14ac:dyDescent="0.25">
      <c r="A52" s="154" t="str">
        <f>IF(U52&lt;&gt;0,'ORDEN DE CUARENTENA'!$AE$2,"")</f>
        <v/>
      </c>
      <c r="B52" s="190" t="str">
        <f>IF(U52&lt;&gt;0,'ORDEN DE CUARENTENA'!$AE$3,"")</f>
        <v/>
      </c>
      <c r="C52" s="174" t="str">
        <f t="shared" si="1"/>
        <v/>
      </c>
      <c r="D52" s="329" t="str">
        <f>IF(U52&lt;&gt;0,'ORDEN DE CUARENTENA'!$I$6,"")</f>
        <v/>
      </c>
      <c r="E52" s="174" t="str">
        <f>IF(U52&lt;&gt;0,TEXT('ORDEN DE CUARENTENA'!$I$6,"aaa"),"")</f>
        <v/>
      </c>
      <c r="F52" s="173" t="str">
        <f>IF(U52&lt;&gt;0,TEXT('ORDEN DE CUARENTENA'!$I$6,"dd"),"")</f>
        <v/>
      </c>
      <c r="G52" s="172" t="str">
        <f>IF(U52&lt;&gt;0,TEXT('ORDEN DE CUARENTENA'!$I$6,"mm"),"")</f>
        <v/>
      </c>
      <c r="H52" s="171" t="str">
        <f>IF(U52&lt;&gt;0,TEXT('ORDEN DE CUARENTENA'!$I$6,"yyyy"),"")</f>
        <v/>
      </c>
      <c r="I52" s="154" t="str">
        <f>IF(U52&lt;&gt;0,'ORDEN DE CUARENTENA'!$H$7,"")</f>
        <v/>
      </c>
      <c r="J52" s="154" t="str">
        <f>IF(U52&lt;&gt;0,'ORDEN DE CUARENTENA'!$H$9,"")</f>
        <v/>
      </c>
      <c r="K52" s="154" t="str">
        <f>IF(U52&lt;&gt;0,'ORDEN DE CUARENTENA'!$Q$9,"")</f>
        <v/>
      </c>
      <c r="L52" s="154" t="str">
        <f>IFERROR(VLOOKUP(U52,Item[],4,FALSE),IFERROR(VLOOKUP(U52,Item2[],4,FALSE),""))</f>
        <v/>
      </c>
      <c r="M52" s="154" t="str">
        <f>IFERROR(VLOOKUP(U52,Item[],5,FALSE),IFERROR(VLOOKUP(U52,Item2[],5,FALSE),""))</f>
        <v/>
      </c>
      <c r="N52" s="154" t="str">
        <f>IFERROR(VLOOKUP(W52,SuscepEARs[],2,FALSE),"")</f>
        <v/>
      </c>
      <c r="O52" s="154" t="str">
        <f>IFERROR(VLOOKUP(DatosAll[[#This Row],[ESPECIE]],CITES[],2,FALSE),"")</f>
        <v/>
      </c>
      <c r="P52" s="154">
        <f>IFERROR(VLOOKUP(T52,Hallazgo[],2,FALSE),"")</f>
        <v>0</v>
      </c>
      <c r="Q52" s="154">
        <f>IFERROR(VLOOKUP(T52,Hallazgo[],3,FALSE),"")</f>
        <v>0</v>
      </c>
      <c r="R52" s="154">
        <f>IFERROR(VLOOKUP(T52,Hallazgo[],4,FALSE),"")</f>
        <v>0</v>
      </c>
      <c r="S52" s="154">
        <f>IFERROR(VLOOKUP(T52,Hallazgo[],5,FALSE),"")</f>
        <v>0</v>
      </c>
      <c r="T52" s="154">
        <f>'Acuario (Arribado - mortalidad)'!C64</f>
        <v>0</v>
      </c>
      <c r="U52" s="154">
        <f>'Acuario (Arribado - mortalidad)'!B64</f>
        <v>0</v>
      </c>
      <c r="V52" s="154" t="str">
        <f>'Acuario (Arribado - mortalidad)'!D64</f>
        <v/>
      </c>
      <c r="W52" s="154" t="str">
        <f>'Acuario (Arribado - mortalidad)'!E64</f>
        <v/>
      </c>
      <c r="X52" s="154">
        <f>'Acuario (Arribado - mortalidad)'!F64</f>
        <v>0</v>
      </c>
      <c r="Y52" s="154">
        <f>'Acuario (Arribado - mortalidad)'!H64</f>
        <v>0</v>
      </c>
      <c r="Z52" s="154">
        <f>'Acuario (Arribado - mortalidad)'!I64</f>
        <v>0</v>
      </c>
      <c r="AA52" s="154">
        <f>'Acuario (Arribado - mortalidad)'!J64</f>
        <v>0</v>
      </c>
      <c r="AB52" s="154" t="str">
        <f>'Acuario (Arribado - mortalidad)'!K64</f>
        <v/>
      </c>
      <c r="AC52" s="334" t="str">
        <f>IFERROR(('Acuario (Arribado - mortalidad)'!K64/DatosAll[[#This Row],[N_INDIVIDUOS]])*100,"")</f>
        <v/>
      </c>
      <c r="AD52" s="334" t="str">
        <f>IFERROR(('Acuario (Arribado - mortalidad)'!O64/DatosAll[[#This Row],[N_INDIVIDUOS]])*100,"")</f>
        <v/>
      </c>
      <c r="AE52" s="334" t="str">
        <f>IFERROR(('Acuario (Arribado - mortalidad)'!BG64/DatosAll[[#This Row],[N_INDIVIDUOS]])*100,"")</f>
        <v/>
      </c>
      <c r="AF52" s="334" t="str">
        <f>IFERROR(('Acuario (Arribado - mortalidad)'!BH64/DatosAll[[#This Row],[N_INDIVIDUOS]])*100,"")</f>
        <v/>
      </c>
      <c r="AG52" s="154">
        <f>'Acuario (Arribado - mortalidad)'!M64</f>
        <v>0</v>
      </c>
      <c r="AH52" s="154" t="str">
        <f>'Acuario (Arribado - mortalidad)'!G64</f>
        <v/>
      </c>
      <c r="AI52" s="154">
        <f>'Acuario (Arribado - mortalidad)'!O64</f>
        <v>0</v>
      </c>
      <c r="AJ52" s="154">
        <f>'Acuario (Arribado - mortalidad)'!P64</f>
        <v>0</v>
      </c>
      <c r="AK52" s="154">
        <f>'Acuario (Arribado - mortalidad)'!Q64</f>
        <v>0</v>
      </c>
      <c r="AL52" s="154">
        <f>'Acuario (Arribado - mortalidad)'!R64</f>
        <v>0</v>
      </c>
      <c r="AM52" s="154">
        <f>'Acuario (Arribado - mortalidad)'!S64</f>
        <v>0</v>
      </c>
      <c r="AN52" s="154">
        <f>'Acuario (Arribado - mortalidad)'!T64</f>
        <v>0</v>
      </c>
      <c r="AO52" s="154">
        <f>'Acuario (Arribado - mortalidad)'!U64</f>
        <v>0</v>
      </c>
      <c r="AP52" s="154">
        <f>'Acuario (Arribado - mortalidad)'!V64</f>
        <v>0</v>
      </c>
      <c r="AQ52" s="154">
        <f>'Acuario (Arribado - mortalidad)'!W64</f>
        <v>0</v>
      </c>
      <c r="AR52" s="154">
        <f>'Acuario (Arribado - mortalidad)'!X64</f>
        <v>0</v>
      </c>
      <c r="AS52" s="154">
        <f>'Acuario (Arribado - mortalidad)'!Y64</f>
        <v>0</v>
      </c>
      <c r="AT52" s="154">
        <f>'Acuario (Arribado - mortalidad)'!Z64</f>
        <v>0</v>
      </c>
      <c r="AU52" s="154">
        <f>'Acuario (Arribado - mortalidad)'!AA64</f>
        <v>0</v>
      </c>
      <c r="AV52" s="154">
        <f>'Acuario (Arribado - mortalidad)'!AB64</f>
        <v>0</v>
      </c>
      <c r="AW52" s="154">
        <f>'Acuario (Arribado - mortalidad)'!AC64</f>
        <v>0</v>
      </c>
      <c r="AX52" s="154">
        <f>'Acuario (Arribado - mortalidad)'!AD64</f>
        <v>0</v>
      </c>
      <c r="AY52" s="154">
        <f>'Acuario (Arribado - mortalidad)'!AE64</f>
        <v>0</v>
      </c>
      <c r="AZ52" s="154">
        <f>'Acuario (Arribado - mortalidad)'!AF64</f>
        <v>0</v>
      </c>
      <c r="BA52" s="154">
        <f>'Acuario (Arribado - mortalidad)'!AG64</f>
        <v>0</v>
      </c>
      <c r="BB52" s="154">
        <f>'Acuario (Arribado - mortalidad)'!AH64</f>
        <v>0</v>
      </c>
      <c r="BC52" s="154">
        <f>'Acuario (Arribado - mortalidad)'!AI64</f>
        <v>0</v>
      </c>
      <c r="BD52" s="154">
        <f>'Acuario (Arribado - mortalidad)'!AJ64</f>
        <v>0</v>
      </c>
      <c r="BE52" s="154">
        <f>'Acuario (Arribado - mortalidad)'!AK64</f>
        <v>0</v>
      </c>
      <c r="BF52" s="154">
        <f>'Acuario (Arribado - mortalidad)'!AL64</f>
        <v>0</v>
      </c>
      <c r="BG52" s="154">
        <f>'Acuario (Arribado - mortalidad)'!AM64</f>
        <v>0</v>
      </c>
      <c r="BH52" s="154">
        <f>'Acuario (Arribado - mortalidad)'!AN64</f>
        <v>0</v>
      </c>
      <c r="BI52" s="154">
        <f>'Acuario (Arribado - mortalidad)'!AO64</f>
        <v>0</v>
      </c>
      <c r="BJ52" s="154">
        <f>'Acuario (Arribado - mortalidad)'!AP64</f>
        <v>0</v>
      </c>
      <c r="BK52" s="154">
        <f>'Acuario (Arribado - mortalidad)'!AQ64</f>
        <v>0</v>
      </c>
      <c r="BL52" s="154">
        <f>'Acuario (Arribado - mortalidad)'!AR64</f>
        <v>0</v>
      </c>
      <c r="BM52" s="154" t="str">
        <f>'Acuario (Arribado - mortalidad)'!AS64</f>
        <v/>
      </c>
      <c r="BN52" s="154">
        <f>'Acuario (Arribado - mortalidad)'!AT64</f>
        <v>0</v>
      </c>
      <c r="BO52" s="154">
        <f>'Acuario (Arribado - mortalidad)'!AU64</f>
        <v>0</v>
      </c>
      <c r="BP52" s="154">
        <f>'Acuario (Arribado - mortalidad)'!AV64</f>
        <v>0</v>
      </c>
      <c r="BQ52" s="154" t="str">
        <f>'Acuario (Arribado - mortalidad)'!AW64</f>
        <v/>
      </c>
      <c r="BR52" s="154">
        <f>'Acuario (Arribado - mortalidad)'!AX64</f>
        <v>0</v>
      </c>
      <c r="BS52" s="154">
        <f>'Acuario (Arribado - mortalidad)'!AY64</f>
        <v>0</v>
      </c>
      <c r="BT52" s="154" t="str">
        <f>'Acuario (Arribado - mortalidad)'!AZ64</f>
        <v/>
      </c>
      <c r="BU52" s="154" t="str">
        <f>'Acuario (Arribado - mortalidad)'!BA64</f>
        <v/>
      </c>
      <c r="BV52" s="154" t="str">
        <f>'Acuario (Arribado - mortalidad)'!BB64</f>
        <v/>
      </c>
      <c r="BW52" s="154" t="str">
        <f>'Acuario (Arribado - mortalidad)'!BC64</f>
        <v/>
      </c>
      <c r="BX52" s="154">
        <f>'Acuario (Arribado - mortalidad)'!BD64</f>
        <v>0</v>
      </c>
      <c r="BY52" s="154" t="str">
        <f>'Acuario (Arribado - mortalidad)'!BE64</f>
        <v/>
      </c>
      <c r="BZ52" s="23" t="str">
        <f>'Acuario (Arribado - mortalidad)'!BF64</f>
        <v/>
      </c>
    </row>
    <row r="53" spans="1:78" x14ac:dyDescent="0.25">
      <c r="A53" s="154" t="str">
        <f>IF(U53&lt;&gt;0,'ORDEN DE CUARENTENA'!$AE$2,"")</f>
        <v/>
      </c>
      <c r="B53" s="190" t="str">
        <f>IF(U53&lt;&gt;0,'ORDEN DE CUARENTENA'!$AE$3,"")</f>
        <v/>
      </c>
      <c r="C53" s="174" t="str">
        <f t="shared" si="1"/>
        <v/>
      </c>
      <c r="D53" s="329" t="str">
        <f>IF(U53&lt;&gt;0,'ORDEN DE CUARENTENA'!$I$6,"")</f>
        <v/>
      </c>
      <c r="E53" s="174" t="str">
        <f>IF(U53&lt;&gt;0,TEXT('ORDEN DE CUARENTENA'!$I$6,"aaa"),"")</f>
        <v/>
      </c>
      <c r="F53" s="173" t="str">
        <f>IF(U53&lt;&gt;0,TEXT('ORDEN DE CUARENTENA'!$I$6,"dd"),"")</f>
        <v/>
      </c>
      <c r="G53" s="172" t="str">
        <f>IF(U53&lt;&gt;0,TEXT('ORDEN DE CUARENTENA'!$I$6,"mm"),"")</f>
        <v/>
      </c>
      <c r="H53" s="171" t="str">
        <f>IF(U53&lt;&gt;0,TEXT('ORDEN DE CUARENTENA'!$I$6,"yyyy"),"")</f>
        <v/>
      </c>
      <c r="I53" s="154" t="str">
        <f>IF(U53&lt;&gt;0,'ORDEN DE CUARENTENA'!$H$7,"")</f>
        <v/>
      </c>
      <c r="J53" s="154" t="str">
        <f>IF(U53&lt;&gt;0,'ORDEN DE CUARENTENA'!$H$9,"")</f>
        <v/>
      </c>
      <c r="K53" s="154" t="str">
        <f>IF(U53&lt;&gt;0,'ORDEN DE CUARENTENA'!$Q$9,"")</f>
        <v/>
      </c>
      <c r="L53" s="154" t="str">
        <f>IFERROR(VLOOKUP(U53,Item[],4,FALSE),IFERROR(VLOOKUP(U53,Item2[],4,FALSE),""))</f>
        <v/>
      </c>
      <c r="M53" s="154" t="str">
        <f>IFERROR(VLOOKUP(U53,Item[],5,FALSE),IFERROR(VLOOKUP(U53,Item2[],5,FALSE),""))</f>
        <v/>
      </c>
      <c r="N53" s="154" t="str">
        <f>IFERROR(VLOOKUP(W53,SuscepEARs[],2,FALSE),"")</f>
        <v/>
      </c>
      <c r="O53" s="154" t="str">
        <f>IFERROR(VLOOKUP(DatosAll[[#This Row],[ESPECIE]],CITES[],2,FALSE),"")</f>
        <v/>
      </c>
      <c r="P53" s="154">
        <f>IFERROR(VLOOKUP(T53,Hallazgo[],2,FALSE),"")</f>
        <v>0</v>
      </c>
      <c r="Q53" s="154">
        <f>IFERROR(VLOOKUP(T53,Hallazgo[],3,FALSE),"")</f>
        <v>0</v>
      </c>
      <c r="R53" s="154">
        <f>IFERROR(VLOOKUP(T53,Hallazgo[],4,FALSE),"")</f>
        <v>0</v>
      </c>
      <c r="S53" s="154">
        <f>IFERROR(VLOOKUP(T53,Hallazgo[],5,FALSE),"")</f>
        <v>0</v>
      </c>
      <c r="T53" s="154">
        <f>'Acuario (Arribado - mortalidad)'!C65</f>
        <v>0</v>
      </c>
      <c r="U53" s="154">
        <f>'Acuario (Arribado - mortalidad)'!B65</f>
        <v>0</v>
      </c>
      <c r="V53" s="154" t="str">
        <f>'Acuario (Arribado - mortalidad)'!D65</f>
        <v/>
      </c>
      <c r="W53" s="154" t="str">
        <f>'Acuario (Arribado - mortalidad)'!E65</f>
        <v/>
      </c>
      <c r="X53" s="154">
        <f>'Acuario (Arribado - mortalidad)'!F65</f>
        <v>0</v>
      </c>
      <c r="Y53" s="154">
        <f>'Acuario (Arribado - mortalidad)'!H65</f>
        <v>0</v>
      </c>
      <c r="Z53" s="154">
        <f>'Acuario (Arribado - mortalidad)'!I65</f>
        <v>0</v>
      </c>
      <c r="AA53" s="154">
        <f>'Acuario (Arribado - mortalidad)'!J65</f>
        <v>0</v>
      </c>
      <c r="AB53" s="154" t="str">
        <f>'Acuario (Arribado - mortalidad)'!K65</f>
        <v/>
      </c>
      <c r="AC53" s="334" t="str">
        <f>IFERROR(('Acuario (Arribado - mortalidad)'!K65/DatosAll[[#This Row],[N_INDIVIDUOS]])*100,"")</f>
        <v/>
      </c>
      <c r="AD53" s="334" t="str">
        <f>IFERROR(('Acuario (Arribado - mortalidad)'!O65/DatosAll[[#This Row],[N_INDIVIDUOS]])*100,"")</f>
        <v/>
      </c>
      <c r="AE53" s="334" t="str">
        <f>IFERROR(('Acuario (Arribado - mortalidad)'!BG65/DatosAll[[#This Row],[N_INDIVIDUOS]])*100,"")</f>
        <v/>
      </c>
      <c r="AF53" s="334" t="str">
        <f>IFERROR(('Acuario (Arribado - mortalidad)'!BH65/DatosAll[[#This Row],[N_INDIVIDUOS]])*100,"")</f>
        <v/>
      </c>
      <c r="AG53" s="154">
        <f>'Acuario (Arribado - mortalidad)'!M65</f>
        <v>0</v>
      </c>
      <c r="AH53" s="154" t="str">
        <f>'Acuario (Arribado - mortalidad)'!G65</f>
        <v/>
      </c>
      <c r="AI53" s="154">
        <f>'Acuario (Arribado - mortalidad)'!O65</f>
        <v>0</v>
      </c>
      <c r="AJ53" s="154">
        <f>'Acuario (Arribado - mortalidad)'!P65</f>
        <v>0</v>
      </c>
      <c r="AK53" s="154">
        <f>'Acuario (Arribado - mortalidad)'!Q65</f>
        <v>0</v>
      </c>
      <c r="AL53" s="154">
        <f>'Acuario (Arribado - mortalidad)'!R65</f>
        <v>0</v>
      </c>
      <c r="AM53" s="154">
        <f>'Acuario (Arribado - mortalidad)'!S65</f>
        <v>0</v>
      </c>
      <c r="AN53" s="154">
        <f>'Acuario (Arribado - mortalidad)'!T65</f>
        <v>0</v>
      </c>
      <c r="AO53" s="154">
        <f>'Acuario (Arribado - mortalidad)'!U65</f>
        <v>0</v>
      </c>
      <c r="AP53" s="154">
        <f>'Acuario (Arribado - mortalidad)'!V65</f>
        <v>0</v>
      </c>
      <c r="AQ53" s="154">
        <f>'Acuario (Arribado - mortalidad)'!W65</f>
        <v>0</v>
      </c>
      <c r="AR53" s="154">
        <f>'Acuario (Arribado - mortalidad)'!X65</f>
        <v>0</v>
      </c>
      <c r="AS53" s="154">
        <f>'Acuario (Arribado - mortalidad)'!Y65</f>
        <v>0</v>
      </c>
      <c r="AT53" s="154">
        <f>'Acuario (Arribado - mortalidad)'!Z65</f>
        <v>0</v>
      </c>
      <c r="AU53" s="154">
        <f>'Acuario (Arribado - mortalidad)'!AA65</f>
        <v>0</v>
      </c>
      <c r="AV53" s="154">
        <f>'Acuario (Arribado - mortalidad)'!AB65</f>
        <v>0</v>
      </c>
      <c r="AW53" s="154">
        <f>'Acuario (Arribado - mortalidad)'!AC65</f>
        <v>0</v>
      </c>
      <c r="AX53" s="154">
        <f>'Acuario (Arribado - mortalidad)'!AD65</f>
        <v>0</v>
      </c>
      <c r="AY53" s="154">
        <f>'Acuario (Arribado - mortalidad)'!AE65</f>
        <v>0</v>
      </c>
      <c r="AZ53" s="154">
        <f>'Acuario (Arribado - mortalidad)'!AF65</f>
        <v>0</v>
      </c>
      <c r="BA53" s="154">
        <f>'Acuario (Arribado - mortalidad)'!AG65</f>
        <v>0</v>
      </c>
      <c r="BB53" s="154">
        <f>'Acuario (Arribado - mortalidad)'!AH65</f>
        <v>0</v>
      </c>
      <c r="BC53" s="154">
        <f>'Acuario (Arribado - mortalidad)'!AI65</f>
        <v>0</v>
      </c>
      <c r="BD53" s="154">
        <f>'Acuario (Arribado - mortalidad)'!AJ65</f>
        <v>0</v>
      </c>
      <c r="BE53" s="154">
        <f>'Acuario (Arribado - mortalidad)'!AK65</f>
        <v>0</v>
      </c>
      <c r="BF53" s="154">
        <f>'Acuario (Arribado - mortalidad)'!AL65</f>
        <v>0</v>
      </c>
      <c r="BG53" s="154">
        <f>'Acuario (Arribado - mortalidad)'!AM65</f>
        <v>0</v>
      </c>
      <c r="BH53" s="154">
        <f>'Acuario (Arribado - mortalidad)'!AN65</f>
        <v>0</v>
      </c>
      <c r="BI53" s="154">
        <f>'Acuario (Arribado - mortalidad)'!AO65</f>
        <v>0</v>
      </c>
      <c r="BJ53" s="154">
        <f>'Acuario (Arribado - mortalidad)'!AP65</f>
        <v>0</v>
      </c>
      <c r="BK53" s="154">
        <f>'Acuario (Arribado - mortalidad)'!AQ65</f>
        <v>0</v>
      </c>
      <c r="BL53" s="154">
        <f>'Acuario (Arribado - mortalidad)'!AR65</f>
        <v>0</v>
      </c>
      <c r="BM53" s="154" t="str">
        <f>'Acuario (Arribado - mortalidad)'!AS65</f>
        <v/>
      </c>
      <c r="BN53" s="154">
        <f>'Acuario (Arribado - mortalidad)'!AT65</f>
        <v>0</v>
      </c>
      <c r="BO53" s="154">
        <f>'Acuario (Arribado - mortalidad)'!AU65</f>
        <v>0</v>
      </c>
      <c r="BP53" s="154">
        <f>'Acuario (Arribado - mortalidad)'!AV65</f>
        <v>0</v>
      </c>
      <c r="BQ53" s="154" t="str">
        <f>'Acuario (Arribado - mortalidad)'!AW65</f>
        <v/>
      </c>
      <c r="BR53" s="154">
        <f>'Acuario (Arribado - mortalidad)'!AX65</f>
        <v>0</v>
      </c>
      <c r="BS53" s="154">
        <f>'Acuario (Arribado - mortalidad)'!AY65</f>
        <v>0</v>
      </c>
      <c r="BT53" s="154" t="str">
        <f>'Acuario (Arribado - mortalidad)'!AZ65</f>
        <v/>
      </c>
      <c r="BU53" s="154" t="str">
        <f>'Acuario (Arribado - mortalidad)'!BA65</f>
        <v/>
      </c>
      <c r="BV53" s="154" t="str">
        <f>'Acuario (Arribado - mortalidad)'!BB65</f>
        <v/>
      </c>
      <c r="BW53" s="154" t="str">
        <f>'Acuario (Arribado - mortalidad)'!BC65</f>
        <v/>
      </c>
      <c r="BX53" s="154">
        <f>'Acuario (Arribado - mortalidad)'!BD65</f>
        <v>0</v>
      </c>
      <c r="BY53" s="154" t="str">
        <f>'Acuario (Arribado - mortalidad)'!BE65</f>
        <v/>
      </c>
      <c r="BZ53" s="23" t="str">
        <f>'Acuario (Arribado - mortalidad)'!BF65</f>
        <v/>
      </c>
    </row>
    <row r="54" spans="1:78" x14ac:dyDescent="0.25">
      <c r="A54" s="154" t="str">
        <f>IF(U54&lt;&gt;0,'ORDEN DE CUARENTENA'!$AE$2,"")</f>
        <v/>
      </c>
      <c r="B54" s="190" t="str">
        <f>IF(U54&lt;&gt;0,'ORDEN DE CUARENTENA'!$AE$3,"")</f>
        <v/>
      </c>
      <c r="C54" s="174" t="str">
        <f t="shared" si="1"/>
        <v/>
      </c>
      <c r="D54" s="329" t="str">
        <f>IF(U54&lt;&gt;0,'ORDEN DE CUARENTENA'!$I$6,"")</f>
        <v/>
      </c>
      <c r="E54" s="174" t="str">
        <f>IF(U54&lt;&gt;0,TEXT('ORDEN DE CUARENTENA'!$I$6,"aaa"),"")</f>
        <v/>
      </c>
      <c r="F54" s="173" t="str">
        <f>IF(U54&lt;&gt;0,TEXT('ORDEN DE CUARENTENA'!$I$6,"dd"),"")</f>
        <v/>
      </c>
      <c r="G54" s="172" t="str">
        <f>IF(U54&lt;&gt;0,TEXT('ORDEN DE CUARENTENA'!$I$6,"mm"),"")</f>
        <v/>
      </c>
      <c r="H54" s="171" t="str">
        <f>IF(U54&lt;&gt;0,TEXT('ORDEN DE CUARENTENA'!$I$6,"yyyy"),"")</f>
        <v/>
      </c>
      <c r="I54" s="154" t="str">
        <f>IF(U54&lt;&gt;0,'ORDEN DE CUARENTENA'!$H$7,"")</f>
        <v/>
      </c>
      <c r="J54" s="154" t="str">
        <f>IF(U54&lt;&gt;0,'ORDEN DE CUARENTENA'!$H$9,"")</f>
        <v/>
      </c>
      <c r="K54" s="154" t="str">
        <f>IF(U54&lt;&gt;0,'ORDEN DE CUARENTENA'!$Q$9,"")</f>
        <v/>
      </c>
      <c r="L54" s="154" t="str">
        <f>IFERROR(VLOOKUP(U54,Item[],4,FALSE),IFERROR(VLOOKUP(U54,Item2[],4,FALSE),""))</f>
        <v/>
      </c>
      <c r="M54" s="154" t="str">
        <f>IFERROR(VLOOKUP(U54,Item[],5,FALSE),IFERROR(VLOOKUP(U54,Item2[],5,FALSE),""))</f>
        <v/>
      </c>
      <c r="N54" s="154" t="str">
        <f>IFERROR(VLOOKUP(W54,SuscepEARs[],2,FALSE),"")</f>
        <v/>
      </c>
      <c r="O54" s="154" t="str">
        <f>IFERROR(VLOOKUP(DatosAll[[#This Row],[ESPECIE]],CITES[],2,FALSE),"")</f>
        <v/>
      </c>
      <c r="P54" s="154">
        <f>IFERROR(VLOOKUP(T54,Hallazgo[],2,FALSE),"")</f>
        <v>0</v>
      </c>
      <c r="Q54" s="154">
        <f>IFERROR(VLOOKUP(T54,Hallazgo[],3,FALSE),"")</f>
        <v>0</v>
      </c>
      <c r="R54" s="154">
        <f>IFERROR(VLOOKUP(T54,Hallazgo[],4,FALSE),"")</f>
        <v>0</v>
      </c>
      <c r="S54" s="154">
        <f>IFERROR(VLOOKUP(T54,Hallazgo[],5,FALSE),"")</f>
        <v>0</v>
      </c>
      <c r="T54" s="154">
        <f>'Acuario (Arribado - mortalidad)'!C66</f>
        <v>0</v>
      </c>
      <c r="U54" s="154">
        <f>'Acuario (Arribado - mortalidad)'!B66</f>
        <v>0</v>
      </c>
      <c r="V54" s="154" t="str">
        <f>'Acuario (Arribado - mortalidad)'!D66</f>
        <v/>
      </c>
      <c r="W54" s="154" t="str">
        <f>'Acuario (Arribado - mortalidad)'!E66</f>
        <v/>
      </c>
      <c r="X54" s="154">
        <f>'Acuario (Arribado - mortalidad)'!F66</f>
        <v>0</v>
      </c>
      <c r="Y54" s="154">
        <f>'Acuario (Arribado - mortalidad)'!H66</f>
        <v>0</v>
      </c>
      <c r="Z54" s="154">
        <f>'Acuario (Arribado - mortalidad)'!I66</f>
        <v>0</v>
      </c>
      <c r="AA54" s="154">
        <f>'Acuario (Arribado - mortalidad)'!J66</f>
        <v>0</v>
      </c>
      <c r="AB54" s="154" t="str">
        <f>'Acuario (Arribado - mortalidad)'!K66</f>
        <v/>
      </c>
      <c r="AC54" s="334" t="str">
        <f>IFERROR(('Acuario (Arribado - mortalidad)'!K66/DatosAll[[#This Row],[N_INDIVIDUOS]])*100,"")</f>
        <v/>
      </c>
      <c r="AD54" s="334" t="str">
        <f>IFERROR(('Acuario (Arribado - mortalidad)'!O66/DatosAll[[#This Row],[N_INDIVIDUOS]])*100,"")</f>
        <v/>
      </c>
      <c r="AE54" s="334" t="str">
        <f>IFERROR(('Acuario (Arribado - mortalidad)'!BG66/DatosAll[[#This Row],[N_INDIVIDUOS]])*100,"")</f>
        <v/>
      </c>
      <c r="AF54" s="334" t="str">
        <f>IFERROR(('Acuario (Arribado - mortalidad)'!BH66/DatosAll[[#This Row],[N_INDIVIDUOS]])*100,"")</f>
        <v/>
      </c>
      <c r="AG54" s="154">
        <f>'Acuario (Arribado - mortalidad)'!M66</f>
        <v>0</v>
      </c>
      <c r="AH54" s="154" t="str">
        <f>'Acuario (Arribado - mortalidad)'!G66</f>
        <v/>
      </c>
      <c r="AI54" s="154">
        <f>'Acuario (Arribado - mortalidad)'!O66</f>
        <v>0</v>
      </c>
      <c r="AJ54" s="154">
        <f>'Acuario (Arribado - mortalidad)'!P66</f>
        <v>0</v>
      </c>
      <c r="AK54" s="154">
        <f>'Acuario (Arribado - mortalidad)'!Q66</f>
        <v>0</v>
      </c>
      <c r="AL54" s="154">
        <f>'Acuario (Arribado - mortalidad)'!R66</f>
        <v>0</v>
      </c>
      <c r="AM54" s="154">
        <f>'Acuario (Arribado - mortalidad)'!S66</f>
        <v>0</v>
      </c>
      <c r="AN54" s="154">
        <f>'Acuario (Arribado - mortalidad)'!T66</f>
        <v>0</v>
      </c>
      <c r="AO54" s="154">
        <f>'Acuario (Arribado - mortalidad)'!U66</f>
        <v>0</v>
      </c>
      <c r="AP54" s="154">
        <f>'Acuario (Arribado - mortalidad)'!V66</f>
        <v>0</v>
      </c>
      <c r="AQ54" s="154">
        <f>'Acuario (Arribado - mortalidad)'!W66</f>
        <v>0</v>
      </c>
      <c r="AR54" s="154">
        <f>'Acuario (Arribado - mortalidad)'!X66</f>
        <v>0</v>
      </c>
      <c r="AS54" s="154">
        <f>'Acuario (Arribado - mortalidad)'!Y66</f>
        <v>0</v>
      </c>
      <c r="AT54" s="154">
        <f>'Acuario (Arribado - mortalidad)'!Z66</f>
        <v>0</v>
      </c>
      <c r="AU54" s="154">
        <f>'Acuario (Arribado - mortalidad)'!AA66</f>
        <v>0</v>
      </c>
      <c r="AV54" s="154">
        <f>'Acuario (Arribado - mortalidad)'!AB66</f>
        <v>0</v>
      </c>
      <c r="AW54" s="154">
        <f>'Acuario (Arribado - mortalidad)'!AC66</f>
        <v>0</v>
      </c>
      <c r="AX54" s="154">
        <f>'Acuario (Arribado - mortalidad)'!AD66</f>
        <v>0</v>
      </c>
      <c r="AY54" s="154">
        <f>'Acuario (Arribado - mortalidad)'!AE66</f>
        <v>0</v>
      </c>
      <c r="AZ54" s="154">
        <f>'Acuario (Arribado - mortalidad)'!AF66</f>
        <v>0</v>
      </c>
      <c r="BA54" s="154">
        <f>'Acuario (Arribado - mortalidad)'!AG66</f>
        <v>0</v>
      </c>
      <c r="BB54" s="154">
        <f>'Acuario (Arribado - mortalidad)'!AH66</f>
        <v>0</v>
      </c>
      <c r="BC54" s="154">
        <f>'Acuario (Arribado - mortalidad)'!AI66</f>
        <v>0</v>
      </c>
      <c r="BD54" s="154">
        <f>'Acuario (Arribado - mortalidad)'!AJ66</f>
        <v>0</v>
      </c>
      <c r="BE54" s="154">
        <f>'Acuario (Arribado - mortalidad)'!AK66</f>
        <v>0</v>
      </c>
      <c r="BF54" s="154">
        <f>'Acuario (Arribado - mortalidad)'!AL66</f>
        <v>0</v>
      </c>
      <c r="BG54" s="154">
        <f>'Acuario (Arribado - mortalidad)'!AM66</f>
        <v>0</v>
      </c>
      <c r="BH54" s="154">
        <f>'Acuario (Arribado - mortalidad)'!AN66</f>
        <v>0</v>
      </c>
      <c r="BI54" s="154">
        <f>'Acuario (Arribado - mortalidad)'!AO66</f>
        <v>0</v>
      </c>
      <c r="BJ54" s="154">
        <f>'Acuario (Arribado - mortalidad)'!AP66</f>
        <v>0</v>
      </c>
      <c r="BK54" s="154">
        <f>'Acuario (Arribado - mortalidad)'!AQ66</f>
        <v>0</v>
      </c>
      <c r="BL54" s="154">
        <f>'Acuario (Arribado - mortalidad)'!AR66</f>
        <v>0</v>
      </c>
      <c r="BM54" s="154" t="str">
        <f>'Acuario (Arribado - mortalidad)'!AS66</f>
        <v/>
      </c>
      <c r="BN54" s="154">
        <f>'Acuario (Arribado - mortalidad)'!AT66</f>
        <v>0</v>
      </c>
      <c r="BO54" s="154">
        <f>'Acuario (Arribado - mortalidad)'!AU66</f>
        <v>0</v>
      </c>
      <c r="BP54" s="154">
        <f>'Acuario (Arribado - mortalidad)'!AV66</f>
        <v>0</v>
      </c>
      <c r="BQ54" s="154" t="str">
        <f>'Acuario (Arribado - mortalidad)'!AW66</f>
        <v/>
      </c>
      <c r="BR54" s="154">
        <f>'Acuario (Arribado - mortalidad)'!AX66</f>
        <v>0</v>
      </c>
      <c r="BS54" s="154">
        <f>'Acuario (Arribado - mortalidad)'!AY66</f>
        <v>0</v>
      </c>
      <c r="BT54" s="154" t="str">
        <f>'Acuario (Arribado - mortalidad)'!AZ66</f>
        <v/>
      </c>
      <c r="BU54" s="154" t="str">
        <f>'Acuario (Arribado - mortalidad)'!BA66</f>
        <v/>
      </c>
      <c r="BV54" s="154" t="str">
        <f>'Acuario (Arribado - mortalidad)'!BB66</f>
        <v/>
      </c>
      <c r="BW54" s="154" t="str">
        <f>'Acuario (Arribado - mortalidad)'!BC66</f>
        <v/>
      </c>
      <c r="BX54" s="154">
        <f>'Acuario (Arribado - mortalidad)'!BD66</f>
        <v>0</v>
      </c>
      <c r="BY54" s="154" t="str">
        <f>'Acuario (Arribado - mortalidad)'!BE66</f>
        <v/>
      </c>
      <c r="BZ54" s="23" t="str">
        <f>'Acuario (Arribado - mortalidad)'!BF66</f>
        <v/>
      </c>
    </row>
    <row r="55" spans="1:78" x14ac:dyDescent="0.25">
      <c r="A55" s="154" t="str">
        <f>IF(U55&lt;&gt;0,'ORDEN DE CUARENTENA'!$AE$2,"")</f>
        <v/>
      </c>
      <c r="B55" s="190" t="str">
        <f>IF(U55&lt;&gt;0,'ORDEN DE CUARENTENA'!$AE$3,"")</f>
        <v/>
      </c>
      <c r="C55" s="174" t="str">
        <f t="shared" si="1"/>
        <v/>
      </c>
      <c r="D55" s="329" t="str">
        <f>IF(U55&lt;&gt;0,'ORDEN DE CUARENTENA'!$I$6,"")</f>
        <v/>
      </c>
      <c r="E55" s="174" t="str">
        <f>IF(U55&lt;&gt;0,TEXT('ORDEN DE CUARENTENA'!$I$6,"aaa"),"")</f>
        <v/>
      </c>
      <c r="F55" s="173" t="str">
        <f>IF(U55&lt;&gt;0,TEXT('ORDEN DE CUARENTENA'!$I$6,"dd"),"")</f>
        <v/>
      </c>
      <c r="G55" s="172" t="str">
        <f>IF(U55&lt;&gt;0,TEXT('ORDEN DE CUARENTENA'!$I$6,"mm"),"")</f>
        <v/>
      </c>
      <c r="H55" s="171" t="str">
        <f>IF(U55&lt;&gt;0,TEXT('ORDEN DE CUARENTENA'!$I$6,"yyyy"),"")</f>
        <v/>
      </c>
      <c r="I55" s="154" t="str">
        <f>IF(U55&lt;&gt;0,'ORDEN DE CUARENTENA'!$H$7,"")</f>
        <v/>
      </c>
      <c r="J55" s="154" t="str">
        <f>IF(U55&lt;&gt;0,'ORDEN DE CUARENTENA'!$H$9,"")</f>
        <v/>
      </c>
      <c r="K55" s="154" t="str">
        <f>IF(U55&lt;&gt;0,'ORDEN DE CUARENTENA'!$Q$9,"")</f>
        <v/>
      </c>
      <c r="L55" s="154" t="str">
        <f>IFERROR(VLOOKUP(U55,Item[],4,FALSE),IFERROR(VLOOKUP(U55,Item2[],4,FALSE),""))</f>
        <v/>
      </c>
      <c r="M55" s="154" t="str">
        <f>IFERROR(VLOOKUP(U55,Item[],5,FALSE),IFERROR(VLOOKUP(U55,Item2[],5,FALSE),""))</f>
        <v/>
      </c>
      <c r="N55" s="154" t="str">
        <f>IFERROR(VLOOKUP(W55,SuscepEARs[],2,FALSE),"")</f>
        <v/>
      </c>
      <c r="O55" s="154" t="str">
        <f>IFERROR(VLOOKUP(DatosAll[[#This Row],[ESPECIE]],CITES[],2,FALSE),"")</f>
        <v/>
      </c>
      <c r="P55" s="154">
        <f>IFERROR(VLOOKUP(T55,Hallazgo[],2,FALSE),"")</f>
        <v>0</v>
      </c>
      <c r="Q55" s="154">
        <f>IFERROR(VLOOKUP(T55,Hallazgo[],3,FALSE),"")</f>
        <v>0</v>
      </c>
      <c r="R55" s="154">
        <f>IFERROR(VLOOKUP(T55,Hallazgo[],4,FALSE),"")</f>
        <v>0</v>
      </c>
      <c r="S55" s="154">
        <f>IFERROR(VLOOKUP(T55,Hallazgo[],5,FALSE),"")</f>
        <v>0</v>
      </c>
      <c r="T55" s="154">
        <f>'Acuario (Arribado - mortalidad)'!C67</f>
        <v>0</v>
      </c>
      <c r="U55" s="154">
        <f>'Acuario (Arribado - mortalidad)'!B67</f>
        <v>0</v>
      </c>
      <c r="V55" s="154" t="str">
        <f>'Acuario (Arribado - mortalidad)'!D67</f>
        <v/>
      </c>
      <c r="W55" s="154" t="str">
        <f>'Acuario (Arribado - mortalidad)'!E67</f>
        <v/>
      </c>
      <c r="X55" s="154">
        <f>'Acuario (Arribado - mortalidad)'!F67</f>
        <v>0</v>
      </c>
      <c r="Y55" s="154">
        <f>'Acuario (Arribado - mortalidad)'!H67</f>
        <v>0</v>
      </c>
      <c r="Z55" s="154">
        <f>'Acuario (Arribado - mortalidad)'!I67</f>
        <v>0</v>
      </c>
      <c r="AA55" s="154">
        <f>'Acuario (Arribado - mortalidad)'!J67</f>
        <v>0</v>
      </c>
      <c r="AB55" s="154" t="str">
        <f>'Acuario (Arribado - mortalidad)'!K67</f>
        <v/>
      </c>
      <c r="AC55" s="334" t="str">
        <f>IFERROR(('Acuario (Arribado - mortalidad)'!K67/DatosAll[[#This Row],[N_INDIVIDUOS]])*100,"")</f>
        <v/>
      </c>
      <c r="AD55" s="334" t="str">
        <f>IFERROR(('Acuario (Arribado - mortalidad)'!O67/DatosAll[[#This Row],[N_INDIVIDUOS]])*100,"")</f>
        <v/>
      </c>
      <c r="AE55" s="334" t="str">
        <f>IFERROR(('Acuario (Arribado - mortalidad)'!BG67/DatosAll[[#This Row],[N_INDIVIDUOS]])*100,"")</f>
        <v/>
      </c>
      <c r="AF55" s="334" t="str">
        <f>IFERROR(('Acuario (Arribado - mortalidad)'!BH67/DatosAll[[#This Row],[N_INDIVIDUOS]])*100,"")</f>
        <v/>
      </c>
      <c r="AG55" s="154">
        <f>'Acuario (Arribado - mortalidad)'!M67</f>
        <v>0</v>
      </c>
      <c r="AH55" s="154" t="str">
        <f>'Acuario (Arribado - mortalidad)'!G67</f>
        <v/>
      </c>
      <c r="AI55" s="154">
        <f>'Acuario (Arribado - mortalidad)'!O67</f>
        <v>0</v>
      </c>
      <c r="AJ55" s="154">
        <f>'Acuario (Arribado - mortalidad)'!P67</f>
        <v>0</v>
      </c>
      <c r="AK55" s="154">
        <f>'Acuario (Arribado - mortalidad)'!Q67</f>
        <v>0</v>
      </c>
      <c r="AL55" s="154">
        <f>'Acuario (Arribado - mortalidad)'!R67</f>
        <v>0</v>
      </c>
      <c r="AM55" s="154">
        <f>'Acuario (Arribado - mortalidad)'!S67</f>
        <v>0</v>
      </c>
      <c r="AN55" s="154">
        <f>'Acuario (Arribado - mortalidad)'!T67</f>
        <v>0</v>
      </c>
      <c r="AO55" s="154">
        <f>'Acuario (Arribado - mortalidad)'!U67</f>
        <v>0</v>
      </c>
      <c r="AP55" s="154">
        <f>'Acuario (Arribado - mortalidad)'!V67</f>
        <v>0</v>
      </c>
      <c r="AQ55" s="154">
        <f>'Acuario (Arribado - mortalidad)'!W67</f>
        <v>0</v>
      </c>
      <c r="AR55" s="154">
        <f>'Acuario (Arribado - mortalidad)'!X67</f>
        <v>0</v>
      </c>
      <c r="AS55" s="154">
        <f>'Acuario (Arribado - mortalidad)'!Y67</f>
        <v>0</v>
      </c>
      <c r="AT55" s="154">
        <f>'Acuario (Arribado - mortalidad)'!Z67</f>
        <v>0</v>
      </c>
      <c r="AU55" s="154">
        <f>'Acuario (Arribado - mortalidad)'!AA67</f>
        <v>0</v>
      </c>
      <c r="AV55" s="154">
        <f>'Acuario (Arribado - mortalidad)'!AB67</f>
        <v>0</v>
      </c>
      <c r="AW55" s="154">
        <f>'Acuario (Arribado - mortalidad)'!AC67</f>
        <v>0</v>
      </c>
      <c r="AX55" s="154">
        <f>'Acuario (Arribado - mortalidad)'!AD67</f>
        <v>0</v>
      </c>
      <c r="AY55" s="154">
        <f>'Acuario (Arribado - mortalidad)'!AE67</f>
        <v>0</v>
      </c>
      <c r="AZ55" s="154">
        <f>'Acuario (Arribado - mortalidad)'!AF67</f>
        <v>0</v>
      </c>
      <c r="BA55" s="154">
        <f>'Acuario (Arribado - mortalidad)'!AG67</f>
        <v>0</v>
      </c>
      <c r="BB55" s="154">
        <f>'Acuario (Arribado - mortalidad)'!AH67</f>
        <v>0</v>
      </c>
      <c r="BC55" s="154">
        <f>'Acuario (Arribado - mortalidad)'!AI67</f>
        <v>0</v>
      </c>
      <c r="BD55" s="154">
        <f>'Acuario (Arribado - mortalidad)'!AJ67</f>
        <v>0</v>
      </c>
      <c r="BE55" s="154">
        <f>'Acuario (Arribado - mortalidad)'!AK67</f>
        <v>0</v>
      </c>
      <c r="BF55" s="154">
        <f>'Acuario (Arribado - mortalidad)'!AL67</f>
        <v>0</v>
      </c>
      <c r="BG55" s="154">
        <f>'Acuario (Arribado - mortalidad)'!AM67</f>
        <v>0</v>
      </c>
      <c r="BH55" s="154">
        <f>'Acuario (Arribado - mortalidad)'!AN67</f>
        <v>0</v>
      </c>
      <c r="BI55" s="154">
        <f>'Acuario (Arribado - mortalidad)'!AO67</f>
        <v>0</v>
      </c>
      <c r="BJ55" s="154">
        <f>'Acuario (Arribado - mortalidad)'!AP67</f>
        <v>0</v>
      </c>
      <c r="BK55" s="154">
        <f>'Acuario (Arribado - mortalidad)'!AQ67</f>
        <v>0</v>
      </c>
      <c r="BL55" s="154">
        <f>'Acuario (Arribado - mortalidad)'!AR67</f>
        <v>0</v>
      </c>
      <c r="BM55" s="154" t="str">
        <f>'Acuario (Arribado - mortalidad)'!AS67</f>
        <v/>
      </c>
      <c r="BN55" s="154">
        <f>'Acuario (Arribado - mortalidad)'!AT67</f>
        <v>0</v>
      </c>
      <c r="BO55" s="154">
        <f>'Acuario (Arribado - mortalidad)'!AU67</f>
        <v>0</v>
      </c>
      <c r="BP55" s="154">
        <f>'Acuario (Arribado - mortalidad)'!AV67</f>
        <v>0</v>
      </c>
      <c r="BQ55" s="154" t="str">
        <f>'Acuario (Arribado - mortalidad)'!AW67</f>
        <v/>
      </c>
      <c r="BR55" s="154">
        <f>'Acuario (Arribado - mortalidad)'!AX67</f>
        <v>0</v>
      </c>
      <c r="BS55" s="154">
        <f>'Acuario (Arribado - mortalidad)'!AY67</f>
        <v>0</v>
      </c>
      <c r="BT55" s="154" t="str">
        <f>'Acuario (Arribado - mortalidad)'!AZ67</f>
        <v/>
      </c>
      <c r="BU55" s="154" t="str">
        <f>'Acuario (Arribado - mortalidad)'!BA67</f>
        <v/>
      </c>
      <c r="BV55" s="154" t="str">
        <f>'Acuario (Arribado - mortalidad)'!BB67</f>
        <v/>
      </c>
      <c r="BW55" s="154" t="str">
        <f>'Acuario (Arribado - mortalidad)'!BC67</f>
        <v/>
      </c>
      <c r="BX55" s="154">
        <f>'Acuario (Arribado - mortalidad)'!BD67</f>
        <v>0</v>
      </c>
      <c r="BY55" s="154" t="str">
        <f>'Acuario (Arribado - mortalidad)'!BE67</f>
        <v/>
      </c>
      <c r="BZ55" s="23" t="str">
        <f>'Acuario (Arribado - mortalidad)'!BF67</f>
        <v/>
      </c>
    </row>
    <row r="56" spans="1:78" x14ac:dyDescent="0.25">
      <c r="A56" s="154" t="str">
        <f>IF(U56&lt;&gt;0,'ORDEN DE CUARENTENA'!$AE$2,"")</f>
        <v/>
      </c>
      <c r="B56" s="190" t="str">
        <f>IF(U56&lt;&gt;0,'ORDEN DE CUARENTENA'!$AE$3,"")</f>
        <v/>
      </c>
      <c r="C56" s="174" t="str">
        <f t="shared" si="1"/>
        <v/>
      </c>
      <c r="D56" s="329" t="str">
        <f>IF(U56&lt;&gt;0,'ORDEN DE CUARENTENA'!$I$6,"")</f>
        <v/>
      </c>
      <c r="E56" s="174" t="str">
        <f>IF(U56&lt;&gt;0,TEXT('ORDEN DE CUARENTENA'!$I$6,"aaa"),"")</f>
        <v/>
      </c>
      <c r="F56" s="173" t="str">
        <f>IF(U56&lt;&gt;0,TEXT('ORDEN DE CUARENTENA'!$I$6,"dd"),"")</f>
        <v/>
      </c>
      <c r="G56" s="172" t="str">
        <f>IF(U56&lt;&gt;0,TEXT('ORDEN DE CUARENTENA'!$I$6,"mm"),"")</f>
        <v/>
      </c>
      <c r="H56" s="171" t="str">
        <f>IF(U56&lt;&gt;0,TEXT('ORDEN DE CUARENTENA'!$I$6,"yyyy"),"")</f>
        <v/>
      </c>
      <c r="I56" s="154" t="str">
        <f>IF(U56&lt;&gt;0,'ORDEN DE CUARENTENA'!$H$7,"")</f>
        <v/>
      </c>
      <c r="J56" s="154" t="str">
        <f>IF(U56&lt;&gt;0,'ORDEN DE CUARENTENA'!$H$9,"")</f>
        <v/>
      </c>
      <c r="K56" s="154" t="str">
        <f>IF(U56&lt;&gt;0,'ORDEN DE CUARENTENA'!$Q$9,"")</f>
        <v/>
      </c>
      <c r="L56" s="154" t="str">
        <f>IFERROR(VLOOKUP(U56,Item[],4,FALSE),IFERROR(VLOOKUP(U56,Item2[],4,FALSE),""))</f>
        <v/>
      </c>
      <c r="M56" s="154" t="str">
        <f>IFERROR(VLOOKUP(U56,Item[],5,FALSE),IFERROR(VLOOKUP(U56,Item2[],5,FALSE),""))</f>
        <v/>
      </c>
      <c r="N56" s="154" t="str">
        <f>IFERROR(VLOOKUP(W56,SuscepEARs[],2,FALSE),"")</f>
        <v/>
      </c>
      <c r="O56" s="154" t="str">
        <f>IFERROR(VLOOKUP(DatosAll[[#This Row],[ESPECIE]],CITES[],2,FALSE),"")</f>
        <v/>
      </c>
      <c r="P56" s="154">
        <f>IFERROR(VLOOKUP(T56,Hallazgo[],2,FALSE),"")</f>
        <v>0</v>
      </c>
      <c r="Q56" s="154">
        <f>IFERROR(VLOOKUP(T56,Hallazgo[],3,FALSE),"")</f>
        <v>0</v>
      </c>
      <c r="R56" s="154">
        <f>IFERROR(VLOOKUP(T56,Hallazgo[],4,FALSE),"")</f>
        <v>0</v>
      </c>
      <c r="S56" s="154">
        <f>IFERROR(VLOOKUP(T56,Hallazgo[],5,FALSE),"")</f>
        <v>0</v>
      </c>
      <c r="T56" s="154">
        <f>'Acuario (Arribado - mortalidad)'!C68</f>
        <v>0</v>
      </c>
      <c r="U56" s="154">
        <f>'Acuario (Arribado - mortalidad)'!B68</f>
        <v>0</v>
      </c>
      <c r="V56" s="154" t="str">
        <f>'Acuario (Arribado - mortalidad)'!D68</f>
        <v/>
      </c>
      <c r="W56" s="154" t="str">
        <f>'Acuario (Arribado - mortalidad)'!E68</f>
        <v/>
      </c>
      <c r="X56" s="154">
        <f>'Acuario (Arribado - mortalidad)'!F68</f>
        <v>0</v>
      </c>
      <c r="Y56" s="154">
        <f>'Acuario (Arribado - mortalidad)'!H68</f>
        <v>0</v>
      </c>
      <c r="Z56" s="154">
        <f>'Acuario (Arribado - mortalidad)'!I68</f>
        <v>0</v>
      </c>
      <c r="AA56" s="154">
        <f>'Acuario (Arribado - mortalidad)'!J68</f>
        <v>0</v>
      </c>
      <c r="AB56" s="154" t="str">
        <f>'Acuario (Arribado - mortalidad)'!K68</f>
        <v/>
      </c>
      <c r="AC56" s="334" t="str">
        <f>IFERROR(('Acuario (Arribado - mortalidad)'!K68/DatosAll[[#This Row],[N_INDIVIDUOS]])*100,"")</f>
        <v/>
      </c>
      <c r="AD56" s="334" t="str">
        <f>IFERROR(('Acuario (Arribado - mortalidad)'!O68/DatosAll[[#This Row],[N_INDIVIDUOS]])*100,"")</f>
        <v/>
      </c>
      <c r="AE56" s="334" t="str">
        <f>IFERROR(('Acuario (Arribado - mortalidad)'!BG68/DatosAll[[#This Row],[N_INDIVIDUOS]])*100,"")</f>
        <v/>
      </c>
      <c r="AF56" s="334" t="str">
        <f>IFERROR(('Acuario (Arribado - mortalidad)'!BH68/DatosAll[[#This Row],[N_INDIVIDUOS]])*100,"")</f>
        <v/>
      </c>
      <c r="AG56" s="154">
        <f>'Acuario (Arribado - mortalidad)'!M68</f>
        <v>0</v>
      </c>
      <c r="AH56" s="154" t="str">
        <f>'Acuario (Arribado - mortalidad)'!G68</f>
        <v/>
      </c>
      <c r="AI56" s="154">
        <f>'Acuario (Arribado - mortalidad)'!O68</f>
        <v>0</v>
      </c>
      <c r="AJ56" s="154">
        <f>'Acuario (Arribado - mortalidad)'!P68</f>
        <v>0</v>
      </c>
      <c r="AK56" s="154">
        <f>'Acuario (Arribado - mortalidad)'!Q68</f>
        <v>0</v>
      </c>
      <c r="AL56" s="154">
        <f>'Acuario (Arribado - mortalidad)'!R68</f>
        <v>0</v>
      </c>
      <c r="AM56" s="154">
        <f>'Acuario (Arribado - mortalidad)'!S68</f>
        <v>0</v>
      </c>
      <c r="AN56" s="154">
        <f>'Acuario (Arribado - mortalidad)'!T68</f>
        <v>0</v>
      </c>
      <c r="AO56" s="154">
        <f>'Acuario (Arribado - mortalidad)'!U68</f>
        <v>0</v>
      </c>
      <c r="AP56" s="154">
        <f>'Acuario (Arribado - mortalidad)'!V68</f>
        <v>0</v>
      </c>
      <c r="AQ56" s="154">
        <f>'Acuario (Arribado - mortalidad)'!W68</f>
        <v>0</v>
      </c>
      <c r="AR56" s="154">
        <f>'Acuario (Arribado - mortalidad)'!X68</f>
        <v>0</v>
      </c>
      <c r="AS56" s="154">
        <f>'Acuario (Arribado - mortalidad)'!Y68</f>
        <v>0</v>
      </c>
      <c r="AT56" s="154">
        <f>'Acuario (Arribado - mortalidad)'!Z68</f>
        <v>0</v>
      </c>
      <c r="AU56" s="154">
        <f>'Acuario (Arribado - mortalidad)'!AA68</f>
        <v>0</v>
      </c>
      <c r="AV56" s="154">
        <f>'Acuario (Arribado - mortalidad)'!AB68</f>
        <v>0</v>
      </c>
      <c r="AW56" s="154">
        <f>'Acuario (Arribado - mortalidad)'!AC68</f>
        <v>0</v>
      </c>
      <c r="AX56" s="154">
        <f>'Acuario (Arribado - mortalidad)'!AD68</f>
        <v>0</v>
      </c>
      <c r="AY56" s="154">
        <f>'Acuario (Arribado - mortalidad)'!AE68</f>
        <v>0</v>
      </c>
      <c r="AZ56" s="154">
        <f>'Acuario (Arribado - mortalidad)'!AF68</f>
        <v>0</v>
      </c>
      <c r="BA56" s="154">
        <f>'Acuario (Arribado - mortalidad)'!AG68</f>
        <v>0</v>
      </c>
      <c r="BB56" s="154">
        <f>'Acuario (Arribado - mortalidad)'!AH68</f>
        <v>0</v>
      </c>
      <c r="BC56" s="154">
        <f>'Acuario (Arribado - mortalidad)'!AI68</f>
        <v>0</v>
      </c>
      <c r="BD56" s="154">
        <f>'Acuario (Arribado - mortalidad)'!AJ68</f>
        <v>0</v>
      </c>
      <c r="BE56" s="154">
        <f>'Acuario (Arribado - mortalidad)'!AK68</f>
        <v>0</v>
      </c>
      <c r="BF56" s="154">
        <f>'Acuario (Arribado - mortalidad)'!AL68</f>
        <v>0</v>
      </c>
      <c r="BG56" s="154">
        <f>'Acuario (Arribado - mortalidad)'!AM68</f>
        <v>0</v>
      </c>
      <c r="BH56" s="154">
        <f>'Acuario (Arribado - mortalidad)'!AN68</f>
        <v>0</v>
      </c>
      <c r="BI56" s="154">
        <f>'Acuario (Arribado - mortalidad)'!AO68</f>
        <v>0</v>
      </c>
      <c r="BJ56" s="154">
        <f>'Acuario (Arribado - mortalidad)'!AP68</f>
        <v>0</v>
      </c>
      <c r="BK56" s="154">
        <f>'Acuario (Arribado - mortalidad)'!AQ68</f>
        <v>0</v>
      </c>
      <c r="BL56" s="154">
        <f>'Acuario (Arribado - mortalidad)'!AR68</f>
        <v>0</v>
      </c>
      <c r="BM56" s="154" t="str">
        <f>'Acuario (Arribado - mortalidad)'!AS68</f>
        <v/>
      </c>
      <c r="BN56" s="154">
        <f>'Acuario (Arribado - mortalidad)'!AT68</f>
        <v>0</v>
      </c>
      <c r="BO56" s="154">
        <f>'Acuario (Arribado - mortalidad)'!AU68</f>
        <v>0</v>
      </c>
      <c r="BP56" s="154">
        <f>'Acuario (Arribado - mortalidad)'!AV68</f>
        <v>0</v>
      </c>
      <c r="BQ56" s="154" t="str">
        <f>'Acuario (Arribado - mortalidad)'!AW68</f>
        <v/>
      </c>
      <c r="BR56" s="154">
        <f>'Acuario (Arribado - mortalidad)'!AX68</f>
        <v>0</v>
      </c>
      <c r="BS56" s="154">
        <f>'Acuario (Arribado - mortalidad)'!AY68</f>
        <v>0</v>
      </c>
      <c r="BT56" s="154" t="str">
        <f>'Acuario (Arribado - mortalidad)'!AZ68</f>
        <v/>
      </c>
      <c r="BU56" s="154" t="str">
        <f>'Acuario (Arribado - mortalidad)'!BA68</f>
        <v/>
      </c>
      <c r="BV56" s="154" t="str">
        <f>'Acuario (Arribado - mortalidad)'!BB68</f>
        <v/>
      </c>
      <c r="BW56" s="154" t="str">
        <f>'Acuario (Arribado - mortalidad)'!BC68</f>
        <v/>
      </c>
      <c r="BX56" s="154">
        <f>'Acuario (Arribado - mortalidad)'!BD68</f>
        <v>0</v>
      </c>
      <c r="BY56" s="154" t="str">
        <f>'Acuario (Arribado - mortalidad)'!BE68</f>
        <v/>
      </c>
      <c r="BZ56" s="23" t="str">
        <f>'Acuario (Arribado - mortalidad)'!BF68</f>
        <v/>
      </c>
    </row>
    <row r="57" spans="1:78" x14ac:dyDescent="0.25">
      <c r="A57" s="154" t="str">
        <f>IF(U57&lt;&gt;0,'ORDEN DE CUARENTENA'!$AE$2,"")</f>
        <v/>
      </c>
      <c r="B57" s="190" t="str">
        <f>IF(U57&lt;&gt;0,'ORDEN DE CUARENTENA'!$AE$3,"")</f>
        <v/>
      </c>
      <c r="C57" s="174" t="str">
        <f t="shared" si="1"/>
        <v/>
      </c>
      <c r="D57" s="329" t="str">
        <f>IF(U57&lt;&gt;0,'ORDEN DE CUARENTENA'!$I$6,"")</f>
        <v/>
      </c>
      <c r="E57" s="174" t="str">
        <f>IF(U57&lt;&gt;0,TEXT('ORDEN DE CUARENTENA'!$I$6,"aaa"),"")</f>
        <v/>
      </c>
      <c r="F57" s="173" t="str">
        <f>IF(U57&lt;&gt;0,TEXT('ORDEN DE CUARENTENA'!$I$6,"dd"),"")</f>
        <v/>
      </c>
      <c r="G57" s="172" t="str">
        <f>IF(U57&lt;&gt;0,TEXT('ORDEN DE CUARENTENA'!$I$6,"mm"),"")</f>
        <v/>
      </c>
      <c r="H57" s="171" t="str">
        <f>IF(U57&lt;&gt;0,TEXT('ORDEN DE CUARENTENA'!$I$6,"yyyy"),"")</f>
        <v/>
      </c>
      <c r="I57" s="154" t="str">
        <f>IF(U57&lt;&gt;0,'ORDEN DE CUARENTENA'!$H$7,"")</f>
        <v/>
      </c>
      <c r="J57" s="154" t="str">
        <f>IF(U57&lt;&gt;0,'ORDEN DE CUARENTENA'!$H$9,"")</f>
        <v/>
      </c>
      <c r="K57" s="154" t="str">
        <f>IF(U57&lt;&gt;0,'ORDEN DE CUARENTENA'!$Q$9,"")</f>
        <v/>
      </c>
      <c r="L57" s="154" t="str">
        <f>IFERROR(VLOOKUP(U57,Item[],4,FALSE),IFERROR(VLOOKUP(U57,Item2[],4,FALSE),""))</f>
        <v/>
      </c>
      <c r="M57" s="154" t="str">
        <f>IFERROR(VLOOKUP(U57,Item[],5,FALSE),IFERROR(VLOOKUP(U57,Item2[],5,FALSE),""))</f>
        <v/>
      </c>
      <c r="N57" s="154" t="str">
        <f>IFERROR(VLOOKUP(W57,SuscepEARs[],2,FALSE),"")</f>
        <v/>
      </c>
      <c r="O57" s="154" t="str">
        <f>IFERROR(VLOOKUP(DatosAll[[#This Row],[ESPECIE]],CITES[],2,FALSE),"")</f>
        <v/>
      </c>
      <c r="P57" s="154">
        <f>IFERROR(VLOOKUP(T57,Hallazgo[],2,FALSE),"")</f>
        <v>0</v>
      </c>
      <c r="Q57" s="154">
        <f>IFERROR(VLOOKUP(T57,Hallazgo[],3,FALSE),"")</f>
        <v>0</v>
      </c>
      <c r="R57" s="154">
        <f>IFERROR(VLOOKUP(T57,Hallazgo[],4,FALSE),"")</f>
        <v>0</v>
      </c>
      <c r="S57" s="154">
        <f>IFERROR(VLOOKUP(T57,Hallazgo[],5,FALSE),"")</f>
        <v>0</v>
      </c>
      <c r="T57" s="154">
        <f>'Acuario (Arribado - mortalidad)'!C69</f>
        <v>0</v>
      </c>
      <c r="U57" s="154">
        <f>'Acuario (Arribado - mortalidad)'!B69</f>
        <v>0</v>
      </c>
      <c r="V57" s="154" t="str">
        <f>'Acuario (Arribado - mortalidad)'!D69</f>
        <v/>
      </c>
      <c r="W57" s="154" t="str">
        <f>'Acuario (Arribado - mortalidad)'!E69</f>
        <v/>
      </c>
      <c r="X57" s="154">
        <f>'Acuario (Arribado - mortalidad)'!F69</f>
        <v>0</v>
      </c>
      <c r="Y57" s="154">
        <f>'Acuario (Arribado - mortalidad)'!H69</f>
        <v>0</v>
      </c>
      <c r="Z57" s="154">
        <f>'Acuario (Arribado - mortalidad)'!I69</f>
        <v>0</v>
      </c>
      <c r="AA57" s="154">
        <f>'Acuario (Arribado - mortalidad)'!J69</f>
        <v>0</v>
      </c>
      <c r="AB57" s="154" t="str">
        <f>'Acuario (Arribado - mortalidad)'!K69</f>
        <v/>
      </c>
      <c r="AC57" s="334" t="str">
        <f>IFERROR(('Acuario (Arribado - mortalidad)'!K69/DatosAll[[#This Row],[N_INDIVIDUOS]])*100,"")</f>
        <v/>
      </c>
      <c r="AD57" s="334" t="str">
        <f>IFERROR(('Acuario (Arribado - mortalidad)'!O69/DatosAll[[#This Row],[N_INDIVIDUOS]])*100,"")</f>
        <v/>
      </c>
      <c r="AE57" s="334" t="str">
        <f>IFERROR(('Acuario (Arribado - mortalidad)'!BG69/DatosAll[[#This Row],[N_INDIVIDUOS]])*100,"")</f>
        <v/>
      </c>
      <c r="AF57" s="334" t="str">
        <f>IFERROR(('Acuario (Arribado - mortalidad)'!BH69/DatosAll[[#This Row],[N_INDIVIDUOS]])*100,"")</f>
        <v/>
      </c>
      <c r="AG57" s="154">
        <f>'Acuario (Arribado - mortalidad)'!M69</f>
        <v>0</v>
      </c>
      <c r="AH57" s="154" t="str">
        <f>'Acuario (Arribado - mortalidad)'!G69</f>
        <v/>
      </c>
      <c r="AI57" s="154">
        <f>'Acuario (Arribado - mortalidad)'!O69</f>
        <v>0</v>
      </c>
      <c r="AJ57" s="154">
        <f>'Acuario (Arribado - mortalidad)'!P69</f>
        <v>0</v>
      </c>
      <c r="AK57" s="154">
        <f>'Acuario (Arribado - mortalidad)'!Q69</f>
        <v>0</v>
      </c>
      <c r="AL57" s="154">
        <f>'Acuario (Arribado - mortalidad)'!R69</f>
        <v>0</v>
      </c>
      <c r="AM57" s="154">
        <f>'Acuario (Arribado - mortalidad)'!S69</f>
        <v>0</v>
      </c>
      <c r="AN57" s="154">
        <f>'Acuario (Arribado - mortalidad)'!T69</f>
        <v>0</v>
      </c>
      <c r="AO57" s="154">
        <f>'Acuario (Arribado - mortalidad)'!U69</f>
        <v>0</v>
      </c>
      <c r="AP57" s="154">
        <f>'Acuario (Arribado - mortalidad)'!V69</f>
        <v>0</v>
      </c>
      <c r="AQ57" s="154">
        <f>'Acuario (Arribado - mortalidad)'!W69</f>
        <v>0</v>
      </c>
      <c r="AR57" s="154">
        <f>'Acuario (Arribado - mortalidad)'!X69</f>
        <v>0</v>
      </c>
      <c r="AS57" s="154">
        <f>'Acuario (Arribado - mortalidad)'!Y69</f>
        <v>0</v>
      </c>
      <c r="AT57" s="154">
        <f>'Acuario (Arribado - mortalidad)'!Z69</f>
        <v>0</v>
      </c>
      <c r="AU57" s="154">
        <f>'Acuario (Arribado - mortalidad)'!AA69</f>
        <v>0</v>
      </c>
      <c r="AV57" s="154">
        <f>'Acuario (Arribado - mortalidad)'!AB69</f>
        <v>0</v>
      </c>
      <c r="AW57" s="154">
        <f>'Acuario (Arribado - mortalidad)'!AC69</f>
        <v>0</v>
      </c>
      <c r="AX57" s="154">
        <f>'Acuario (Arribado - mortalidad)'!AD69</f>
        <v>0</v>
      </c>
      <c r="AY57" s="154">
        <f>'Acuario (Arribado - mortalidad)'!AE69</f>
        <v>0</v>
      </c>
      <c r="AZ57" s="154">
        <f>'Acuario (Arribado - mortalidad)'!AF69</f>
        <v>0</v>
      </c>
      <c r="BA57" s="154">
        <f>'Acuario (Arribado - mortalidad)'!AG69</f>
        <v>0</v>
      </c>
      <c r="BB57" s="154">
        <f>'Acuario (Arribado - mortalidad)'!AH69</f>
        <v>0</v>
      </c>
      <c r="BC57" s="154">
        <f>'Acuario (Arribado - mortalidad)'!AI69</f>
        <v>0</v>
      </c>
      <c r="BD57" s="154">
        <f>'Acuario (Arribado - mortalidad)'!AJ69</f>
        <v>0</v>
      </c>
      <c r="BE57" s="154">
        <f>'Acuario (Arribado - mortalidad)'!AK69</f>
        <v>0</v>
      </c>
      <c r="BF57" s="154">
        <f>'Acuario (Arribado - mortalidad)'!AL69</f>
        <v>0</v>
      </c>
      <c r="BG57" s="154">
        <f>'Acuario (Arribado - mortalidad)'!AM69</f>
        <v>0</v>
      </c>
      <c r="BH57" s="154">
        <f>'Acuario (Arribado - mortalidad)'!AN69</f>
        <v>0</v>
      </c>
      <c r="BI57" s="154">
        <f>'Acuario (Arribado - mortalidad)'!AO69</f>
        <v>0</v>
      </c>
      <c r="BJ57" s="154">
        <f>'Acuario (Arribado - mortalidad)'!AP69</f>
        <v>0</v>
      </c>
      <c r="BK57" s="154">
        <f>'Acuario (Arribado - mortalidad)'!AQ69</f>
        <v>0</v>
      </c>
      <c r="BL57" s="154">
        <f>'Acuario (Arribado - mortalidad)'!AR69</f>
        <v>0</v>
      </c>
      <c r="BM57" s="154" t="str">
        <f>'Acuario (Arribado - mortalidad)'!AS69</f>
        <v/>
      </c>
      <c r="BN57" s="154">
        <f>'Acuario (Arribado - mortalidad)'!AT69</f>
        <v>0</v>
      </c>
      <c r="BO57" s="154">
        <f>'Acuario (Arribado - mortalidad)'!AU69</f>
        <v>0</v>
      </c>
      <c r="BP57" s="154">
        <f>'Acuario (Arribado - mortalidad)'!AV69</f>
        <v>0</v>
      </c>
      <c r="BQ57" s="154" t="str">
        <f>'Acuario (Arribado - mortalidad)'!AW69</f>
        <v/>
      </c>
      <c r="BR57" s="154">
        <f>'Acuario (Arribado - mortalidad)'!AX69</f>
        <v>0</v>
      </c>
      <c r="BS57" s="154">
        <f>'Acuario (Arribado - mortalidad)'!AY69</f>
        <v>0</v>
      </c>
      <c r="BT57" s="154" t="str">
        <f>'Acuario (Arribado - mortalidad)'!AZ69</f>
        <v/>
      </c>
      <c r="BU57" s="154" t="str">
        <f>'Acuario (Arribado - mortalidad)'!BA69</f>
        <v/>
      </c>
      <c r="BV57" s="154" t="str">
        <f>'Acuario (Arribado - mortalidad)'!BB69</f>
        <v/>
      </c>
      <c r="BW57" s="154" t="str">
        <f>'Acuario (Arribado - mortalidad)'!BC69</f>
        <v/>
      </c>
      <c r="BX57" s="154">
        <f>'Acuario (Arribado - mortalidad)'!BD69</f>
        <v>0</v>
      </c>
      <c r="BY57" s="154" t="str">
        <f>'Acuario (Arribado - mortalidad)'!BE69</f>
        <v/>
      </c>
      <c r="BZ57" s="23" t="str">
        <f>'Acuario (Arribado - mortalidad)'!BF69</f>
        <v/>
      </c>
    </row>
    <row r="58" spans="1:78" x14ac:dyDescent="0.25">
      <c r="A58" s="154" t="str">
        <f>IF(U58&lt;&gt;0,'ORDEN DE CUARENTENA'!$AE$2,"")</f>
        <v/>
      </c>
      <c r="B58" s="190" t="str">
        <f>IF(U58&lt;&gt;0,'ORDEN DE CUARENTENA'!$AE$3,"")</f>
        <v/>
      </c>
      <c r="C58" s="174" t="str">
        <f t="shared" si="1"/>
        <v/>
      </c>
      <c r="D58" s="329" t="str">
        <f>IF(U58&lt;&gt;0,'ORDEN DE CUARENTENA'!$I$6,"")</f>
        <v/>
      </c>
      <c r="E58" s="174" t="str">
        <f>IF(U58&lt;&gt;0,TEXT('ORDEN DE CUARENTENA'!$I$6,"aaa"),"")</f>
        <v/>
      </c>
      <c r="F58" s="173" t="str">
        <f>IF(U58&lt;&gt;0,TEXT('ORDEN DE CUARENTENA'!$I$6,"dd"),"")</f>
        <v/>
      </c>
      <c r="G58" s="172" t="str">
        <f>IF(U58&lt;&gt;0,TEXT('ORDEN DE CUARENTENA'!$I$6,"mm"),"")</f>
        <v/>
      </c>
      <c r="H58" s="171" t="str">
        <f>IF(U58&lt;&gt;0,TEXT('ORDEN DE CUARENTENA'!$I$6,"yyyy"),"")</f>
        <v/>
      </c>
      <c r="I58" s="154" t="str">
        <f>IF(U58&lt;&gt;0,'ORDEN DE CUARENTENA'!$H$7,"")</f>
        <v/>
      </c>
      <c r="J58" s="154" t="str">
        <f>IF(U58&lt;&gt;0,'ORDEN DE CUARENTENA'!$H$9,"")</f>
        <v/>
      </c>
      <c r="K58" s="154" t="str">
        <f>IF(U58&lt;&gt;0,'ORDEN DE CUARENTENA'!$Q$9,"")</f>
        <v/>
      </c>
      <c r="L58" s="154" t="str">
        <f>IFERROR(VLOOKUP(U58,Item[],4,FALSE),IFERROR(VLOOKUP(U58,Item2[],4,FALSE),""))</f>
        <v/>
      </c>
      <c r="M58" s="154" t="str">
        <f>IFERROR(VLOOKUP(U58,Item[],5,FALSE),IFERROR(VLOOKUP(U58,Item2[],5,FALSE),""))</f>
        <v/>
      </c>
      <c r="N58" s="154" t="str">
        <f>IFERROR(VLOOKUP(W58,SuscepEARs[],2,FALSE),"")</f>
        <v/>
      </c>
      <c r="O58" s="154" t="str">
        <f>IFERROR(VLOOKUP(DatosAll[[#This Row],[ESPECIE]],CITES[],2,FALSE),"")</f>
        <v/>
      </c>
      <c r="P58" s="154">
        <f>IFERROR(VLOOKUP(T58,Hallazgo[],2,FALSE),"")</f>
        <v>0</v>
      </c>
      <c r="Q58" s="154">
        <f>IFERROR(VLOOKUP(T58,Hallazgo[],3,FALSE),"")</f>
        <v>0</v>
      </c>
      <c r="R58" s="154">
        <f>IFERROR(VLOOKUP(T58,Hallazgo[],4,FALSE),"")</f>
        <v>0</v>
      </c>
      <c r="S58" s="154">
        <f>IFERROR(VLOOKUP(T58,Hallazgo[],5,FALSE),"")</f>
        <v>0</v>
      </c>
      <c r="T58" s="154">
        <f>'Acuario (Arribado - mortalidad)'!C70</f>
        <v>0</v>
      </c>
      <c r="U58" s="154">
        <f>'Acuario (Arribado - mortalidad)'!B70</f>
        <v>0</v>
      </c>
      <c r="V58" s="154" t="str">
        <f>'Acuario (Arribado - mortalidad)'!D70</f>
        <v/>
      </c>
      <c r="W58" s="154" t="str">
        <f>'Acuario (Arribado - mortalidad)'!E70</f>
        <v/>
      </c>
      <c r="X58" s="154">
        <f>'Acuario (Arribado - mortalidad)'!F70</f>
        <v>0</v>
      </c>
      <c r="Y58" s="154">
        <f>'Acuario (Arribado - mortalidad)'!H70</f>
        <v>0</v>
      </c>
      <c r="Z58" s="154">
        <f>'Acuario (Arribado - mortalidad)'!I70</f>
        <v>0</v>
      </c>
      <c r="AA58" s="154">
        <f>'Acuario (Arribado - mortalidad)'!J70</f>
        <v>0</v>
      </c>
      <c r="AB58" s="154" t="str">
        <f>'Acuario (Arribado - mortalidad)'!K70</f>
        <v/>
      </c>
      <c r="AC58" s="334" t="str">
        <f>IFERROR(('Acuario (Arribado - mortalidad)'!K70/DatosAll[[#This Row],[N_INDIVIDUOS]])*100,"")</f>
        <v/>
      </c>
      <c r="AD58" s="334" t="str">
        <f>IFERROR(('Acuario (Arribado - mortalidad)'!O70/DatosAll[[#This Row],[N_INDIVIDUOS]])*100,"")</f>
        <v/>
      </c>
      <c r="AE58" s="334" t="str">
        <f>IFERROR(('Acuario (Arribado - mortalidad)'!BG70/DatosAll[[#This Row],[N_INDIVIDUOS]])*100,"")</f>
        <v/>
      </c>
      <c r="AF58" s="334" t="str">
        <f>IFERROR(('Acuario (Arribado - mortalidad)'!BH70/DatosAll[[#This Row],[N_INDIVIDUOS]])*100,"")</f>
        <v/>
      </c>
      <c r="AG58" s="154">
        <f>'Acuario (Arribado - mortalidad)'!M70</f>
        <v>0</v>
      </c>
      <c r="AH58" s="154" t="str">
        <f>'Acuario (Arribado - mortalidad)'!G70</f>
        <v/>
      </c>
      <c r="AI58" s="154">
        <f>'Acuario (Arribado - mortalidad)'!O70</f>
        <v>0</v>
      </c>
      <c r="AJ58" s="154">
        <f>'Acuario (Arribado - mortalidad)'!P70</f>
        <v>0</v>
      </c>
      <c r="AK58" s="154">
        <f>'Acuario (Arribado - mortalidad)'!Q70</f>
        <v>0</v>
      </c>
      <c r="AL58" s="154">
        <f>'Acuario (Arribado - mortalidad)'!R70</f>
        <v>0</v>
      </c>
      <c r="AM58" s="154">
        <f>'Acuario (Arribado - mortalidad)'!S70</f>
        <v>0</v>
      </c>
      <c r="AN58" s="154">
        <f>'Acuario (Arribado - mortalidad)'!T70</f>
        <v>0</v>
      </c>
      <c r="AO58" s="154">
        <f>'Acuario (Arribado - mortalidad)'!U70</f>
        <v>0</v>
      </c>
      <c r="AP58" s="154">
        <f>'Acuario (Arribado - mortalidad)'!V70</f>
        <v>0</v>
      </c>
      <c r="AQ58" s="154">
        <f>'Acuario (Arribado - mortalidad)'!W70</f>
        <v>0</v>
      </c>
      <c r="AR58" s="154">
        <f>'Acuario (Arribado - mortalidad)'!X70</f>
        <v>0</v>
      </c>
      <c r="AS58" s="154">
        <f>'Acuario (Arribado - mortalidad)'!Y70</f>
        <v>0</v>
      </c>
      <c r="AT58" s="154">
        <f>'Acuario (Arribado - mortalidad)'!Z70</f>
        <v>0</v>
      </c>
      <c r="AU58" s="154">
        <f>'Acuario (Arribado - mortalidad)'!AA70</f>
        <v>0</v>
      </c>
      <c r="AV58" s="154">
        <f>'Acuario (Arribado - mortalidad)'!AB70</f>
        <v>0</v>
      </c>
      <c r="AW58" s="154">
        <f>'Acuario (Arribado - mortalidad)'!AC70</f>
        <v>0</v>
      </c>
      <c r="AX58" s="154">
        <f>'Acuario (Arribado - mortalidad)'!AD70</f>
        <v>0</v>
      </c>
      <c r="AY58" s="154">
        <f>'Acuario (Arribado - mortalidad)'!AE70</f>
        <v>0</v>
      </c>
      <c r="AZ58" s="154">
        <f>'Acuario (Arribado - mortalidad)'!AF70</f>
        <v>0</v>
      </c>
      <c r="BA58" s="154">
        <f>'Acuario (Arribado - mortalidad)'!AG70</f>
        <v>0</v>
      </c>
      <c r="BB58" s="154">
        <f>'Acuario (Arribado - mortalidad)'!AH70</f>
        <v>0</v>
      </c>
      <c r="BC58" s="154">
        <f>'Acuario (Arribado - mortalidad)'!AI70</f>
        <v>0</v>
      </c>
      <c r="BD58" s="154">
        <f>'Acuario (Arribado - mortalidad)'!AJ70</f>
        <v>0</v>
      </c>
      <c r="BE58" s="154">
        <f>'Acuario (Arribado - mortalidad)'!AK70</f>
        <v>0</v>
      </c>
      <c r="BF58" s="154">
        <f>'Acuario (Arribado - mortalidad)'!AL70</f>
        <v>0</v>
      </c>
      <c r="BG58" s="154">
        <f>'Acuario (Arribado - mortalidad)'!AM70</f>
        <v>0</v>
      </c>
      <c r="BH58" s="154">
        <f>'Acuario (Arribado - mortalidad)'!AN70</f>
        <v>0</v>
      </c>
      <c r="BI58" s="154">
        <f>'Acuario (Arribado - mortalidad)'!AO70</f>
        <v>0</v>
      </c>
      <c r="BJ58" s="154">
        <f>'Acuario (Arribado - mortalidad)'!AP70</f>
        <v>0</v>
      </c>
      <c r="BK58" s="154">
        <f>'Acuario (Arribado - mortalidad)'!AQ70</f>
        <v>0</v>
      </c>
      <c r="BL58" s="154">
        <f>'Acuario (Arribado - mortalidad)'!AR70</f>
        <v>0</v>
      </c>
      <c r="BM58" s="154" t="str">
        <f>'Acuario (Arribado - mortalidad)'!AS70</f>
        <v/>
      </c>
      <c r="BN58" s="154">
        <f>'Acuario (Arribado - mortalidad)'!AT70</f>
        <v>0</v>
      </c>
      <c r="BO58" s="154">
        <f>'Acuario (Arribado - mortalidad)'!AU70</f>
        <v>0</v>
      </c>
      <c r="BP58" s="154">
        <f>'Acuario (Arribado - mortalidad)'!AV70</f>
        <v>0</v>
      </c>
      <c r="BQ58" s="154" t="str">
        <f>'Acuario (Arribado - mortalidad)'!AW70</f>
        <v/>
      </c>
      <c r="BR58" s="154">
        <f>'Acuario (Arribado - mortalidad)'!AX70</f>
        <v>0</v>
      </c>
      <c r="BS58" s="154">
        <f>'Acuario (Arribado - mortalidad)'!AY70</f>
        <v>0</v>
      </c>
      <c r="BT58" s="154" t="str">
        <f>'Acuario (Arribado - mortalidad)'!AZ70</f>
        <v/>
      </c>
      <c r="BU58" s="154" t="str">
        <f>'Acuario (Arribado - mortalidad)'!BA70</f>
        <v/>
      </c>
      <c r="BV58" s="154" t="str">
        <f>'Acuario (Arribado - mortalidad)'!BB70</f>
        <v/>
      </c>
      <c r="BW58" s="154" t="str">
        <f>'Acuario (Arribado - mortalidad)'!BC70</f>
        <v/>
      </c>
      <c r="BX58" s="154">
        <f>'Acuario (Arribado - mortalidad)'!BD70</f>
        <v>0</v>
      </c>
      <c r="BY58" s="154" t="str">
        <f>'Acuario (Arribado - mortalidad)'!BE70</f>
        <v/>
      </c>
      <c r="BZ58" s="23" t="str">
        <f>'Acuario (Arribado - mortalidad)'!BF70</f>
        <v/>
      </c>
    </row>
    <row r="59" spans="1:78" x14ac:dyDescent="0.25">
      <c r="A59" s="154" t="str">
        <f>IF(U59&lt;&gt;0,'ORDEN DE CUARENTENA'!$AE$2,"")</f>
        <v/>
      </c>
      <c r="B59" s="190" t="str">
        <f>IF(U59&lt;&gt;0,'ORDEN DE CUARENTENA'!$AE$3,"")</f>
        <v/>
      </c>
      <c r="C59" s="174" t="str">
        <f t="shared" si="1"/>
        <v/>
      </c>
      <c r="D59" s="329" t="str">
        <f>IF(U59&lt;&gt;0,'ORDEN DE CUARENTENA'!$I$6,"")</f>
        <v/>
      </c>
      <c r="E59" s="174" t="str">
        <f>IF(U59&lt;&gt;0,TEXT('ORDEN DE CUARENTENA'!$I$6,"aaa"),"")</f>
        <v/>
      </c>
      <c r="F59" s="173" t="str">
        <f>IF(U59&lt;&gt;0,TEXT('ORDEN DE CUARENTENA'!$I$6,"dd"),"")</f>
        <v/>
      </c>
      <c r="G59" s="172" t="str">
        <f>IF(U59&lt;&gt;0,TEXT('ORDEN DE CUARENTENA'!$I$6,"mm"),"")</f>
        <v/>
      </c>
      <c r="H59" s="171" t="str">
        <f>IF(U59&lt;&gt;0,TEXT('ORDEN DE CUARENTENA'!$I$6,"yyyy"),"")</f>
        <v/>
      </c>
      <c r="I59" s="154" t="str">
        <f>IF(U59&lt;&gt;0,'ORDEN DE CUARENTENA'!$H$7,"")</f>
        <v/>
      </c>
      <c r="J59" s="154" t="str">
        <f>IF(U59&lt;&gt;0,'ORDEN DE CUARENTENA'!$H$9,"")</f>
        <v/>
      </c>
      <c r="K59" s="154" t="str">
        <f>IF(U59&lt;&gt;0,'ORDEN DE CUARENTENA'!$Q$9,"")</f>
        <v/>
      </c>
      <c r="L59" s="154" t="str">
        <f>IFERROR(VLOOKUP(U59,Item[],4,FALSE),IFERROR(VLOOKUP(U59,Item2[],4,FALSE),""))</f>
        <v/>
      </c>
      <c r="M59" s="154" t="str">
        <f>IFERROR(VLOOKUP(U59,Item[],5,FALSE),IFERROR(VLOOKUP(U59,Item2[],5,FALSE),""))</f>
        <v/>
      </c>
      <c r="N59" s="154" t="str">
        <f>IFERROR(VLOOKUP(W59,SuscepEARs[],2,FALSE),"")</f>
        <v/>
      </c>
      <c r="O59" s="154" t="str">
        <f>IFERROR(VLOOKUP(DatosAll[[#This Row],[ESPECIE]],CITES[],2,FALSE),"")</f>
        <v/>
      </c>
      <c r="P59" s="154">
        <f>IFERROR(VLOOKUP(T59,Hallazgo[],2,FALSE),"")</f>
        <v>0</v>
      </c>
      <c r="Q59" s="154">
        <f>IFERROR(VLOOKUP(T59,Hallazgo[],3,FALSE),"")</f>
        <v>0</v>
      </c>
      <c r="R59" s="154">
        <f>IFERROR(VLOOKUP(T59,Hallazgo[],4,FALSE),"")</f>
        <v>0</v>
      </c>
      <c r="S59" s="154">
        <f>IFERROR(VLOOKUP(T59,Hallazgo[],5,FALSE),"")</f>
        <v>0</v>
      </c>
      <c r="T59" s="154">
        <f>'Acuario (Arribado - mortalidad)'!C71</f>
        <v>0</v>
      </c>
      <c r="U59" s="154">
        <f>'Acuario (Arribado - mortalidad)'!B71</f>
        <v>0</v>
      </c>
      <c r="V59" s="154" t="str">
        <f>'Acuario (Arribado - mortalidad)'!D71</f>
        <v/>
      </c>
      <c r="W59" s="154" t="str">
        <f>'Acuario (Arribado - mortalidad)'!E71</f>
        <v/>
      </c>
      <c r="X59" s="154">
        <f>'Acuario (Arribado - mortalidad)'!F71</f>
        <v>0</v>
      </c>
      <c r="Y59" s="154">
        <f>'Acuario (Arribado - mortalidad)'!H71</f>
        <v>0</v>
      </c>
      <c r="Z59" s="154">
        <f>'Acuario (Arribado - mortalidad)'!I71</f>
        <v>0</v>
      </c>
      <c r="AA59" s="154">
        <f>'Acuario (Arribado - mortalidad)'!J71</f>
        <v>0</v>
      </c>
      <c r="AB59" s="154" t="str">
        <f>'Acuario (Arribado - mortalidad)'!K71</f>
        <v/>
      </c>
      <c r="AC59" s="334" t="str">
        <f>IFERROR(('Acuario (Arribado - mortalidad)'!K71/DatosAll[[#This Row],[N_INDIVIDUOS]])*100,"")</f>
        <v/>
      </c>
      <c r="AD59" s="334" t="str">
        <f>IFERROR(('Acuario (Arribado - mortalidad)'!O71/DatosAll[[#This Row],[N_INDIVIDUOS]])*100,"")</f>
        <v/>
      </c>
      <c r="AE59" s="334" t="str">
        <f>IFERROR(('Acuario (Arribado - mortalidad)'!BG71/DatosAll[[#This Row],[N_INDIVIDUOS]])*100,"")</f>
        <v/>
      </c>
      <c r="AF59" s="334" t="str">
        <f>IFERROR(('Acuario (Arribado - mortalidad)'!BH71/DatosAll[[#This Row],[N_INDIVIDUOS]])*100,"")</f>
        <v/>
      </c>
      <c r="AG59" s="154">
        <f>'Acuario (Arribado - mortalidad)'!M71</f>
        <v>0</v>
      </c>
      <c r="AH59" s="154" t="str">
        <f>'Acuario (Arribado - mortalidad)'!G71</f>
        <v/>
      </c>
      <c r="AI59" s="154">
        <f>'Acuario (Arribado - mortalidad)'!O71</f>
        <v>0</v>
      </c>
      <c r="AJ59" s="154">
        <f>'Acuario (Arribado - mortalidad)'!P71</f>
        <v>0</v>
      </c>
      <c r="AK59" s="154">
        <f>'Acuario (Arribado - mortalidad)'!Q71</f>
        <v>0</v>
      </c>
      <c r="AL59" s="154">
        <f>'Acuario (Arribado - mortalidad)'!R71</f>
        <v>0</v>
      </c>
      <c r="AM59" s="154">
        <f>'Acuario (Arribado - mortalidad)'!S71</f>
        <v>0</v>
      </c>
      <c r="AN59" s="154">
        <f>'Acuario (Arribado - mortalidad)'!T71</f>
        <v>0</v>
      </c>
      <c r="AO59" s="154">
        <f>'Acuario (Arribado - mortalidad)'!U71</f>
        <v>0</v>
      </c>
      <c r="AP59" s="154">
        <f>'Acuario (Arribado - mortalidad)'!V71</f>
        <v>0</v>
      </c>
      <c r="AQ59" s="154">
        <f>'Acuario (Arribado - mortalidad)'!W71</f>
        <v>0</v>
      </c>
      <c r="AR59" s="154">
        <f>'Acuario (Arribado - mortalidad)'!X71</f>
        <v>0</v>
      </c>
      <c r="AS59" s="154">
        <f>'Acuario (Arribado - mortalidad)'!Y71</f>
        <v>0</v>
      </c>
      <c r="AT59" s="154">
        <f>'Acuario (Arribado - mortalidad)'!Z71</f>
        <v>0</v>
      </c>
      <c r="AU59" s="154">
        <f>'Acuario (Arribado - mortalidad)'!AA71</f>
        <v>0</v>
      </c>
      <c r="AV59" s="154">
        <f>'Acuario (Arribado - mortalidad)'!AB71</f>
        <v>0</v>
      </c>
      <c r="AW59" s="154">
        <f>'Acuario (Arribado - mortalidad)'!AC71</f>
        <v>0</v>
      </c>
      <c r="AX59" s="154">
        <f>'Acuario (Arribado - mortalidad)'!AD71</f>
        <v>0</v>
      </c>
      <c r="AY59" s="154">
        <f>'Acuario (Arribado - mortalidad)'!AE71</f>
        <v>0</v>
      </c>
      <c r="AZ59" s="154">
        <f>'Acuario (Arribado - mortalidad)'!AF71</f>
        <v>0</v>
      </c>
      <c r="BA59" s="154">
        <f>'Acuario (Arribado - mortalidad)'!AG71</f>
        <v>0</v>
      </c>
      <c r="BB59" s="154">
        <f>'Acuario (Arribado - mortalidad)'!AH71</f>
        <v>0</v>
      </c>
      <c r="BC59" s="154">
        <f>'Acuario (Arribado - mortalidad)'!AI71</f>
        <v>0</v>
      </c>
      <c r="BD59" s="154">
        <f>'Acuario (Arribado - mortalidad)'!AJ71</f>
        <v>0</v>
      </c>
      <c r="BE59" s="154">
        <f>'Acuario (Arribado - mortalidad)'!AK71</f>
        <v>0</v>
      </c>
      <c r="BF59" s="154">
        <f>'Acuario (Arribado - mortalidad)'!AL71</f>
        <v>0</v>
      </c>
      <c r="BG59" s="154">
        <f>'Acuario (Arribado - mortalidad)'!AM71</f>
        <v>0</v>
      </c>
      <c r="BH59" s="154">
        <f>'Acuario (Arribado - mortalidad)'!AN71</f>
        <v>0</v>
      </c>
      <c r="BI59" s="154">
        <f>'Acuario (Arribado - mortalidad)'!AO71</f>
        <v>0</v>
      </c>
      <c r="BJ59" s="154">
        <f>'Acuario (Arribado - mortalidad)'!AP71</f>
        <v>0</v>
      </c>
      <c r="BK59" s="154">
        <f>'Acuario (Arribado - mortalidad)'!AQ71</f>
        <v>0</v>
      </c>
      <c r="BL59" s="154">
        <f>'Acuario (Arribado - mortalidad)'!AR71</f>
        <v>0</v>
      </c>
      <c r="BM59" s="154" t="str">
        <f>'Acuario (Arribado - mortalidad)'!AS71</f>
        <v/>
      </c>
      <c r="BN59" s="154">
        <f>'Acuario (Arribado - mortalidad)'!AT71</f>
        <v>0</v>
      </c>
      <c r="BO59" s="154">
        <f>'Acuario (Arribado - mortalidad)'!AU71</f>
        <v>0</v>
      </c>
      <c r="BP59" s="154">
        <f>'Acuario (Arribado - mortalidad)'!AV71</f>
        <v>0</v>
      </c>
      <c r="BQ59" s="154" t="str">
        <f>'Acuario (Arribado - mortalidad)'!AW71</f>
        <v/>
      </c>
      <c r="BR59" s="154">
        <f>'Acuario (Arribado - mortalidad)'!AX71</f>
        <v>0</v>
      </c>
      <c r="BS59" s="154">
        <f>'Acuario (Arribado - mortalidad)'!AY71</f>
        <v>0</v>
      </c>
      <c r="BT59" s="154" t="str">
        <f>'Acuario (Arribado - mortalidad)'!AZ71</f>
        <v/>
      </c>
      <c r="BU59" s="154" t="str">
        <f>'Acuario (Arribado - mortalidad)'!BA71</f>
        <v/>
      </c>
      <c r="BV59" s="154" t="str">
        <f>'Acuario (Arribado - mortalidad)'!BB71</f>
        <v/>
      </c>
      <c r="BW59" s="154" t="str">
        <f>'Acuario (Arribado - mortalidad)'!BC71</f>
        <v/>
      </c>
      <c r="BX59" s="154">
        <f>'Acuario (Arribado - mortalidad)'!BD71</f>
        <v>0</v>
      </c>
      <c r="BY59" s="154" t="str">
        <f>'Acuario (Arribado - mortalidad)'!BE71</f>
        <v/>
      </c>
      <c r="BZ59" s="23" t="str">
        <f>'Acuario (Arribado - mortalidad)'!BF71</f>
        <v/>
      </c>
    </row>
    <row r="60" spans="1:78" x14ac:dyDescent="0.25">
      <c r="A60" s="154" t="str">
        <f>IF(U60&lt;&gt;0,'ORDEN DE CUARENTENA'!$AE$2,"")</f>
        <v/>
      </c>
      <c r="B60" s="190" t="str">
        <f>IF(U60&lt;&gt;0,'ORDEN DE CUARENTENA'!$AE$3,"")</f>
        <v/>
      </c>
      <c r="C60" s="174" t="str">
        <f t="shared" si="1"/>
        <v/>
      </c>
      <c r="D60" s="329" t="str">
        <f>IF(U60&lt;&gt;0,'ORDEN DE CUARENTENA'!$I$6,"")</f>
        <v/>
      </c>
      <c r="E60" s="174" t="str">
        <f>IF(U60&lt;&gt;0,TEXT('ORDEN DE CUARENTENA'!$I$6,"aaa"),"")</f>
        <v/>
      </c>
      <c r="F60" s="173" t="str">
        <f>IF(U60&lt;&gt;0,TEXT('ORDEN DE CUARENTENA'!$I$6,"dd"),"")</f>
        <v/>
      </c>
      <c r="G60" s="172" t="str">
        <f>IF(U60&lt;&gt;0,TEXT('ORDEN DE CUARENTENA'!$I$6,"mm"),"")</f>
        <v/>
      </c>
      <c r="H60" s="171" t="str">
        <f>IF(U60&lt;&gt;0,TEXT('ORDEN DE CUARENTENA'!$I$6,"yyyy"),"")</f>
        <v/>
      </c>
      <c r="I60" s="154" t="str">
        <f>IF(U60&lt;&gt;0,'ORDEN DE CUARENTENA'!$H$7,"")</f>
        <v/>
      </c>
      <c r="J60" s="154" t="str">
        <f>IF(U60&lt;&gt;0,'ORDEN DE CUARENTENA'!$H$9,"")</f>
        <v/>
      </c>
      <c r="K60" s="154" t="str">
        <f>IF(U60&lt;&gt;0,'ORDEN DE CUARENTENA'!$Q$9,"")</f>
        <v/>
      </c>
      <c r="L60" s="154" t="str">
        <f>IFERROR(VLOOKUP(U60,Item[],4,FALSE),IFERROR(VLOOKUP(U60,Item2[],4,FALSE),""))</f>
        <v/>
      </c>
      <c r="M60" s="154" t="str">
        <f>IFERROR(VLOOKUP(U60,Item[],5,FALSE),IFERROR(VLOOKUP(U60,Item2[],5,FALSE),""))</f>
        <v/>
      </c>
      <c r="N60" s="154" t="str">
        <f>IFERROR(VLOOKUP(W60,SuscepEARs[],2,FALSE),"")</f>
        <v/>
      </c>
      <c r="O60" s="154" t="str">
        <f>IFERROR(VLOOKUP(DatosAll[[#This Row],[ESPECIE]],CITES[],2,FALSE),"")</f>
        <v/>
      </c>
      <c r="P60" s="154">
        <f>IFERROR(VLOOKUP(T60,Hallazgo[],2,FALSE),"")</f>
        <v>0</v>
      </c>
      <c r="Q60" s="154">
        <f>IFERROR(VLOOKUP(T60,Hallazgo[],3,FALSE),"")</f>
        <v>0</v>
      </c>
      <c r="R60" s="154">
        <f>IFERROR(VLOOKUP(T60,Hallazgo[],4,FALSE),"")</f>
        <v>0</v>
      </c>
      <c r="S60" s="154">
        <f>IFERROR(VLOOKUP(T60,Hallazgo[],5,FALSE),"")</f>
        <v>0</v>
      </c>
      <c r="T60" s="154">
        <f>'Acuario (Arribado - mortalidad)'!C72</f>
        <v>0</v>
      </c>
      <c r="U60" s="154">
        <f>'Acuario (Arribado - mortalidad)'!B72</f>
        <v>0</v>
      </c>
      <c r="V60" s="154" t="str">
        <f>'Acuario (Arribado - mortalidad)'!D72</f>
        <v/>
      </c>
      <c r="W60" s="154" t="str">
        <f>'Acuario (Arribado - mortalidad)'!E72</f>
        <v/>
      </c>
      <c r="X60" s="154">
        <f>'Acuario (Arribado - mortalidad)'!F72</f>
        <v>0</v>
      </c>
      <c r="Y60" s="154">
        <f>'Acuario (Arribado - mortalidad)'!H72</f>
        <v>0</v>
      </c>
      <c r="Z60" s="154">
        <f>'Acuario (Arribado - mortalidad)'!I72</f>
        <v>0</v>
      </c>
      <c r="AA60" s="154">
        <f>'Acuario (Arribado - mortalidad)'!J72</f>
        <v>0</v>
      </c>
      <c r="AB60" s="154" t="str">
        <f>'Acuario (Arribado - mortalidad)'!K72</f>
        <v/>
      </c>
      <c r="AC60" s="334" t="str">
        <f>IFERROR(('Acuario (Arribado - mortalidad)'!K72/DatosAll[[#This Row],[N_INDIVIDUOS]])*100,"")</f>
        <v/>
      </c>
      <c r="AD60" s="334" t="str">
        <f>IFERROR(('Acuario (Arribado - mortalidad)'!O72/DatosAll[[#This Row],[N_INDIVIDUOS]])*100,"")</f>
        <v/>
      </c>
      <c r="AE60" s="334" t="str">
        <f>IFERROR(('Acuario (Arribado - mortalidad)'!BG72/DatosAll[[#This Row],[N_INDIVIDUOS]])*100,"")</f>
        <v/>
      </c>
      <c r="AF60" s="334" t="str">
        <f>IFERROR(('Acuario (Arribado - mortalidad)'!BH72/DatosAll[[#This Row],[N_INDIVIDUOS]])*100,"")</f>
        <v/>
      </c>
      <c r="AG60" s="154">
        <f>'Acuario (Arribado - mortalidad)'!M72</f>
        <v>0</v>
      </c>
      <c r="AH60" s="154" t="str">
        <f>'Acuario (Arribado - mortalidad)'!G72</f>
        <v/>
      </c>
      <c r="AI60" s="154">
        <f>'Acuario (Arribado - mortalidad)'!O72</f>
        <v>0</v>
      </c>
      <c r="AJ60" s="154">
        <f>'Acuario (Arribado - mortalidad)'!P72</f>
        <v>0</v>
      </c>
      <c r="AK60" s="154">
        <f>'Acuario (Arribado - mortalidad)'!Q72</f>
        <v>0</v>
      </c>
      <c r="AL60" s="154">
        <f>'Acuario (Arribado - mortalidad)'!R72</f>
        <v>0</v>
      </c>
      <c r="AM60" s="154">
        <f>'Acuario (Arribado - mortalidad)'!S72</f>
        <v>0</v>
      </c>
      <c r="AN60" s="154">
        <f>'Acuario (Arribado - mortalidad)'!T72</f>
        <v>0</v>
      </c>
      <c r="AO60" s="154">
        <f>'Acuario (Arribado - mortalidad)'!U72</f>
        <v>0</v>
      </c>
      <c r="AP60" s="154">
        <f>'Acuario (Arribado - mortalidad)'!V72</f>
        <v>0</v>
      </c>
      <c r="AQ60" s="154">
        <f>'Acuario (Arribado - mortalidad)'!W72</f>
        <v>0</v>
      </c>
      <c r="AR60" s="154">
        <f>'Acuario (Arribado - mortalidad)'!X72</f>
        <v>0</v>
      </c>
      <c r="AS60" s="154">
        <f>'Acuario (Arribado - mortalidad)'!Y72</f>
        <v>0</v>
      </c>
      <c r="AT60" s="154">
        <f>'Acuario (Arribado - mortalidad)'!Z72</f>
        <v>0</v>
      </c>
      <c r="AU60" s="154">
        <f>'Acuario (Arribado - mortalidad)'!AA72</f>
        <v>0</v>
      </c>
      <c r="AV60" s="154">
        <f>'Acuario (Arribado - mortalidad)'!AB72</f>
        <v>0</v>
      </c>
      <c r="AW60" s="154">
        <f>'Acuario (Arribado - mortalidad)'!AC72</f>
        <v>0</v>
      </c>
      <c r="AX60" s="154">
        <f>'Acuario (Arribado - mortalidad)'!AD72</f>
        <v>0</v>
      </c>
      <c r="AY60" s="154">
        <f>'Acuario (Arribado - mortalidad)'!AE72</f>
        <v>0</v>
      </c>
      <c r="AZ60" s="154">
        <f>'Acuario (Arribado - mortalidad)'!AF72</f>
        <v>0</v>
      </c>
      <c r="BA60" s="154">
        <f>'Acuario (Arribado - mortalidad)'!AG72</f>
        <v>0</v>
      </c>
      <c r="BB60" s="154">
        <f>'Acuario (Arribado - mortalidad)'!AH72</f>
        <v>0</v>
      </c>
      <c r="BC60" s="154">
        <f>'Acuario (Arribado - mortalidad)'!AI72</f>
        <v>0</v>
      </c>
      <c r="BD60" s="154">
        <f>'Acuario (Arribado - mortalidad)'!AJ72</f>
        <v>0</v>
      </c>
      <c r="BE60" s="154">
        <f>'Acuario (Arribado - mortalidad)'!AK72</f>
        <v>0</v>
      </c>
      <c r="BF60" s="154">
        <f>'Acuario (Arribado - mortalidad)'!AL72</f>
        <v>0</v>
      </c>
      <c r="BG60" s="154">
        <f>'Acuario (Arribado - mortalidad)'!AM72</f>
        <v>0</v>
      </c>
      <c r="BH60" s="154">
        <f>'Acuario (Arribado - mortalidad)'!AN72</f>
        <v>0</v>
      </c>
      <c r="BI60" s="154">
        <f>'Acuario (Arribado - mortalidad)'!AO72</f>
        <v>0</v>
      </c>
      <c r="BJ60" s="154">
        <f>'Acuario (Arribado - mortalidad)'!AP72</f>
        <v>0</v>
      </c>
      <c r="BK60" s="154">
        <f>'Acuario (Arribado - mortalidad)'!AQ72</f>
        <v>0</v>
      </c>
      <c r="BL60" s="154">
        <f>'Acuario (Arribado - mortalidad)'!AR72</f>
        <v>0</v>
      </c>
      <c r="BM60" s="154" t="str">
        <f>'Acuario (Arribado - mortalidad)'!AS72</f>
        <v/>
      </c>
      <c r="BN60" s="154">
        <f>'Acuario (Arribado - mortalidad)'!AT72</f>
        <v>0</v>
      </c>
      <c r="BO60" s="154">
        <f>'Acuario (Arribado - mortalidad)'!AU72</f>
        <v>0</v>
      </c>
      <c r="BP60" s="154">
        <f>'Acuario (Arribado - mortalidad)'!AV72</f>
        <v>0</v>
      </c>
      <c r="BQ60" s="154" t="str">
        <f>'Acuario (Arribado - mortalidad)'!AW72</f>
        <v/>
      </c>
      <c r="BR60" s="154">
        <f>'Acuario (Arribado - mortalidad)'!AX72</f>
        <v>0</v>
      </c>
      <c r="BS60" s="154">
        <f>'Acuario (Arribado - mortalidad)'!AY72</f>
        <v>0</v>
      </c>
      <c r="BT60" s="154" t="str">
        <f>'Acuario (Arribado - mortalidad)'!AZ72</f>
        <v/>
      </c>
      <c r="BU60" s="154" t="str">
        <f>'Acuario (Arribado - mortalidad)'!BA72</f>
        <v/>
      </c>
      <c r="BV60" s="154" t="str">
        <f>'Acuario (Arribado - mortalidad)'!BB72</f>
        <v/>
      </c>
      <c r="BW60" s="154" t="str">
        <f>'Acuario (Arribado - mortalidad)'!BC72</f>
        <v/>
      </c>
      <c r="BX60" s="154">
        <f>'Acuario (Arribado - mortalidad)'!BD72</f>
        <v>0</v>
      </c>
      <c r="BY60" s="154" t="str">
        <f>'Acuario (Arribado - mortalidad)'!BE72</f>
        <v/>
      </c>
      <c r="BZ60" s="23" t="str">
        <f>'Acuario (Arribado - mortalidad)'!BF72</f>
        <v/>
      </c>
    </row>
    <row r="61" spans="1:78" x14ac:dyDescent="0.25">
      <c r="A61" s="154" t="str">
        <f>IF(U61&lt;&gt;0,'ORDEN DE CUARENTENA'!$AE$2,"")</f>
        <v/>
      </c>
      <c r="B61" s="190" t="str">
        <f>IF(U61&lt;&gt;0,'ORDEN DE CUARENTENA'!$AE$3,"")</f>
        <v/>
      </c>
      <c r="C61" s="174" t="str">
        <f t="shared" si="1"/>
        <v/>
      </c>
      <c r="D61" s="329" t="str">
        <f>IF(U61&lt;&gt;0,'ORDEN DE CUARENTENA'!$I$6,"")</f>
        <v/>
      </c>
      <c r="E61" s="174" t="str">
        <f>IF(U61&lt;&gt;0,TEXT('ORDEN DE CUARENTENA'!$I$6,"aaa"),"")</f>
        <v/>
      </c>
      <c r="F61" s="173" t="str">
        <f>IF(U61&lt;&gt;0,TEXT('ORDEN DE CUARENTENA'!$I$6,"dd"),"")</f>
        <v/>
      </c>
      <c r="G61" s="172" t="str">
        <f>IF(U61&lt;&gt;0,TEXT('ORDEN DE CUARENTENA'!$I$6,"mm"),"")</f>
        <v/>
      </c>
      <c r="H61" s="171" t="str">
        <f>IF(U61&lt;&gt;0,TEXT('ORDEN DE CUARENTENA'!$I$6,"yyyy"),"")</f>
        <v/>
      </c>
      <c r="I61" s="154" t="str">
        <f>IF(U61&lt;&gt;0,'ORDEN DE CUARENTENA'!$H$7,"")</f>
        <v/>
      </c>
      <c r="J61" s="154" t="str">
        <f>IF(U61&lt;&gt;0,'ORDEN DE CUARENTENA'!$H$9,"")</f>
        <v/>
      </c>
      <c r="K61" s="154" t="str">
        <f>IF(U61&lt;&gt;0,'ORDEN DE CUARENTENA'!$Q$9,"")</f>
        <v/>
      </c>
      <c r="L61" s="154" t="str">
        <f>IFERROR(VLOOKUP(U61,Item[],4,FALSE),IFERROR(VLOOKUP(U61,Item2[],4,FALSE),""))</f>
        <v/>
      </c>
      <c r="M61" s="154" t="str">
        <f>IFERROR(VLOOKUP(U61,Item[],5,FALSE),IFERROR(VLOOKUP(U61,Item2[],5,FALSE),""))</f>
        <v/>
      </c>
      <c r="N61" s="154" t="str">
        <f>IFERROR(VLOOKUP(W61,SuscepEARs[],2,FALSE),"")</f>
        <v/>
      </c>
      <c r="O61" s="154" t="str">
        <f>IFERROR(VLOOKUP(DatosAll[[#This Row],[ESPECIE]],CITES[],2,FALSE),"")</f>
        <v/>
      </c>
      <c r="P61" s="154">
        <f>IFERROR(VLOOKUP(T61,Hallazgo[],2,FALSE),"")</f>
        <v>0</v>
      </c>
      <c r="Q61" s="154">
        <f>IFERROR(VLOOKUP(T61,Hallazgo[],3,FALSE),"")</f>
        <v>0</v>
      </c>
      <c r="R61" s="154">
        <f>IFERROR(VLOOKUP(T61,Hallazgo[],4,FALSE),"")</f>
        <v>0</v>
      </c>
      <c r="S61" s="154">
        <f>IFERROR(VLOOKUP(T61,Hallazgo[],5,FALSE),"")</f>
        <v>0</v>
      </c>
      <c r="T61" s="154">
        <f>'Acuario (Arribado - mortalidad)'!C73</f>
        <v>0</v>
      </c>
      <c r="U61" s="154">
        <f>'Acuario (Arribado - mortalidad)'!B73</f>
        <v>0</v>
      </c>
      <c r="V61" s="154" t="str">
        <f>'Acuario (Arribado - mortalidad)'!D73</f>
        <v/>
      </c>
      <c r="W61" s="154" t="str">
        <f>'Acuario (Arribado - mortalidad)'!E73</f>
        <v/>
      </c>
      <c r="X61" s="154">
        <f>'Acuario (Arribado - mortalidad)'!F73</f>
        <v>0</v>
      </c>
      <c r="Y61" s="154">
        <f>'Acuario (Arribado - mortalidad)'!H73</f>
        <v>0</v>
      </c>
      <c r="Z61" s="154">
        <f>'Acuario (Arribado - mortalidad)'!I73</f>
        <v>0</v>
      </c>
      <c r="AA61" s="154">
        <f>'Acuario (Arribado - mortalidad)'!J73</f>
        <v>0</v>
      </c>
      <c r="AB61" s="154" t="str">
        <f>'Acuario (Arribado - mortalidad)'!K73</f>
        <v/>
      </c>
      <c r="AC61" s="334" t="str">
        <f>IFERROR(('Acuario (Arribado - mortalidad)'!K73/DatosAll[[#This Row],[N_INDIVIDUOS]])*100,"")</f>
        <v/>
      </c>
      <c r="AD61" s="334" t="str">
        <f>IFERROR(('Acuario (Arribado - mortalidad)'!O73/DatosAll[[#This Row],[N_INDIVIDUOS]])*100,"")</f>
        <v/>
      </c>
      <c r="AE61" s="334" t="str">
        <f>IFERROR(('Acuario (Arribado - mortalidad)'!BG73/DatosAll[[#This Row],[N_INDIVIDUOS]])*100,"")</f>
        <v/>
      </c>
      <c r="AF61" s="334" t="str">
        <f>IFERROR(('Acuario (Arribado - mortalidad)'!BH73/DatosAll[[#This Row],[N_INDIVIDUOS]])*100,"")</f>
        <v/>
      </c>
      <c r="AG61" s="154">
        <f>'Acuario (Arribado - mortalidad)'!M73</f>
        <v>0</v>
      </c>
      <c r="AH61" s="154" t="str">
        <f>'Acuario (Arribado - mortalidad)'!G73</f>
        <v/>
      </c>
      <c r="AI61" s="154">
        <f>'Acuario (Arribado - mortalidad)'!O73</f>
        <v>0</v>
      </c>
      <c r="AJ61" s="154">
        <f>'Acuario (Arribado - mortalidad)'!P73</f>
        <v>0</v>
      </c>
      <c r="AK61" s="154">
        <f>'Acuario (Arribado - mortalidad)'!Q73</f>
        <v>0</v>
      </c>
      <c r="AL61" s="154">
        <f>'Acuario (Arribado - mortalidad)'!R73</f>
        <v>0</v>
      </c>
      <c r="AM61" s="154">
        <f>'Acuario (Arribado - mortalidad)'!S73</f>
        <v>0</v>
      </c>
      <c r="AN61" s="154">
        <f>'Acuario (Arribado - mortalidad)'!T73</f>
        <v>0</v>
      </c>
      <c r="AO61" s="154">
        <f>'Acuario (Arribado - mortalidad)'!U73</f>
        <v>0</v>
      </c>
      <c r="AP61" s="154">
        <f>'Acuario (Arribado - mortalidad)'!V73</f>
        <v>0</v>
      </c>
      <c r="AQ61" s="154">
        <f>'Acuario (Arribado - mortalidad)'!W73</f>
        <v>0</v>
      </c>
      <c r="AR61" s="154">
        <f>'Acuario (Arribado - mortalidad)'!X73</f>
        <v>0</v>
      </c>
      <c r="AS61" s="154">
        <f>'Acuario (Arribado - mortalidad)'!Y73</f>
        <v>0</v>
      </c>
      <c r="AT61" s="154">
        <f>'Acuario (Arribado - mortalidad)'!Z73</f>
        <v>0</v>
      </c>
      <c r="AU61" s="154">
        <f>'Acuario (Arribado - mortalidad)'!AA73</f>
        <v>0</v>
      </c>
      <c r="AV61" s="154">
        <f>'Acuario (Arribado - mortalidad)'!AB73</f>
        <v>0</v>
      </c>
      <c r="AW61" s="154">
        <f>'Acuario (Arribado - mortalidad)'!AC73</f>
        <v>0</v>
      </c>
      <c r="AX61" s="154">
        <f>'Acuario (Arribado - mortalidad)'!AD73</f>
        <v>0</v>
      </c>
      <c r="AY61" s="154">
        <f>'Acuario (Arribado - mortalidad)'!AE73</f>
        <v>0</v>
      </c>
      <c r="AZ61" s="154">
        <f>'Acuario (Arribado - mortalidad)'!AF73</f>
        <v>0</v>
      </c>
      <c r="BA61" s="154">
        <f>'Acuario (Arribado - mortalidad)'!AG73</f>
        <v>0</v>
      </c>
      <c r="BB61" s="154">
        <f>'Acuario (Arribado - mortalidad)'!AH73</f>
        <v>0</v>
      </c>
      <c r="BC61" s="154">
        <f>'Acuario (Arribado - mortalidad)'!AI73</f>
        <v>0</v>
      </c>
      <c r="BD61" s="154">
        <f>'Acuario (Arribado - mortalidad)'!AJ73</f>
        <v>0</v>
      </c>
      <c r="BE61" s="154">
        <f>'Acuario (Arribado - mortalidad)'!AK73</f>
        <v>0</v>
      </c>
      <c r="BF61" s="154">
        <f>'Acuario (Arribado - mortalidad)'!AL73</f>
        <v>0</v>
      </c>
      <c r="BG61" s="154">
        <f>'Acuario (Arribado - mortalidad)'!AM73</f>
        <v>0</v>
      </c>
      <c r="BH61" s="154">
        <f>'Acuario (Arribado - mortalidad)'!AN73</f>
        <v>0</v>
      </c>
      <c r="BI61" s="154">
        <f>'Acuario (Arribado - mortalidad)'!AO73</f>
        <v>0</v>
      </c>
      <c r="BJ61" s="154">
        <f>'Acuario (Arribado - mortalidad)'!AP73</f>
        <v>0</v>
      </c>
      <c r="BK61" s="154">
        <f>'Acuario (Arribado - mortalidad)'!AQ73</f>
        <v>0</v>
      </c>
      <c r="BL61" s="154">
        <f>'Acuario (Arribado - mortalidad)'!AR73</f>
        <v>0</v>
      </c>
      <c r="BM61" s="154" t="str">
        <f>'Acuario (Arribado - mortalidad)'!AS73</f>
        <v/>
      </c>
      <c r="BN61" s="154">
        <f>'Acuario (Arribado - mortalidad)'!AT73</f>
        <v>0</v>
      </c>
      <c r="BO61" s="154">
        <f>'Acuario (Arribado - mortalidad)'!AU73</f>
        <v>0</v>
      </c>
      <c r="BP61" s="154">
        <f>'Acuario (Arribado - mortalidad)'!AV73</f>
        <v>0</v>
      </c>
      <c r="BQ61" s="154" t="str">
        <f>'Acuario (Arribado - mortalidad)'!AW73</f>
        <v/>
      </c>
      <c r="BR61" s="154">
        <f>'Acuario (Arribado - mortalidad)'!AX73</f>
        <v>0</v>
      </c>
      <c r="BS61" s="154">
        <f>'Acuario (Arribado - mortalidad)'!AY73</f>
        <v>0</v>
      </c>
      <c r="BT61" s="154" t="str">
        <f>'Acuario (Arribado - mortalidad)'!AZ73</f>
        <v/>
      </c>
      <c r="BU61" s="154" t="str">
        <f>'Acuario (Arribado - mortalidad)'!BA73</f>
        <v/>
      </c>
      <c r="BV61" s="154" t="str">
        <f>'Acuario (Arribado - mortalidad)'!BB73</f>
        <v/>
      </c>
      <c r="BW61" s="154" t="str">
        <f>'Acuario (Arribado - mortalidad)'!BC73</f>
        <v/>
      </c>
      <c r="BX61" s="154">
        <f>'Acuario (Arribado - mortalidad)'!BD73</f>
        <v>0</v>
      </c>
      <c r="BY61" s="154" t="str">
        <f>'Acuario (Arribado - mortalidad)'!BE73</f>
        <v/>
      </c>
      <c r="BZ61" s="23" t="str">
        <f>'Acuario (Arribado - mortalidad)'!BF73</f>
        <v/>
      </c>
    </row>
    <row r="62" spans="1:78" x14ac:dyDescent="0.25">
      <c r="A62" s="154" t="str">
        <f>IF(U62&lt;&gt;0,'ORDEN DE CUARENTENA'!$AE$2,"")</f>
        <v/>
      </c>
      <c r="B62" s="190" t="str">
        <f>IF(U62&lt;&gt;0,'ORDEN DE CUARENTENA'!$AE$3,"")</f>
        <v/>
      </c>
      <c r="C62" s="174" t="str">
        <f t="shared" si="1"/>
        <v/>
      </c>
      <c r="D62" s="329" t="str">
        <f>IF(U62&lt;&gt;0,'ORDEN DE CUARENTENA'!$I$6,"")</f>
        <v/>
      </c>
      <c r="E62" s="174" t="str">
        <f>IF(U62&lt;&gt;0,TEXT('ORDEN DE CUARENTENA'!$I$6,"aaa"),"")</f>
        <v/>
      </c>
      <c r="F62" s="173" t="str">
        <f>IF(U62&lt;&gt;0,TEXT('ORDEN DE CUARENTENA'!$I$6,"dd"),"")</f>
        <v/>
      </c>
      <c r="G62" s="172" t="str">
        <f>IF(U62&lt;&gt;0,TEXT('ORDEN DE CUARENTENA'!$I$6,"mm"),"")</f>
        <v/>
      </c>
      <c r="H62" s="171" t="str">
        <f>IF(U62&lt;&gt;0,TEXT('ORDEN DE CUARENTENA'!$I$6,"yyyy"),"")</f>
        <v/>
      </c>
      <c r="I62" s="154" t="str">
        <f>IF(U62&lt;&gt;0,'ORDEN DE CUARENTENA'!$H$7,"")</f>
        <v/>
      </c>
      <c r="J62" s="154" t="str">
        <f>IF(U62&lt;&gt;0,'ORDEN DE CUARENTENA'!$H$9,"")</f>
        <v/>
      </c>
      <c r="K62" s="154" t="str">
        <f>IF(U62&lt;&gt;0,'ORDEN DE CUARENTENA'!$Q$9,"")</f>
        <v/>
      </c>
      <c r="L62" s="154" t="str">
        <f>IFERROR(VLOOKUP(U62,Item[],4,FALSE),IFERROR(VLOOKUP(U62,Item2[],4,FALSE),""))</f>
        <v/>
      </c>
      <c r="M62" s="154" t="str">
        <f>IFERROR(VLOOKUP(U62,Item[],5,FALSE),IFERROR(VLOOKUP(U62,Item2[],5,FALSE),""))</f>
        <v/>
      </c>
      <c r="N62" s="154" t="str">
        <f>IFERROR(VLOOKUP(W62,SuscepEARs[],2,FALSE),"")</f>
        <v/>
      </c>
      <c r="O62" s="154" t="str">
        <f>IFERROR(VLOOKUP(DatosAll[[#This Row],[ESPECIE]],CITES[],2,FALSE),"")</f>
        <v/>
      </c>
      <c r="P62" s="154">
        <f>IFERROR(VLOOKUP(T62,Hallazgo[],2,FALSE),"")</f>
        <v>0</v>
      </c>
      <c r="Q62" s="154">
        <f>IFERROR(VLOOKUP(T62,Hallazgo[],3,FALSE),"")</f>
        <v>0</v>
      </c>
      <c r="R62" s="154">
        <f>IFERROR(VLOOKUP(T62,Hallazgo[],4,FALSE),"")</f>
        <v>0</v>
      </c>
      <c r="S62" s="154">
        <f>IFERROR(VLOOKUP(T62,Hallazgo[],5,FALSE),"")</f>
        <v>0</v>
      </c>
      <c r="T62" s="154">
        <f>'Acuario (Arribado - mortalidad)'!C74</f>
        <v>0</v>
      </c>
      <c r="U62" s="154">
        <f>'Acuario (Arribado - mortalidad)'!B74</f>
        <v>0</v>
      </c>
      <c r="V62" s="154" t="str">
        <f>'Acuario (Arribado - mortalidad)'!D74</f>
        <v/>
      </c>
      <c r="W62" s="154" t="str">
        <f>'Acuario (Arribado - mortalidad)'!E74</f>
        <v/>
      </c>
      <c r="X62" s="154">
        <f>'Acuario (Arribado - mortalidad)'!F74</f>
        <v>0</v>
      </c>
      <c r="Y62" s="154">
        <f>'Acuario (Arribado - mortalidad)'!H74</f>
        <v>0</v>
      </c>
      <c r="Z62" s="154">
        <f>'Acuario (Arribado - mortalidad)'!I74</f>
        <v>0</v>
      </c>
      <c r="AA62" s="154">
        <f>'Acuario (Arribado - mortalidad)'!J74</f>
        <v>0</v>
      </c>
      <c r="AB62" s="154" t="str">
        <f>'Acuario (Arribado - mortalidad)'!K74</f>
        <v/>
      </c>
      <c r="AC62" s="334" t="str">
        <f>IFERROR(('Acuario (Arribado - mortalidad)'!K74/DatosAll[[#This Row],[N_INDIVIDUOS]])*100,"")</f>
        <v/>
      </c>
      <c r="AD62" s="334" t="str">
        <f>IFERROR(('Acuario (Arribado - mortalidad)'!O74/DatosAll[[#This Row],[N_INDIVIDUOS]])*100,"")</f>
        <v/>
      </c>
      <c r="AE62" s="334" t="str">
        <f>IFERROR(('Acuario (Arribado - mortalidad)'!BG74/DatosAll[[#This Row],[N_INDIVIDUOS]])*100,"")</f>
        <v/>
      </c>
      <c r="AF62" s="334" t="str">
        <f>IFERROR(('Acuario (Arribado - mortalidad)'!BH74/DatosAll[[#This Row],[N_INDIVIDUOS]])*100,"")</f>
        <v/>
      </c>
      <c r="AG62" s="154">
        <f>'Acuario (Arribado - mortalidad)'!M74</f>
        <v>0</v>
      </c>
      <c r="AH62" s="154" t="str">
        <f>'Acuario (Arribado - mortalidad)'!G74</f>
        <v/>
      </c>
      <c r="AI62" s="154">
        <f>'Acuario (Arribado - mortalidad)'!O74</f>
        <v>0</v>
      </c>
      <c r="AJ62" s="154">
        <f>'Acuario (Arribado - mortalidad)'!P74</f>
        <v>0</v>
      </c>
      <c r="AK62" s="154">
        <f>'Acuario (Arribado - mortalidad)'!Q74</f>
        <v>0</v>
      </c>
      <c r="AL62" s="154">
        <f>'Acuario (Arribado - mortalidad)'!R74</f>
        <v>0</v>
      </c>
      <c r="AM62" s="154">
        <f>'Acuario (Arribado - mortalidad)'!S74</f>
        <v>0</v>
      </c>
      <c r="AN62" s="154">
        <f>'Acuario (Arribado - mortalidad)'!T74</f>
        <v>0</v>
      </c>
      <c r="AO62" s="154">
        <f>'Acuario (Arribado - mortalidad)'!U74</f>
        <v>0</v>
      </c>
      <c r="AP62" s="154">
        <f>'Acuario (Arribado - mortalidad)'!V74</f>
        <v>0</v>
      </c>
      <c r="AQ62" s="154">
        <f>'Acuario (Arribado - mortalidad)'!W74</f>
        <v>0</v>
      </c>
      <c r="AR62" s="154">
        <f>'Acuario (Arribado - mortalidad)'!X74</f>
        <v>0</v>
      </c>
      <c r="AS62" s="154">
        <f>'Acuario (Arribado - mortalidad)'!Y74</f>
        <v>0</v>
      </c>
      <c r="AT62" s="154">
        <f>'Acuario (Arribado - mortalidad)'!Z74</f>
        <v>0</v>
      </c>
      <c r="AU62" s="154">
        <f>'Acuario (Arribado - mortalidad)'!AA74</f>
        <v>0</v>
      </c>
      <c r="AV62" s="154">
        <f>'Acuario (Arribado - mortalidad)'!AB74</f>
        <v>0</v>
      </c>
      <c r="AW62" s="154">
        <f>'Acuario (Arribado - mortalidad)'!AC74</f>
        <v>0</v>
      </c>
      <c r="AX62" s="154">
        <f>'Acuario (Arribado - mortalidad)'!AD74</f>
        <v>0</v>
      </c>
      <c r="AY62" s="154">
        <f>'Acuario (Arribado - mortalidad)'!AE74</f>
        <v>0</v>
      </c>
      <c r="AZ62" s="154">
        <f>'Acuario (Arribado - mortalidad)'!AF74</f>
        <v>0</v>
      </c>
      <c r="BA62" s="154">
        <f>'Acuario (Arribado - mortalidad)'!AG74</f>
        <v>0</v>
      </c>
      <c r="BB62" s="154">
        <f>'Acuario (Arribado - mortalidad)'!AH74</f>
        <v>0</v>
      </c>
      <c r="BC62" s="154">
        <f>'Acuario (Arribado - mortalidad)'!AI74</f>
        <v>0</v>
      </c>
      <c r="BD62" s="154">
        <f>'Acuario (Arribado - mortalidad)'!AJ74</f>
        <v>0</v>
      </c>
      <c r="BE62" s="154">
        <f>'Acuario (Arribado - mortalidad)'!AK74</f>
        <v>0</v>
      </c>
      <c r="BF62" s="154">
        <f>'Acuario (Arribado - mortalidad)'!AL74</f>
        <v>0</v>
      </c>
      <c r="BG62" s="154">
        <f>'Acuario (Arribado - mortalidad)'!AM74</f>
        <v>0</v>
      </c>
      <c r="BH62" s="154">
        <f>'Acuario (Arribado - mortalidad)'!AN74</f>
        <v>0</v>
      </c>
      <c r="BI62" s="154">
        <f>'Acuario (Arribado - mortalidad)'!AO74</f>
        <v>0</v>
      </c>
      <c r="BJ62" s="154">
        <f>'Acuario (Arribado - mortalidad)'!AP74</f>
        <v>0</v>
      </c>
      <c r="BK62" s="154">
        <f>'Acuario (Arribado - mortalidad)'!AQ74</f>
        <v>0</v>
      </c>
      <c r="BL62" s="154">
        <f>'Acuario (Arribado - mortalidad)'!AR74</f>
        <v>0</v>
      </c>
      <c r="BM62" s="154" t="str">
        <f>'Acuario (Arribado - mortalidad)'!AS74</f>
        <v/>
      </c>
      <c r="BN62" s="154">
        <f>'Acuario (Arribado - mortalidad)'!AT74</f>
        <v>0</v>
      </c>
      <c r="BO62" s="154">
        <f>'Acuario (Arribado - mortalidad)'!AU74</f>
        <v>0</v>
      </c>
      <c r="BP62" s="154">
        <f>'Acuario (Arribado - mortalidad)'!AV74</f>
        <v>0</v>
      </c>
      <c r="BQ62" s="154" t="str">
        <f>'Acuario (Arribado - mortalidad)'!AW74</f>
        <v/>
      </c>
      <c r="BR62" s="154">
        <f>'Acuario (Arribado - mortalidad)'!AX74</f>
        <v>0</v>
      </c>
      <c r="BS62" s="154">
        <f>'Acuario (Arribado - mortalidad)'!AY74</f>
        <v>0</v>
      </c>
      <c r="BT62" s="154" t="str">
        <f>'Acuario (Arribado - mortalidad)'!AZ74</f>
        <v/>
      </c>
      <c r="BU62" s="154" t="str">
        <f>'Acuario (Arribado - mortalidad)'!BA74</f>
        <v/>
      </c>
      <c r="BV62" s="154" t="str">
        <f>'Acuario (Arribado - mortalidad)'!BB74</f>
        <v/>
      </c>
      <c r="BW62" s="154" t="str">
        <f>'Acuario (Arribado - mortalidad)'!BC74</f>
        <v/>
      </c>
      <c r="BX62" s="154">
        <f>'Acuario (Arribado - mortalidad)'!BD74</f>
        <v>0</v>
      </c>
      <c r="BY62" s="154" t="str">
        <f>'Acuario (Arribado - mortalidad)'!BE74</f>
        <v/>
      </c>
      <c r="BZ62" s="23" t="str">
        <f>'Acuario (Arribado - mortalidad)'!BF74</f>
        <v/>
      </c>
    </row>
    <row r="63" spans="1:78" x14ac:dyDescent="0.25">
      <c r="A63" s="154" t="str">
        <f>IF(U63&lt;&gt;0,'ORDEN DE CUARENTENA'!$AE$2,"")</f>
        <v/>
      </c>
      <c r="B63" s="190" t="str">
        <f>IF(U63&lt;&gt;0,'ORDEN DE CUARENTENA'!$AE$3,"")</f>
        <v/>
      </c>
      <c r="C63" s="174" t="str">
        <f t="shared" si="1"/>
        <v/>
      </c>
      <c r="D63" s="329" t="str">
        <f>IF(U63&lt;&gt;0,'ORDEN DE CUARENTENA'!$I$6,"")</f>
        <v/>
      </c>
      <c r="E63" s="174" t="str">
        <f>IF(U63&lt;&gt;0,TEXT('ORDEN DE CUARENTENA'!$I$6,"aaa"),"")</f>
        <v/>
      </c>
      <c r="F63" s="173" t="str">
        <f>IF(U63&lt;&gt;0,TEXT('ORDEN DE CUARENTENA'!$I$6,"dd"),"")</f>
        <v/>
      </c>
      <c r="G63" s="172" t="str">
        <f>IF(U63&lt;&gt;0,TEXT('ORDEN DE CUARENTENA'!$I$6,"mm"),"")</f>
        <v/>
      </c>
      <c r="H63" s="171" t="str">
        <f>IF(U63&lt;&gt;0,TEXT('ORDEN DE CUARENTENA'!$I$6,"yyyy"),"")</f>
        <v/>
      </c>
      <c r="I63" s="154" t="str">
        <f>IF(U63&lt;&gt;0,'ORDEN DE CUARENTENA'!$H$7,"")</f>
        <v/>
      </c>
      <c r="J63" s="154" t="str">
        <f>IF(U63&lt;&gt;0,'ORDEN DE CUARENTENA'!$H$9,"")</f>
        <v/>
      </c>
      <c r="K63" s="154" t="str">
        <f>IF(U63&lt;&gt;0,'ORDEN DE CUARENTENA'!$Q$9,"")</f>
        <v/>
      </c>
      <c r="L63" s="154" t="str">
        <f>IFERROR(VLOOKUP(U63,Item[],4,FALSE),IFERROR(VLOOKUP(U63,Item2[],4,FALSE),""))</f>
        <v/>
      </c>
      <c r="M63" s="154" t="str">
        <f>IFERROR(VLOOKUP(U63,Item[],5,FALSE),IFERROR(VLOOKUP(U63,Item2[],5,FALSE),""))</f>
        <v/>
      </c>
      <c r="N63" s="154" t="str">
        <f>IFERROR(VLOOKUP(W63,SuscepEARs[],2,FALSE),"")</f>
        <v/>
      </c>
      <c r="O63" s="154" t="str">
        <f>IFERROR(VLOOKUP(DatosAll[[#This Row],[ESPECIE]],CITES[],2,FALSE),"")</f>
        <v/>
      </c>
      <c r="P63" s="154">
        <f>IFERROR(VLOOKUP(T63,Hallazgo[],2,FALSE),"")</f>
        <v>0</v>
      </c>
      <c r="Q63" s="154">
        <f>IFERROR(VLOOKUP(T63,Hallazgo[],3,FALSE),"")</f>
        <v>0</v>
      </c>
      <c r="R63" s="154">
        <f>IFERROR(VLOOKUP(T63,Hallazgo[],4,FALSE),"")</f>
        <v>0</v>
      </c>
      <c r="S63" s="154">
        <f>IFERROR(VLOOKUP(T63,Hallazgo[],5,FALSE),"")</f>
        <v>0</v>
      </c>
      <c r="T63" s="154">
        <f>'Acuario (Arribado - mortalidad)'!C75</f>
        <v>0</v>
      </c>
      <c r="U63" s="154">
        <f>'Acuario (Arribado - mortalidad)'!B75</f>
        <v>0</v>
      </c>
      <c r="V63" s="154" t="str">
        <f>'Acuario (Arribado - mortalidad)'!D75</f>
        <v/>
      </c>
      <c r="W63" s="154" t="str">
        <f>'Acuario (Arribado - mortalidad)'!E75</f>
        <v/>
      </c>
      <c r="X63" s="154">
        <f>'Acuario (Arribado - mortalidad)'!F75</f>
        <v>0</v>
      </c>
      <c r="Y63" s="154">
        <f>'Acuario (Arribado - mortalidad)'!H75</f>
        <v>0</v>
      </c>
      <c r="Z63" s="154">
        <f>'Acuario (Arribado - mortalidad)'!I75</f>
        <v>0</v>
      </c>
      <c r="AA63" s="154">
        <f>'Acuario (Arribado - mortalidad)'!J75</f>
        <v>0</v>
      </c>
      <c r="AB63" s="154" t="str">
        <f>'Acuario (Arribado - mortalidad)'!K75</f>
        <v/>
      </c>
      <c r="AC63" s="334" t="str">
        <f>IFERROR(('Acuario (Arribado - mortalidad)'!K75/DatosAll[[#This Row],[N_INDIVIDUOS]])*100,"")</f>
        <v/>
      </c>
      <c r="AD63" s="334" t="str">
        <f>IFERROR(('Acuario (Arribado - mortalidad)'!O75/DatosAll[[#This Row],[N_INDIVIDUOS]])*100,"")</f>
        <v/>
      </c>
      <c r="AE63" s="334" t="str">
        <f>IFERROR(('Acuario (Arribado - mortalidad)'!BG75/DatosAll[[#This Row],[N_INDIVIDUOS]])*100,"")</f>
        <v/>
      </c>
      <c r="AF63" s="334" t="str">
        <f>IFERROR(('Acuario (Arribado - mortalidad)'!BH75/DatosAll[[#This Row],[N_INDIVIDUOS]])*100,"")</f>
        <v/>
      </c>
      <c r="AG63" s="154">
        <f>'Acuario (Arribado - mortalidad)'!M75</f>
        <v>0</v>
      </c>
      <c r="AH63" s="154" t="str">
        <f>'Acuario (Arribado - mortalidad)'!G75</f>
        <v/>
      </c>
      <c r="AI63" s="154">
        <f>'Acuario (Arribado - mortalidad)'!O75</f>
        <v>0</v>
      </c>
      <c r="AJ63" s="154">
        <f>'Acuario (Arribado - mortalidad)'!P75</f>
        <v>0</v>
      </c>
      <c r="AK63" s="154">
        <f>'Acuario (Arribado - mortalidad)'!Q75</f>
        <v>0</v>
      </c>
      <c r="AL63" s="154">
        <f>'Acuario (Arribado - mortalidad)'!R75</f>
        <v>0</v>
      </c>
      <c r="AM63" s="154">
        <f>'Acuario (Arribado - mortalidad)'!S75</f>
        <v>0</v>
      </c>
      <c r="AN63" s="154">
        <f>'Acuario (Arribado - mortalidad)'!T75</f>
        <v>0</v>
      </c>
      <c r="AO63" s="154">
        <f>'Acuario (Arribado - mortalidad)'!U75</f>
        <v>0</v>
      </c>
      <c r="AP63" s="154">
        <f>'Acuario (Arribado - mortalidad)'!V75</f>
        <v>0</v>
      </c>
      <c r="AQ63" s="154">
        <f>'Acuario (Arribado - mortalidad)'!W75</f>
        <v>0</v>
      </c>
      <c r="AR63" s="154">
        <f>'Acuario (Arribado - mortalidad)'!X75</f>
        <v>0</v>
      </c>
      <c r="AS63" s="154">
        <f>'Acuario (Arribado - mortalidad)'!Y75</f>
        <v>0</v>
      </c>
      <c r="AT63" s="154">
        <f>'Acuario (Arribado - mortalidad)'!Z75</f>
        <v>0</v>
      </c>
      <c r="AU63" s="154">
        <f>'Acuario (Arribado - mortalidad)'!AA75</f>
        <v>0</v>
      </c>
      <c r="AV63" s="154">
        <f>'Acuario (Arribado - mortalidad)'!AB75</f>
        <v>0</v>
      </c>
      <c r="AW63" s="154">
        <f>'Acuario (Arribado - mortalidad)'!AC75</f>
        <v>0</v>
      </c>
      <c r="AX63" s="154">
        <f>'Acuario (Arribado - mortalidad)'!AD75</f>
        <v>0</v>
      </c>
      <c r="AY63" s="154">
        <f>'Acuario (Arribado - mortalidad)'!AE75</f>
        <v>0</v>
      </c>
      <c r="AZ63" s="154">
        <f>'Acuario (Arribado - mortalidad)'!AF75</f>
        <v>0</v>
      </c>
      <c r="BA63" s="154">
        <f>'Acuario (Arribado - mortalidad)'!AG75</f>
        <v>0</v>
      </c>
      <c r="BB63" s="154">
        <f>'Acuario (Arribado - mortalidad)'!AH75</f>
        <v>0</v>
      </c>
      <c r="BC63" s="154">
        <f>'Acuario (Arribado - mortalidad)'!AI75</f>
        <v>0</v>
      </c>
      <c r="BD63" s="154">
        <f>'Acuario (Arribado - mortalidad)'!AJ75</f>
        <v>0</v>
      </c>
      <c r="BE63" s="154">
        <f>'Acuario (Arribado - mortalidad)'!AK75</f>
        <v>0</v>
      </c>
      <c r="BF63" s="154">
        <f>'Acuario (Arribado - mortalidad)'!AL75</f>
        <v>0</v>
      </c>
      <c r="BG63" s="154">
        <f>'Acuario (Arribado - mortalidad)'!AM75</f>
        <v>0</v>
      </c>
      <c r="BH63" s="154">
        <f>'Acuario (Arribado - mortalidad)'!AN75</f>
        <v>0</v>
      </c>
      <c r="BI63" s="154">
        <f>'Acuario (Arribado - mortalidad)'!AO75</f>
        <v>0</v>
      </c>
      <c r="BJ63" s="154">
        <f>'Acuario (Arribado - mortalidad)'!AP75</f>
        <v>0</v>
      </c>
      <c r="BK63" s="154">
        <f>'Acuario (Arribado - mortalidad)'!AQ75</f>
        <v>0</v>
      </c>
      <c r="BL63" s="154">
        <f>'Acuario (Arribado - mortalidad)'!AR75</f>
        <v>0</v>
      </c>
      <c r="BM63" s="154" t="str">
        <f>'Acuario (Arribado - mortalidad)'!AS75</f>
        <v/>
      </c>
      <c r="BN63" s="154">
        <f>'Acuario (Arribado - mortalidad)'!AT75</f>
        <v>0</v>
      </c>
      <c r="BO63" s="154">
        <f>'Acuario (Arribado - mortalidad)'!AU75</f>
        <v>0</v>
      </c>
      <c r="BP63" s="154">
        <f>'Acuario (Arribado - mortalidad)'!AV75</f>
        <v>0</v>
      </c>
      <c r="BQ63" s="154" t="str">
        <f>'Acuario (Arribado - mortalidad)'!AW75</f>
        <v/>
      </c>
      <c r="BR63" s="154">
        <f>'Acuario (Arribado - mortalidad)'!AX75</f>
        <v>0</v>
      </c>
      <c r="BS63" s="154">
        <f>'Acuario (Arribado - mortalidad)'!AY75</f>
        <v>0</v>
      </c>
      <c r="BT63" s="154" t="str">
        <f>'Acuario (Arribado - mortalidad)'!AZ75</f>
        <v/>
      </c>
      <c r="BU63" s="154" t="str">
        <f>'Acuario (Arribado - mortalidad)'!BA75</f>
        <v/>
      </c>
      <c r="BV63" s="154" t="str">
        <f>'Acuario (Arribado - mortalidad)'!BB75</f>
        <v/>
      </c>
      <c r="BW63" s="154" t="str">
        <f>'Acuario (Arribado - mortalidad)'!BC75</f>
        <v/>
      </c>
      <c r="BX63" s="154">
        <f>'Acuario (Arribado - mortalidad)'!BD75</f>
        <v>0</v>
      </c>
      <c r="BY63" s="154" t="str">
        <f>'Acuario (Arribado - mortalidad)'!BE75</f>
        <v/>
      </c>
      <c r="BZ63" s="23" t="str">
        <f>'Acuario (Arribado - mortalidad)'!BF75</f>
        <v/>
      </c>
    </row>
    <row r="64" spans="1:78" x14ac:dyDescent="0.25">
      <c r="A64" s="154" t="str">
        <f>IF(U64&lt;&gt;0,'ORDEN DE CUARENTENA'!$AE$2,"")</f>
        <v/>
      </c>
      <c r="B64" s="190" t="str">
        <f>IF(U64&lt;&gt;0,'ORDEN DE CUARENTENA'!$AE$3,"")</f>
        <v/>
      </c>
      <c r="C64" s="174" t="str">
        <f t="shared" si="1"/>
        <v/>
      </c>
      <c r="D64" s="329" t="str">
        <f>IF(U64&lt;&gt;0,'ORDEN DE CUARENTENA'!$I$6,"")</f>
        <v/>
      </c>
      <c r="E64" s="174" t="str">
        <f>IF(U64&lt;&gt;0,TEXT('ORDEN DE CUARENTENA'!$I$6,"aaa"),"")</f>
        <v/>
      </c>
      <c r="F64" s="173" t="str">
        <f>IF(U64&lt;&gt;0,TEXT('ORDEN DE CUARENTENA'!$I$6,"dd"),"")</f>
        <v/>
      </c>
      <c r="G64" s="172" t="str">
        <f>IF(U64&lt;&gt;0,TEXT('ORDEN DE CUARENTENA'!$I$6,"mm"),"")</f>
        <v/>
      </c>
      <c r="H64" s="171" t="str">
        <f>IF(U64&lt;&gt;0,TEXT('ORDEN DE CUARENTENA'!$I$6,"yyyy"),"")</f>
        <v/>
      </c>
      <c r="I64" s="154" t="str">
        <f>IF(U64&lt;&gt;0,'ORDEN DE CUARENTENA'!$H$7,"")</f>
        <v/>
      </c>
      <c r="J64" s="154" t="str">
        <f>IF(U64&lt;&gt;0,'ORDEN DE CUARENTENA'!$H$9,"")</f>
        <v/>
      </c>
      <c r="K64" s="154" t="str">
        <f>IF(U64&lt;&gt;0,'ORDEN DE CUARENTENA'!$Q$9,"")</f>
        <v/>
      </c>
      <c r="L64" s="154" t="str">
        <f>IFERROR(VLOOKUP(U64,Item[],4,FALSE),IFERROR(VLOOKUP(U64,Item2[],4,FALSE),""))</f>
        <v/>
      </c>
      <c r="M64" s="154" t="str">
        <f>IFERROR(VLOOKUP(U64,Item[],5,FALSE),IFERROR(VLOOKUP(U64,Item2[],5,FALSE),""))</f>
        <v/>
      </c>
      <c r="N64" s="154" t="str">
        <f>IFERROR(VLOOKUP(W64,SuscepEARs[],2,FALSE),"")</f>
        <v/>
      </c>
      <c r="O64" s="154" t="str">
        <f>IFERROR(VLOOKUP(DatosAll[[#This Row],[ESPECIE]],CITES[],2,FALSE),"")</f>
        <v/>
      </c>
      <c r="P64" s="154">
        <f>IFERROR(VLOOKUP(T64,Hallazgo[],2,FALSE),"")</f>
        <v>0</v>
      </c>
      <c r="Q64" s="154">
        <f>IFERROR(VLOOKUP(T64,Hallazgo[],3,FALSE),"")</f>
        <v>0</v>
      </c>
      <c r="R64" s="154">
        <f>IFERROR(VLOOKUP(T64,Hallazgo[],4,FALSE),"")</f>
        <v>0</v>
      </c>
      <c r="S64" s="154">
        <f>IFERROR(VLOOKUP(T64,Hallazgo[],5,FALSE),"")</f>
        <v>0</v>
      </c>
      <c r="T64" s="154">
        <f>'Acuario (Arribado - mortalidad)'!C76</f>
        <v>0</v>
      </c>
      <c r="U64" s="154">
        <f>'Acuario (Arribado - mortalidad)'!B76</f>
        <v>0</v>
      </c>
      <c r="V64" s="154" t="str">
        <f>'Acuario (Arribado - mortalidad)'!D76</f>
        <v/>
      </c>
      <c r="W64" s="154" t="str">
        <f>'Acuario (Arribado - mortalidad)'!E76</f>
        <v/>
      </c>
      <c r="X64" s="154">
        <f>'Acuario (Arribado - mortalidad)'!F76</f>
        <v>0</v>
      </c>
      <c r="Y64" s="154">
        <f>'Acuario (Arribado - mortalidad)'!H76</f>
        <v>0</v>
      </c>
      <c r="Z64" s="154">
        <f>'Acuario (Arribado - mortalidad)'!I76</f>
        <v>0</v>
      </c>
      <c r="AA64" s="154">
        <f>'Acuario (Arribado - mortalidad)'!J76</f>
        <v>0</v>
      </c>
      <c r="AB64" s="154" t="str">
        <f>'Acuario (Arribado - mortalidad)'!K76</f>
        <v/>
      </c>
      <c r="AC64" s="334" t="str">
        <f>IFERROR(('Acuario (Arribado - mortalidad)'!K76/DatosAll[[#This Row],[N_INDIVIDUOS]])*100,"")</f>
        <v/>
      </c>
      <c r="AD64" s="334" t="str">
        <f>IFERROR(('Acuario (Arribado - mortalidad)'!O76/DatosAll[[#This Row],[N_INDIVIDUOS]])*100,"")</f>
        <v/>
      </c>
      <c r="AE64" s="334" t="str">
        <f>IFERROR(('Acuario (Arribado - mortalidad)'!BG76/DatosAll[[#This Row],[N_INDIVIDUOS]])*100,"")</f>
        <v/>
      </c>
      <c r="AF64" s="334" t="str">
        <f>IFERROR(('Acuario (Arribado - mortalidad)'!BH76/DatosAll[[#This Row],[N_INDIVIDUOS]])*100,"")</f>
        <v/>
      </c>
      <c r="AG64" s="154">
        <f>'Acuario (Arribado - mortalidad)'!M76</f>
        <v>0</v>
      </c>
      <c r="AH64" s="154" t="str">
        <f>'Acuario (Arribado - mortalidad)'!G76</f>
        <v/>
      </c>
      <c r="AI64" s="154">
        <f>'Acuario (Arribado - mortalidad)'!O76</f>
        <v>0</v>
      </c>
      <c r="AJ64" s="154">
        <f>'Acuario (Arribado - mortalidad)'!P76</f>
        <v>0</v>
      </c>
      <c r="AK64" s="154">
        <f>'Acuario (Arribado - mortalidad)'!Q76</f>
        <v>0</v>
      </c>
      <c r="AL64" s="154">
        <f>'Acuario (Arribado - mortalidad)'!R76</f>
        <v>0</v>
      </c>
      <c r="AM64" s="154">
        <f>'Acuario (Arribado - mortalidad)'!S76</f>
        <v>0</v>
      </c>
      <c r="AN64" s="154">
        <f>'Acuario (Arribado - mortalidad)'!T76</f>
        <v>0</v>
      </c>
      <c r="AO64" s="154">
        <f>'Acuario (Arribado - mortalidad)'!U76</f>
        <v>0</v>
      </c>
      <c r="AP64" s="154">
        <f>'Acuario (Arribado - mortalidad)'!V76</f>
        <v>0</v>
      </c>
      <c r="AQ64" s="154">
        <f>'Acuario (Arribado - mortalidad)'!W76</f>
        <v>0</v>
      </c>
      <c r="AR64" s="154">
        <f>'Acuario (Arribado - mortalidad)'!X76</f>
        <v>0</v>
      </c>
      <c r="AS64" s="154">
        <f>'Acuario (Arribado - mortalidad)'!Y76</f>
        <v>0</v>
      </c>
      <c r="AT64" s="154">
        <f>'Acuario (Arribado - mortalidad)'!Z76</f>
        <v>0</v>
      </c>
      <c r="AU64" s="154">
        <f>'Acuario (Arribado - mortalidad)'!AA76</f>
        <v>0</v>
      </c>
      <c r="AV64" s="154">
        <f>'Acuario (Arribado - mortalidad)'!AB76</f>
        <v>0</v>
      </c>
      <c r="AW64" s="154">
        <f>'Acuario (Arribado - mortalidad)'!AC76</f>
        <v>0</v>
      </c>
      <c r="AX64" s="154">
        <f>'Acuario (Arribado - mortalidad)'!AD76</f>
        <v>0</v>
      </c>
      <c r="AY64" s="154">
        <f>'Acuario (Arribado - mortalidad)'!AE76</f>
        <v>0</v>
      </c>
      <c r="AZ64" s="154">
        <f>'Acuario (Arribado - mortalidad)'!AF76</f>
        <v>0</v>
      </c>
      <c r="BA64" s="154">
        <f>'Acuario (Arribado - mortalidad)'!AG76</f>
        <v>0</v>
      </c>
      <c r="BB64" s="154">
        <f>'Acuario (Arribado - mortalidad)'!AH76</f>
        <v>0</v>
      </c>
      <c r="BC64" s="154">
        <f>'Acuario (Arribado - mortalidad)'!AI76</f>
        <v>0</v>
      </c>
      <c r="BD64" s="154">
        <f>'Acuario (Arribado - mortalidad)'!AJ76</f>
        <v>0</v>
      </c>
      <c r="BE64" s="154">
        <f>'Acuario (Arribado - mortalidad)'!AK76</f>
        <v>0</v>
      </c>
      <c r="BF64" s="154">
        <f>'Acuario (Arribado - mortalidad)'!AL76</f>
        <v>0</v>
      </c>
      <c r="BG64" s="154">
        <f>'Acuario (Arribado - mortalidad)'!AM76</f>
        <v>0</v>
      </c>
      <c r="BH64" s="154">
        <f>'Acuario (Arribado - mortalidad)'!AN76</f>
        <v>0</v>
      </c>
      <c r="BI64" s="154">
        <f>'Acuario (Arribado - mortalidad)'!AO76</f>
        <v>0</v>
      </c>
      <c r="BJ64" s="154">
        <f>'Acuario (Arribado - mortalidad)'!AP76</f>
        <v>0</v>
      </c>
      <c r="BK64" s="154">
        <f>'Acuario (Arribado - mortalidad)'!AQ76</f>
        <v>0</v>
      </c>
      <c r="BL64" s="154">
        <f>'Acuario (Arribado - mortalidad)'!AR76</f>
        <v>0</v>
      </c>
      <c r="BM64" s="154" t="str">
        <f>'Acuario (Arribado - mortalidad)'!AS76</f>
        <v/>
      </c>
      <c r="BN64" s="154">
        <f>'Acuario (Arribado - mortalidad)'!AT76</f>
        <v>0</v>
      </c>
      <c r="BO64" s="154">
        <f>'Acuario (Arribado - mortalidad)'!AU76</f>
        <v>0</v>
      </c>
      <c r="BP64" s="154">
        <f>'Acuario (Arribado - mortalidad)'!AV76</f>
        <v>0</v>
      </c>
      <c r="BQ64" s="154" t="str">
        <f>'Acuario (Arribado - mortalidad)'!AW76</f>
        <v/>
      </c>
      <c r="BR64" s="154">
        <f>'Acuario (Arribado - mortalidad)'!AX76</f>
        <v>0</v>
      </c>
      <c r="BS64" s="154">
        <f>'Acuario (Arribado - mortalidad)'!AY76</f>
        <v>0</v>
      </c>
      <c r="BT64" s="154" t="str">
        <f>'Acuario (Arribado - mortalidad)'!AZ76</f>
        <v/>
      </c>
      <c r="BU64" s="154" t="str">
        <f>'Acuario (Arribado - mortalidad)'!BA76</f>
        <v/>
      </c>
      <c r="BV64" s="154" t="str">
        <f>'Acuario (Arribado - mortalidad)'!BB76</f>
        <v/>
      </c>
      <c r="BW64" s="154" t="str">
        <f>'Acuario (Arribado - mortalidad)'!BC76</f>
        <v/>
      </c>
      <c r="BX64" s="154">
        <f>'Acuario (Arribado - mortalidad)'!BD76</f>
        <v>0</v>
      </c>
      <c r="BY64" s="154" t="str">
        <f>'Acuario (Arribado - mortalidad)'!BE76</f>
        <v/>
      </c>
      <c r="BZ64" s="23" t="str">
        <f>'Acuario (Arribado - mortalidad)'!BF76</f>
        <v/>
      </c>
    </row>
    <row r="65" spans="1:78" x14ac:dyDescent="0.25">
      <c r="A65" s="154" t="str">
        <f>IF(U65&lt;&gt;0,'ORDEN DE CUARENTENA'!$AE$2,"")</f>
        <v/>
      </c>
      <c r="B65" s="190" t="str">
        <f>IF(U65&lt;&gt;0,'ORDEN DE CUARENTENA'!$AE$3,"")</f>
        <v/>
      </c>
      <c r="C65" s="174" t="str">
        <f t="shared" si="1"/>
        <v/>
      </c>
      <c r="D65" s="329" t="str">
        <f>IF(U65&lt;&gt;0,'ORDEN DE CUARENTENA'!$I$6,"")</f>
        <v/>
      </c>
      <c r="E65" s="174" t="str">
        <f>IF(U65&lt;&gt;0,TEXT('ORDEN DE CUARENTENA'!$I$6,"aaa"),"")</f>
        <v/>
      </c>
      <c r="F65" s="173" t="str">
        <f>IF(U65&lt;&gt;0,TEXT('ORDEN DE CUARENTENA'!$I$6,"dd"),"")</f>
        <v/>
      </c>
      <c r="G65" s="172" t="str">
        <f>IF(U65&lt;&gt;0,TEXT('ORDEN DE CUARENTENA'!$I$6,"mm"),"")</f>
        <v/>
      </c>
      <c r="H65" s="171" t="str">
        <f>IF(U65&lt;&gt;0,TEXT('ORDEN DE CUARENTENA'!$I$6,"yyyy"),"")</f>
        <v/>
      </c>
      <c r="I65" s="154" t="str">
        <f>IF(U65&lt;&gt;0,'ORDEN DE CUARENTENA'!$H$7,"")</f>
        <v/>
      </c>
      <c r="J65" s="154" t="str">
        <f>IF(U65&lt;&gt;0,'ORDEN DE CUARENTENA'!$H$9,"")</f>
        <v/>
      </c>
      <c r="K65" s="154" t="str">
        <f>IF(U65&lt;&gt;0,'ORDEN DE CUARENTENA'!$Q$9,"")</f>
        <v/>
      </c>
      <c r="L65" s="154" t="str">
        <f>IFERROR(VLOOKUP(U65,Item[],4,FALSE),IFERROR(VLOOKUP(U65,Item2[],4,FALSE),""))</f>
        <v/>
      </c>
      <c r="M65" s="154" t="str">
        <f>IFERROR(VLOOKUP(U65,Item[],5,FALSE),IFERROR(VLOOKUP(U65,Item2[],5,FALSE),""))</f>
        <v/>
      </c>
      <c r="N65" s="154" t="str">
        <f>IFERROR(VLOOKUP(W65,SuscepEARs[],2,FALSE),"")</f>
        <v/>
      </c>
      <c r="O65" s="154" t="str">
        <f>IFERROR(VLOOKUP(DatosAll[[#This Row],[ESPECIE]],CITES[],2,FALSE),"")</f>
        <v/>
      </c>
      <c r="P65" s="154">
        <f>IFERROR(VLOOKUP(T65,Hallazgo[],2,FALSE),"")</f>
        <v>0</v>
      </c>
      <c r="Q65" s="154">
        <f>IFERROR(VLOOKUP(T65,Hallazgo[],3,FALSE),"")</f>
        <v>0</v>
      </c>
      <c r="R65" s="154">
        <f>IFERROR(VLOOKUP(T65,Hallazgo[],4,FALSE),"")</f>
        <v>0</v>
      </c>
      <c r="S65" s="154">
        <f>IFERROR(VLOOKUP(T65,Hallazgo[],5,FALSE),"")</f>
        <v>0</v>
      </c>
      <c r="T65" s="154">
        <f>'Acuario (Arribado - mortalidad)'!C77</f>
        <v>0</v>
      </c>
      <c r="U65" s="154">
        <f>'Acuario (Arribado - mortalidad)'!B77</f>
        <v>0</v>
      </c>
      <c r="V65" s="154" t="str">
        <f>'Acuario (Arribado - mortalidad)'!D77</f>
        <v/>
      </c>
      <c r="W65" s="154" t="str">
        <f>'Acuario (Arribado - mortalidad)'!E77</f>
        <v/>
      </c>
      <c r="X65" s="154">
        <f>'Acuario (Arribado - mortalidad)'!F77</f>
        <v>0</v>
      </c>
      <c r="Y65" s="154">
        <f>'Acuario (Arribado - mortalidad)'!H77</f>
        <v>0</v>
      </c>
      <c r="Z65" s="154">
        <f>'Acuario (Arribado - mortalidad)'!I77</f>
        <v>0</v>
      </c>
      <c r="AA65" s="154">
        <f>'Acuario (Arribado - mortalidad)'!J77</f>
        <v>0</v>
      </c>
      <c r="AB65" s="154" t="str">
        <f>'Acuario (Arribado - mortalidad)'!K77</f>
        <v/>
      </c>
      <c r="AC65" s="334" t="str">
        <f>IFERROR(('Acuario (Arribado - mortalidad)'!K77/DatosAll[[#This Row],[N_INDIVIDUOS]])*100,"")</f>
        <v/>
      </c>
      <c r="AD65" s="334" t="str">
        <f>IFERROR(('Acuario (Arribado - mortalidad)'!O77/DatosAll[[#This Row],[N_INDIVIDUOS]])*100,"")</f>
        <v/>
      </c>
      <c r="AE65" s="334" t="str">
        <f>IFERROR(('Acuario (Arribado - mortalidad)'!BG77/DatosAll[[#This Row],[N_INDIVIDUOS]])*100,"")</f>
        <v/>
      </c>
      <c r="AF65" s="334" t="str">
        <f>IFERROR(('Acuario (Arribado - mortalidad)'!BH77/DatosAll[[#This Row],[N_INDIVIDUOS]])*100,"")</f>
        <v/>
      </c>
      <c r="AG65" s="154">
        <f>'Acuario (Arribado - mortalidad)'!M77</f>
        <v>0</v>
      </c>
      <c r="AH65" s="154" t="str">
        <f>'Acuario (Arribado - mortalidad)'!G77</f>
        <v/>
      </c>
      <c r="AI65" s="154">
        <f>'Acuario (Arribado - mortalidad)'!O77</f>
        <v>0</v>
      </c>
      <c r="AJ65" s="154">
        <f>'Acuario (Arribado - mortalidad)'!P77</f>
        <v>0</v>
      </c>
      <c r="AK65" s="154">
        <f>'Acuario (Arribado - mortalidad)'!Q77</f>
        <v>0</v>
      </c>
      <c r="AL65" s="154">
        <f>'Acuario (Arribado - mortalidad)'!R77</f>
        <v>0</v>
      </c>
      <c r="AM65" s="154">
        <f>'Acuario (Arribado - mortalidad)'!S77</f>
        <v>0</v>
      </c>
      <c r="AN65" s="154">
        <f>'Acuario (Arribado - mortalidad)'!T77</f>
        <v>0</v>
      </c>
      <c r="AO65" s="154">
        <f>'Acuario (Arribado - mortalidad)'!U77</f>
        <v>0</v>
      </c>
      <c r="AP65" s="154">
        <f>'Acuario (Arribado - mortalidad)'!V77</f>
        <v>0</v>
      </c>
      <c r="AQ65" s="154">
        <f>'Acuario (Arribado - mortalidad)'!W77</f>
        <v>0</v>
      </c>
      <c r="AR65" s="154">
        <f>'Acuario (Arribado - mortalidad)'!X77</f>
        <v>0</v>
      </c>
      <c r="AS65" s="154">
        <f>'Acuario (Arribado - mortalidad)'!Y77</f>
        <v>0</v>
      </c>
      <c r="AT65" s="154">
        <f>'Acuario (Arribado - mortalidad)'!Z77</f>
        <v>0</v>
      </c>
      <c r="AU65" s="154">
        <f>'Acuario (Arribado - mortalidad)'!AA77</f>
        <v>0</v>
      </c>
      <c r="AV65" s="154">
        <f>'Acuario (Arribado - mortalidad)'!AB77</f>
        <v>0</v>
      </c>
      <c r="AW65" s="154">
        <f>'Acuario (Arribado - mortalidad)'!AC77</f>
        <v>0</v>
      </c>
      <c r="AX65" s="154">
        <f>'Acuario (Arribado - mortalidad)'!AD77</f>
        <v>0</v>
      </c>
      <c r="AY65" s="154">
        <f>'Acuario (Arribado - mortalidad)'!AE77</f>
        <v>0</v>
      </c>
      <c r="AZ65" s="154">
        <f>'Acuario (Arribado - mortalidad)'!AF77</f>
        <v>0</v>
      </c>
      <c r="BA65" s="154">
        <f>'Acuario (Arribado - mortalidad)'!AG77</f>
        <v>0</v>
      </c>
      <c r="BB65" s="154">
        <f>'Acuario (Arribado - mortalidad)'!AH77</f>
        <v>0</v>
      </c>
      <c r="BC65" s="154">
        <f>'Acuario (Arribado - mortalidad)'!AI77</f>
        <v>0</v>
      </c>
      <c r="BD65" s="154">
        <f>'Acuario (Arribado - mortalidad)'!AJ77</f>
        <v>0</v>
      </c>
      <c r="BE65" s="154">
        <f>'Acuario (Arribado - mortalidad)'!AK77</f>
        <v>0</v>
      </c>
      <c r="BF65" s="154">
        <f>'Acuario (Arribado - mortalidad)'!AL77</f>
        <v>0</v>
      </c>
      <c r="BG65" s="154">
        <f>'Acuario (Arribado - mortalidad)'!AM77</f>
        <v>0</v>
      </c>
      <c r="BH65" s="154">
        <f>'Acuario (Arribado - mortalidad)'!AN77</f>
        <v>0</v>
      </c>
      <c r="BI65" s="154">
        <f>'Acuario (Arribado - mortalidad)'!AO77</f>
        <v>0</v>
      </c>
      <c r="BJ65" s="154">
        <f>'Acuario (Arribado - mortalidad)'!AP77</f>
        <v>0</v>
      </c>
      <c r="BK65" s="154">
        <f>'Acuario (Arribado - mortalidad)'!AQ77</f>
        <v>0</v>
      </c>
      <c r="BL65" s="154">
        <f>'Acuario (Arribado - mortalidad)'!AR77</f>
        <v>0</v>
      </c>
      <c r="BM65" s="154" t="str">
        <f>'Acuario (Arribado - mortalidad)'!AS77</f>
        <v/>
      </c>
      <c r="BN65" s="154">
        <f>'Acuario (Arribado - mortalidad)'!AT77</f>
        <v>0</v>
      </c>
      <c r="BO65" s="154">
        <f>'Acuario (Arribado - mortalidad)'!AU77</f>
        <v>0</v>
      </c>
      <c r="BP65" s="154">
        <f>'Acuario (Arribado - mortalidad)'!AV77</f>
        <v>0</v>
      </c>
      <c r="BQ65" s="154" t="str">
        <f>'Acuario (Arribado - mortalidad)'!AW77</f>
        <v/>
      </c>
      <c r="BR65" s="154">
        <f>'Acuario (Arribado - mortalidad)'!AX77</f>
        <v>0</v>
      </c>
      <c r="BS65" s="154">
        <f>'Acuario (Arribado - mortalidad)'!AY77</f>
        <v>0</v>
      </c>
      <c r="BT65" s="154" t="str">
        <f>'Acuario (Arribado - mortalidad)'!AZ77</f>
        <v/>
      </c>
      <c r="BU65" s="154" t="str">
        <f>'Acuario (Arribado - mortalidad)'!BA77</f>
        <v/>
      </c>
      <c r="BV65" s="154" t="str">
        <f>'Acuario (Arribado - mortalidad)'!BB77</f>
        <v/>
      </c>
      <c r="BW65" s="154" t="str">
        <f>'Acuario (Arribado - mortalidad)'!BC77</f>
        <v/>
      </c>
      <c r="BX65" s="154">
        <f>'Acuario (Arribado - mortalidad)'!BD77</f>
        <v>0</v>
      </c>
      <c r="BY65" s="154" t="str">
        <f>'Acuario (Arribado - mortalidad)'!BE77</f>
        <v/>
      </c>
      <c r="BZ65" s="23" t="str">
        <f>'Acuario (Arribado - mortalidad)'!BF77</f>
        <v/>
      </c>
    </row>
    <row r="66" spans="1:78" x14ac:dyDescent="0.25">
      <c r="A66" s="154" t="str">
        <f>IF(U66&lt;&gt;0,'ORDEN DE CUARENTENA'!$AE$2,"")</f>
        <v/>
      </c>
      <c r="B66" s="190" t="str">
        <f>IF(U66&lt;&gt;0,'ORDEN DE CUARENTENA'!$AE$3,"")</f>
        <v/>
      </c>
      <c r="C66" s="174" t="str">
        <f t="shared" ref="C66:C78" si="2">IF(U66&lt;&gt;0,CONCATENATE(B66,"-",TEXT(H66,"yyyy")),"")</f>
        <v/>
      </c>
      <c r="D66" s="329" t="str">
        <f>IF(U66&lt;&gt;0,'ORDEN DE CUARENTENA'!$I$6,"")</f>
        <v/>
      </c>
      <c r="E66" s="174" t="str">
        <f>IF(U66&lt;&gt;0,TEXT('ORDEN DE CUARENTENA'!$I$6,"aaa"),"")</f>
        <v/>
      </c>
      <c r="F66" s="173" t="str">
        <f>IF(U66&lt;&gt;0,TEXT('ORDEN DE CUARENTENA'!$I$6,"dd"),"")</f>
        <v/>
      </c>
      <c r="G66" s="172" t="str">
        <f>IF(U66&lt;&gt;0,TEXT('ORDEN DE CUARENTENA'!$I$6,"mm"),"")</f>
        <v/>
      </c>
      <c r="H66" s="171" t="str">
        <f>IF(U66&lt;&gt;0,TEXT('ORDEN DE CUARENTENA'!$I$6,"yyyy"),"")</f>
        <v/>
      </c>
      <c r="I66" s="154" t="str">
        <f>IF(U66&lt;&gt;0,'ORDEN DE CUARENTENA'!$H$7,"")</f>
        <v/>
      </c>
      <c r="J66" s="154" t="str">
        <f>IF(U66&lt;&gt;0,'ORDEN DE CUARENTENA'!$H$9,"")</f>
        <v/>
      </c>
      <c r="K66" s="154" t="str">
        <f>IF(U66&lt;&gt;0,'ORDEN DE CUARENTENA'!$Q$9,"")</f>
        <v/>
      </c>
      <c r="L66" s="154" t="str">
        <f>IFERROR(VLOOKUP(U66,Item[],4,FALSE),IFERROR(VLOOKUP(U66,Item2[],4,FALSE),""))</f>
        <v/>
      </c>
      <c r="M66" s="154" t="str">
        <f>IFERROR(VLOOKUP(U66,Item[],5,FALSE),IFERROR(VLOOKUP(U66,Item2[],5,FALSE),""))</f>
        <v/>
      </c>
      <c r="N66" s="154" t="str">
        <f>IFERROR(VLOOKUP(W66,SuscepEARs[],2,FALSE),"")</f>
        <v/>
      </c>
      <c r="O66" s="154" t="str">
        <f>IFERROR(VLOOKUP(DatosAll[[#This Row],[ESPECIE]],CITES[],2,FALSE),"")</f>
        <v/>
      </c>
      <c r="P66" s="154">
        <f>IFERROR(VLOOKUP(T66,Hallazgo[],2,FALSE),"")</f>
        <v>0</v>
      </c>
      <c r="Q66" s="154">
        <f>IFERROR(VLOOKUP(T66,Hallazgo[],3,FALSE),"")</f>
        <v>0</v>
      </c>
      <c r="R66" s="154">
        <f>IFERROR(VLOOKUP(T66,Hallazgo[],4,FALSE),"")</f>
        <v>0</v>
      </c>
      <c r="S66" s="154">
        <f>IFERROR(VLOOKUP(T66,Hallazgo[],5,FALSE),"")</f>
        <v>0</v>
      </c>
      <c r="T66" s="154">
        <f>'Acuario (Arribado - mortalidad)'!C78</f>
        <v>0</v>
      </c>
      <c r="U66" s="154">
        <f>'Acuario (Arribado - mortalidad)'!B78</f>
        <v>0</v>
      </c>
      <c r="V66" s="154" t="str">
        <f>'Acuario (Arribado - mortalidad)'!D78</f>
        <v/>
      </c>
      <c r="W66" s="154" t="str">
        <f>'Acuario (Arribado - mortalidad)'!E78</f>
        <v/>
      </c>
      <c r="X66" s="154">
        <f>'Acuario (Arribado - mortalidad)'!F78</f>
        <v>0</v>
      </c>
      <c r="Y66" s="154">
        <f>'Acuario (Arribado - mortalidad)'!H78</f>
        <v>0</v>
      </c>
      <c r="Z66" s="154">
        <f>'Acuario (Arribado - mortalidad)'!I78</f>
        <v>0</v>
      </c>
      <c r="AA66" s="154">
        <f>'Acuario (Arribado - mortalidad)'!J78</f>
        <v>0</v>
      </c>
      <c r="AB66" s="154" t="str">
        <f>'Acuario (Arribado - mortalidad)'!K78</f>
        <v/>
      </c>
      <c r="AC66" s="334" t="str">
        <f>IFERROR(('Acuario (Arribado - mortalidad)'!K78/DatosAll[[#This Row],[N_INDIVIDUOS]])*100,"")</f>
        <v/>
      </c>
      <c r="AD66" s="334" t="str">
        <f>IFERROR(('Acuario (Arribado - mortalidad)'!O78/DatosAll[[#This Row],[N_INDIVIDUOS]])*100,"")</f>
        <v/>
      </c>
      <c r="AE66" s="334" t="str">
        <f>IFERROR(('Acuario (Arribado - mortalidad)'!BG78/DatosAll[[#This Row],[N_INDIVIDUOS]])*100,"")</f>
        <v/>
      </c>
      <c r="AF66" s="334" t="str">
        <f>IFERROR(('Acuario (Arribado - mortalidad)'!BH78/DatosAll[[#This Row],[N_INDIVIDUOS]])*100,"")</f>
        <v/>
      </c>
      <c r="AG66" s="154">
        <f>'Acuario (Arribado - mortalidad)'!M78</f>
        <v>0</v>
      </c>
      <c r="AH66" s="154" t="str">
        <f>'Acuario (Arribado - mortalidad)'!G78</f>
        <v/>
      </c>
      <c r="AI66" s="154">
        <f>'Acuario (Arribado - mortalidad)'!O78</f>
        <v>0</v>
      </c>
      <c r="AJ66" s="154">
        <f>'Acuario (Arribado - mortalidad)'!P78</f>
        <v>0</v>
      </c>
      <c r="AK66" s="154">
        <f>'Acuario (Arribado - mortalidad)'!Q78</f>
        <v>0</v>
      </c>
      <c r="AL66" s="154">
        <f>'Acuario (Arribado - mortalidad)'!R78</f>
        <v>0</v>
      </c>
      <c r="AM66" s="154">
        <f>'Acuario (Arribado - mortalidad)'!S78</f>
        <v>0</v>
      </c>
      <c r="AN66" s="154">
        <f>'Acuario (Arribado - mortalidad)'!T78</f>
        <v>0</v>
      </c>
      <c r="AO66" s="154">
        <f>'Acuario (Arribado - mortalidad)'!U78</f>
        <v>0</v>
      </c>
      <c r="AP66" s="154">
        <f>'Acuario (Arribado - mortalidad)'!V78</f>
        <v>0</v>
      </c>
      <c r="AQ66" s="154">
        <f>'Acuario (Arribado - mortalidad)'!W78</f>
        <v>0</v>
      </c>
      <c r="AR66" s="154">
        <f>'Acuario (Arribado - mortalidad)'!X78</f>
        <v>0</v>
      </c>
      <c r="AS66" s="154">
        <f>'Acuario (Arribado - mortalidad)'!Y78</f>
        <v>0</v>
      </c>
      <c r="AT66" s="154">
        <f>'Acuario (Arribado - mortalidad)'!Z78</f>
        <v>0</v>
      </c>
      <c r="AU66" s="154">
        <f>'Acuario (Arribado - mortalidad)'!AA78</f>
        <v>0</v>
      </c>
      <c r="AV66" s="154">
        <f>'Acuario (Arribado - mortalidad)'!AB78</f>
        <v>0</v>
      </c>
      <c r="AW66" s="154">
        <f>'Acuario (Arribado - mortalidad)'!AC78</f>
        <v>0</v>
      </c>
      <c r="AX66" s="154">
        <f>'Acuario (Arribado - mortalidad)'!AD78</f>
        <v>0</v>
      </c>
      <c r="AY66" s="154">
        <f>'Acuario (Arribado - mortalidad)'!AE78</f>
        <v>0</v>
      </c>
      <c r="AZ66" s="154">
        <f>'Acuario (Arribado - mortalidad)'!AF78</f>
        <v>0</v>
      </c>
      <c r="BA66" s="154">
        <f>'Acuario (Arribado - mortalidad)'!AG78</f>
        <v>0</v>
      </c>
      <c r="BB66" s="154">
        <f>'Acuario (Arribado - mortalidad)'!AH78</f>
        <v>0</v>
      </c>
      <c r="BC66" s="154">
        <f>'Acuario (Arribado - mortalidad)'!AI78</f>
        <v>0</v>
      </c>
      <c r="BD66" s="154">
        <f>'Acuario (Arribado - mortalidad)'!AJ78</f>
        <v>0</v>
      </c>
      <c r="BE66" s="154">
        <f>'Acuario (Arribado - mortalidad)'!AK78</f>
        <v>0</v>
      </c>
      <c r="BF66" s="154">
        <f>'Acuario (Arribado - mortalidad)'!AL78</f>
        <v>0</v>
      </c>
      <c r="BG66" s="154">
        <f>'Acuario (Arribado - mortalidad)'!AM78</f>
        <v>0</v>
      </c>
      <c r="BH66" s="154">
        <f>'Acuario (Arribado - mortalidad)'!AN78</f>
        <v>0</v>
      </c>
      <c r="BI66" s="154">
        <f>'Acuario (Arribado - mortalidad)'!AO78</f>
        <v>0</v>
      </c>
      <c r="BJ66" s="154">
        <f>'Acuario (Arribado - mortalidad)'!AP78</f>
        <v>0</v>
      </c>
      <c r="BK66" s="154">
        <f>'Acuario (Arribado - mortalidad)'!AQ78</f>
        <v>0</v>
      </c>
      <c r="BL66" s="154">
        <f>'Acuario (Arribado - mortalidad)'!AR78</f>
        <v>0</v>
      </c>
      <c r="BM66" s="154" t="str">
        <f>'Acuario (Arribado - mortalidad)'!AS78</f>
        <v/>
      </c>
      <c r="BN66" s="154">
        <f>'Acuario (Arribado - mortalidad)'!AT78</f>
        <v>0</v>
      </c>
      <c r="BO66" s="154">
        <f>'Acuario (Arribado - mortalidad)'!AU78</f>
        <v>0</v>
      </c>
      <c r="BP66" s="154">
        <f>'Acuario (Arribado - mortalidad)'!AV78</f>
        <v>0</v>
      </c>
      <c r="BQ66" s="154" t="str">
        <f>'Acuario (Arribado - mortalidad)'!AW78</f>
        <v/>
      </c>
      <c r="BR66" s="154">
        <f>'Acuario (Arribado - mortalidad)'!AX78</f>
        <v>0</v>
      </c>
      <c r="BS66" s="154">
        <f>'Acuario (Arribado - mortalidad)'!AY78</f>
        <v>0</v>
      </c>
      <c r="BT66" s="154" t="str">
        <f>'Acuario (Arribado - mortalidad)'!AZ78</f>
        <v/>
      </c>
      <c r="BU66" s="154" t="str">
        <f>'Acuario (Arribado - mortalidad)'!BA78</f>
        <v/>
      </c>
      <c r="BV66" s="154" t="str">
        <f>'Acuario (Arribado - mortalidad)'!BB78</f>
        <v/>
      </c>
      <c r="BW66" s="154" t="str">
        <f>'Acuario (Arribado - mortalidad)'!BC78</f>
        <v/>
      </c>
      <c r="BX66" s="154">
        <f>'Acuario (Arribado - mortalidad)'!BD78</f>
        <v>0</v>
      </c>
      <c r="BY66" s="154" t="str">
        <f>'Acuario (Arribado - mortalidad)'!BE78</f>
        <v/>
      </c>
      <c r="BZ66" s="23" t="str">
        <f>'Acuario (Arribado - mortalidad)'!BF78</f>
        <v/>
      </c>
    </row>
    <row r="67" spans="1:78" x14ac:dyDescent="0.25">
      <c r="A67" s="154" t="str">
        <f>IF(U67&lt;&gt;0,'ORDEN DE CUARENTENA'!$AE$2,"")</f>
        <v/>
      </c>
      <c r="B67" s="190" t="str">
        <f>IF(U67&lt;&gt;0,'ORDEN DE CUARENTENA'!$AE$3,"")</f>
        <v/>
      </c>
      <c r="C67" s="174" t="str">
        <f t="shared" si="2"/>
        <v/>
      </c>
      <c r="D67" s="329" t="str">
        <f>IF(U67&lt;&gt;0,'ORDEN DE CUARENTENA'!$I$6,"")</f>
        <v/>
      </c>
      <c r="E67" s="174" t="str">
        <f>IF(U67&lt;&gt;0,TEXT('ORDEN DE CUARENTENA'!$I$6,"aaa"),"")</f>
        <v/>
      </c>
      <c r="F67" s="173" t="str">
        <f>IF(U67&lt;&gt;0,TEXT('ORDEN DE CUARENTENA'!$I$6,"dd"),"")</f>
        <v/>
      </c>
      <c r="G67" s="172" t="str">
        <f>IF(U67&lt;&gt;0,TEXT('ORDEN DE CUARENTENA'!$I$6,"mm"),"")</f>
        <v/>
      </c>
      <c r="H67" s="171" t="str">
        <f>IF(U67&lt;&gt;0,TEXT('ORDEN DE CUARENTENA'!$I$6,"yyyy"),"")</f>
        <v/>
      </c>
      <c r="I67" s="154" t="str">
        <f>IF(U67&lt;&gt;0,'ORDEN DE CUARENTENA'!$H$7,"")</f>
        <v/>
      </c>
      <c r="J67" s="154" t="str">
        <f>IF(U67&lt;&gt;0,'ORDEN DE CUARENTENA'!$H$9,"")</f>
        <v/>
      </c>
      <c r="K67" s="154" t="str">
        <f>IF(U67&lt;&gt;0,'ORDEN DE CUARENTENA'!$Q$9,"")</f>
        <v/>
      </c>
      <c r="L67" s="154" t="str">
        <f>IFERROR(VLOOKUP(U67,Item[],4,FALSE),IFERROR(VLOOKUP(U67,Item2[],4,FALSE),""))</f>
        <v/>
      </c>
      <c r="M67" s="154" t="str">
        <f>IFERROR(VLOOKUP(U67,Item[],5,FALSE),IFERROR(VLOOKUP(U67,Item2[],5,FALSE),""))</f>
        <v/>
      </c>
      <c r="N67" s="154" t="str">
        <f>IFERROR(VLOOKUP(W67,SuscepEARs[],2,FALSE),"")</f>
        <v/>
      </c>
      <c r="O67" s="154" t="str">
        <f>IFERROR(VLOOKUP(DatosAll[[#This Row],[ESPECIE]],CITES[],2,FALSE),"")</f>
        <v/>
      </c>
      <c r="P67" s="154">
        <f>IFERROR(VLOOKUP(T67,Hallazgo[],2,FALSE),"")</f>
        <v>0</v>
      </c>
      <c r="Q67" s="154">
        <f>IFERROR(VLOOKUP(T67,Hallazgo[],3,FALSE),"")</f>
        <v>0</v>
      </c>
      <c r="R67" s="154">
        <f>IFERROR(VLOOKUP(T67,Hallazgo[],4,FALSE),"")</f>
        <v>0</v>
      </c>
      <c r="S67" s="154">
        <f>IFERROR(VLOOKUP(T67,Hallazgo[],5,FALSE),"")</f>
        <v>0</v>
      </c>
      <c r="T67" s="154">
        <f>'Acuario (Arribado - mortalidad)'!C79</f>
        <v>0</v>
      </c>
      <c r="U67" s="154">
        <f>'Acuario (Arribado - mortalidad)'!B79</f>
        <v>0</v>
      </c>
      <c r="V67" s="154" t="str">
        <f>'Acuario (Arribado - mortalidad)'!D79</f>
        <v/>
      </c>
      <c r="W67" s="154" t="str">
        <f>'Acuario (Arribado - mortalidad)'!E79</f>
        <v/>
      </c>
      <c r="X67" s="154">
        <f>'Acuario (Arribado - mortalidad)'!F79</f>
        <v>0</v>
      </c>
      <c r="Y67" s="154">
        <f>'Acuario (Arribado - mortalidad)'!H79</f>
        <v>0</v>
      </c>
      <c r="Z67" s="154">
        <f>'Acuario (Arribado - mortalidad)'!I79</f>
        <v>0</v>
      </c>
      <c r="AA67" s="154">
        <f>'Acuario (Arribado - mortalidad)'!J79</f>
        <v>0</v>
      </c>
      <c r="AB67" s="154" t="str">
        <f>'Acuario (Arribado - mortalidad)'!K79</f>
        <v/>
      </c>
      <c r="AC67" s="334" t="str">
        <f>IFERROR(('Acuario (Arribado - mortalidad)'!K79/DatosAll[[#This Row],[N_INDIVIDUOS]])*100,"")</f>
        <v/>
      </c>
      <c r="AD67" s="334" t="str">
        <f>IFERROR(('Acuario (Arribado - mortalidad)'!O79/DatosAll[[#This Row],[N_INDIVIDUOS]])*100,"")</f>
        <v/>
      </c>
      <c r="AE67" s="334" t="str">
        <f>IFERROR(('Acuario (Arribado - mortalidad)'!BG79/DatosAll[[#This Row],[N_INDIVIDUOS]])*100,"")</f>
        <v/>
      </c>
      <c r="AF67" s="334" t="str">
        <f>IFERROR(('Acuario (Arribado - mortalidad)'!BH79/DatosAll[[#This Row],[N_INDIVIDUOS]])*100,"")</f>
        <v/>
      </c>
      <c r="AG67" s="154">
        <f>'Acuario (Arribado - mortalidad)'!M79</f>
        <v>0</v>
      </c>
      <c r="AH67" s="154" t="str">
        <f>'Acuario (Arribado - mortalidad)'!G79</f>
        <v/>
      </c>
      <c r="AI67" s="154">
        <f>'Acuario (Arribado - mortalidad)'!O79</f>
        <v>0</v>
      </c>
      <c r="AJ67" s="154">
        <f>'Acuario (Arribado - mortalidad)'!P79</f>
        <v>0</v>
      </c>
      <c r="AK67" s="154">
        <f>'Acuario (Arribado - mortalidad)'!Q79</f>
        <v>0</v>
      </c>
      <c r="AL67" s="154">
        <f>'Acuario (Arribado - mortalidad)'!R79</f>
        <v>0</v>
      </c>
      <c r="AM67" s="154">
        <f>'Acuario (Arribado - mortalidad)'!S79</f>
        <v>0</v>
      </c>
      <c r="AN67" s="154">
        <f>'Acuario (Arribado - mortalidad)'!T79</f>
        <v>0</v>
      </c>
      <c r="AO67" s="154">
        <f>'Acuario (Arribado - mortalidad)'!U79</f>
        <v>0</v>
      </c>
      <c r="AP67" s="154">
        <f>'Acuario (Arribado - mortalidad)'!V79</f>
        <v>0</v>
      </c>
      <c r="AQ67" s="154">
        <f>'Acuario (Arribado - mortalidad)'!W79</f>
        <v>0</v>
      </c>
      <c r="AR67" s="154">
        <f>'Acuario (Arribado - mortalidad)'!X79</f>
        <v>0</v>
      </c>
      <c r="AS67" s="154">
        <f>'Acuario (Arribado - mortalidad)'!Y79</f>
        <v>0</v>
      </c>
      <c r="AT67" s="154">
        <f>'Acuario (Arribado - mortalidad)'!Z79</f>
        <v>0</v>
      </c>
      <c r="AU67" s="154">
        <f>'Acuario (Arribado - mortalidad)'!AA79</f>
        <v>0</v>
      </c>
      <c r="AV67" s="154">
        <f>'Acuario (Arribado - mortalidad)'!AB79</f>
        <v>0</v>
      </c>
      <c r="AW67" s="154">
        <f>'Acuario (Arribado - mortalidad)'!AC79</f>
        <v>0</v>
      </c>
      <c r="AX67" s="154">
        <f>'Acuario (Arribado - mortalidad)'!AD79</f>
        <v>0</v>
      </c>
      <c r="AY67" s="154">
        <f>'Acuario (Arribado - mortalidad)'!AE79</f>
        <v>0</v>
      </c>
      <c r="AZ67" s="154">
        <f>'Acuario (Arribado - mortalidad)'!AF79</f>
        <v>0</v>
      </c>
      <c r="BA67" s="154">
        <f>'Acuario (Arribado - mortalidad)'!AG79</f>
        <v>0</v>
      </c>
      <c r="BB67" s="154">
        <f>'Acuario (Arribado - mortalidad)'!AH79</f>
        <v>0</v>
      </c>
      <c r="BC67" s="154">
        <f>'Acuario (Arribado - mortalidad)'!AI79</f>
        <v>0</v>
      </c>
      <c r="BD67" s="154">
        <f>'Acuario (Arribado - mortalidad)'!AJ79</f>
        <v>0</v>
      </c>
      <c r="BE67" s="154">
        <f>'Acuario (Arribado - mortalidad)'!AK79</f>
        <v>0</v>
      </c>
      <c r="BF67" s="154">
        <f>'Acuario (Arribado - mortalidad)'!AL79</f>
        <v>0</v>
      </c>
      <c r="BG67" s="154">
        <f>'Acuario (Arribado - mortalidad)'!AM79</f>
        <v>0</v>
      </c>
      <c r="BH67" s="154">
        <f>'Acuario (Arribado - mortalidad)'!AN79</f>
        <v>0</v>
      </c>
      <c r="BI67" s="154">
        <f>'Acuario (Arribado - mortalidad)'!AO79</f>
        <v>0</v>
      </c>
      <c r="BJ67" s="154">
        <f>'Acuario (Arribado - mortalidad)'!AP79</f>
        <v>0</v>
      </c>
      <c r="BK67" s="154">
        <f>'Acuario (Arribado - mortalidad)'!AQ79</f>
        <v>0</v>
      </c>
      <c r="BL67" s="154">
        <f>'Acuario (Arribado - mortalidad)'!AR79</f>
        <v>0</v>
      </c>
      <c r="BM67" s="154" t="str">
        <f>'Acuario (Arribado - mortalidad)'!AS79</f>
        <v/>
      </c>
      <c r="BN67" s="154">
        <f>'Acuario (Arribado - mortalidad)'!AT79</f>
        <v>0</v>
      </c>
      <c r="BO67" s="154">
        <f>'Acuario (Arribado - mortalidad)'!AU79</f>
        <v>0</v>
      </c>
      <c r="BP67" s="154">
        <f>'Acuario (Arribado - mortalidad)'!AV79</f>
        <v>0</v>
      </c>
      <c r="BQ67" s="154" t="str">
        <f>'Acuario (Arribado - mortalidad)'!AW79</f>
        <v/>
      </c>
      <c r="BR67" s="154">
        <f>'Acuario (Arribado - mortalidad)'!AX79</f>
        <v>0</v>
      </c>
      <c r="BS67" s="154">
        <f>'Acuario (Arribado - mortalidad)'!AY79</f>
        <v>0</v>
      </c>
      <c r="BT67" s="154" t="str">
        <f>'Acuario (Arribado - mortalidad)'!AZ79</f>
        <v/>
      </c>
      <c r="BU67" s="154" t="str">
        <f>'Acuario (Arribado - mortalidad)'!BA79</f>
        <v/>
      </c>
      <c r="BV67" s="154" t="str">
        <f>'Acuario (Arribado - mortalidad)'!BB79</f>
        <v/>
      </c>
      <c r="BW67" s="154" t="str">
        <f>'Acuario (Arribado - mortalidad)'!BC79</f>
        <v/>
      </c>
      <c r="BX67" s="154">
        <f>'Acuario (Arribado - mortalidad)'!BD79</f>
        <v>0</v>
      </c>
      <c r="BY67" s="154" t="str">
        <f>'Acuario (Arribado - mortalidad)'!BE79</f>
        <v/>
      </c>
      <c r="BZ67" s="23" t="str">
        <f>'Acuario (Arribado - mortalidad)'!BF79</f>
        <v/>
      </c>
    </row>
    <row r="68" spans="1:78" x14ac:dyDescent="0.25">
      <c r="A68" s="154" t="str">
        <f>IF(U68&lt;&gt;0,'ORDEN DE CUARENTENA'!$AE$2,"")</f>
        <v/>
      </c>
      <c r="B68" s="190" t="str">
        <f>IF(U68&lt;&gt;0,'ORDEN DE CUARENTENA'!$AE$3,"")</f>
        <v/>
      </c>
      <c r="C68" s="174" t="str">
        <f t="shared" si="2"/>
        <v/>
      </c>
      <c r="D68" s="329" t="str">
        <f>IF(U68&lt;&gt;0,'ORDEN DE CUARENTENA'!$I$6,"")</f>
        <v/>
      </c>
      <c r="E68" s="174" t="str">
        <f>IF(U68&lt;&gt;0,TEXT('ORDEN DE CUARENTENA'!$I$6,"aaa"),"")</f>
        <v/>
      </c>
      <c r="F68" s="173" t="str">
        <f>IF(U68&lt;&gt;0,TEXT('ORDEN DE CUARENTENA'!$I$6,"dd"),"")</f>
        <v/>
      </c>
      <c r="G68" s="172" t="str">
        <f>IF(U68&lt;&gt;0,TEXT('ORDEN DE CUARENTENA'!$I$6,"mm"),"")</f>
        <v/>
      </c>
      <c r="H68" s="171" t="str">
        <f>IF(U68&lt;&gt;0,TEXT('ORDEN DE CUARENTENA'!$I$6,"yyyy"),"")</f>
        <v/>
      </c>
      <c r="I68" s="154" t="str">
        <f>IF(U68&lt;&gt;0,'ORDEN DE CUARENTENA'!$H$7,"")</f>
        <v/>
      </c>
      <c r="J68" s="154" t="str">
        <f>IF(U68&lt;&gt;0,'ORDEN DE CUARENTENA'!$H$9,"")</f>
        <v/>
      </c>
      <c r="K68" s="154" t="str">
        <f>IF(U68&lt;&gt;0,'ORDEN DE CUARENTENA'!$Q$9,"")</f>
        <v/>
      </c>
      <c r="L68" s="154" t="str">
        <f>IFERROR(VLOOKUP(U68,Item[],4,FALSE),IFERROR(VLOOKUP(U68,Item2[],4,FALSE),""))</f>
        <v/>
      </c>
      <c r="M68" s="154" t="str">
        <f>IFERROR(VLOOKUP(U68,Item[],5,FALSE),IFERROR(VLOOKUP(U68,Item2[],5,FALSE),""))</f>
        <v/>
      </c>
      <c r="N68" s="154" t="str">
        <f>IFERROR(VLOOKUP(W68,SuscepEARs[],2,FALSE),"")</f>
        <v/>
      </c>
      <c r="O68" s="154" t="str">
        <f>IFERROR(VLOOKUP(DatosAll[[#This Row],[ESPECIE]],CITES[],2,FALSE),"")</f>
        <v/>
      </c>
      <c r="P68" s="154">
        <f>IFERROR(VLOOKUP(T68,Hallazgo[],2,FALSE),"")</f>
        <v>0</v>
      </c>
      <c r="Q68" s="154">
        <f>IFERROR(VLOOKUP(T68,Hallazgo[],3,FALSE),"")</f>
        <v>0</v>
      </c>
      <c r="R68" s="154">
        <f>IFERROR(VLOOKUP(T68,Hallazgo[],4,FALSE),"")</f>
        <v>0</v>
      </c>
      <c r="S68" s="154">
        <f>IFERROR(VLOOKUP(T68,Hallazgo[],5,FALSE),"")</f>
        <v>0</v>
      </c>
      <c r="T68" s="154">
        <f>'Acuario (Arribado - mortalidad)'!C80</f>
        <v>0</v>
      </c>
      <c r="U68" s="154">
        <f>'Acuario (Arribado - mortalidad)'!B80</f>
        <v>0</v>
      </c>
      <c r="V68" s="154" t="str">
        <f>'Acuario (Arribado - mortalidad)'!D80</f>
        <v/>
      </c>
      <c r="W68" s="154" t="str">
        <f>'Acuario (Arribado - mortalidad)'!E80</f>
        <v/>
      </c>
      <c r="X68" s="154">
        <f>'Acuario (Arribado - mortalidad)'!F80</f>
        <v>0</v>
      </c>
      <c r="Y68" s="154">
        <f>'Acuario (Arribado - mortalidad)'!H80</f>
        <v>0</v>
      </c>
      <c r="Z68" s="154">
        <f>'Acuario (Arribado - mortalidad)'!I80</f>
        <v>0</v>
      </c>
      <c r="AA68" s="154">
        <f>'Acuario (Arribado - mortalidad)'!J80</f>
        <v>0</v>
      </c>
      <c r="AB68" s="154" t="str">
        <f>'Acuario (Arribado - mortalidad)'!K80</f>
        <v/>
      </c>
      <c r="AC68" s="334" t="str">
        <f>IFERROR(('Acuario (Arribado - mortalidad)'!K80/DatosAll[[#This Row],[N_INDIVIDUOS]])*100,"")</f>
        <v/>
      </c>
      <c r="AD68" s="334" t="str">
        <f>IFERROR(('Acuario (Arribado - mortalidad)'!O80/DatosAll[[#This Row],[N_INDIVIDUOS]])*100,"")</f>
        <v/>
      </c>
      <c r="AE68" s="334" t="str">
        <f>IFERROR(('Acuario (Arribado - mortalidad)'!BG80/DatosAll[[#This Row],[N_INDIVIDUOS]])*100,"")</f>
        <v/>
      </c>
      <c r="AF68" s="334" t="str">
        <f>IFERROR(('Acuario (Arribado - mortalidad)'!BH80/DatosAll[[#This Row],[N_INDIVIDUOS]])*100,"")</f>
        <v/>
      </c>
      <c r="AG68" s="154">
        <f>'Acuario (Arribado - mortalidad)'!M80</f>
        <v>0</v>
      </c>
      <c r="AH68" s="154" t="str">
        <f>'Acuario (Arribado - mortalidad)'!G80</f>
        <v/>
      </c>
      <c r="AI68" s="154">
        <f>'Acuario (Arribado - mortalidad)'!O80</f>
        <v>0</v>
      </c>
      <c r="AJ68" s="154">
        <f>'Acuario (Arribado - mortalidad)'!P80</f>
        <v>0</v>
      </c>
      <c r="AK68" s="154">
        <f>'Acuario (Arribado - mortalidad)'!Q80</f>
        <v>0</v>
      </c>
      <c r="AL68" s="154">
        <f>'Acuario (Arribado - mortalidad)'!R80</f>
        <v>0</v>
      </c>
      <c r="AM68" s="154">
        <f>'Acuario (Arribado - mortalidad)'!S80</f>
        <v>0</v>
      </c>
      <c r="AN68" s="154">
        <f>'Acuario (Arribado - mortalidad)'!T80</f>
        <v>0</v>
      </c>
      <c r="AO68" s="154">
        <f>'Acuario (Arribado - mortalidad)'!U80</f>
        <v>0</v>
      </c>
      <c r="AP68" s="154">
        <f>'Acuario (Arribado - mortalidad)'!V80</f>
        <v>0</v>
      </c>
      <c r="AQ68" s="154">
        <f>'Acuario (Arribado - mortalidad)'!W80</f>
        <v>0</v>
      </c>
      <c r="AR68" s="154">
        <f>'Acuario (Arribado - mortalidad)'!X80</f>
        <v>0</v>
      </c>
      <c r="AS68" s="154">
        <f>'Acuario (Arribado - mortalidad)'!Y80</f>
        <v>0</v>
      </c>
      <c r="AT68" s="154">
        <f>'Acuario (Arribado - mortalidad)'!Z80</f>
        <v>0</v>
      </c>
      <c r="AU68" s="154">
        <f>'Acuario (Arribado - mortalidad)'!AA80</f>
        <v>0</v>
      </c>
      <c r="AV68" s="154">
        <f>'Acuario (Arribado - mortalidad)'!AB80</f>
        <v>0</v>
      </c>
      <c r="AW68" s="154">
        <f>'Acuario (Arribado - mortalidad)'!AC80</f>
        <v>0</v>
      </c>
      <c r="AX68" s="154">
        <f>'Acuario (Arribado - mortalidad)'!AD80</f>
        <v>0</v>
      </c>
      <c r="AY68" s="154">
        <f>'Acuario (Arribado - mortalidad)'!AE80</f>
        <v>0</v>
      </c>
      <c r="AZ68" s="154">
        <f>'Acuario (Arribado - mortalidad)'!AF80</f>
        <v>0</v>
      </c>
      <c r="BA68" s="154">
        <f>'Acuario (Arribado - mortalidad)'!AG80</f>
        <v>0</v>
      </c>
      <c r="BB68" s="154">
        <f>'Acuario (Arribado - mortalidad)'!AH80</f>
        <v>0</v>
      </c>
      <c r="BC68" s="154">
        <f>'Acuario (Arribado - mortalidad)'!AI80</f>
        <v>0</v>
      </c>
      <c r="BD68" s="154">
        <f>'Acuario (Arribado - mortalidad)'!AJ80</f>
        <v>0</v>
      </c>
      <c r="BE68" s="154">
        <f>'Acuario (Arribado - mortalidad)'!AK80</f>
        <v>0</v>
      </c>
      <c r="BF68" s="154">
        <f>'Acuario (Arribado - mortalidad)'!AL80</f>
        <v>0</v>
      </c>
      <c r="BG68" s="154">
        <f>'Acuario (Arribado - mortalidad)'!AM80</f>
        <v>0</v>
      </c>
      <c r="BH68" s="154">
        <f>'Acuario (Arribado - mortalidad)'!AN80</f>
        <v>0</v>
      </c>
      <c r="BI68" s="154">
        <f>'Acuario (Arribado - mortalidad)'!AO80</f>
        <v>0</v>
      </c>
      <c r="BJ68" s="154">
        <f>'Acuario (Arribado - mortalidad)'!AP80</f>
        <v>0</v>
      </c>
      <c r="BK68" s="154">
        <f>'Acuario (Arribado - mortalidad)'!AQ80</f>
        <v>0</v>
      </c>
      <c r="BL68" s="154">
        <f>'Acuario (Arribado - mortalidad)'!AR80</f>
        <v>0</v>
      </c>
      <c r="BM68" s="154" t="str">
        <f>'Acuario (Arribado - mortalidad)'!AS80</f>
        <v/>
      </c>
      <c r="BN68" s="154">
        <f>'Acuario (Arribado - mortalidad)'!AT80</f>
        <v>0</v>
      </c>
      <c r="BO68" s="154">
        <f>'Acuario (Arribado - mortalidad)'!AU80</f>
        <v>0</v>
      </c>
      <c r="BP68" s="154">
        <f>'Acuario (Arribado - mortalidad)'!AV80</f>
        <v>0</v>
      </c>
      <c r="BQ68" s="154" t="str">
        <f>'Acuario (Arribado - mortalidad)'!AW80</f>
        <v/>
      </c>
      <c r="BR68" s="154">
        <f>'Acuario (Arribado - mortalidad)'!AX80</f>
        <v>0</v>
      </c>
      <c r="BS68" s="154">
        <f>'Acuario (Arribado - mortalidad)'!AY80</f>
        <v>0</v>
      </c>
      <c r="BT68" s="154" t="str">
        <f>'Acuario (Arribado - mortalidad)'!AZ80</f>
        <v/>
      </c>
      <c r="BU68" s="154" t="str">
        <f>'Acuario (Arribado - mortalidad)'!BA80</f>
        <v/>
      </c>
      <c r="BV68" s="154" t="str">
        <f>'Acuario (Arribado - mortalidad)'!BB80</f>
        <v/>
      </c>
      <c r="BW68" s="154" t="str">
        <f>'Acuario (Arribado - mortalidad)'!BC80</f>
        <v/>
      </c>
      <c r="BX68" s="154">
        <f>'Acuario (Arribado - mortalidad)'!BD80</f>
        <v>0</v>
      </c>
      <c r="BY68" s="154" t="str">
        <f>'Acuario (Arribado - mortalidad)'!BE80</f>
        <v/>
      </c>
      <c r="BZ68" s="23" t="str">
        <f>'Acuario (Arribado - mortalidad)'!BF80</f>
        <v/>
      </c>
    </row>
    <row r="69" spans="1:78" x14ac:dyDescent="0.25">
      <c r="A69" s="154" t="str">
        <f>IF(U69&lt;&gt;0,'ORDEN DE CUARENTENA'!$AE$2,"")</f>
        <v/>
      </c>
      <c r="B69" s="190" t="str">
        <f>IF(U69&lt;&gt;0,'ORDEN DE CUARENTENA'!$AE$3,"")</f>
        <v/>
      </c>
      <c r="C69" s="174" t="str">
        <f t="shared" si="2"/>
        <v/>
      </c>
      <c r="D69" s="329" t="str">
        <f>IF(U69&lt;&gt;0,'ORDEN DE CUARENTENA'!$I$6,"")</f>
        <v/>
      </c>
      <c r="E69" s="174" t="str">
        <f>IF(U69&lt;&gt;0,TEXT('ORDEN DE CUARENTENA'!$I$6,"aaa"),"")</f>
        <v/>
      </c>
      <c r="F69" s="173" t="str">
        <f>IF(U69&lt;&gt;0,TEXT('ORDEN DE CUARENTENA'!$I$6,"dd"),"")</f>
        <v/>
      </c>
      <c r="G69" s="172" t="str">
        <f>IF(U69&lt;&gt;0,TEXT('ORDEN DE CUARENTENA'!$I$6,"mm"),"")</f>
        <v/>
      </c>
      <c r="H69" s="171" t="str">
        <f>IF(U69&lt;&gt;0,TEXT('ORDEN DE CUARENTENA'!$I$6,"yyyy"),"")</f>
        <v/>
      </c>
      <c r="I69" s="154" t="str">
        <f>IF(U69&lt;&gt;0,'ORDEN DE CUARENTENA'!$H$7,"")</f>
        <v/>
      </c>
      <c r="J69" s="154" t="str">
        <f>IF(U69&lt;&gt;0,'ORDEN DE CUARENTENA'!$H$9,"")</f>
        <v/>
      </c>
      <c r="K69" s="154" t="str">
        <f>IF(U69&lt;&gt;0,'ORDEN DE CUARENTENA'!$Q$9,"")</f>
        <v/>
      </c>
      <c r="L69" s="154" t="str">
        <f>IFERROR(VLOOKUP(U69,Item[],4,FALSE),IFERROR(VLOOKUP(U69,Item2[],4,FALSE),""))</f>
        <v/>
      </c>
      <c r="M69" s="154" t="str">
        <f>IFERROR(VLOOKUP(U69,Item[],5,FALSE),IFERROR(VLOOKUP(U69,Item2[],5,FALSE),""))</f>
        <v/>
      </c>
      <c r="N69" s="154" t="str">
        <f>IFERROR(VLOOKUP(W69,SuscepEARs[],2,FALSE),"")</f>
        <v/>
      </c>
      <c r="O69" s="154" t="str">
        <f>IFERROR(VLOOKUP(DatosAll[[#This Row],[ESPECIE]],CITES[],2,FALSE),"")</f>
        <v/>
      </c>
      <c r="P69" s="154">
        <f>IFERROR(VLOOKUP(T69,Hallazgo[],2,FALSE),"")</f>
        <v>0</v>
      </c>
      <c r="Q69" s="154">
        <f>IFERROR(VLOOKUP(T69,Hallazgo[],3,FALSE),"")</f>
        <v>0</v>
      </c>
      <c r="R69" s="154">
        <f>IFERROR(VLOOKUP(T69,Hallazgo[],4,FALSE),"")</f>
        <v>0</v>
      </c>
      <c r="S69" s="154">
        <f>IFERROR(VLOOKUP(T69,Hallazgo[],5,FALSE),"")</f>
        <v>0</v>
      </c>
      <c r="T69" s="154">
        <f>'Acuario (Arribado - mortalidad)'!C81</f>
        <v>0</v>
      </c>
      <c r="U69" s="154">
        <f>'Acuario (Arribado - mortalidad)'!B81</f>
        <v>0</v>
      </c>
      <c r="V69" s="154" t="str">
        <f>'Acuario (Arribado - mortalidad)'!D81</f>
        <v/>
      </c>
      <c r="W69" s="154" t="str">
        <f>'Acuario (Arribado - mortalidad)'!E81</f>
        <v/>
      </c>
      <c r="X69" s="154">
        <f>'Acuario (Arribado - mortalidad)'!F81</f>
        <v>0</v>
      </c>
      <c r="Y69" s="154">
        <f>'Acuario (Arribado - mortalidad)'!H81</f>
        <v>0</v>
      </c>
      <c r="Z69" s="154">
        <f>'Acuario (Arribado - mortalidad)'!I81</f>
        <v>0</v>
      </c>
      <c r="AA69" s="154">
        <f>'Acuario (Arribado - mortalidad)'!J81</f>
        <v>0</v>
      </c>
      <c r="AB69" s="154" t="str">
        <f>'Acuario (Arribado - mortalidad)'!K81</f>
        <v/>
      </c>
      <c r="AC69" s="334" t="str">
        <f>IFERROR(('Acuario (Arribado - mortalidad)'!K81/DatosAll[[#This Row],[N_INDIVIDUOS]])*100,"")</f>
        <v/>
      </c>
      <c r="AD69" s="334" t="str">
        <f>IFERROR(('Acuario (Arribado - mortalidad)'!O81/DatosAll[[#This Row],[N_INDIVIDUOS]])*100,"")</f>
        <v/>
      </c>
      <c r="AE69" s="334" t="str">
        <f>IFERROR(('Acuario (Arribado - mortalidad)'!BG81/DatosAll[[#This Row],[N_INDIVIDUOS]])*100,"")</f>
        <v/>
      </c>
      <c r="AF69" s="334" t="str">
        <f>IFERROR(('Acuario (Arribado - mortalidad)'!BH81/DatosAll[[#This Row],[N_INDIVIDUOS]])*100,"")</f>
        <v/>
      </c>
      <c r="AG69" s="154">
        <f>'Acuario (Arribado - mortalidad)'!M81</f>
        <v>0</v>
      </c>
      <c r="AH69" s="154" t="str">
        <f>'Acuario (Arribado - mortalidad)'!G81</f>
        <v/>
      </c>
      <c r="AI69" s="154">
        <f>'Acuario (Arribado - mortalidad)'!O81</f>
        <v>0</v>
      </c>
      <c r="AJ69" s="154">
        <f>'Acuario (Arribado - mortalidad)'!P81</f>
        <v>0</v>
      </c>
      <c r="AK69" s="154">
        <f>'Acuario (Arribado - mortalidad)'!Q81</f>
        <v>0</v>
      </c>
      <c r="AL69" s="154">
        <f>'Acuario (Arribado - mortalidad)'!R81</f>
        <v>0</v>
      </c>
      <c r="AM69" s="154">
        <f>'Acuario (Arribado - mortalidad)'!S81</f>
        <v>0</v>
      </c>
      <c r="AN69" s="154">
        <f>'Acuario (Arribado - mortalidad)'!T81</f>
        <v>0</v>
      </c>
      <c r="AO69" s="154">
        <f>'Acuario (Arribado - mortalidad)'!U81</f>
        <v>0</v>
      </c>
      <c r="AP69" s="154">
        <f>'Acuario (Arribado - mortalidad)'!V81</f>
        <v>0</v>
      </c>
      <c r="AQ69" s="154">
        <f>'Acuario (Arribado - mortalidad)'!W81</f>
        <v>0</v>
      </c>
      <c r="AR69" s="154">
        <f>'Acuario (Arribado - mortalidad)'!X81</f>
        <v>0</v>
      </c>
      <c r="AS69" s="154">
        <f>'Acuario (Arribado - mortalidad)'!Y81</f>
        <v>0</v>
      </c>
      <c r="AT69" s="154">
        <f>'Acuario (Arribado - mortalidad)'!Z81</f>
        <v>0</v>
      </c>
      <c r="AU69" s="154">
        <f>'Acuario (Arribado - mortalidad)'!AA81</f>
        <v>0</v>
      </c>
      <c r="AV69" s="154">
        <f>'Acuario (Arribado - mortalidad)'!AB81</f>
        <v>0</v>
      </c>
      <c r="AW69" s="154">
        <f>'Acuario (Arribado - mortalidad)'!AC81</f>
        <v>0</v>
      </c>
      <c r="AX69" s="154">
        <f>'Acuario (Arribado - mortalidad)'!AD81</f>
        <v>0</v>
      </c>
      <c r="AY69" s="154">
        <f>'Acuario (Arribado - mortalidad)'!AE81</f>
        <v>0</v>
      </c>
      <c r="AZ69" s="154">
        <f>'Acuario (Arribado - mortalidad)'!AF81</f>
        <v>0</v>
      </c>
      <c r="BA69" s="154">
        <f>'Acuario (Arribado - mortalidad)'!AG81</f>
        <v>0</v>
      </c>
      <c r="BB69" s="154">
        <f>'Acuario (Arribado - mortalidad)'!AH81</f>
        <v>0</v>
      </c>
      <c r="BC69" s="154">
        <f>'Acuario (Arribado - mortalidad)'!AI81</f>
        <v>0</v>
      </c>
      <c r="BD69" s="154">
        <f>'Acuario (Arribado - mortalidad)'!AJ81</f>
        <v>0</v>
      </c>
      <c r="BE69" s="154">
        <f>'Acuario (Arribado - mortalidad)'!AK81</f>
        <v>0</v>
      </c>
      <c r="BF69" s="154">
        <f>'Acuario (Arribado - mortalidad)'!AL81</f>
        <v>0</v>
      </c>
      <c r="BG69" s="154">
        <f>'Acuario (Arribado - mortalidad)'!AM81</f>
        <v>0</v>
      </c>
      <c r="BH69" s="154">
        <f>'Acuario (Arribado - mortalidad)'!AN81</f>
        <v>0</v>
      </c>
      <c r="BI69" s="154">
        <f>'Acuario (Arribado - mortalidad)'!AO81</f>
        <v>0</v>
      </c>
      <c r="BJ69" s="154">
        <f>'Acuario (Arribado - mortalidad)'!AP81</f>
        <v>0</v>
      </c>
      <c r="BK69" s="154">
        <f>'Acuario (Arribado - mortalidad)'!AQ81</f>
        <v>0</v>
      </c>
      <c r="BL69" s="154">
        <f>'Acuario (Arribado - mortalidad)'!AR81</f>
        <v>0</v>
      </c>
      <c r="BM69" s="154" t="str">
        <f>'Acuario (Arribado - mortalidad)'!AS81</f>
        <v/>
      </c>
      <c r="BN69" s="154">
        <f>'Acuario (Arribado - mortalidad)'!AT81</f>
        <v>0</v>
      </c>
      <c r="BO69" s="154">
        <f>'Acuario (Arribado - mortalidad)'!AU81</f>
        <v>0</v>
      </c>
      <c r="BP69" s="154">
        <f>'Acuario (Arribado - mortalidad)'!AV81</f>
        <v>0</v>
      </c>
      <c r="BQ69" s="154" t="str">
        <f>'Acuario (Arribado - mortalidad)'!AW81</f>
        <v/>
      </c>
      <c r="BR69" s="154">
        <f>'Acuario (Arribado - mortalidad)'!AX81</f>
        <v>0</v>
      </c>
      <c r="BS69" s="154">
        <f>'Acuario (Arribado - mortalidad)'!AY81</f>
        <v>0</v>
      </c>
      <c r="BT69" s="154" t="str">
        <f>'Acuario (Arribado - mortalidad)'!AZ81</f>
        <v/>
      </c>
      <c r="BU69" s="154" t="str">
        <f>'Acuario (Arribado - mortalidad)'!BA81</f>
        <v/>
      </c>
      <c r="BV69" s="154" t="str">
        <f>'Acuario (Arribado - mortalidad)'!BB81</f>
        <v/>
      </c>
      <c r="BW69" s="154" t="str">
        <f>'Acuario (Arribado - mortalidad)'!BC81</f>
        <v/>
      </c>
      <c r="BX69" s="154">
        <f>'Acuario (Arribado - mortalidad)'!BD81</f>
        <v>0</v>
      </c>
      <c r="BY69" s="154" t="str">
        <f>'Acuario (Arribado - mortalidad)'!BE81</f>
        <v/>
      </c>
      <c r="BZ69" s="23" t="str">
        <f>'Acuario (Arribado - mortalidad)'!BF81</f>
        <v/>
      </c>
    </row>
    <row r="70" spans="1:78" x14ac:dyDescent="0.25">
      <c r="A70" s="154" t="str">
        <f>IF(U70&lt;&gt;0,'ORDEN DE CUARENTENA'!$AE$2,"")</f>
        <v/>
      </c>
      <c r="B70" s="190" t="str">
        <f>IF(U70&lt;&gt;0,'ORDEN DE CUARENTENA'!$AE$3,"")</f>
        <v/>
      </c>
      <c r="C70" s="174" t="str">
        <f t="shared" si="2"/>
        <v/>
      </c>
      <c r="D70" s="329" t="str">
        <f>IF(U70&lt;&gt;0,'ORDEN DE CUARENTENA'!$I$6,"")</f>
        <v/>
      </c>
      <c r="E70" s="174" t="str">
        <f>IF(U70&lt;&gt;0,TEXT('ORDEN DE CUARENTENA'!$I$6,"aaa"),"")</f>
        <v/>
      </c>
      <c r="F70" s="173" t="str">
        <f>IF(U70&lt;&gt;0,TEXT('ORDEN DE CUARENTENA'!$I$6,"dd"),"")</f>
        <v/>
      </c>
      <c r="G70" s="172" t="str">
        <f>IF(U70&lt;&gt;0,TEXT('ORDEN DE CUARENTENA'!$I$6,"mm"),"")</f>
        <v/>
      </c>
      <c r="H70" s="171" t="str">
        <f>IF(U70&lt;&gt;0,TEXT('ORDEN DE CUARENTENA'!$I$6,"yyyy"),"")</f>
        <v/>
      </c>
      <c r="I70" s="154" t="str">
        <f>IF(U70&lt;&gt;0,'ORDEN DE CUARENTENA'!$H$7,"")</f>
        <v/>
      </c>
      <c r="J70" s="154" t="str">
        <f>IF(U70&lt;&gt;0,'ORDEN DE CUARENTENA'!$H$9,"")</f>
        <v/>
      </c>
      <c r="K70" s="154" t="str">
        <f>IF(U70&lt;&gt;0,'ORDEN DE CUARENTENA'!$Q$9,"")</f>
        <v/>
      </c>
      <c r="L70" s="154" t="str">
        <f>IFERROR(VLOOKUP(U70,Item[],4,FALSE),IFERROR(VLOOKUP(U70,Item2[],4,FALSE),""))</f>
        <v/>
      </c>
      <c r="M70" s="154" t="str">
        <f>IFERROR(VLOOKUP(U70,Item[],5,FALSE),IFERROR(VLOOKUP(U70,Item2[],5,FALSE),""))</f>
        <v/>
      </c>
      <c r="N70" s="154" t="str">
        <f>IFERROR(VLOOKUP(W70,SuscepEARs[],2,FALSE),"")</f>
        <v/>
      </c>
      <c r="O70" s="154" t="str">
        <f>IFERROR(VLOOKUP(DatosAll[[#This Row],[ESPECIE]],CITES[],2,FALSE),"")</f>
        <v/>
      </c>
      <c r="P70" s="154">
        <f>IFERROR(VLOOKUP(T70,Hallazgo[],2,FALSE),"")</f>
        <v>0</v>
      </c>
      <c r="Q70" s="154">
        <f>IFERROR(VLOOKUP(T70,Hallazgo[],3,FALSE),"")</f>
        <v>0</v>
      </c>
      <c r="R70" s="154">
        <f>IFERROR(VLOOKUP(T70,Hallazgo[],4,FALSE),"")</f>
        <v>0</v>
      </c>
      <c r="S70" s="154">
        <f>IFERROR(VLOOKUP(T70,Hallazgo[],5,FALSE),"")</f>
        <v>0</v>
      </c>
      <c r="T70" s="154">
        <f>'Acuario (Arribado - mortalidad)'!C82</f>
        <v>0</v>
      </c>
      <c r="U70" s="154">
        <f>'Acuario (Arribado - mortalidad)'!B82</f>
        <v>0</v>
      </c>
      <c r="V70" s="154" t="str">
        <f>'Acuario (Arribado - mortalidad)'!D82</f>
        <v/>
      </c>
      <c r="W70" s="154" t="str">
        <f>'Acuario (Arribado - mortalidad)'!E82</f>
        <v/>
      </c>
      <c r="X70" s="154">
        <f>'Acuario (Arribado - mortalidad)'!F82</f>
        <v>0</v>
      </c>
      <c r="Y70" s="154">
        <f>'Acuario (Arribado - mortalidad)'!H82</f>
        <v>0</v>
      </c>
      <c r="Z70" s="154">
        <f>'Acuario (Arribado - mortalidad)'!I82</f>
        <v>0</v>
      </c>
      <c r="AA70" s="154">
        <f>'Acuario (Arribado - mortalidad)'!J82</f>
        <v>0</v>
      </c>
      <c r="AB70" s="154" t="str">
        <f>'Acuario (Arribado - mortalidad)'!K82</f>
        <v/>
      </c>
      <c r="AC70" s="334" t="str">
        <f>IFERROR(('Acuario (Arribado - mortalidad)'!K82/DatosAll[[#This Row],[N_INDIVIDUOS]])*100,"")</f>
        <v/>
      </c>
      <c r="AD70" s="334" t="str">
        <f>IFERROR(('Acuario (Arribado - mortalidad)'!O82/DatosAll[[#This Row],[N_INDIVIDUOS]])*100,"")</f>
        <v/>
      </c>
      <c r="AE70" s="334" t="str">
        <f>IFERROR(('Acuario (Arribado - mortalidad)'!BG82/DatosAll[[#This Row],[N_INDIVIDUOS]])*100,"")</f>
        <v/>
      </c>
      <c r="AF70" s="334" t="str">
        <f>IFERROR(('Acuario (Arribado - mortalidad)'!BH82/DatosAll[[#This Row],[N_INDIVIDUOS]])*100,"")</f>
        <v/>
      </c>
      <c r="AG70" s="154">
        <f>'Acuario (Arribado - mortalidad)'!M82</f>
        <v>0</v>
      </c>
      <c r="AH70" s="154" t="str">
        <f>'Acuario (Arribado - mortalidad)'!G82</f>
        <v/>
      </c>
      <c r="AI70" s="154">
        <f>'Acuario (Arribado - mortalidad)'!O82</f>
        <v>0</v>
      </c>
      <c r="AJ70" s="154">
        <f>'Acuario (Arribado - mortalidad)'!P82</f>
        <v>0</v>
      </c>
      <c r="AK70" s="154">
        <f>'Acuario (Arribado - mortalidad)'!Q82</f>
        <v>0</v>
      </c>
      <c r="AL70" s="154">
        <f>'Acuario (Arribado - mortalidad)'!R82</f>
        <v>0</v>
      </c>
      <c r="AM70" s="154">
        <f>'Acuario (Arribado - mortalidad)'!S82</f>
        <v>0</v>
      </c>
      <c r="AN70" s="154">
        <f>'Acuario (Arribado - mortalidad)'!T82</f>
        <v>0</v>
      </c>
      <c r="AO70" s="154">
        <f>'Acuario (Arribado - mortalidad)'!U82</f>
        <v>0</v>
      </c>
      <c r="AP70" s="154">
        <f>'Acuario (Arribado - mortalidad)'!V82</f>
        <v>0</v>
      </c>
      <c r="AQ70" s="154">
        <f>'Acuario (Arribado - mortalidad)'!W82</f>
        <v>0</v>
      </c>
      <c r="AR70" s="154">
        <f>'Acuario (Arribado - mortalidad)'!X82</f>
        <v>0</v>
      </c>
      <c r="AS70" s="154">
        <f>'Acuario (Arribado - mortalidad)'!Y82</f>
        <v>0</v>
      </c>
      <c r="AT70" s="154">
        <f>'Acuario (Arribado - mortalidad)'!Z82</f>
        <v>0</v>
      </c>
      <c r="AU70" s="154">
        <f>'Acuario (Arribado - mortalidad)'!AA82</f>
        <v>0</v>
      </c>
      <c r="AV70" s="154">
        <f>'Acuario (Arribado - mortalidad)'!AB82</f>
        <v>0</v>
      </c>
      <c r="AW70" s="154">
        <f>'Acuario (Arribado - mortalidad)'!AC82</f>
        <v>0</v>
      </c>
      <c r="AX70" s="154">
        <f>'Acuario (Arribado - mortalidad)'!AD82</f>
        <v>0</v>
      </c>
      <c r="AY70" s="154">
        <f>'Acuario (Arribado - mortalidad)'!AE82</f>
        <v>0</v>
      </c>
      <c r="AZ70" s="154">
        <f>'Acuario (Arribado - mortalidad)'!AF82</f>
        <v>0</v>
      </c>
      <c r="BA70" s="154">
        <f>'Acuario (Arribado - mortalidad)'!AG82</f>
        <v>0</v>
      </c>
      <c r="BB70" s="154">
        <f>'Acuario (Arribado - mortalidad)'!AH82</f>
        <v>0</v>
      </c>
      <c r="BC70" s="154">
        <f>'Acuario (Arribado - mortalidad)'!AI82</f>
        <v>0</v>
      </c>
      <c r="BD70" s="154">
        <f>'Acuario (Arribado - mortalidad)'!AJ82</f>
        <v>0</v>
      </c>
      <c r="BE70" s="154">
        <f>'Acuario (Arribado - mortalidad)'!AK82</f>
        <v>0</v>
      </c>
      <c r="BF70" s="154">
        <f>'Acuario (Arribado - mortalidad)'!AL82</f>
        <v>0</v>
      </c>
      <c r="BG70" s="154">
        <f>'Acuario (Arribado - mortalidad)'!AM82</f>
        <v>0</v>
      </c>
      <c r="BH70" s="154">
        <f>'Acuario (Arribado - mortalidad)'!AN82</f>
        <v>0</v>
      </c>
      <c r="BI70" s="154">
        <f>'Acuario (Arribado - mortalidad)'!AO82</f>
        <v>0</v>
      </c>
      <c r="BJ70" s="154">
        <f>'Acuario (Arribado - mortalidad)'!AP82</f>
        <v>0</v>
      </c>
      <c r="BK70" s="154">
        <f>'Acuario (Arribado - mortalidad)'!AQ82</f>
        <v>0</v>
      </c>
      <c r="BL70" s="154">
        <f>'Acuario (Arribado - mortalidad)'!AR82</f>
        <v>0</v>
      </c>
      <c r="BM70" s="154" t="str">
        <f>'Acuario (Arribado - mortalidad)'!AS82</f>
        <v/>
      </c>
      <c r="BN70" s="154">
        <f>'Acuario (Arribado - mortalidad)'!AT82</f>
        <v>0</v>
      </c>
      <c r="BO70" s="154">
        <f>'Acuario (Arribado - mortalidad)'!AU82</f>
        <v>0</v>
      </c>
      <c r="BP70" s="154">
        <f>'Acuario (Arribado - mortalidad)'!AV82</f>
        <v>0</v>
      </c>
      <c r="BQ70" s="154" t="str">
        <f>'Acuario (Arribado - mortalidad)'!AW82</f>
        <v/>
      </c>
      <c r="BR70" s="154">
        <f>'Acuario (Arribado - mortalidad)'!AX82</f>
        <v>0</v>
      </c>
      <c r="BS70" s="154">
        <f>'Acuario (Arribado - mortalidad)'!AY82</f>
        <v>0</v>
      </c>
      <c r="BT70" s="154" t="str">
        <f>'Acuario (Arribado - mortalidad)'!AZ82</f>
        <v/>
      </c>
      <c r="BU70" s="154" t="str">
        <f>'Acuario (Arribado - mortalidad)'!BA82</f>
        <v/>
      </c>
      <c r="BV70" s="154" t="str">
        <f>'Acuario (Arribado - mortalidad)'!BB82</f>
        <v/>
      </c>
      <c r="BW70" s="154" t="str">
        <f>'Acuario (Arribado - mortalidad)'!BC82</f>
        <v/>
      </c>
      <c r="BX70" s="154">
        <f>'Acuario (Arribado - mortalidad)'!BD82</f>
        <v>0</v>
      </c>
      <c r="BY70" s="154" t="str">
        <f>'Acuario (Arribado - mortalidad)'!BE82</f>
        <v/>
      </c>
      <c r="BZ70" s="23" t="str">
        <f>'Acuario (Arribado - mortalidad)'!BF82</f>
        <v/>
      </c>
    </row>
    <row r="71" spans="1:78" x14ac:dyDescent="0.25">
      <c r="A71" s="154" t="str">
        <f>IF(U71&lt;&gt;0,'ORDEN DE CUARENTENA'!$AE$2,"")</f>
        <v/>
      </c>
      <c r="B71" s="190" t="str">
        <f>IF(U71&lt;&gt;0,'ORDEN DE CUARENTENA'!$AE$3,"")</f>
        <v/>
      </c>
      <c r="C71" s="174" t="str">
        <f t="shared" si="2"/>
        <v/>
      </c>
      <c r="D71" s="329" t="str">
        <f>IF(U71&lt;&gt;0,'ORDEN DE CUARENTENA'!$I$6,"")</f>
        <v/>
      </c>
      <c r="E71" s="174" t="str">
        <f>IF(U71&lt;&gt;0,TEXT('ORDEN DE CUARENTENA'!$I$6,"aaa"),"")</f>
        <v/>
      </c>
      <c r="F71" s="173" t="str">
        <f>IF(U71&lt;&gt;0,TEXT('ORDEN DE CUARENTENA'!$I$6,"dd"),"")</f>
        <v/>
      </c>
      <c r="G71" s="172" t="str">
        <f>IF(U71&lt;&gt;0,TEXT('ORDEN DE CUARENTENA'!$I$6,"mm"),"")</f>
        <v/>
      </c>
      <c r="H71" s="171" t="str">
        <f>IF(U71&lt;&gt;0,TEXT('ORDEN DE CUARENTENA'!$I$6,"yyyy"),"")</f>
        <v/>
      </c>
      <c r="I71" s="154" t="str">
        <f>IF(U71&lt;&gt;0,'ORDEN DE CUARENTENA'!$H$7,"")</f>
        <v/>
      </c>
      <c r="J71" s="154" t="str">
        <f>IF(U71&lt;&gt;0,'ORDEN DE CUARENTENA'!$H$9,"")</f>
        <v/>
      </c>
      <c r="K71" s="154" t="str">
        <f>IF(U71&lt;&gt;0,'ORDEN DE CUARENTENA'!$Q$9,"")</f>
        <v/>
      </c>
      <c r="L71" s="154" t="str">
        <f>IFERROR(VLOOKUP(U71,Item[],4,FALSE),IFERROR(VLOOKUP(U71,Item2[],4,FALSE),""))</f>
        <v/>
      </c>
      <c r="M71" s="154" t="str">
        <f>IFERROR(VLOOKUP(U71,Item[],5,FALSE),IFERROR(VLOOKUP(U71,Item2[],5,FALSE),""))</f>
        <v/>
      </c>
      <c r="N71" s="154" t="str">
        <f>IFERROR(VLOOKUP(W71,SuscepEARs[],2,FALSE),"")</f>
        <v/>
      </c>
      <c r="O71" s="154" t="str">
        <f>IFERROR(VLOOKUP(DatosAll[[#This Row],[ESPECIE]],CITES[],2,FALSE),"")</f>
        <v/>
      </c>
      <c r="P71" s="154">
        <f>IFERROR(VLOOKUP(T71,Hallazgo[],2,FALSE),"")</f>
        <v>0</v>
      </c>
      <c r="Q71" s="154">
        <f>IFERROR(VLOOKUP(T71,Hallazgo[],3,FALSE),"")</f>
        <v>0</v>
      </c>
      <c r="R71" s="154">
        <f>IFERROR(VLOOKUP(T71,Hallazgo[],4,FALSE),"")</f>
        <v>0</v>
      </c>
      <c r="S71" s="154">
        <f>IFERROR(VLOOKUP(T71,Hallazgo[],5,FALSE),"")</f>
        <v>0</v>
      </c>
      <c r="T71" s="154">
        <f>'Acuario (Arribado - mortalidad)'!C83</f>
        <v>0</v>
      </c>
      <c r="U71" s="154">
        <f>'Acuario (Arribado - mortalidad)'!B83</f>
        <v>0</v>
      </c>
      <c r="V71" s="154" t="str">
        <f>'Acuario (Arribado - mortalidad)'!D83</f>
        <v/>
      </c>
      <c r="W71" s="154" t="str">
        <f>'Acuario (Arribado - mortalidad)'!E83</f>
        <v/>
      </c>
      <c r="X71" s="154">
        <f>'Acuario (Arribado - mortalidad)'!F83</f>
        <v>0</v>
      </c>
      <c r="Y71" s="154">
        <f>'Acuario (Arribado - mortalidad)'!H83</f>
        <v>0</v>
      </c>
      <c r="Z71" s="154">
        <f>'Acuario (Arribado - mortalidad)'!I83</f>
        <v>0</v>
      </c>
      <c r="AA71" s="154">
        <f>'Acuario (Arribado - mortalidad)'!J83</f>
        <v>0</v>
      </c>
      <c r="AB71" s="154" t="str">
        <f>'Acuario (Arribado - mortalidad)'!K83</f>
        <v/>
      </c>
      <c r="AC71" s="334" t="str">
        <f>IFERROR(('Acuario (Arribado - mortalidad)'!K83/DatosAll[[#This Row],[N_INDIVIDUOS]])*100,"")</f>
        <v/>
      </c>
      <c r="AD71" s="334" t="str">
        <f>IFERROR(('Acuario (Arribado - mortalidad)'!O83/DatosAll[[#This Row],[N_INDIVIDUOS]])*100,"")</f>
        <v/>
      </c>
      <c r="AE71" s="334" t="str">
        <f>IFERROR(('Acuario (Arribado - mortalidad)'!BG83/DatosAll[[#This Row],[N_INDIVIDUOS]])*100,"")</f>
        <v/>
      </c>
      <c r="AF71" s="334" t="str">
        <f>IFERROR(('Acuario (Arribado - mortalidad)'!BH83/DatosAll[[#This Row],[N_INDIVIDUOS]])*100,"")</f>
        <v/>
      </c>
      <c r="AG71" s="154">
        <f>'Acuario (Arribado - mortalidad)'!M83</f>
        <v>0</v>
      </c>
      <c r="AH71" s="154" t="str">
        <f>'Acuario (Arribado - mortalidad)'!G83</f>
        <v/>
      </c>
      <c r="AI71" s="154">
        <f>'Acuario (Arribado - mortalidad)'!O83</f>
        <v>0</v>
      </c>
      <c r="AJ71" s="154">
        <f>'Acuario (Arribado - mortalidad)'!P83</f>
        <v>0</v>
      </c>
      <c r="AK71" s="154">
        <f>'Acuario (Arribado - mortalidad)'!Q83</f>
        <v>0</v>
      </c>
      <c r="AL71" s="154">
        <f>'Acuario (Arribado - mortalidad)'!R83</f>
        <v>0</v>
      </c>
      <c r="AM71" s="154">
        <f>'Acuario (Arribado - mortalidad)'!S83</f>
        <v>0</v>
      </c>
      <c r="AN71" s="154">
        <f>'Acuario (Arribado - mortalidad)'!T83</f>
        <v>0</v>
      </c>
      <c r="AO71" s="154">
        <f>'Acuario (Arribado - mortalidad)'!U83</f>
        <v>0</v>
      </c>
      <c r="AP71" s="154">
        <f>'Acuario (Arribado - mortalidad)'!V83</f>
        <v>0</v>
      </c>
      <c r="AQ71" s="154">
        <f>'Acuario (Arribado - mortalidad)'!W83</f>
        <v>0</v>
      </c>
      <c r="AR71" s="154">
        <f>'Acuario (Arribado - mortalidad)'!X83</f>
        <v>0</v>
      </c>
      <c r="AS71" s="154">
        <f>'Acuario (Arribado - mortalidad)'!Y83</f>
        <v>0</v>
      </c>
      <c r="AT71" s="154">
        <f>'Acuario (Arribado - mortalidad)'!Z83</f>
        <v>0</v>
      </c>
      <c r="AU71" s="154">
        <f>'Acuario (Arribado - mortalidad)'!AA83</f>
        <v>0</v>
      </c>
      <c r="AV71" s="154">
        <f>'Acuario (Arribado - mortalidad)'!AB83</f>
        <v>0</v>
      </c>
      <c r="AW71" s="154">
        <f>'Acuario (Arribado - mortalidad)'!AC83</f>
        <v>0</v>
      </c>
      <c r="AX71" s="154">
        <f>'Acuario (Arribado - mortalidad)'!AD83</f>
        <v>0</v>
      </c>
      <c r="AY71" s="154">
        <f>'Acuario (Arribado - mortalidad)'!AE83</f>
        <v>0</v>
      </c>
      <c r="AZ71" s="154">
        <f>'Acuario (Arribado - mortalidad)'!AF83</f>
        <v>0</v>
      </c>
      <c r="BA71" s="154">
        <f>'Acuario (Arribado - mortalidad)'!AG83</f>
        <v>0</v>
      </c>
      <c r="BB71" s="154">
        <f>'Acuario (Arribado - mortalidad)'!AH83</f>
        <v>0</v>
      </c>
      <c r="BC71" s="154">
        <f>'Acuario (Arribado - mortalidad)'!AI83</f>
        <v>0</v>
      </c>
      <c r="BD71" s="154">
        <f>'Acuario (Arribado - mortalidad)'!AJ83</f>
        <v>0</v>
      </c>
      <c r="BE71" s="154">
        <f>'Acuario (Arribado - mortalidad)'!AK83</f>
        <v>0</v>
      </c>
      <c r="BF71" s="154">
        <f>'Acuario (Arribado - mortalidad)'!AL83</f>
        <v>0</v>
      </c>
      <c r="BG71" s="154">
        <f>'Acuario (Arribado - mortalidad)'!AM83</f>
        <v>0</v>
      </c>
      <c r="BH71" s="154">
        <f>'Acuario (Arribado - mortalidad)'!AN83</f>
        <v>0</v>
      </c>
      <c r="BI71" s="154">
        <f>'Acuario (Arribado - mortalidad)'!AO83</f>
        <v>0</v>
      </c>
      <c r="BJ71" s="154">
        <f>'Acuario (Arribado - mortalidad)'!AP83</f>
        <v>0</v>
      </c>
      <c r="BK71" s="154">
        <f>'Acuario (Arribado - mortalidad)'!AQ83</f>
        <v>0</v>
      </c>
      <c r="BL71" s="154">
        <f>'Acuario (Arribado - mortalidad)'!AR83</f>
        <v>0</v>
      </c>
      <c r="BM71" s="154" t="str">
        <f>'Acuario (Arribado - mortalidad)'!AS83</f>
        <v/>
      </c>
      <c r="BN71" s="154">
        <f>'Acuario (Arribado - mortalidad)'!AT83</f>
        <v>0</v>
      </c>
      <c r="BO71" s="154">
        <f>'Acuario (Arribado - mortalidad)'!AU83</f>
        <v>0</v>
      </c>
      <c r="BP71" s="154">
        <f>'Acuario (Arribado - mortalidad)'!AV83</f>
        <v>0</v>
      </c>
      <c r="BQ71" s="154" t="str">
        <f>'Acuario (Arribado - mortalidad)'!AW83</f>
        <v/>
      </c>
      <c r="BR71" s="154">
        <f>'Acuario (Arribado - mortalidad)'!AX83</f>
        <v>0</v>
      </c>
      <c r="BS71" s="154">
        <f>'Acuario (Arribado - mortalidad)'!AY83</f>
        <v>0</v>
      </c>
      <c r="BT71" s="154" t="str">
        <f>'Acuario (Arribado - mortalidad)'!AZ83</f>
        <v/>
      </c>
      <c r="BU71" s="154" t="str">
        <f>'Acuario (Arribado - mortalidad)'!BA83</f>
        <v/>
      </c>
      <c r="BV71" s="154" t="str">
        <f>'Acuario (Arribado - mortalidad)'!BB83</f>
        <v/>
      </c>
      <c r="BW71" s="154" t="str">
        <f>'Acuario (Arribado - mortalidad)'!BC83</f>
        <v/>
      </c>
      <c r="BX71" s="154">
        <f>'Acuario (Arribado - mortalidad)'!BD83</f>
        <v>0</v>
      </c>
      <c r="BY71" s="154" t="str">
        <f>'Acuario (Arribado - mortalidad)'!BE83</f>
        <v/>
      </c>
      <c r="BZ71" s="23" t="str">
        <f>'Acuario (Arribado - mortalidad)'!BF83</f>
        <v/>
      </c>
    </row>
    <row r="72" spans="1:78" x14ac:dyDescent="0.25">
      <c r="A72" s="154" t="str">
        <f>IF(U72&lt;&gt;0,'ORDEN DE CUARENTENA'!$AE$2,"")</f>
        <v/>
      </c>
      <c r="B72" s="190" t="str">
        <f>IF(U72&lt;&gt;0,'ORDEN DE CUARENTENA'!$AE$3,"")</f>
        <v/>
      </c>
      <c r="C72" s="174" t="str">
        <f t="shared" si="2"/>
        <v/>
      </c>
      <c r="D72" s="329" t="str">
        <f>IF(U72&lt;&gt;0,'ORDEN DE CUARENTENA'!$I$6,"")</f>
        <v/>
      </c>
      <c r="E72" s="174" t="str">
        <f>IF(U72&lt;&gt;0,TEXT('ORDEN DE CUARENTENA'!$I$6,"aaa"),"")</f>
        <v/>
      </c>
      <c r="F72" s="173" t="str">
        <f>IF(U72&lt;&gt;0,TEXT('ORDEN DE CUARENTENA'!$I$6,"dd"),"")</f>
        <v/>
      </c>
      <c r="G72" s="172" t="str">
        <f>IF(U72&lt;&gt;0,TEXT('ORDEN DE CUARENTENA'!$I$6,"mm"),"")</f>
        <v/>
      </c>
      <c r="H72" s="171" t="str">
        <f>IF(U72&lt;&gt;0,TEXT('ORDEN DE CUARENTENA'!$I$6,"yyyy"),"")</f>
        <v/>
      </c>
      <c r="I72" s="154" t="str">
        <f>IF(U72&lt;&gt;0,'ORDEN DE CUARENTENA'!$H$7,"")</f>
        <v/>
      </c>
      <c r="J72" s="154" t="str">
        <f>IF(U72&lt;&gt;0,'ORDEN DE CUARENTENA'!$H$9,"")</f>
        <v/>
      </c>
      <c r="K72" s="154" t="str">
        <f>IF(U72&lt;&gt;0,'ORDEN DE CUARENTENA'!$Q$9,"")</f>
        <v/>
      </c>
      <c r="L72" s="154" t="str">
        <f>IFERROR(VLOOKUP(U72,Item[],4,FALSE),IFERROR(VLOOKUP(U72,Item2[],4,FALSE),""))</f>
        <v/>
      </c>
      <c r="M72" s="154" t="str">
        <f>IFERROR(VLOOKUP(U72,Item[],5,FALSE),IFERROR(VLOOKUP(U72,Item2[],5,FALSE),""))</f>
        <v/>
      </c>
      <c r="N72" s="154" t="str">
        <f>IFERROR(VLOOKUP(W72,SuscepEARs[],2,FALSE),"")</f>
        <v/>
      </c>
      <c r="O72" s="154" t="str">
        <f>IFERROR(VLOOKUP(DatosAll[[#This Row],[ESPECIE]],CITES[],2,FALSE),"")</f>
        <v/>
      </c>
      <c r="P72" s="154">
        <f>IFERROR(VLOOKUP(T72,Hallazgo[],2,FALSE),"")</f>
        <v>0</v>
      </c>
      <c r="Q72" s="154">
        <f>IFERROR(VLOOKUP(T72,Hallazgo[],3,FALSE),"")</f>
        <v>0</v>
      </c>
      <c r="R72" s="154">
        <f>IFERROR(VLOOKUP(T72,Hallazgo[],4,FALSE),"")</f>
        <v>0</v>
      </c>
      <c r="S72" s="154">
        <f>IFERROR(VLOOKUP(T72,Hallazgo[],5,FALSE),"")</f>
        <v>0</v>
      </c>
      <c r="T72" s="154">
        <f>'Acuario (Arribado - mortalidad)'!C84</f>
        <v>0</v>
      </c>
      <c r="U72" s="154">
        <f>'Acuario (Arribado - mortalidad)'!B84</f>
        <v>0</v>
      </c>
      <c r="V72" s="154" t="str">
        <f>'Acuario (Arribado - mortalidad)'!D84</f>
        <v/>
      </c>
      <c r="W72" s="154" t="str">
        <f>'Acuario (Arribado - mortalidad)'!E84</f>
        <v/>
      </c>
      <c r="X72" s="154">
        <f>'Acuario (Arribado - mortalidad)'!F84</f>
        <v>0</v>
      </c>
      <c r="Y72" s="154">
        <f>'Acuario (Arribado - mortalidad)'!H84</f>
        <v>0</v>
      </c>
      <c r="Z72" s="154">
        <f>'Acuario (Arribado - mortalidad)'!I84</f>
        <v>0</v>
      </c>
      <c r="AA72" s="154">
        <f>'Acuario (Arribado - mortalidad)'!J84</f>
        <v>0</v>
      </c>
      <c r="AB72" s="154" t="str">
        <f>'Acuario (Arribado - mortalidad)'!K84</f>
        <v/>
      </c>
      <c r="AC72" s="334" t="str">
        <f>IFERROR(('Acuario (Arribado - mortalidad)'!K84/DatosAll[[#This Row],[N_INDIVIDUOS]])*100,"")</f>
        <v/>
      </c>
      <c r="AD72" s="334" t="str">
        <f>IFERROR(('Acuario (Arribado - mortalidad)'!O84/DatosAll[[#This Row],[N_INDIVIDUOS]])*100,"")</f>
        <v/>
      </c>
      <c r="AE72" s="334" t="str">
        <f>IFERROR(('Acuario (Arribado - mortalidad)'!BG84/DatosAll[[#This Row],[N_INDIVIDUOS]])*100,"")</f>
        <v/>
      </c>
      <c r="AF72" s="334" t="str">
        <f>IFERROR(('Acuario (Arribado - mortalidad)'!BH84/DatosAll[[#This Row],[N_INDIVIDUOS]])*100,"")</f>
        <v/>
      </c>
      <c r="AG72" s="154">
        <f>'Acuario (Arribado - mortalidad)'!M84</f>
        <v>0</v>
      </c>
      <c r="AH72" s="154" t="str">
        <f>'Acuario (Arribado - mortalidad)'!G84</f>
        <v/>
      </c>
      <c r="AI72" s="154">
        <f>'Acuario (Arribado - mortalidad)'!O84</f>
        <v>0</v>
      </c>
      <c r="AJ72" s="154">
        <f>'Acuario (Arribado - mortalidad)'!P84</f>
        <v>0</v>
      </c>
      <c r="AK72" s="154">
        <f>'Acuario (Arribado - mortalidad)'!Q84</f>
        <v>0</v>
      </c>
      <c r="AL72" s="154">
        <f>'Acuario (Arribado - mortalidad)'!R84</f>
        <v>0</v>
      </c>
      <c r="AM72" s="154">
        <f>'Acuario (Arribado - mortalidad)'!S84</f>
        <v>0</v>
      </c>
      <c r="AN72" s="154">
        <f>'Acuario (Arribado - mortalidad)'!T84</f>
        <v>0</v>
      </c>
      <c r="AO72" s="154">
        <f>'Acuario (Arribado - mortalidad)'!U84</f>
        <v>0</v>
      </c>
      <c r="AP72" s="154">
        <f>'Acuario (Arribado - mortalidad)'!V84</f>
        <v>0</v>
      </c>
      <c r="AQ72" s="154">
        <f>'Acuario (Arribado - mortalidad)'!W84</f>
        <v>0</v>
      </c>
      <c r="AR72" s="154">
        <f>'Acuario (Arribado - mortalidad)'!X84</f>
        <v>0</v>
      </c>
      <c r="AS72" s="154">
        <f>'Acuario (Arribado - mortalidad)'!Y84</f>
        <v>0</v>
      </c>
      <c r="AT72" s="154">
        <f>'Acuario (Arribado - mortalidad)'!Z84</f>
        <v>0</v>
      </c>
      <c r="AU72" s="154">
        <f>'Acuario (Arribado - mortalidad)'!AA84</f>
        <v>0</v>
      </c>
      <c r="AV72" s="154">
        <f>'Acuario (Arribado - mortalidad)'!AB84</f>
        <v>0</v>
      </c>
      <c r="AW72" s="154">
        <f>'Acuario (Arribado - mortalidad)'!AC84</f>
        <v>0</v>
      </c>
      <c r="AX72" s="154">
        <f>'Acuario (Arribado - mortalidad)'!AD84</f>
        <v>0</v>
      </c>
      <c r="AY72" s="154">
        <f>'Acuario (Arribado - mortalidad)'!AE84</f>
        <v>0</v>
      </c>
      <c r="AZ72" s="154">
        <f>'Acuario (Arribado - mortalidad)'!AF84</f>
        <v>0</v>
      </c>
      <c r="BA72" s="154">
        <f>'Acuario (Arribado - mortalidad)'!AG84</f>
        <v>0</v>
      </c>
      <c r="BB72" s="154">
        <f>'Acuario (Arribado - mortalidad)'!AH84</f>
        <v>0</v>
      </c>
      <c r="BC72" s="154">
        <f>'Acuario (Arribado - mortalidad)'!AI84</f>
        <v>0</v>
      </c>
      <c r="BD72" s="154">
        <f>'Acuario (Arribado - mortalidad)'!AJ84</f>
        <v>0</v>
      </c>
      <c r="BE72" s="154">
        <f>'Acuario (Arribado - mortalidad)'!AK84</f>
        <v>0</v>
      </c>
      <c r="BF72" s="154">
        <f>'Acuario (Arribado - mortalidad)'!AL84</f>
        <v>0</v>
      </c>
      <c r="BG72" s="154">
        <f>'Acuario (Arribado - mortalidad)'!AM84</f>
        <v>0</v>
      </c>
      <c r="BH72" s="154">
        <f>'Acuario (Arribado - mortalidad)'!AN84</f>
        <v>0</v>
      </c>
      <c r="BI72" s="154">
        <f>'Acuario (Arribado - mortalidad)'!AO84</f>
        <v>0</v>
      </c>
      <c r="BJ72" s="154">
        <f>'Acuario (Arribado - mortalidad)'!AP84</f>
        <v>0</v>
      </c>
      <c r="BK72" s="154">
        <f>'Acuario (Arribado - mortalidad)'!AQ84</f>
        <v>0</v>
      </c>
      <c r="BL72" s="154">
        <f>'Acuario (Arribado - mortalidad)'!AR84</f>
        <v>0</v>
      </c>
      <c r="BM72" s="154" t="str">
        <f>'Acuario (Arribado - mortalidad)'!AS84</f>
        <v/>
      </c>
      <c r="BN72" s="154">
        <f>'Acuario (Arribado - mortalidad)'!AT84</f>
        <v>0</v>
      </c>
      <c r="BO72" s="154">
        <f>'Acuario (Arribado - mortalidad)'!AU84</f>
        <v>0</v>
      </c>
      <c r="BP72" s="154">
        <f>'Acuario (Arribado - mortalidad)'!AV84</f>
        <v>0</v>
      </c>
      <c r="BQ72" s="154" t="str">
        <f>'Acuario (Arribado - mortalidad)'!AW84</f>
        <v/>
      </c>
      <c r="BR72" s="154">
        <f>'Acuario (Arribado - mortalidad)'!AX84</f>
        <v>0</v>
      </c>
      <c r="BS72" s="154">
        <f>'Acuario (Arribado - mortalidad)'!AY84</f>
        <v>0</v>
      </c>
      <c r="BT72" s="154" t="str">
        <f>'Acuario (Arribado - mortalidad)'!AZ84</f>
        <v/>
      </c>
      <c r="BU72" s="154" t="str">
        <f>'Acuario (Arribado - mortalidad)'!BA84</f>
        <v/>
      </c>
      <c r="BV72" s="154" t="str">
        <f>'Acuario (Arribado - mortalidad)'!BB84</f>
        <v/>
      </c>
      <c r="BW72" s="154" t="str">
        <f>'Acuario (Arribado - mortalidad)'!BC84</f>
        <v/>
      </c>
      <c r="BX72" s="154">
        <f>'Acuario (Arribado - mortalidad)'!BD84</f>
        <v>0</v>
      </c>
      <c r="BY72" s="154" t="str">
        <f>'Acuario (Arribado - mortalidad)'!BE84</f>
        <v/>
      </c>
      <c r="BZ72" s="23" t="str">
        <f>'Acuario (Arribado - mortalidad)'!BF84</f>
        <v/>
      </c>
    </row>
    <row r="73" spans="1:78" x14ac:dyDescent="0.25">
      <c r="A73" s="154" t="str">
        <f>IF(U73&lt;&gt;0,'ORDEN DE CUARENTENA'!$AE$2,"")</f>
        <v/>
      </c>
      <c r="B73" s="190" t="str">
        <f>IF(U73&lt;&gt;0,'ORDEN DE CUARENTENA'!$AE$3,"")</f>
        <v/>
      </c>
      <c r="C73" s="174" t="str">
        <f t="shared" si="2"/>
        <v/>
      </c>
      <c r="D73" s="329" t="str">
        <f>IF(U73&lt;&gt;0,'ORDEN DE CUARENTENA'!$I$6,"")</f>
        <v/>
      </c>
      <c r="E73" s="174" t="str">
        <f>IF(U73&lt;&gt;0,TEXT('ORDEN DE CUARENTENA'!$I$6,"aaa"),"")</f>
        <v/>
      </c>
      <c r="F73" s="173" t="str">
        <f>IF(U73&lt;&gt;0,TEXT('ORDEN DE CUARENTENA'!$I$6,"dd"),"")</f>
        <v/>
      </c>
      <c r="G73" s="172" t="str">
        <f>IF(U73&lt;&gt;0,TEXT('ORDEN DE CUARENTENA'!$I$6,"mm"),"")</f>
        <v/>
      </c>
      <c r="H73" s="171" t="str">
        <f>IF(U73&lt;&gt;0,TEXT('ORDEN DE CUARENTENA'!$I$6,"yyyy"),"")</f>
        <v/>
      </c>
      <c r="I73" s="154" t="str">
        <f>IF(U73&lt;&gt;0,'ORDEN DE CUARENTENA'!$H$7,"")</f>
        <v/>
      </c>
      <c r="J73" s="154" t="str">
        <f>IF(U73&lt;&gt;0,'ORDEN DE CUARENTENA'!$H$9,"")</f>
        <v/>
      </c>
      <c r="K73" s="154" t="str">
        <f>IF(U73&lt;&gt;0,'ORDEN DE CUARENTENA'!$Q$9,"")</f>
        <v/>
      </c>
      <c r="L73" s="154" t="str">
        <f>IFERROR(VLOOKUP(U73,Item[],4,FALSE),IFERROR(VLOOKUP(U73,Item2[],4,FALSE),""))</f>
        <v/>
      </c>
      <c r="M73" s="154" t="str">
        <f>IFERROR(VLOOKUP(U73,Item[],5,FALSE),IFERROR(VLOOKUP(U73,Item2[],5,FALSE),""))</f>
        <v/>
      </c>
      <c r="N73" s="154" t="str">
        <f>IFERROR(VLOOKUP(W73,SuscepEARs[],2,FALSE),"")</f>
        <v/>
      </c>
      <c r="O73" s="154" t="str">
        <f>IFERROR(VLOOKUP(DatosAll[[#This Row],[ESPECIE]],CITES[],2,FALSE),"")</f>
        <v/>
      </c>
      <c r="P73" s="154">
        <f>IFERROR(VLOOKUP(T73,Hallazgo[],2,FALSE),"")</f>
        <v>0</v>
      </c>
      <c r="Q73" s="154">
        <f>IFERROR(VLOOKUP(T73,Hallazgo[],3,FALSE),"")</f>
        <v>0</v>
      </c>
      <c r="R73" s="154">
        <f>IFERROR(VLOOKUP(T73,Hallazgo[],4,FALSE),"")</f>
        <v>0</v>
      </c>
      <c r="S73" s="154">
        <f>IFERROR(VLOOKUP(T73,Hallazgo[],5,FALSE),"")</f>
        <v>0</v>
      </c>
      <c r="T73" s="154">
        <f>'Acuario (Arribado - mortalidad)'!C85</f>
        <v>0</v>
      </c>
      <c r="U73" s="154">
        <f>'Acuario (Arribado - mortalidad)'!B85</f>
        <v>0</v>
      </c>
      <c r="V73" s="154" t="str">
        <f>'Acuario (Arribado - mortalidad)'!D85</f>
        <v/>
      </c>
      <c r="W73" s="154" t="str">
        <f>'Acuario (Arribado - mortalidad)'!E85</f>
        <v/>
      </c>
      <c r="X73" s="154">
        <f>'Acuario (Arribado - mortalidad)'!F85</f>
        <v>0</v>
      </c>
      <c r="Y73" s="154">
        <f>'Acuario (Arribado - mortalidad)'!H85</f>
        <v>0</v>
      </c>
      <c r="Z73" s="154">
        <f>'Acuario (Arribado - mortalidad)'!I85</f>
        <v>0</v>
      </c>
      <c r="AA73" s="154">
        <f>'Acuario (Arribado - mortalidad)'!J85</f>
        <v>0</v>
      </c>
      <c r="AB73" s="154" t="str">
        <f>'Acuario (Arribado - mortalidad)'!K85</f>
        <v/>
      </c>
      <c r="AC73" s="334" t="str">
        <f>IFERROR(('Acuario (Arribado - mortalidad)'!K85/DatosAll[[#This Row],[N_INDIVIDUOS]])*100,"")</f>
        <v/>
      </c>
      <c r="AD73" s="334" t="str">
        <f>IFERROR(('Acuario (Arribado - mortalidad)'!O85/DatosAll[[#This Row],[N_INDIVIDUOS]])*100,"")</f>
        <v/>
      </c>
      <c r="AE73" s="334" t="str">
        <f>IFERROR(('Acuario (Arribado - mortalidad)'!BG85/DatosAll[[#This Row],[N_INDIVIDUOS]])*100,"")</f>
        <v/>
      </c>
      <c r="AF73" s="334" t="str">
        <f>IFERROR(('Acuario (Arribado - mortalidad)'!BH85/DatosAll[[#This Row],[N_INDIVIDUOS]])*100,"")</f>
        <v/>
      </c>
      <c r="AG73" s="154">
        <f>'Acuario (Arribado - mortalidad)'!M85</f>
        <v>0</v>
      </c>
      <c r="AH73" s="154" t="str">
        <f>'Acuario (Arribado - mortalidad)'!G85</f>
        <v/>
      </c>
      <c r="AI73" s="154">
        <f>'Acuario (Arribado - mortalidad)'!O85</f>
        <v>0</v>
      </c>
      <c r="AJ73" s="154">
        <f>'Acuario (Arribado - mortalidad)'!P85</f>
        <v>0</v>
      </c>
      <c r="AK73" s="154">
        <f>'Acuario (Arribado - mortalidad)'!Q85</f>
        <v>0</v>
      </c>
      <c r="AL73" s="154">
        <f>'Acuario (Arribado - mortalidad)'!R85</f>
        <v>0</v>
      </c>
      <c r="AM73" s="154">
        <f>'Acuario (Arribado - mortalidad)'!S85</f>
        <v>0</v>
      </c>
      <c r="AN73" s="154">
        <f>'Acuario (Arribado - mortalidad)'!T85</f>
        <v>0</v>
      </c>
      <c r="AO73" s="154">
        <f>'Acuario (Arribado - mortalidad)'!U85</f>
        <v>0</v>
      </c>
      <c r="AP73" s="154">
        <f>'Acuario (Arribado - mortalidad)'!V85</f>
        <v>0</v>
      </c>
      <c r="AQ73" s="154">
        <f>'Acuario (Arribado - mortalidad)'!W85</f>
        <v>0</v>
      </c>
      <c r="AR73" s="154">
        <f>'Acuario (Arribado - mortalidad)'!X85</f>
        <v>0</v>
      </c>
      <c r="AS73" s="154">
        <f>'Acuario (Arribado - mortalidad)'!Y85</f>
        <v>0</v>
      </c>
      <c r="AT73" s="154">
        <f>'Acuario (Arribado - mortalidad)'!Z85</f>
        <v>0</v>
      </c>
      <c r="AU73" s="154">
        <f>'Acuario (Arribado - mortalidad)'!AA85</f>
        <v>0</v>
      </c>
      <c r="AV73" s="154">
        <f>'Acuario (Arribado - mortalidad)'!AB85</f>
        <v>0</v>
      </c>
      <c r="AW73" s="154">
        <f>'Acuario (Arribado - mortalidad)'!AC85</f>
        <v>0</v>
      </c>
      <c r="AX73" s="154">
        <f>'Acuario (Arribado - mortalidad)'!AD85</f>
        <v>0</v>
      </c>
      <c r="AY73" s="154">
        <f>'Acuario (Arribado - mortalidad)'!AE85</f>
        <v>0</v>
      </c>
      <c r="AZ73" s="154">
        <f>'Acuario (Arribado - mortalidad)'!AF85</f>
        <v>0</v>
      </c>
      <c r="BA73" s="154">
        <f>'Acuario (Arribado - mortalidad)'!AG85</f>
        <v>0</v>
      </c>
      <c r="BB73" s="154">
        <f>'Acuario (Arribado - mortalidad)'!AH85</f>
        <v>0</v>
      </c>
      <c r="BC73" s="154">
        <f>'Acuario (Arribado - mortalidad)'!AI85</f>
        <v>0</v>
      </c>
      <c r="BD73" s="154">
        <f>'Acuario (Arribado - mortalidad)'!AJ85</f>
        <v>0</v>
      </c>
      <c r="BE73" s="154">
        <f>'Acuario (Arribado - mortalidad)'!AK85</f>
        <v>0</v>
      </c>
      <c r="BF73" s="154">
        <f>'Acuario (Arribado - mortalidad)'!AL85</f>
        <v>0</v>
      </c>
      <c r="BG73" s="154">
        <f>'Acuario (Arribado - mortalidad)'!AM85</f>
        <v>0</v>
      </c>
      <c r="BH73" s="154">
        <f>'Acuario (Arribado - mortalidad)'!AN85</f>
        <v>0</v>
      </c>
      <c r="BI73" s="154">
        <f>'Acuario (Arribado - mortalidad)'!AO85</f>
        <v>0</v>
      </c>
      <c r="BJ73" s="154">
        <f>'Acuario (Arribado - mortalidad)'!AP85</f>
        <v>0</v>
      </c>
      <c r="BK73" s="154">
        <f>'Acuario (Arribado - mortalidad)'!AQ85</f>
        <v>0</v>
      </c>
      <c r="BL73" s="154">
        <f>'Acuario (Arribado - mortalidad)'!AR85</f>
        <v>0</v>
      </c>
      <c r="BM73" s="154" t="str">
        <f>'Acuario (Arribado - mortalidad)'!AS85</f>
        <v/>
      </c>
      <c r="BN73" s="154">
        <f>'Acuario (Arribado - mortalidad)'!AT85</f>
        <v>0</v>
      </c>
      <c r="BO73" s="154">
        <f>'Acuario (Arribado - mortalidad)'!AU85</f>
        <v>0</v>
      </c>
      <c r="BP73" s="154">
        <f>'Acuario (Arribado - mortalidad)'!AV85</f>
        <v>0</v>
      </c>
      <c r="BQ73" s="154" t="str">
        <f>'Acuario (Arribado - mortalidad)'!AW85</f>
        <v/>
      </c>
      <c r="BR73" s="154">
        <f>'Acuario (Arribado - mortalidad)'!AX85</f>
        <v>0</v>
      </c>
      <c r="BS73" s="154">
        <f>'Acuario (Arribado - mortalidad)'!AY85</f>
        <v>0</v>
      </c>
      <c r="BT73" s="154" t="str">
        <f>'Acuario (Arribado - mortalidad)'!AZ85</f>
        <v/>
      </c>
      <c r="BU73" s="154" t="str">
        <f>'Acuario (Arribado - mortalidad)'!BA85</f>
        <v/>
      </c>
      <c r="BV73" s="154" t="str">
        <f>'Acuario (Arribado - mortalidad)'!BB85</f>
        <v/>
      </c>
      <c r="BW73" s="154" t="str">
        <f>'Acuario (Arribado - mortalidad)'!BC85</f>
        <v/>
      </c>
      <c r="BX73" s="154">
        <f>'Acuario (Arribado - mortalidad)'!BD85</f>
        <v>0</v>
      </c>
      <c r="BY73" s="154" t="str">
        <f>'Acuario (Arribado - mortalidad)'!BE85</f>
        <v/>
      </c>
      <c r="BZ73" s="23" t="str">
        <f>'Acuario (Arribado - mortalidad)'!BF85</f>
        <v/>
      </c>
    </row>
    <row r="74" spans="1:78" x14ac:dyDescent="0.25">
      <c r="A74" s="154" t="str">
        <f>IF(U74&lt;&gt;0,'ORDEN DE CUARENTENA'!$AE$2,"")</f>
        <v/>
      </c>
      <c r="B74" s="190" t="str">
        <f>IF(U74&lt;&gt;0,'ORDEN DE CUARENTENA'!$AE$3,"")</f>
        <v/>
      </c>
      <c r="C74" s="174" t="str">
        <f t="shared" si="2"/>
        <v/>
      </c>
      <c r="D74" s="329" t="str">
        <f>IF(U74&lt;&gt;0,'ORDEN DE CUARENTENA'!$I$6,"")</f>
        <v/>
      </c>
      <c r="E74" s="174" t="str">
        <f>IF(U74&lt;&gt;0,TEXT('ORDEN DE CUARENTENA'!$I$6,"aaa"),"")</f>
        <v/>
      </c>
      <c r="F74" s="173" t="str">
        <f>IF(U74&lt;&gt;0,TEXT('ORDEN DE CUARENTENA'!$I$6,"dd"),"")</f>
        <v/>
      </c>
      <c r="G74" s="172" t="str">
        <f>IF(U74&lt;&gt;0,TEXT('ORDEN DE CUARENTENA'!$I$6,"mm"),"")</f>
        <v/>
      </c>
      <c r="H74" s="171" t="str">
        <f>IF(U74&lt;&gt;0,TEXT('ORDEN DE CUARENTENA'!$I$6,"yyyy"),"")</f>
        <v/>
      </c>
      <c r="I74" s="154" t="str">
        <f>IF(U74&lt;&gt;0,'ORDEN DE CUARENTENA'!$H$7,"")</f>
        <v/>
      </c>
      <c r="J74" s="154" t="str">
        <f>IF(U74&lt;&gt;0,'ORDEN DE CUARENTENA'!$H$9,"")</f>
        <v/>
      </c>
      <c r="K74" s="154" t="str">
        <f>IF(U74&lt;&gt;0,'ORDEN DE CUARENTENA'!$Q$9,"")</f>
        <v/>
      </c>
      <c r="L74" s="154" t="str">
        <f>IFERROR(VLOOKUP(U74,Item[],4,FALSE),IFERROR(VLOOKUP(U74,Item2[],4,FALSE),""))</f>
        <v/>
      </c>
      <c r="M74" s="154" t="str">
        <f>IFERROR(VLOOKUP(U74,Item[],5,FALSE),IFERROR(VLOOKUP(U74,Item2[],5,FALSE),""))</f>
        <v/>
      </c>
      <c r="N74" s="154" t="str">
        <f>IFERROR(VLOOKUP(W74,SuscepEARs[],2,FALSE),"")</f>
        <v/>
      </c>
      <c r="O74" s="154" t="str">
        <f>IFERROR(VLOOKUP(DatosAll[[#This Row],[ESPECIE]],CITES[],2,FALSE),"")</f>
        <v/>
      </c>
      <c r="P74" s="154">
        <f>IFERROR(VLOOKUP(T74,Hallazgo[],2,FALSE),"")</f>
        <v>0</v>
      </c>
      <c r="Q74" s="154">
        <f>IFERROR(VLOOKUP(T74,Hallazgo[],3,FALSE),"")</f>
        <v>0</v>
      </c>
      <c r="R74" s="154">
        <f>IFERROR(VLOOKUP(T74,Hallazgo[],4,FALSE),"")</f>
        <v>0</v>
      </c>
      <c r="S74" s="154">
        <f>IFERROR(VLOOKUP(T74,Hallazgo[],5,FALSE),"")</f>
        <v>0</v>
      </c>
      <c r="T74" s="154">
        <f>'Acuario (Arribado - mortalidad)'!C86</f>
        <v>0</v>
      </c>
      <c r="U74" s="154">
        <f>'Acuario (Arribado - mortalidad)'!B86</f>
        <v>0</v>
      </c>
      <c r="V74" s="154" t="str">
        <f>'Acuario (Arribado - mortalidad)'!D86</f>
        <v/>
      </c>
      <c r="W74" s="154" t="str">
        <f>'Acuario (Arribado - mortalidad)'!E86</f>
        <v/>
      </c>
      <c r="X74" s="154">
        <f>'Acuario (Arribado - mortalidad)'!F86</f>
        <v>0</v>
      </c>
      <c r="Y74" s="154">
        <f>'Acuario (Arribado - mortalidad)'!H86</f>
        <v>0</v>
      </c>
      <c r="Z74" s="154">
        <f>'Acuario (Arribado - mortalidad)'!I86</f>
        <v>0</v>
      </c>
      <c r="AA74" s="154">
        <f>'Acuario (Arribado - mortalidad)'!J86</f>
        <v>0</v>
      </c>
      <c r="AB74" s="154" t="str">
        <f>'Acuario (Arribado - mortalidad)'!K86</f>
        <v/>
      </c>
      <c r="AC74" s="334" t="str">
        <f>IFERROR(('Acuario (Arribado - mortalidad)'!K86/DatosAll[[#This Row],[N_INDIVIDUOS]])*100,"")</f>
        <v/>
      </c>
      <c r="AD74" s="334" t="str">
        <f>IFERROR(('Acuario (Arribado - mortalidad)'!O86/DatosAll[[#This Row],[N_INDIVIDUOS]])*100,"")</f>
        <v/>
      </c>
      <c r="AE74" s="334" t="str">
        <f>IFERROR(('Acuario (Arribado - mortalidad)'!BG86/DatosAll[[#This Row],[N_INDIVIDUOS]])*100,"")</f>
        <v/>
      </c>
      <c r="AF74" s="334" t="str">
        <f>IFERROR(('Acuario (Arribado - mortalidad)'!BH86/DatosAll[[#This Row],[N_INDIVIDUOS]])*100,"")</f>
        <v/>
      </c>
      <c r="AG74" s="154">
        <f>'Acuario (Arribado - mortalidad)'!M86</f>
        <v>0</v>
      </c>
      <c r="AH74" s="154" t="str">
        <f>'Acuario (Arribado - mortalidad)'!G86</f>
        <v/>
      </c>
      <c r="AI74" s="154">
        <f>'Acuario (Arribado - mortalidad)'!O86</f>
        <v>0</v>
      </c>
      <c r="AJ74" s="154">
        <f>'Acuario (Arribado - mortalidad)'!P86</f>
        <v>0</v>
      </c>
      <c r="AK74" s="154">
        <f>'Acuario (Arribado - mortalidad)'!Q86</f>
        <v>0</v>
      </c>
      <c r="AL74" s="154">
        <f>'Acuario (Arribado - mortalidad)'!R86</f>
        <v>0</v>
      </c>
      <c r="AM74" s="154">
        <f>'Acuario (Arribado - mortalidad)'!S86</f>
        <v>0</v>
      </c>
      <c r="AN74" s="154">
        <f>'Acuario (Arribado - mortalidad)'!T86</f>
        <v>0</v>
      </c>
      <c r="AO74" s="154">
        <f>'Acuario (Arribado - mortalidad)'!U86</f>
        <v>0</v>
      </c>
      <c r="AP74" s="154">
        <f>'Acuario (Arribado - mortalidad)'!V86</f>
        <v>0</v>
      </c>
      <c r="AQ74" s="154">
        <f>'Acuario (Arribado - mortalidad)'!W86</f>
        <v>0</v>
      </c>
      <c r="AR74" s="154">
        <f>'Acuario (Arribado - mortalidad)'!X86</f>
        <v>0</v>
      </c>
      <c r="AS74" s="154">
        <f>'Acuario (Arribado - mortalidad)'!Y86</f>
        <v>0</v>
      </c>
      <c r="AT74" s="154">
        <f>'Acuario (Arribado - mortalidad)'!Z86</f>
        <v>0</v>
      </c>
      <c r="AU74" s="154">
        <f>'Acuario (Arribado - mortalidad)'!AA86</f>
        <v>0</v>
      </c>
      <c r="AV74" s="154">
        <f>'Acuario (Arribado - mortalidad)'!AB86</f>
        <v>0</v>
      </c>
      <c r="AW74" s="154">
        <f>'Acuario (Arribado - mortalidad)'!AC86</f>
        <v>0</v>
      </c>
      <c r="AX74" s="154">
        <f>'Acuario (Arribado - mortalidad)'!AD86</f>
        <v>0</v>
      </c>
      <c r="AY74" s="154">
        <f>'Acuario (Arribado - mortalidad)'!AE86</f>
        <v>0</v>
      </c>
      <c r="AZ74" s="154">
        <f>'Acuario (Arribado - mortalidad)'!AF86</f>
        <v>0</v>
      </c>
      <c r="BA74" s="154">
        <f>'Acuario (Arribado - mortalidad)'!AG86</f>
        <v>0</v>
      </c>
      <c r="BB74" s="154">
        <f>'Acuario (Arribado - mortalidad)'!AH86</f>
        <v>0</v>
      </c>
      <c r="BC74" s="154">
        <f>'Acuario (Arribado - mortalidad)'!AI86</f>
        <v>0</v>
      </c>
      <c r="BD74" s="154">
        <f>'Acuario (Arribado - mortalidad)'!AJ86</f>
        <v>0</v>
      </c>
      <c r="BE74" s="154">
        <f>'Acuario (Arribado - mortalidad)'!AK86</f>
        <v>0</v>
      </c>
      <c r="BF74" s="154">
        <f>'Acuario (Arribado - mortalidad)'!AL86</f>
        <v>0</v>
      </c>
      <c r="BG74" s="154">
        <f>'Acuario (Arribado - mortalidad)'!AM86</f>
        <v>0</v>
      </c>
      <c r="BH74" s="154">
        <f>'Acuario (Arribado - mortalidad)'!AN86</f>
        <v>0</v>
      </c>
      <c r="BI74" s="154">
        <f>'Acuario (Arribado - mortalidad)'!AO86</f>
        <v>0</v>
      </c>
      <c r="BJ74" s="154">
        <f>'Acuario (Arribado - mortalidad)'!AP86</f>
        <v>0</v>
      </c>
      <c r="BK74" s="154">
        <f>'Acuario (Arribado - mortalidad)'!AQ86</f>
        <v>0</v>
      </c>
      <c r="BL74" s="154">
        <f>'Acuario (Arribado - mortalidad)'!AR86</f>
        <v>0</v>
      </c>
      <c r="BM74" s="154" t="str">
        <f>'Acuario (Arribado - mortalidad)'!AS86</f>
        <v/>
      </c>
      <c r="BN74" s="154">
        <f>'Acuario (Arribado - mortalidad)'!AT86</f>
        <v>0</v>
      </c>
      <c r="BO74" s="154">
        <f>'Acuario (Arribado - mortalidad)'!AU86</f>
        <v>0</v>
      </c>
      <c r="BP74" s="154">
        <f>'Acuario (Arribado - mortalidad)'!AV86</f>
        <v>0</v>
      </c>
      <c r="BQ74" s="154" t="str">
        <f>'Acuario (Arribado - mortalidad)'!AW86</f>
        <v/>
      </c>
      <c r="BR74" s="154">
        <f>'Acuario (Arribado - mortalidad)'!AX86</f>
        <v>0</v>
      </c>
      <c r="BS74" s="154">
        <f>'Acuario (Arribado - mortalidad)'!AY86</f>
        <v>0</v>
      </c>
      <c r="BT74" s="154" t="str">
        <f>'Acuario (Arribado - mortalidad)'!AZ86</f>
        <v/>
      </c>
      <c r="BU74" s="154" t="str">
        <f>'Acuario (Arribado - mortalidad)'!BA86</f>
        <v/>
      </c>
      <c r="BV74" s="154" t="str">
        <f>'Acuario (Arribado - mortalidad)'!BB86</f>
        <v/>
      </c>
      <c r="BW74" s="154" t="str">
        <f>'Acuario (Arribado - mortalidad)'!BC86</f>
        <v/>
      </c>
      <c r="BX74" s="154">
        <f>'Acuario (Arribado - mortalidad)'!BD86</f>
        <v>0</v>
      </c>
      <c r="BY74" s="154" t="str">
        <f>'Acuario (Arribado - mortalidad)'!BE86</f>
        <v/>
      </c>
      <c r="BZ74" s="23" t="str">
        <f>'Acuario (Arribado - mortalidad)'!BF86</f>
        <v/>
      </c>
    </row>
    <row r="75" spans="1:78" x14ac:dyDescent="0.25">
      <c r="A75" s="154" t="str">
        <f>IF(U75&lt;&gt;0,'ORDEN DE CUARENTENA'!$AE$2,"")</f>
        <v/>
      </c>
      <c r="B75" s="190" t="str">
        <f>IF(U75&lt;&gt;0,'ORDEN DE CUARENTENA'!$AE$3,"")</f>
        <v/>
      </c>
      <c r="C75" s="174" t="str">
        <f t="shared" si="2"/>
        <v/>
      </c>
      <c r="D75" s="329" t="str">
        <f>IF(U75&lt;&gt;0,'ORDEN DE CUARENTENA'!$I$6,"")</f>
        <v/>
      </c>
      <c r="E75" s="174" t="str">
        <f>IF(U75&lt;&gt;0,TEXT('ORDEN DE CUARENTENA'!$I$6,"aaa"),"")</f>
        <v/>
      </c>
      <c r="F75" s="173" t="str">
        <f>IF(U75&lt;&gt;0,TEXT('ORDEN DE CUARENTENA'!$I$6,"dd"),"")</f>
        <v/>
      </c>
      <c r="G75" s="172" t="str">
        <f>IF(U75&lt;&gt;0,TEXT('ORDEN DE CUARENTENA'!$I$6,"mm"),"")</f>
        <v/>
      </c>
      <c r="H75" s="171" t="str">
        <f>IF(U75&lt;&gt;0,TEXT('ORDEN DE CUARENTENA'!$I$6,"yyyy"),"")</f>
        <v/>
      </c>
      <c r="I75" s="154" t="str">
        <f>IF(U75&lt;&gt;0,'ORDEN DE CUARENTENA'!$H$7,"")</f>
        <v/>
      </c>
      <c r="J75" s="154" t="str">
        <f>IF(U75&lt;&gt;0,'ORDEN DE CUARENTENA'!$H$9,"")</f>
        <v/>
      </c>
      <c r="K75" s="154" t="str">
        <f>IF(U75&lt;&gt;0,'ORDEN DE CUARENTENA'!$Q$9,"")</f>
        <v/>
      </c>
      <c r="L75" s="154" t="str">
        <f>IFERROR(VLOOKUP(U75,Item[],4,FALSE),IFERROR(VLOOKUP(U75,Item2[],4,FALSE),""))</f>
        <v/>
      </c>
      <c r="M75" s="154" t="str">
        <f>IFERROR(VLOOKUP(U75,Item[],5,FALSE),IFERROR(VLOOKUP(U75,Item2[],5,FALSE),""))</f>
        <v/>
      </c>
      <c r="N75" s="154" t="str">
        <f>IFERROR(VLOOKUP(W75,SuscepEARs[],2,FALSE),"")</f>
        <v/>
      </c>
      <c r="O75" s="154" t="str">
        <f>IFERROR(VLOOKUP(DatosAll[[#This Row],[ESPECIE]],CITES[],2,FALSE),"")</f>
        <v/>
      </c>
      <c r="P75" s="154">
        <f>IFERROR(VLOOKUP(T75,Hallazgo[],2,FALSE),"")</f>
        <v>0</v>
      </c>
      <c r="Q75" s="154">
        <f>IFERROR(VLOOKUP(T75,Hallazgo[],3,FALSE),"")</f>
        <v>0</v>
      </c>
      <c r="R75" s="154">
        <f>IFERROR(VLOOKUP(T75,Hallazgo[],4,FALSE),"")</f>
        <v>0</v>
      </c>
      <c r="S75" s="154">
        <f>IFERROR(VLOOKUP(T75,Hallazgo[],5,FALSE),"")</f>
        <v>0</v>
      </c>
      <c r="T75" s="154">
        <f>'Acuario (Arribado - mortalidad)'!C87</f>
        <v>0</v>
      </c>
      <c r="U75" s="154">
        <f>'Acuario (Arribado - mortalidad)'!B87</f>
        <v>0</v>
      </c>
      <c r="V75" s="154" t="str">
        <f>'Acuario (Arribado - mortalidad)'!D87</f>
        <v/>
      </c>
      <c r="W75" s="154" t="str">
        <f>'Acuario (Arribado - mortalidad)'!E87</f>
        <v/>
      </c>
      <c r="X75" s="154">
        <f>'Acuario (Arribado - mortalidad)'!F87</f>
        <v>0</v>
      </c>
      <c r="Y75" s="154">
        <f>'Acuario (Arribado - mortalidad)'!H87</f>
        <v>0</v>
      </c>
      <c r="Z75" s="154">
        <f>'Acuario (Arribado - mortalidad)'!I87</f>
        <v>0</v>
      </c>
      <c r="AA75" s="154">
        <f>'Acuario (Arribado - mortalidad)'!J87</f>
        <v>0</v>
      </c>
      <c r="AB75" s="154" t="str">
        <f>'Acuario (Arribado - mortalidad)'!K87</f>
        <v/>
      </c>
      <c r="AC75" s="334" t="str">
        <f>IFERROR(('Acuario (Arribado - mortalidad)'!K87/DatosAll[[#This Row],[N_INDIVIDUOS]])*100,"")</f>
        <v/>
      </c>
      <c r="AD75" s="334" t="str">
        <f>IFERROR(('Acuario (Arribado - mortalidad)'!O87/DatosAll[[#This Row],[N_INDIVIDUOS]])*100,"")</f>
        <v/>
      </c>
      <c r="AE75" s="334" t="str">
        <f>IFERROR(('Acuario (Arribado - mortalidad)'!BG87/DatosAll[[#This Row],[N_INDIVIDUOS]])*100,"")</f>
        <v/>
      </c>
      <c r="AF75" s="334" t="str">
        <f>IFERROR(('Acuario (Arribado - mortalidad)'!BH87/DatosAll[[#This Row],[N_INDIVIDUOS]])*100,"")</f>
        <v/>
      </c>
      <c r="AG75" s="154">
        <f>'Acuario (Arribado - mortalidad)'!M87</f>
        <v>0</v>
      </c>
      <c r="AH75" s="154" t="str">
        <f>'Acuario (Arribado - mortalidad)'!G87</f>
        <v/>
      </c>
      <c r="AI75" s="154">
        <f>'Acuario (Arribado - mortalidad)'!O87</f>
        <v>0</v>
      </c>
      <c r="AJ75" s="154">
        <f>'Acuario (Arribado - mortalidad)'!P87</f>
        <v>0</v>
      </c>
      <c r="AK75" s="154">
        <f>'Acuario (Arribado - mortalidad)'!Q87</f>
        <v>0</v>
      </c>
      <c r="AL75" s="154">
        <f>'Acuario (Arribado - mortalidad)'!R87</f>
        <v>0</v>
      </c>
      <c r="AM75" s="154">
        <f>'Acuario (Arribado - mortalidad)'!S87</f>
        <v>0</v>
      </c>
      <c r="AN75" s="154">
        <f>'Acuario (Arribado - mortalidad)'!T87</f>
        <v>0</v>
      </c>
      <c r="AO75" s="154">
        <f>'Acuario (Arribado - mortalidad)'!U87</f>
        <v>0</v>
      </c>
      <c r="AP75" s="154">
        <f>'Acuario (Arribado - mortalidad)'!V87</f>
        <v>0</v>
      </c>
      <c r="AQ75" s="154">
        <f>'Acuario (Arribado - mortalidad)'!W87</f>
        <v>0</v>
      </c>
      <c r="AR75" s="154">
        <f>'Acuario (Arribado - mortalidad)'!X87</f>
        <v>0</v>
      </c>
      <c r="AS75" s="154">
        <f>'Acuario (Arribado - mortalidad)'!Y87</f>
        <v>0</v>
      </c>
      <c r="AT75" s="154">
        <f>'Acuario (Arribado - mortalidad)'!Z87</f>
        <v>0</v>
      </c>
      <c r="AU75" s="154">
        <f>'Acuario (Arribado - mortalidad)'!AA87</f>
        <v>0</v>
      </c>
      <c r="AV75" s="154">
        <f>'Acuario (Arribado - mortalidad)'!AB87</f>
        <v>0</v>
      </c>
      <c r="AW75" s="154">
        <f>'Acuario (Arribado - mortalidad)'!AC87</f>
        <v>0</v>
      </c>
      <c r="AX75" s="154">
        <f>'Acuario (Arribado - mortalidad)'!AD87</f>
        <v>0</v>
      </c>
      <c r="AY75" s="154">
        <f>'Acuario (Arribado - mortalidad)'!AE87</f>
        <v>0</v>
      </c>
      <c r="AZ75" s="154">
        <f>'Acuario (Arribado - mortalidad)'!AF87</f>
        <v>0</v>
      </c>
      <c r="BA75" s="154">
        <f>'Acuario (Arribado - mortalidad)'!AG87</f>
        <v>0</v>
      </c>
      <c r="BB75" s="154">
        <f>'Acuario (Arribado - mortalidad)'!AH87</f>
        <v>0</v>
      </c>
      <c r="BC75" s="154">
        <f>'Acuario (Arribado - mortalidad)'!AI87</f>
        <v>0</v>
      </c>
      <c r="BD75" s="154">
        <f>'Acuario (Arribado - mortalidad)'!AJ87</f>
        <v>0</v>
      </c>
      <c r="BE75" s="154">
        <f>'Acuario (Arribado - mortalidad)'!AK87</f>
        <v>0</v>
      </c>
      <c r="BF75" s="154">
        <f>'Acuario (Arribado - mortalidad)'!AL87</f>
        <v>0</v>
      </c>
      <c r="BG75" s="154">
        <f>'Acuario (Arribado - mortalidad)'!AM87</f>
        <v>0</v>
      </c>
      <c r="BH75" s="154">
        <f>'Acuario (Arribado - mortalidad)'!AN87</f>
        <v>0</v>
      </c>
      <c r="BI75" s="154">
        <f>'Acuario (Arribado - mortalidad)'!AO87</f>
        <v>0</v>
      </c>
      <c r="BJ75" s="154">
        <f>'Acuario (Arribado - mortalidad)'!AP87</f>
        <v>0</v>
      </c>
      <c r="BK75" s="154">
        <f>'Acuario (Arribado - mortalidad)'!AQ87</f>
        <v>0</v>
      </c>
      <c r="BL75" s="154">
        <f>'Acuario (Arribado - mortalidad)'!AR87</f>
        <v>0</v>
      </c>
      <c r="BM75" s="154" t="str">
        <f>'Acuario (Arribado - mortalidad)'!AS87</f>
        <v/>
      </c>
      <c r="BN75" s="154">
        <f>'Acuario (Arribado - mortalidad)'!AT87</f>
        <v>0</v>
      </c>
      <c r="BO75" s="154">
        <f>'Acuario (Arribado - mortalidad)'!AU87</f>
        <v>0</v>
      </c>
      <c r="BP75" s="154">
        <f>'Acuario (Arribado - mortalidad)'!AV87</f>
        <v>0</v>
      </c>
      <c r="BQ75" s="154" t="str">
        <f>'Acuario (Arribado - mortalidad)'!AW87</f>
        <v/>
      </c>
      <c r="BR75" s="154">
        <f>'Acuario (Arribado - mortalidad)'!AX87</f>
        <v>0</v>
      </c>
      <c r="BS75" s="154">
        <f>'Acuario (Arribado - mortalidad)'!AY87</f>
        <v>0</v>
      </c>
      <c r="BT75" s="154" t="str">
        <f>'Acuario (Arribado - mortalidad)'!AZ87</f>
        <v/>
      </c>
      <c r="BU75" s="154" t="str">
        <f>'Acuario (Arribado - mortalidad)'!BA87</f>
        <v/>
      </c>
      <c r="BV75" s="154" t="str">
        <f>'Acuario (Arribado - mortalidad)'!BB87</f>
        <v/>
      </c>
      <c r="BW75" s="154" t="str">
        <f>'Acuario (Arribado - mortalidad)'!BC87</f>
        <v/>
      </c>
      <c r="BX75" s="154">
        <f>'Acuario (Arribado - mortalidad)'!BD87</f>
        <v>0</v>
      </c>
      <c r="BY75" s="154" t="str">
        <f>'Acuario (Arribado - mortalidad)'!BE87</f>
        <v/>
      </c>
      <c r="BZ75" s="23" t="str">
        <f>'Acuario (Arribado - mortalidad)'!BF87</f>
        <v/>
      </c>
    </row>
    <row r="76" spans="1:78" x14ac:dyDescent="0.25">
      <c r="A76" s="154" t="str">
        <f>IF(U76&lt;&gt;0,'ORDEN DE CUARENTENA'!$AE$2,"")</f>
        <v/>
      </c>
      <c r="B76" s="190" t="str">
        <f>IF(U76&lt;&gt;0,'ORDEN DE CUARENTENA'!$AE$3,"")</f>
        <v/>
      </c>
      <c r="C76" s="174" t="str">
        <f t="shared" si="2"/>
        <v/>
      </c>
      <c r="D76" s="329" t="str">
        <f>IF(U76&lt;&gt;0,'ORDEN DE CUARENTENA'!$I$6,"")</f>
        <v/>
      </c>
      <c r="E76" s="174" t="str">
        <f>IF(U76&lt;&gt;0,TEXT('ORDEN DE CUARENTENA'!$I$6,"aaa"),"")</f>
        <v/>
      </c>
      <c r="F76" s="173" t="str">
        <f>IF(U76&lt;&gt;0,TEXT('ORDEN DE CUARENTENA'!$I$6,"dd"),"")</f>
        <v/>
      </c>
      <c r="G76" s="172" t="str">
        <f>IF(U76&lt;&gt;0,TEXT('ORDEN DE CUARENTENA'!$I$6,"mm"),"")</f>
        <v/>
      </c>
      <c r="H76" s="171" t="str">
        <f>IF(U76&lt;&gt;0,TEXT('ORDEN DE CUARENTENA'!$I$6,"yyyy"),"")</f>
        <v/>
      </c>
      <c r="I76" s="154" t="str">
        <f>IF(U76&lt;&gt;0,'ORDEN DE CUARENTENA'!$H$7,"")</f>
        <v/>
      </c>
      <c r="J76" s="154" t="str">
        <f>IF(U76&lt;&gt;0,'ORDEN DE CUARENTENA'!$H$9,"")</f>
        <v/>
      </c>
      <c r="K76" s="154" t="str">
        <f>IF(U76&lt;&gt;0,'ORDEN DE CUARENTENA'!$Q$9,"")</f>
        <v/>
      </c>
      <c r="L76" s="154" t="str">
        <f>IFERROR(VLOOKUP(U76,Item[],4,FALSE),IFERROR(VLOOKUP(U76,Item2[],4,FALSE),""))</f>
        <v/>
      </c>
      <c r="M76" s="154" t="str">
        <f>IFERROR(VLOOKUP(U76,Item[],5,FALSE),IFERROR(VLOOKUP(U76,Item2[],5,FALSE),""))</f>
        <v/>
      </c>
      <c r="N76" s="154" t="str">
        <f>IFERROR(VLOOKUP(W76,SuscepEARs[],2,FALSE),"")</f>
        <v/>
      </c>
      <c r="O76" s="154" t="str">
        <f>IFERROR(VLOOKUP(DatosAll[[#This Row],[ESPECIE]],CITES[],2,FALSE),"")</f>
        <v/>
      </c>
      <c r="P76" s="154">
        <f>IFERROR(VLOOKUP(T76,Hallazgo[],2,FALSE),"")</f>
        <v>0</v>
      </c>
      <c r="Q76" s="154">
        <f>IFERROR(VLOOKUP(T76,Hallazgo[],3,FALSE),"")</f>
        <v>0</v>
      </c>
      <c r="R76" s="154">
        <f>IFERROR(VLOOKUP(T76,Hallazgo[],4,FALSE),"")</f>
        <v>0</v>
      </c>
      <c r="S76" s="154">
        <f>IFERROR(VLOOKUP(T76,Hallazgo[],5,FALSE),"")</f>
        <v>0</v>
      </c>
      <c r="T76" s="154">
        <f>'Acuario (Arribado - mortalidad)'!C88</f>
        <v>0</v>
      </c>
      <c r="U76" s="154">
        <f>'Acuario (Arribado - mortalidad)'!B88</f>
        <v>0</v>
      </c>
      <c r="V76" s="154" t="str">
        <f>'Acuario (Arribado - mortalidad)'!D88</f>
        <v/>
      </c>
      <c r="W76" s="154" t="str">
        <f>'Acuario (Arribado - mortalidad)'!E88</f>
        <v/>
      </c>
      <c r="X76" s="154">
        <f>'Acuario (Arribado - mortalidad)'!F88</f>
        <v>0</v>
      </c>
      <c r="Y76" s="154">
        <f>'Acuario (Arribado - mortalidad)'!H88</f>
        <v>0</v>
      </c>
      <c r="Z76" s="154">
        <f>'Acuario (Arribado - mortalidad)'!I88</f>
        <v>0</v>
      </c>
      <c r="AA76" s="154">
        <f>'Acuario (Arribado - mortalidad)'!J88</f>
        <v>0</v>
      </c>
      <c r="AB76" s="154" t="str">
        <f>'Acuario (Arribado - mortalidad)'!K88</f>
        <v/>
      </c>
      <c r="AC76" s="334" t="str">
        <f>IFERROR(('Acuario (Arribado - mortalidad)'!K88/DatosAll[[#This Row],[N_INDIVIDUOS]])*100,"")</f>
        <v/>
      </c>
      <c r="AD76" s="334" t="str">
        <f>IFERROR(('Acuario (Arribado - mortalidad)'!O88/DatosAll[[#This Row],[N_INDIVIDUOS]])*100,"")</f>
        <v/>
      </c>
      <c r="AE76" s="334" t="str">
        <f>IFERROR(('Acuario (Arribado - mortalidad)'!BG88/DatosAll[[#This Row],[N_INDIVIDUOS]])*100,"")</f>
        <v/>
      </c>
      <c r="AF76" s="334" t="str">
        <f>IFERROR(('Acuario (Arribado - mortalidad)'!BH88/DatosAll[[#This Row],[N_INDIVIDUOS]])*100,"")</f>
        <v/>
      </c>
      <c r="AG76" s="154">
        <f>'Acuario (Arribado - mortalidad)'!M88</f>
        <v>0</v>
      </c>
      <c r="AH76" s="154" t="str">
        <f>'Acuario (Arribado - mortalidad)'!G88</f>
        <v/>
      </c>
      <c r="AI76" s="154">
        <f>'Acuario (Arribado - mortalidad)'!O88</f>
        <v>0</v>
      </c>
      <c r="AJ76" s="154">
        <f>'Acuario (Arribado - mortalidad)'!P88</f>
        <v>0</v>
      </c>
      <c r="AK76" s="154">
        <f>'Acuario (Arribado - mortalidad)'!Q88</f>
        <v>0</v>
      </c>
      <c r="AL76" s="154">
        <f>'Acuario (Arribado - mortalidad)'!R88</f>
        <v>0</v>
      </c>
      <c r="AM76" s="154">
        <f>'Acuario (Arribado - mortalidad)'!S88</f>
        <v>0</v>
      </c>
      <c r="AN76" s="154">
        <f>'Acuario (Arribado - mortalidad)'!T88</f>
        <v>0</v>
      </c>
      <c r="AO76" s="154">
        <f>'Acuario (Arribado - mortalidad)'!U88</f>
        <v>0</v>
      </c>
      <c r="AP76" s="154">
        <f>'Acuario (Arribado - mortalidad)'!V88</f>
        <v>0</v>
      </c>
      <c r="AQ76" s="154">
        <f>'Acuario (Arribado - mortalidad)'!W88</f>
        <v>0</v>
      </c>
      <c r="AR76" s="154">
        <f>'Acuario (Arribado - mortalidad)'!X88</f>
        <v>0</v>
      </c>
      <c r="AS76" s="154">
        <f>'Acuario (Arribado - mortalidad)'!Y88</f>
        <v>0</v>
      </c>
      <c r="AT76" s="154">
        <f>'Acuario (Arribado - mortalidad)'!Z88</f>
        <v>0</v>
      </c>
      <c r="AU76" s="154">
        <f>'Acuario (Arribado - mortalidad)'!AA88</f>
        <v>0</v>
      </c>
      <c r="AV76" s="154">
        <f>'Acuario (Arribado - mortalidad)'!AB88</f>
        <v>0</v>
      </c>
      <c r="AW76" s="154">
        <f>'Acuario (Arribado - mortalidad)'!AC88</f>
        <v>0</v>
      </c>
      <c r="AX76" s="154">
        <f>'Acuario (Arribado - mortalidad)'!AD88</f>
        <v>0</v>
      </c>
      <c r="AY76" s="154">
        <f>'Acuario (Arribado - mortalidad)'!AE88</f>
        <v>0</v>
      </c>
      <c r="AZ76" s="154">
        <f>'Acuario (Arribado - mortalidad)'!AF88</f>
        <v>0</v>
      </c>
      <c r="BA76" s="154">
        <f>'Acuario (Arribado - mortalidad)'!AG88</f>
        <v>0</v>
      </c>
      <c r="BB76" s="154">
        <f>'Acuario (Arribado - mortalidad)'!AH88</f>
        <v>0</v>
      </c>
      <c r="BC76" s="154">
        <f>'Acuario (Arribado - mortalidad)'!AI88</f>
        <v>0</v>
      </c>
      <c r="BD76" s="154">
        <f>'Acuario (Arribado - mortalidad)'!AJ88</f>
        <v>0</v>
      </c>
      <c r="BE76" s="154">
        <f>'Acuario (Arribado - mortalidad)'!AK88</f>
        <v>0</v>
      </c>
      <c r="BF76" s="154">
        <f>'Acuario (Arribado - mortalidad)'!AL88</f>
        <v>0</v>
      </c>
      <c r="BG76" s="154">
        <f>'Acuario (Arribado - mortalidad)'!AM88</f>
        <v>0</v>
      </c>
      <c r="BH76" s="154">
        <f>'Acuario (Arribado - mortalidad)'!AN88</f>
        <v>0</v>
      </c>
      <c r="BI76" s="154">
        <f>'Acuario (Arribado - mortalidad)'!AO88</f>
        <v>0</v>
      </c>
      <c r="BJ76" s="154">
        <f>'Acuario (Arribado - mortalidad)'!AP88</f>
        <v>0</v>
      </c>
      <c r="BK76" s="154">
        <f>'Acuario (Arribado - mortalidad)'!AQ88</f>
        <v>0</v>
      </c>
      <c r="BL76" s="154">
        <f>'Acuario (Arribado - mortalidad)'!AR88</f>
        <v>0</v>
      </c>
      <c r="BM76" s="154" t="str">
        <f>'Acuario (Arribado - mortalidad)'!AS88</f>
        <v/>
      </c>
      <c r="BN76" s="154">
        <f>'Acuario (Arribado - mortalidad)'!AT88</f>
        <v>0</v>
      </c>
      <c r="BO76" s="154">
        <f>'Acuario (Arribado - mortalidad)'!AU88</f>
        <v>0</v>
      </c>
      <c r="BP76" s="154">
        <f>'Acuario (Arribado - mortalidad)'!AV88</f>
        <v>0</v>
      </c>
      <c r="BQ76" s="154" t="str">
        <f>'Acuario (Arribado - mortalidad)'!AW88</f>
        <v/>
      </c>
      <c r="BR76" s="154">
        <f>'Acuario (Arribado - mortalidad)'!AX88</f>
        <v>0</v>
      </c>
      <c r="BS76" s="154">
        <f>'Acuario (Arribado - mortalidad)'!AY88</f>
        <v>0</v>
      </c>
      <c r="BT76" s="154" t="str">
        <f>'Acuario (Arribado - mortalidad)'!AZ88</f>
        <v/>
      </c>
      <c r="BU76" s="154" t="str">
        <f>'Acuario (Arribado - mortalidad)'!BA88</f>
        <v/>
      </c>
      <c r="BV76" s="154" t="str">
        <f>'Acuario (Arribado - mortalidad)'!BB88</f>
        <v/>
      </c>
      <c r="BW76" s="154" t="str">
        <f>'Acuario (Arribado - mortalidad)'!BC88</f>
        <v/>
      </c>
      <c r="BX76" s="154">
        <f>'Acuario (Arribado - mortalidad)'!BD88</f>
        <v>0</v>
      </c>
      <c r="BY76" s="154" t="str">
        <f>'Acuario (Arribado - mortalidad)'!BE88</f>
        <v/>
      </c>
      <c r="BZ76" s="23" t="str">
        <f>'Acuario (Arribado - mortalidad)'!BF88</f>
        <v/>
      </c>
    </row>
    <row r="77" spans="1:78" x14ac:dyDescent="0.25">
      <c r="A77" s="154" t="str">
        <f>IF(U77&lt;&gt;0,'ORDEN DE CUARENTENA'!$AE$2,"")</f>
        <v/>
      </c>
      <c r="B77" s="190" t="str">
        <f>IF(U77&lt;&gt;0,'ORDEN DE CUARENTENA'!$AE$3,"")</f>
        <v/>
      </c>
      <c r="C77" s="174" t="str">
        <f t="shared" si="2"/>
        <v/>
      </c>
      <c r="D77" s="329" t="str">
        <f>IF(U77&lt;&gt;0,'ORDEN DE CUARENTENA'!$I$6,"")</f>
        <v/>
      </c>
      <c r="E77" s="174" t="str">
        <f>IF(U77&lt;&gt;0,TEXT('ORDEN DE CUARENTENA'!$I$6,"aaa"),"")</f>
        <v/>
      </c>
      <c r="F77" s="173" t="str">
        <f>IF(U77&lt;&gt;0,TEXT('ORDEN DE CUARENTENA'!$I$6,"dd"),"")</f>
        <v/>
      </c>
      <c r="G77" s="172" t="str">
        <f>IF(U77&lt;&gt;0,TEXT('ORDEN DE CUARENTENA'!$I$6,"mm"),"")</f>
        <v/>
      </c>
      <c r="H77" s="171" t="str">
        <f>IF(U77&lt;&gt;0,TEXT('ORDEN DE CUARENTENA'!$I$6,"yyyy"),"")</f>
        <v/>
      </c>
      <c r="I77" s="154" t="str">
        <f>IF(U77&lt;&gt;0,'ORDEN DE CUARENTENA'!$H$7,"")</f>
        <v/>
      </c>
      <c r="J77" s="154" t="str">
        <f>IF(U77&lt;&gt;0,'ORDEN DE CUARENTENA'!$H$9,"")</f>
        <v/>
      </c>
      <c r="K77" s="154" t="str">
        <f>IF(U77&lt;&gt;0,'ORDEN DE CUARENTENA'!$Q$9,"")</f>
        <v/>
      </c>
      <c r="L77" s="154" t="str">
        <f>IFERROR(VLOOKUP(U77,Item[],4,FALSE),IFERROR(VLOOKUP(U77,Item2[],4,FALSE),""))</f>
        <v/>
      </c>
      <c r="M77" s="154" t="str">
        <f>IFERROR(VLOOKUP(U77,Item[],5,FALSE),IFERROR(VLOOKUP(U77,Item2[],5,FALSE),""))</f>
        <v/>
      </c>
      <c r="N77" s="154" t="str">
        <f>IFERROR(VLOOKUP(W77,SuscepEARs[],2,FALSE),"")</f>
        <v/>
      </c>
      <c r="O77" s="154" t="str">
        <f>IFERROR(VLOOKUP(DatosAll[[#This Row],[ESPECIE]],CITES[],2,FALSE),"")</f>
        <v/>
      </c>
      <c r="P77" s="154">
        <f>IFERROR(VLOOKUP(T77,Hallazgo[],2,FALSE),"")</f>
        <v>0</v>
      </c>
      <c r="Q77" s="154">
        <f>IFERROR(VLOOKUP(T77,Hallazgo[],3,FALSE),"")</f>
        <v>0</v>
      </c>
      <c r="R77" s="154">
        <f>IFERROR(VLOOKUP(T77,Hallazgo[],4,FALSE),"")</f>
        <v>0</v>
      </c>
      <c r="S77" s="154">
        <f>IFERROR(VLOOKUP(T77,Hallazgo[],5,FALSE),"")</f>
        <v>0</v>
      </c>
      <c r="T77" s="154">
        <f>'Acuario (Arribado - mortalidad)'!C89</f>
        <v>0</v>
      </c>
      <c r="U77" s="154">
        <f>'Acuario (Arribado - mortalidad)'!B89</f>
        <v>0</v>
      </c>
      <c r="V77" s="154" t="str">
        <f>'Acuario (Arribado - mortalidad)'!D89</f>
        <v/>
      </c>
      <c r="W77" s="154" t="str">
        <f>'Acuario (Arribado - mortalidad)'!E89</f>
        <v/>
      </c>
      <c r="X77" s="154">
        <f>'Acuario (Arribado - mortalidad)'!F89</f>
        <v>0</v>
      </c>
      <c r="Y77" s="154">
        <f>'Acuario (Arribado - mortalidad)'!H89</f>
        <v>0</v>
      </c>
      <c r="Z77" s="154">
        <f>'Acuario (Arribado - mortalidad)'!I89</f>
        <v>0</v>
      </c>
      <c r="AA77" s="154">
        <f>'Acuario (Arribado - mortalidad)'!J89</f>
        <v>0</v>
      </c>
      <c r="AB77" s="154" t="str">
        <f>'Acuario (Arribado - mortalidad)'!K89</f>
        <v/>
      </c>
      <c r="AC77" s="334" t="str">
        <f>IFERROR(('Acuario (Arribado - mortalidad)'!K89/DatosAll[[#This Row],[N_INDIVIDUOS]])*100,"")</f>
        <v/>
      </c>
      <c r="AD77" s="334" t="str">
        <f>IFERROR(('Acuario (Arribado - mortalidad)'!O89/DatosAll[[#This Row],[N_INDIVIDUOS]])*100,"")</f>
        <v/>
      </c>
      <c r="AE77" s="334" t="str">
        <f>IFERROR(('Acuario (Arribado - mortalidad)'!BG89/DatosAll[[#This Row],[N_INDIVIDUOS]])*100,"")</f>
        <v/>
      </c>
      <c r="AF77" s="334" t="str">
        <f>IFERROR(('Acuario (Arribado - mortalidad)'!BH89/DatosAll[[#This Row],[N_INDIVIDUOS]])*100,"")</f>
        <v/>
      </c>
      <c r="AG77" s="154">
        <f>'Acuario (Arribado - mortalidad)'!M89</f>
        <v>0</v>
      </c>
      <c r="AH77" s="154" t="str">
        <f>'Acuario (Arribado - mortalidad)'!G89</f>
        <v/>
      </c>
      <c r="AI77" s="154">
        <f>'Acuario (Arribado - mortalidad)'!O89</f>
        <v>0</v>
      </c>
      <c r="AJ77" s="154">
        <f>'Acuario (Arribado - mortalidad)'!P89</f>
        <v>0</v>
      </c>
      <c r="AK77" s="154">
        <f>'Acuario (Arribado - mortalidad)'!Q89</f>
        <v>0</v>
      </c>
      <c r="AL77" s="154">
        <f>'Acuario (Arribado - mortalidad)'!R89</f>
        <v>0</v>
      </c>
      <c r="AM77" s="154">
        <f>'Acuario (Arribado - mortalidad)'!S89</f>
        <v>0</v>
      </c>
      <c r="AN77" s="154">
        <f>'Acuario (Arribado - mortalidad)'!T89</f>
        <v>0</v>
      </c>
      <c r="AO77" s="154">
        <f>'Acuario (Arribado - mortalidad)'!U89</f>
        <v>0</v>
      </c>
      <c r="AP77" s="154">
        <f>'Acuario (Arribado - mortalidad)'!V89</f>
        <v>0</v>
      </c>
      <c r="AQ77" s="154">
        <f>'Acuario (Arribado - mortalidad)'!W89</f>
        <v>0</v>
      </c>
      <c r="AR77" s="154">
        <f>'Acuario (Arribado - mortalidad)'!X89</f>
        <v>0</v>
      </c>
      <c r="AS77" s="154">
        <f>'Acuario (Arribado - mortalidad)'!Y89</f>
        <v>0</v>
      </c>
      <c r="AT77" s="154">
        <f>'Acuario (Arribado - mortalidad)'!Z89</f>
        <v>0</v>
      </c>
      <c r="AU77" s="154">
        <f>'Acuario (Arribado - mortalidad)'!AA89</f>
        <v>0</v>
      </c>
      <c r="AV77" s="154">
        <f>'Acuario (Arribado - mortalidad)'!AB89</f>
        <v>0</v>
      </c>
      <c r="AW77" s="154">
        <f>'Acuario (Arribado - mortalidad)'!AC89</f>
        <v>0</v>
      </c>
      <c r="AX77" s="154">
        <f>'Acuario (Arribado - mortalidad)'!AD89</f>
        <v>0</v>
      </c>
      <c r="AY77" s="154">
        <f>'Acuario (Arribado - mortalidad)'!AE89</f>
        <v>0</v>
      </c>
      <c r="AZ77" s="154">
        <f>'Acuario (Arribado - mortalidad)'!AF89</f>
        <v>0</v>
      </c>
      <c r="BA77" s="154">
        <f>'Acuario (Arribado - mortalidad)'!AG89</f>
        <v>0</v>
      </c>
      <c r="BB77" s="154">
        <f>'Acuario (Arribado - mortalidad)'!AH89</f>
        <v>0</v>
      </c>
      <c r="BC77" s="154">
        <f>'Acuario (Arribado - mortalidad)'!AI89</f>
        <v>0</v>
      </c>
      <c r="BD77" s="154">
        <f>'Acuario (Arribado - mortalidad)'!AJ89</f>
        <v>0</v>
      </c>
      <c r="BE77" s="154">
        <f>'Acuario (Arribado - mortalidad)'!AK89</f>
        <v>0</v>
      </c>
      <c r="BF77" s="154">
        <f>'Acuario (Arribado - mortalidad)'!AL89</f>
        <v>0</v>
      </c>
      <c r="BG77" s="154">
        <f>'Acuario (Arribado - mortalidad)'!AM89</f>
        <v>0</v>
      </c>
      <c r="BH77" s="154">
        <f>'Acuario (Arribado - mortalidad)'!AN89</f>
        <v>0</v>
      </c>
      <c r="BI77" s="154">
        <f>'Acuario (Arribado - mortalidad)'!AO89</f>
        <v>0</v>
      </c>
      <c r="BJ77" s="154">
        <f>'Acuario (Arribado - mortalidad)'!AP89</f>
        <v>0</v>
      </c>
      <c r="BK77" s="154">
        <f>'Acuario (Arribado - mortalidad)'!AQ89</f>
        <v>0</v>
      </c>
      <c r="BL77" s="154">
        <f>'Acuario (Arribado - mortalidad)'!AR89</f>
        <v>0</v>
      </c>
      <c r="BM77" s="154" t="str">
        <f>'Acuario (Arribado - mortalidad)'!AS89</f>
        <v/>
      </c>
      <c r="BN77" s="154">
        <f>'Acuario (Arribado - mortalidad)'!AT89</f>
        <v>0</v>
      </c>
      <c r="BO77" s="154">
        <f>'Acuario (Arribado - mortalidad)'!AU89</f>
        <v>0</v>
      </c>
      <c r="BP77" s="154">
        <f>'Acuario (Arribado - mortalidad)'!AV89</f>
        <v>0</v>
      </c>
      <c r="BQ77" s="154" t="str">
        <f>'Acuario (Arribado - mortalidad)'!AW89</f>
        <v/>
      </c>
      <c r="BR77" s="154">
        <f>'Acuario (Arribado - mortalidad)'!AX89</f>
        <v>0</v>
      </c>
      <c r="BS77" s="154">
        <f>'Acuario (Arribado - mortalidad)'!AY89</f>
        <v>0</v>
      </c>
      <c r="BT77" s="154" t="str">
        <f>'Acuario (Arribado - mortalidad)'!AZ89</f>
        <v/>
      </c>
      <c r="BU77" s="154" t="str">
        <f>'Acuario (Arribado - mortalidad)'!BA89</f>
        <v/>
      </c>
      <c r="BV77" s="154" t="str">
        <f>'Acuario (Arribado - mortalidad)'!BB89</f>
        <v/>
      </c>
      <c r="BW77" s="154" t="str">
        <f>'Acuario (Arribado - mortalidad)'!BC89</f>
        <v/>
      </c>
      <c r="BX77" s="154">
        <f>'Acuario (Arribado - mortalidad)'!BD89</f>
        <v>0</v>
      </c>
      <c r="BY77" s="154" t="str">
        <f>'Acuario (Arribado - mortalidad)'!BE89</f>
        <v/>
      </c>
      <c r="BZ77" s="23" t="str">
        <f>'Acuario (Arribado - mortalidad)'!BF89</f>
        <v/>
      </c>
    </row>
    <row r="78" spans="1:78" x14ac:dyDescent="0.25">
      <c r="A78" s="202" t="str">
        <f>IF(U78&lt;&gt;0,'ORDEN DE CUARENTENA'!$AE$2,"")</f>
        <v/>
      </c>
      <c r="B78" s="197" t="str">
        <f>IF(U78&lt;&gt;0,'ORDEN DE CUARENTENA'!$AE$3,"")</f>
        <v/>
      </c>
      <c r="C78" s="198" t="str">
        <f t="shared" si="2"/>
        <v/>
      </c>
      <c r="D78" s="330" t="str">
        <f>IF(U78&lt;&gt;0,'ORDEN DE CUARENTENA'!$I$6,"")</f>
        <v/>
      </c>
      <c r="E78" s="198" t="str">
        <f>IF(U78&lt;&gt;0,TEXT('ORDEN DE CUARENTENA'!$I$6,"aaa"),"")</f>
        <v/>
      </c>
      <c r="F78" s="199" t="str">
        <f>IF(U78&lt;&gt;0,TEXT('ORDEN DE CUARENTENA'!$I$6,"dd"),"")</f>
        <v/>
      </c>
      <c r="G78" s="200" t="str">
        <f>IF(U78&lt;&gt;0,TEXT('ORDEN DE CUARENTENA'!$I$6,"mm"),"")</f>
        <v/>
      </c>
      <c r="H78" s="201" t="str">
        <f>IF(U78&lt;&gt;0,TEXT('ORDEN DE CUARENTENA'!$I$6,"yyyy"),"")</f>
        <v/>
      </c>
      <c r="I78" s="202" t="str">
        <f>IF(U78&lt;&gt;0,'ORDEN DE CUARENTENA'!$H$7,"")</f>
        <v/>
      </c>
      <c r="J78" s="202" t="str">
        <f>IF(U78&lt;&gt;0,'ORDEN DE CUARENTENA'!$H$9,"")</f>
        <v/>
      </c>
      <c r="K78" s="202" t="str">
        <f>IF(U78&lt;&gt;0,'ORDEN DE CUARENTENA'!$Q$9,"")</f>
        <v/>
      </c>
      <c r="L78" s="202" t="str">
        <f>IFERROR(VLOOKUP(U78,Item[],4,FALSE),IFERROR(VLOOKUP(U78,Item2[],4,FALSE),""))</f>
        <v/>
      </c>
      <c r="M78" s="202" t="str">
        <f>IFERROR(VLOOKUP(U78,Item[],5,FALSE),IFERROR(VLOOKUP(U78,Item2[],5,FALSE),""))</f>
        <v/>
      </c>
      <c r="N78" s="202" t="str">
        <f>IFERROR(VLOOKUP(W78,SuscepEARs[],2,FALSE),"")</f>
        <v/>
      </c>
      <c r="O78" s="202" t="str">
        <f>IFERROR(VLOOKUP(DatosAll[[#This Row],[ESPECIE]],CITES[],2,FALSE),"")</f>
        <v/>
      </c>
      <c r="P78" s="202">
        <f>IFERROR(VLOOKUP(T78,Hallazgo[],2,FALSE),"")</f>
        <v>0</v>
      </c>
      <c r="Q78" s="202">
        <f>IFERROR(VLOOKUP(T78,Hallazgo[],3,FALSE),"")</f>
        <v>0</v>
      </c>
      <c r="R78" s="202">
        <f>IFERROR(VLOOKUP(T78,Hallazgo[],4,FALSE),"")</f>
        <v>0</v>
      </c>
      <c r="S78" s="202">
        <f>IFERROR(VLOOKUP(T78,Hallazgo[],5,FALSE),"")</f>
        <v>0</v>
      </c>
      <c r="T78" s="202">
        <f>'Acuario (Arribado - mortalidad)'!C90</f>
        <v>0</v>
      </c>
      <c r="U78" s="202">
        <f>'Acuario (Arribado - mortalidad)'!B90</f>
        <v>0</v>
      </c>
      <c r="V78" s="202" t="str">
        <f>'Acuario (Arribado - mortalidad)'!D90</f>
        <v/>
      </c>
      <c r="W78" s="202" t="str">
        <f>'Acuario (Arribado - mortalidad)'!E90</f>
        <v/>
      </c>
      <c r="X78" s="202">
        <f>'Acuario (Arribado - mortalidad)'!F90</f>
        <v>0</v>
      </c>
      <c r="Y78" s="202">
        <f>'Acuario (Arribado - mortalidad)'!H90</f>
        <v>0</v>
      </c>
      <c r="Z78" s="202">
        <f>'Acuario (Arribado - mortalidad)'!I90</f>
        <v>0</v>
      </c>
      <c r="AA78" s="154">
        <f>'Acuario (Arribado - mortalidad)'!J90</f>
        <v>0</v>
      </c>
      <c r="AB78" s="202" t="str">
        <f>'Acuario (Arribado - mortalidad)'!K90</f>
        <v/>
      </c>
      <c r="AC78" s="335" t="str">
        <f>IFERROR(('Acuario (Arribado - mortalidad)'!K90/DatosAll[[#This Row],[N_INDIVIDUOS]])*100,"")</f>
        <v/>
      </c>
      <c r="AD78" s="335" t="str">
        <f>IFERROR(('Acuario (Arribado - mortalidad)'!O90/DatosAll[[#This Row],[N_INDIVIDUOS]])*100,"")</f>
        <v/>
      </c>
      <c r="AE78" s="335" t="str">
        <f>IFERROR(('Acuario (Arribado - mortalidad)'!BG90/DatosAll[[#This Row],[N_INDIVIDUOS]])*100,"")</f>
        <v/>
      </c>
      <c r="AF78" s="335" t="str">
        <f>IFERROR(('Acuario (Arribado - mortalidad)'!BH90/DatosAll[[#This Row],[N_INDIVIDUOS]])*100,"")</f>
        <v/>
      </c>
      <c r="AG78" s="202">
        <f>'Acuario (Arribado - mortalidad)'!M90</f>
        <v>0</v>
      </c>
      <c r="AH78" s="202" t="str">
        <f>'Acuario (Arribado - mortalidad)'!G90</f>
        <v/>
      </c>
      <c r="AI78" s="202">
        <f>'Acuario (Arribado - mortalidad)'!O90</f>
        <v>0</v>
      </c>
      <c r="AJ78" s="202">
        <f>'Acuario (Arribado - mortalidad)'!P90</f>
        <v>0</v>
      </c>
      <c r="AK78" s="202">
        <f>'Acuario (Arribado - mortalidad)'!Q90</f>
        <v>0</v>
      </c>
      <c r="AL78" s="202">
        <f>'Acuario (Arribado - mortalidad)'!R90</f>
        <v>0</v>
      </c>
      <c r="AM78" s="202">
        <f>'Acuario (Arribado - mortalidad)'!S90</f>
        <v>0</v>
      </c>
      <c r="AN78" s="202">
        <f>'Acuario (Arribado - mortalidad)'!T90</f>
        <v>0</v>
      </c>
      <c r="AO78" s="202">
        <f>'Acuario (Arribado - mortalidad)'!U90</f>
        <v>0</v>
      </c>
      <c r="AP78" s="202">
        <f>'Acuario (Arribado - mortalidad)'!V90</f>
        <v>0</v>
      </c>
      <c r="AQ78" s="202">
        <f>'Acuario (Arribado - mortalidad)'!W90</f>
        <v>0</v>
      </c>
      <c r="AR78" s="202">
        <f>'Acuario (Arribado - mortalidad)'!X90</f>
        <v>0</v>
      </c>
      <c r="AS78" s="202">
        <f>'Acuario (Arribado - mortalidad)'!Y90</f>
        <v>0</v>
      </c>
      <c r="AT78" s="202">
        <f>'Acuario (Arribado - mortalidad)'!Z90</f>
        <v>0</v>
      </c>
      <c r="AU78" s="202">
        <f>'Acuario (Arribado - mortalidad)'!AA90</f>
        <v>0</v>
      </c>
      <c r="AV78" s="202">
        <f>'Acuario (Arribado - mortalidad)'!AB90</f>
        <v>0</v>
      </c>
      <c r="AW78" s="202">
        <f>'Acuario (Arribado - mortalidad)'!AC90</f>
        <v>0</v>
      </c>
      <c r="AX78" s="202">
        <f>'Acuario (Arribado - mortalidad)'!AD90</f>
        <v>0</v>
      </c>
      <c r="AY78" s="202">
        <f>'Acuario (Arribado - mortalidad)'!AE90</f>
        <v>0</v>
      </c>
      <c r="AZ78" s="202">
        <f>'Acuario (Arribado - mortalidad)'!AF90</f>
        <v>0</v>
      </c>
      <c r="BA78" s="202">
        <f>'Acuario (Arribado - mortalidad)'!AG90</f>
        <v>0</v>
      </c>
      <c r="BB78" s="202">
        <f>'Acuario (Arribado - mortalidad)'!AH90</f>
        <v>0</v>
      </c>
      <c r="BC78" s="202">
        <f>'Acuario (Arribado - mortalidad)'!AI90</f>
        <v>0</v>
      </c>
      <c r="BD78" s="202">
        <f>'Acuario (Arribado - mortalidad)'!AJ90</f>
        <v>0</v>
      </c>
      <c r="BE78" s="202">
        <f>'Acuario (Arribado - mortalidad)'!AK90</f>
        <v>0</v>
      </c>
      <c r="BF78" s="202">
        <f>'Acuario (Arribado - mortalidad)'!AL90</f>
        <v>0</v>
      </c>
      <c r="BG78" s="202">
        <f>'Acuario (Arribado - mortalidad)'!AM90</f>
        <v>0</v>
      </c>
      <c r="BH78" s="202">
        <f>'Acuario (Arribado - mortalidad)'!AN90</f>
        <v>0</v>
      </c>
      <c r="BI78" s="202">
        <f>'Acuario (Arribado - mortalidad)'!AO90</f>
        <v>0</v>
      </c>
      <c r="BJ78" s="202">
        <f>'Acuario (Arribado - mortalidad)'!AP90</f>
        <v>0</v>
      </c>
      <c r="BK78" s="202">
        <f>'Acuario (Arribado - mortalidad)'!AQ90</f>
        <v>0</v>
      </c>
      <c r="BL78" s="202">
        <f>'Acuario (Arribado - mortalidad)'!AR90</f>
        <v>0</v>
      </c>
      <c r="BM78" s="202" t="str">
        <f>'Acuario (Arribado - mortalidad)'!AS90</f>
        <v/>
      </c>
      <c r="BN78" s="202">
        <f>'Acuario (Arribado - mortalidad)'!AT90</f>
        <v>0</v>
      </c>
      <c r="BO78" s="202">
        <f>'Acuario (Arribado - mortalidad)'!AU90</f>
        <v>0</v>
      </c>
      <c r="BP78" s="202">
        <f>'Acuario (Arribado - mortalidad)'!AV90</f>
        <v>0</v>
      </c>
      <c r="BQ78" s="202" t="str">
        <f>'Acuario (Arribado - mortalidad)'!AW90</f>
        <v/>
      </c>
      <c r="BR78" s="202">
        <f>'Acuario (Arribado - mortalidad)'!AX90</f>
        <v>0</v>
      </c>
      <c r="BS78" s="202">
        <f>'Acuario (Arribado - mortalidad)'!AY90</f>
        <v>0</v>
      </c>
      <c r="BT78" s="202" t="str">
        <f>'Acuario (Arribado - mortalidad)'!AZ90</f>
        <v/>
      </c>
      <c r="BU78" s="202" t="str">
        <f>'Acuario (Arribado - mortalidad)'!BA90</f>
        <v/>
      </c>
      <c r="BV78" s="202" t="str">
        <f>'Acuario (Arribado - mortalidad)'!BB90</f>
        <v/>
      </c>
      <c r="BW78" s="202" t="str">
        <f>'Acuario (Arribado - mortalidad)'!BC90</f>
        <v/>
      </c>
      <c r="BX78" s="202">
        <f>'Acuario (Arribado - mortalidad)'!BD90</f>
        <v>0</v>
      </c>
      <c r="BY78" s="202" t="str">
        <f>'Acuario (Arribado - mortalidad)'!BE90</f>
        <v/>
      </c>
      <c r="BZ78" s="203" t="str">
        <f>'Acuario (Arribado - mortalidad)'!BF90</f>
        <v/>
      </c>
    </row>
    <row r="79" spans="1:78" x14ac:dyDescent="0.25">
      <c r="A79" s="202"/>
      <c r="B79" s="197" t="s">
        <v>10116</v>
      </c>
      <c r="C79" s="202"/>
      <c r="D79" s="330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>
        <f>SUBTOTAL(101,DatosAll[N_INDIVIDUOS])</f>
        <v>0</v>
      </c>
      <c r="Y79" s="202"/>
      <c r="Z79" s="202"/>
      <c r="AA79" s="202"/>
      <c r="AB79" s="202"/>
      <c r="AC79" s="336" t="e">
        <f>SUBTOTAL(101,DatosAll[MORTALIDAD])</f>
        <v>#DIV/0!</v>
      </c>
      <c r="AD79" s="337" t="e">
        <f>SUBTOTAL(101,DatosAll[MORT_DIA1])</f>
        <v>#DIV/0!</v>
      </c>
      <c r="AE79" s="337"/>
      <c r="AF79" s="337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3">
        <f>SUBTOTAL(103,DatosAll[NOM_EVENTO_ALL])</f>
        <v>77</v>
      </c>
    </row>
    <row r="39557" spans="9:9" x14ac:dyDescent="0.25">
      <c r="I39557" s="17" t="s">
        <v>10305</v>
      </c>
    </row>
  </sheetData>
  <sheetProtection password="CCA7" sheet="1" objects="1" scenarios="1"/>
  <pageMargins left="0.70866141732283472" right="0.70866141732283472" top="0.74803149606299213" bottom="0.74803149606299213" header="0.31496062992125984" footer="0.31496062992125984"/>
  <pageSetup paperSize="9" scale="21" orientation="portrait" r:id="rId1"/>
  <colBreaks count="2" manualBreakCount="2">
    <brk id="17" max="1048575" man="1"/>
    <brk id="61" max="1048575" man="1"/>
  </colBreaks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AO154"/>
  <sheetViews>
    <sheetView view="pageBreakPreview" zoomScaleNormal="100" zoomScaleSheetLayoutView="100" workbookViewId="0">
      <selection activeCell="W6" sqref="W6"/>
    </sheetView>
  </sheetViews>
  <sheetFormatPr baseColWidth="10" defaultRowHeight="15" x14ac:dyDescent="0.25"/>
  <cols>
    <col min="2" max="3" width="7.5703125" hidden="1" customWidth="1"/>
    <col min="4" max="5" width="24.28515625" hidden="1" customWidth="1"/>
    <col min="6" max="6" width="8.42578125" hidden="1" customWidth="1"/>
    <col min="7" max="8" width="8.85546875" hidden="1" customWidth="1"/>
    <col min="9" max="38" width="6.42578125" hidden="1" customWidth="1"/>
    <col min="39" max="39" width="2.5703125" customWidth="1"/>
    <col min="40" max="40" width="14.5703125" customWidth="1"/>
    <col min="41" max="41" width="6.5703125" style="17" customWidth="1"/>
  </cols>
  <sheetData>
    <row r="1" spans="2:41" x14ac:dyDescent="0.25">
      <c r="AN1" s="121" t="s">
        <v>7806</v>
      </c>
      <c r="AO1" s="17">
        <v>0</v>
      </c>
    </row>
    <row r="2" spans="2:41" x14ac:dyDescent="0.25">
      <c r="AN2" s="121" t="s">
        <v>7808</v>
      </c>
    </row>
    <row r="3" spans="2:41" ht="18.75" customHeight="1" x14ac:dyDescent="0.25">
      <c r="B3" s="28" t="s">
        <v>7806</v>
      </c>
      <c r="C3" s="131" t="s">
        <v>7807</v>
      </c>
      <c r="D3" s="132" t="s">
        <v>7811</v>
      </c>
      <c r="E3" s="132" t="s">
        <v>7808</v>
      </c>
      <c r="F3" s="127" t="s">
        <v>7825</v>
      </c>
      <c r="G3" s="128" t="s">
        <v>7809</v>
      </c>
      <c r="H3" s="128" t="s">
        <v>7812</v>
      </c>
      <c r="I3" s="18">
        <v>1</v>
      </c>
      <c r="J3" s="18">
        <v>2</v>
      </c>
      <c r="K3" s="18">
        <v>3</v>
      </c>
      <c r="L3" s="18">
        <v>4</v>
      </c>
      <c r="M3" s="18">
        <v>5</v>
      </c>
      <c r="N3" s="18">
        <v>6</v>
      </c>
      <c r="O3" s="18">
        <v>7</v>
      </c>
      <c r="P3" s="18">
        <v>8</v>
      </c>
      <c r="Q3" s="18">
        <v>9</v>
      </c>
      <c r="R3" s="18">
        <v>10</v>
      </c>
      <c r="S3" s="18">
        <v>11</v>
      </c>
      <c r="T3" s="18">
        <v>12</v>
      </c>
      <c r="U3" s="18">
        <v>13</v>
      </c>
      <c r="V3" s="18">
        <v>14</v>
      </c>
      <c r="W3" s="18">
        <v>15</v>
      </c>
      <c r="X3" s="18">
        <v>16</v>
      </c>
      <c r="Y3" s="18">
        <v>17</v>
      </c>
      <c r="Z3" s="18">
        <v>18</v>
      </c>
      <c r="AA3" s="18">
        <v>19</v>
      </c>
      <c r="AB3" s="18">
        <v>20</v>
      </c>
      <c r="AC3" s="18">
        <v>21</v>
      </c>
      <c r="AD3" s="18">
        <v>22</v>
      </c>
      <c r="AE3" s="18">
        <v>23</v>
      </c>
      <c r="AF3" s="18">
        <v>24</v>
      </c>
      <c r="AG3" s="18">
        <v>25</v>
      </c>
      <c r="AH3" s="18">
        <v>26</v>
      </c>
      <c r="AI3" s="18">
        <v>27</v>
      </c>
      <c r="AJ3" s="18">
        <v>28</v>
      </c>
      <c r="AK3" s="18">
        <v>29</v>
      </c>
      <c r="AL3" s="18">
        <v>30</v>
      </c>
    </row>
    <row r="4" spans="2:41" x14ac:dyDescent="0.25">
      <c r="B4" s="71">
        <f>'Acuario (Arribado - mortalidad)'!C14</f>
        <v>0</v>
      </c>
      <c r="C4" s="71">
        <f>'Acuario (Arribado - mortalidad)'!B14</f>
        <v>0</v>
      </c>
      <c r="D4" s="71" t="str">
        <f>'Acuario (Arribado - mortalidad)'!D14</f>
        <v/>
      </c>
      <c r="E4" s="71" t="str">
        <f>'Acuario (Arribado - mortalidad)'!E14</f>
        <v/>
      </c>
      <c r="F4" s="71">
        <f>'Acuario (Arribado - mortalidad)'!F14</f>
        <v>0</v>
      </c>
      <c r="G4" s="71" t="str">
        <f>'Acuario (Arribado - mortalidad)'!K14</f>
        <v/>
      </c>
      <c r="H4" s="71" t="str">
        <f>'Acuario (Arribado - mortalidad)'!G14</f>
        <v/>
      </c>
      <c r="I4" s="71">
        <f>'Acuario (Arribado - mortalidad)'!O14</f>
        <v>0</v>
      </c>
      <c r="J4" s="71">
        <f>'Acuario (Arribado - mortalidad)'!P14</f>
        <v>0</v>
      </c>
      <c r="K4" s="71">
        <f>'Acuario (Arribado - mortalidad)'!Q14</f>
        <v>0</v>
      </c>
      <c r="L4" s="71">
        <f>'Acuario (Arribado - mortalidad)'!R14</f>
        <v>0</v>
      </c>
      <c r="M4" s="71">
        <f>'Acuario (Arribado - mortalidad)'!S14</f>
        <v>0</v>
      </c>
      <c r="N4" s="71">
        <f>'Acuario (Arribado - mortalidad)'!T14</f>
        <v>0</v>
      </c>
      <c r="O4" s="71">
        <f>'Acuario (Arribado - mortalidad)'!U14</f>
        <v>0</v>
      </c>
      <c r="P4" s="71">
        <f>'Acuario (Arribado - mortalidad)'!V14</f>
        <v>0</v>
      </c>
      <c r="Q4" s="71">
        <f>'Acuario (Arribado - mortalidad)'!W14</f>
        <v>0</v>
      </c>
      <c r="R4" s="71">
        <f>'Acuario (Arribado - mortalidad)'!X14</f>
        <v>0</v>
      </c>
      <c r="S4" s="71">
        <f>'Acuario (Arribado - mortalidad)'!Y14</f>
        <v>0</v>
      </c>
      <c r="T4" s="71">
        <f>'Acuario (Arribado - mortalidad)'!Z14</f>
        <v>0</v>
      </c>
      <c r="U4" s="71">
        <f>'Acuario (Arribado - mortalidad)'!AA14</f>
        <v>0</v>
      </c>
      <c r="V4" s="71">
        <f>'Acuario (Arribado - mortalidad)'!AB14</f>
        <v>0</v>
      </c>
      <c r="W4" s="71">
        <f>'Acuario (Arribado - mortalidad)'!AC14</f>
        <v>0</v>
      </c>
      <c r="X4" s="71">
        <f>'Acuario (Arribado - mortalidad)'!AD14</f>
        <v>0</v>
      </c>
      <c r="Y4" s="71">
        <f>'Acuario (Arribado - mortalidad)'!AE14</f>
        <v>0</v>
      </c>
      <c r="Z4" s="71">
        <f>'Acuario (Arribado - mortalidad)'!AF14</f>
        <v>0</v>
      </c>
      <c r="AA4" s="71">
        <f>'Acuario (Arribado - mortalidad)'!AG14</f>
        <v>0</v>
      </c>
      <c r="AB4" s="71">
        <f>'Acuario (Arribado - mortalidad)'!AH14</f>
        <v>0</v>
      </c>
      <c r="AC4" s="71">
        <f>'Acuario (Arribado - mortalidad)'!AI14</f>
        <v>0</v>
      </c>
      <c r="AD4" s="71">
        <f>'Acuario (Arribado - mortalidad)'!AJ14</f>
        <v>0</v>
      </c>
      <c r="AE4" s="71">
        <f>'Acuario (Arribado - mortalidad)'!AK14</f>
        <v>0</v>
      </c>
      <c r="AF4" s="71">
        <f>'Acuario (Arribado - mortalidad)'!AL14</f>
        <v>0</v>
      </c>
      <c r="AG4" s="71">
        <f>'Acuario (Arribado - mortalidad)'!AM14</f>
        <v>0</v>
      </c>
      <c r="AH4" s="71">
        <f>'Acuario (Arribado - mortalidad)'!AN14</f>
        <v>0</v>
      </c>
      <c r="AI4" s="71">
        <f>'Acuario (Arribado - mortalidad)'!AO14</f>
        <v>0</v>
      </c>
      <c r="AJ4" s="71">
        <f>'Acuario (Arribado - mortalidad)'!AP14</f>
        <v>0</v>
      </c>
      <c r="AK4" s="71">
        <f>'Acuario (Arribado - mortalidad)'!AQ14</f>
        <v>0</v>
      </c>
      <c r="AL4" s="71">
        <f>'Acuario (Arribado - mortalidad)'!AR14</f>
        <v>0</v>
      </c>
      <c r="AN4" s="121" t="s">
        <v>8869</v>
      </c>
      <c r="AO4"/>
    </row>
    <row r="5" spans="2:41" x14ac:dyDescent="0.25">
      <c r="B5" s="71">
        <f>'Acuario (Arribado - mortalidad)'!C15</f>
        <v>0</v>
      </c>
      <c r="C5" s="71">
        <f>'Acuario (Arribado - mortalidad)'!B15</f>
        <v>0</v>
      </c>
      <c r="D5" s="71" t="str">
        <f>'Acuario (Arribado - mortalidad)'!D15</f>
        <v/>
      </c>
      <c r="E5" s="71" t="str">
        <f>'Acuario (Arribado - mortalidad)'!E15</f>
        <v/>
      </c>
      <c r="F5" s="71">
        <f>'Acuario (Arribado - mortalidad)'!F15</f>
        <v>0</v>
      </c>
      <c r="G5" s="71" t="str">
        <f>'Acuario (Arribado - mortalidad)'!K15</f>
        <v/>
      </c>
      <c r="H5" s="71" t="str">
        <f>'Acuario (Arribado - mortalidad)'!G15</f>
        <v/>
      </c>
      <c r="I5" s="71">
        <f>'Acuario (Arribado - mortalidad)'!O15</f>
        <v>0</v>
      </c>
      <c r="J5" s="71">
        <f>'Acuario (Arribado - mortalidad)'!P15</f>
        <v>0</v>
      </c>
      <c r="K5" s="71">
        <f>'Acuario (Arribado - mortalidad)'!Q15</f>
        <v>0</v>
      </c>
      <c r="L5" s="71">
        <f>'Acuario (Arribado - mortalidad)'!R15</f>
        <v>0</v>
      </c>
      <c r="M5" s="71">
        <f>'Acuario (Arribado - mortalidad)'!S15</f>
        <v>0</v>
      </c>
      <c r="N5" s="71">
        <f>'Acuario (Arribado - mortalidad)'!T15</f>
        <v>0</v>
      </c>
      <c r="O5" s="71">
        <f>'Acuario (Arribado - mortalidad)'!U15</f>
        <v>0</v>
      </c>
      <c r="P5" s="71">
        <f>'Acuario (Arribado - mortalidad)'!V15</f>
        <v>0</v>
      </c>
      <c r="Q5" s="71">
        <f>'Acuario (Arribado - mortalidad)'!W15</f>
        <v>0</v>
      </c>
      <c r="R5" s="71">
        <f>'Acuario (Arribado - mortalidad)'!X15</f>
        <v>0</v>
      </c>
      <c r="S5" s="71">
        <f>'Acuario (Arribado - mortalidad)'!Y15</f>
        <v>0</v>
      </c>
      <c r="T5" s="71">
        <f>'Acuario (Arribado - mortalidad)'!Z15</f>
        <v>0</v>
      </c>
      <c r="U5" s="71">
        <f>'Acuario (Arribado - mortalidad)'!AA15</f>
        <v>0</v>
      </c>
      <c r="V5" s="71">
        <f>'Acuario (Arribado - mortalidad)'!AB15</f>
        <v>0</v>
      </c>
      <c r="W5" s="71">
        <f>'Acuario (Arribado - mortalidad)'!AC15</f>
        <v>0</v>
      </c>
      <c r="X5" s="71">
        <f>'Acuario (Arribado - mortalidad)'!AD15</f>
        <v>0</v>
      </c>
      <c r="Y5" s="71">
        <f>'Acuario (Arribado - mortalidad)'!AE15</f>
        <v>0</v>
      </c>
      <c r="Z5" s="71">
        <f>'Acuario (Arribado - mortalidad)'!AF15</f>
        <v>0</v>
      </c>
      <c r="AA5" s="71">
        <f>'Acuario (Arribado - mortalidad)'!AG15</f>
        <v>0</v>
      </c>
      <c r="AB5" s="71">
        <f>'Acuario (Arribado - mortalidad)'!AH15</f>
        <v>0</v>
      </c>
      <c r="AC5" s="71">
        <f>'Acuario (Arribado - mortalidad)'!AI15</f>
        <v>0</v>
      </c>
      <c r="AD5" s="71">
        <f>'Acuario (Arribado - mortalidad)'!AJ15</f>
        <v>0</v>
      </c>
      <c r="AE5" s="71">
        <f>'Acuario (Arribado - mortalidad)'!AK15</f>
        <v>0</v>
      </c>
      <c r="AF5" s="71">
        <f>'Acuario (Arribado - mortalidad)'!AL15</f>
        <v>0</v>
      </c>
      <c r="AG5" s="71">
        <f>'Acuario (Arribado - mortalidad)'!AM15</f>
        <v>0</v>
      </c>
      <c r="AH5" s="71">
        <f>'Acuario (Arribado - mortalidad)'!AN15</f>
        <v>0</v>
      </c>
      <c r="AI5" s="71">
        <f>'Acuario (Arribado - mortalidad)'!AO15</f>
        <v>0</v>
      </c>
      <c r="AJ5" s="71">
        <f>'Acuario (Arribado - mortalidad)'!AP15</f>
        <v>0</v>
      </c>
      <c r="AK5" s="71">
        <f>'Acuario (Arribado - mortalidad)'!AQ15</f>
        <v>0</v>
      </c>
      <c r="AL5" s="71">
        <f>'Acuario (Arribado - mortalidad)'!AR15</f>
        <v>0</v>
      </c>
      <c r="AN5" s="122" t="s">
        <v>8854</v>
      </c>
      <c r="AO5" s="929">
        <v>0</v>
      </c>
    </row>
    <row r="6" spans="2:41" x14ac:dyDescent="0.25">
      <c r="B6" s="71">
        <f>'Acuario (Arribado - mortalidad)'!C16</f>
        <v>0</v>
      </c>
      <c r="C6" s="71">
        <f>'Acuario (Arribado - mortalidad)'!B16</f>
        <v>0</v>
      </c>
      <c r="D6" s="71" t="str">
        <f>'Acuario (Arribado - mortalidad)'!D16</f>
        <v/>
      </c>
      <c r="E6" s="71" t="str">
        <f>'Acuario (Arribado - mortalidad)'!E16</f>
        <v/>
      </c>
      <c r="F6" s="71">
        <f>'Acuario (Arribado - mortalidad)'!F16</f>
        <v>0</v>
      </c>
      <c r="G6" s="71" t="str">
        <f>'Acuario (Arribado - mortalidad)'!K16</f>
        <v/>
      </c>
      <c r="H6" s="71" t="str">
        <f>'Acuario (Arribado - mortalidad)'!G16</f>
        <v/>
      </c>
      <c r="I6" s="71">
        <f>'Acuario (Arribado - mortalidad)'!O16</f>
        <v>0</v>
      </c>
      <c r="J6" s="71">
        <f>'Acuario (Arribado - mortalidad)'!P16</f>
        <v>0</v>
      </c>
      <c r="K6" s="71">
        <f>'Acuario (Arribado - mortalidad)'!Q16</f>
        <v>0</v>
      </c>
      <c r="L6" s="71">
        <f>'Acuario (Arribado - mortalidad)'!R16</f>
        <v>0</v>
      </c>
      <c r="M6" s="71">
        <f>'Acuario (Arribado - mortalidad)'!S16</f>
        <v>0</v>
      </c>
      <c r="N6" s="71">
        <f>'Acuario (Arribado - mortalidad)'!T16</f>
        <v>0</v>
      </c>
      <c r="O6" s="71">
        <f>'Acuario (Arribado - mortalidad)'!U16</f>
        <v>0</v>
      </c>
      <c r="P6" s="71">
        <f>'Acuario (Arribado - mortalidad)'!V16</f>
        <v>0</v>
      </c>
      <c r="Q6" s="71">
        <f>'Acuario (Arribado - mortalidad)'!W16</f>
        <v>0</v>
      </c>
      <c r="R6" s="71">
        <f>'Acuario (Arribado - mortalidad)'!X16</f>
        <v>0</v>
      </c>
      <c r="S6" s="71">
        <f>'Acuario (Arribado - mortalidad)'!Y16</f>
        <v>0</v>
      </c>
      <c r="T6" s="71">
        <f>'Acuario (Arribado - mortalidad)'!Z16</f>
        <v>0</v>
      </c>
      <c r="U6" s="71">
        <f>'Acuario (Arribado - mortalidad)'!AA16</f>
        <v>0</v>
      </c>
      <c r="V6" s="71">
        <f>'Acuario (Arribado - mortalidad)'!AB16</f>
        <v>0</v>
      </c>
      <c r="W6" s="71">
        <f>'Acuario (Arribado - mortalidad)'!AC16</f>
        <v>0</v>
      </c>
      <c r="X6" s="71">
        <f>'Acuario (Arribado - mortalidad)'!AD16</f>
        <v>0</v>
      </c>
      <c r="Y6" s="71">
        <f>'Acuario (Arribado - mortalidad)'!AE16</f>
        <v>0</v>
      </c>
      <c r="Z6" s="71">
        <f>'Acuario (Arribado - mortalidad)'!AF16</f>
        <v>0</v>
      </c>
      <c r="AA6" s="71">
        <f>'Acuario (Arribado - mortalidad)'!AG16</f>
        <v>0</v>
      </c>
      <c r="AB6" s="71">
        <f>'Acuario (Arribado - mortalidad)'!AH16</f>
        <v>0</v>
      </c>
      <c r="AC6" s="71">
        <f>'Acuario (Arribado - mortalidad)'!AI16</f>
        <v>0</v>
      </c>
      <c r="AD6" s="71">
        <f>'Acuario (Arribado - mortalidad)'!AJ16</f>
        <v>0</v>
      </c>
      <c r="AE6" s="71">
        <f>'Acuario (Arribado - mortalidad)'!AK16</f>
        <v>0</v>
      </c>
      <c r="AF6" s="71">
        <f>'Acuario (Arribado - mortalidad)'!AL16</f>
        <v>0</v>
      </c>
      <c r="AG6" s="71">
        <f>'Acuario (Arribado - mortalidad)'!AM16</f>
        <v>0</v>
      </c>
      <c r="AH6" s="71">
        <f>'Acuario (Arribado - mortalidad)'!AN16</f>
        <v>0</v>
      </c>
      <c r="AI6" s="71">
        <f>'Acuario (Arribado - mortalidad)'!AO16</f>
        <v>0</v>
      </c>
      <c r="AJ6" s="71">
        <f>'Acuario (Arribado - mortalidad)'!AP16</f>
        <v>0</v>
      </c>
      <c r="AK6" s="71">
        <f>'Acuario (Arribado - mortalidad)'!AQ16</f>
        <v>0</v>
      </c>
      <c r="AL6" s="71">
        <f>'Acuario (Arribado - mortalidad)'!AR16</f>
        <v>0</v>
      </c>
      <c r="AN6" s="122" t="s">
        <v>8855</v>
      </c>
      <c r="AO6" s="929">
        <v>0</v>
      </c>
    </row>
    <row r="7" spans="2:41" x14ac:dyDescent="0.25">
      <c r="B7" s="71">
        <f>'Acuario (Arribado - mortalidad)'!C17</f>
        <v>0</v>
      </c>
      <c r="C7" s="71">
        <f>'Acuario (Arribado - mortalidad)'!B17</f>
        <v>0</v>
      </c>
      <c r="D7" s="71" t="str">
        <f>'Acuario (Arribado - mortalidad)'!D17</f>
        <v/>
      </c>
      <c r="E7" s="71" t="str">
        <f>'Acuario (Arribado - mortalidad)'!E17</f>
        <v/>
      </c>
      <c r="F7" s="71">
        <f>'Acuario (Arribado - mortalidad)'!F17</f>
        <v>0</v>
      </c>
      <c r="G7" s="71" t="str">
        <f>'Acuario (Arribado - mortalidad)'!K17</f>
        <v/>
      </c>
      <c r="H7" s="71" t="str">
        <f>'Acuario (Arribado - mortalidad)'!G17</f>
        <v/>
      </c>
      <c r="I7" s="71">
        <f>'Acuario (Arribado - mortalidad)'!O17</f>
        <v>0</v>
      </c>
      <c r="J7" s="71">
        <f>'Acuario (Arribado - mortalidad)'!P17</f>
        <v>0</v>
      </c>
      <c r="K7" s="71">
        <f>'Acuario (Arribado - mortalidad)'!Q17</f>
        <v>0</v>
      </c>
      <c r="L7" s="71">
        <f>'Acuario (Arribado - mortalidad)'!R17</f>
        <v>0</v>
      </c>
      <c r="M7" s="71">
        <f>'Acuario (Arribado - mortalidad)'!S17</f>
        <v>0</v>
      </c>
      <c r="N7" s="71">
        <f>'Acuario (Arribado - mortalidad)'!T17</f>
        <v>0</v>
      </c>
      <c r="O7" s="71">
        <f>'Acuario (Arribado - mortalidad)'!U17</f>
        <v>0</v>
      </c>
      <c r="P7" s="71">
        <f>'Acuario (Arribado - mortalidad)'!V17</f>
        <v>0</v>
      </c>
      <c r="Q7" s="71">
        <f>'Acuario (Arribado - mortalidad)'!W17</f>
        <v>0</v>
      </c>
      <c r="R7" s="71">
        <f>'Acuario (Arribado - mortalidad)'!X17</f>
        <v>0</v>
      </c>
      <c r="S7" s="71">
        <f>'Acuario (Arribado - mortalidad)'!Y17</f>
        <v>0</v>
      </c>
      <c r="T7" s="71">
        <f>'Acuario (Arribado - mortalidad)'!Z17</f>
        <v>0</v>
      </c>
      <c r="U7" s="71">
        <f>'Acuario (Arribado - mortalidad)'!AA17</f>
        <v>0</v>
      </c>
      <c r="V7" s="71">
        <f>'Acuario (Arribado - mortalidad)'!AB17</f>
        <v>0</v>
      </c>
      <c r="W7" s="71">
        <f>'Acuario (Arribado - mortalidad)'!AC17</f>
        <v>0</v>
      </c>
      <c r="X7" s="71">
        <f>'Acuario (Arribado - mortalidad)'!AD17</f>
        <v>0</v>
      </c>
      <c r="Y7" s="71">
        <f>'Acuario (Arribado - mortalidad)'!AE17</f>
        <v>0</v>
      </c>
      <c r="Z7" s="71">
        <f>'Acuario (Arribado - mortalidad)'!AF17</f>
        <v>0</v>
      </c>
      <c r="AA7" s="71">
        <f>'Acuario (Arribado - mortalidad)'!AG17</f>
        <v>0</v>
      </c>
      <c r="AB7" s="71">
        <f>'Acuario (Arribado - mortalidad)'!AH17</f>
        <v>0</v>
      </c>
      <c r="AC7" s="71">
        <f>'Acuario (Arribado - mortalidad)'!AI17</f>
        <v>0</v>
      </c>
      <c r="AD7" s="71">
        <f>'Acuario (Arribado - mortalidad)'!AJ17</f>
        <v>0</v>
      </c>
      <c r="AE7" s="71">
        <f>'Acuario (Arribado - mortalidad)'!AK17</f>
        <v>0</v>
      </c>
      <c r="AF7" s="71">
        <f>'Acuario (Arribado - mortalidad)'!AL17</f>
        <v>0</v>
      </c>
      <c r="AG7" s="71">
        <f>'Acuario (Arribado - mortalidad)'!AM17</f>
        <v>0</v>
      </c>
      <c r="AH7" s="71">
        <f>'Acuario (Arribado - mortalidad)'!AN17</f>
        <v>0</v>
      </c>
      <c r="AI7" s="71">
        <f>'Acuario (Arribado - mortalidad)'!AO17</f>
        <v>0</v>
      </c>
      <c r="AJ7" s="71">
        <f>'Acuario (Arribado - mortalidad)'!AP17</f>
        <v>0</v>
      </c>
      <c r="AK7" s="71">
        <f>'Acuario (Arribado - mortalidad)'!AQ17</f>
        <v>0</v>
      </c>
      <c r="AL7" s="71">
        <f>'Acuario (Arribado - mortalidad)'!AR17</f>
        <v>0</v>
      </c>
      <c r="AN7" s="122" t="s">
        <v>8856</v>
      </c>
      <c r="AO7" s="929">
        <v>0</v>
      </c>
    </row>
    <row r="8" spans="2:41" x14ac:dyDescent="0.25">
      <c r="B8" s="71">
        <f>'Acuario (Arribado - mortalidad)'!C18</f>
        <v>0</v>
      </c>
      <c r="C8" s="71">
        <f>'Acuario (Arribado - mortalidad)'!B18</f>
        <v>0</v>
      </c>
      <c r="D8" s="71" t="str">
        <f>'Acuario (Arribado - mortalidad)'!D18</f>
        <v/>
      </c>
      <c r="E8" s="71" t="str">
        <f>'Acuario (Arribado - mortalidad)'!E18</f>
        <v/>
      </c>
      <c r="F8" s="71">
        <f>'Acuario (Arribado - mortalidad)'!F18</f>
        <v>0</v>
      </c>
      <c r="G8" s="71" t="str">
        <f>'Acuario (Arribado - mortalidad)'!K18</f>
        <v/>
      </c>
      <c r="H8" s="71" t="str">
        <f>'Acuario (Arribado - mortalidad)'!G18</f>
        <v/>
      </c>
      <c r="I8" s="71">
        <f>'Acuario (Arribado - mortalidad)'!O18</f>
        <v>0</v>
      </c>
      <c r="J8" s="71">
        <f>'Acuario (Arribado - mortalidad)'!P18</f>
        <v>0</v>
      </c>
      <c r="K8" s="71">
        <f>'Acuario (Arribado - mortalidad)'!Q18</f>
        <v>0</v>
      </c>
      <c r="L8" s="71">
        <f>'Acuario (Arribado - mortalidad)'!R18</f>
        <v>0</v>
      </c>
      <c r="M8" s="71">
        <f>'Acuario (Arribado - mortalidad)'!S18</f>
        <v>0</v>
      </c>
      <c r="N8" s="71">
        <f>'Acuario (Arribado - mortalidad)'!T18</f>
        <v>0</v>
      </c>
      <c r="O8" s="71">
        <f>'Acuario (Arribado - mortalidad)'!U18</f>
        <v>0</v>
      </c>
      <c r="P8" s="71">
        <f>'Acuario (Arribado - mortalidad)'!V18</f>
        <v>0</v>
      </c>
      <c r="Q8" s="71">
        <f>'Acuario (Arribado - mortalidad)'!W18</f>
        <v>0</v>
      </c>
      <c r="R8" s="71">
        <f>'Acuario (Arribado - mortalidad)'!X18</f>
        <v>0</v>
      </c>
      <c r="S8" s="71">
        <f>'Acuario (Arribado - mortalidad)'!Y18</f>
        <v>0</v>
      </c>
      <c r="T8" s="71">
        <f>'Acuario (Arribado - mortalidad)'!Z18</f>
        <v>0</v>
      </c>
      <c r="U8" s="71">
        <f>'Acuario (Arribado - mortalidad)'!AA18</f>
        <v>0</v>
      </c>
      <c r="V8" s="71">
        <f>'Acuario (Arribado - mortalidad)'!AB18</f>
        <v>0</v>
      </c>
      <c r="W8" s="71">
        <f>'Acuario (Arribado - mortalidad)'!AC18</f>
        <v>0</v>
      </c>
      <c r="X8" s="71">
        <f>'Acuario (Arribado - mortalidad)'!AD18</f>
        <v>0</v>
      </c>
      <c r="Y8" s="71">
        <f>'Acuario (Arribado - mortalidad)'!AE18</f>
        <v>0</v>
      </c>
      <c r="Z8" s="71">
        <f>'Acuario (Arribado - mortalidad)'!AF18</f>
        <v>0</v>
      </c>
      <c r="AA8" s="71">
        <f>'Acuario (Arribado - mortalidad)'!AG18</f>
        <v>0</v>
      </c>
      <c r="AB8" s="71">
        <f>'Acuario (Arribado - mortalidad)'!AH18</f>
        <v>0</v>
      </c>
      <c r="AC8" s="71">
        <f>'Acuario (Arribado - mortalidad)'!AI18</f>
        <v>0</v>
      </c>
      <c r="AD8" s="71">
        <f>'Acuario (Arribado - mortalidad)'!AJ18</f>
        <v>0</v>
      </c>
      <c r="AE8" s="71">
        <f>'Acuario (Arribado - mortalidad)'!AK18</f>
        <v>0</v>
      </c>
      <c r="AF8" s="71">
        <f>'Acuario (Arribado - mortalidad)'!AL18</f>
        <v>0</v>
      </c>
      <c r="AG8" s="71">
        <f>'Acuario (Arribado - mortalidad)'!AM18</f>
        <v>0</v>
      </c>
      <c r="AH8" s="71">
        <f>'Acuario (Arribado - mortalidad)'!AN18</f>
        <v>0</v>
      </c>
      <c r="AI8" s="71">
        <f>'Acuario (Arribado - mortalidad)'!AO18</f>
        <v>0</v>
      </c>
      <c r="AJ8" s="71">
        <f>'Acuario (Arribado - mortalidad)'!AP18</f>
        <v>0</v>
      </c>
      <c r="AK8" s="71">
        <f>'Acuario (Arribado - mortalidad)'!AQ18</f>
        <v>0</v>
      </c>
      <c r="AL8" s="71">
        <f>'Acuario (Arribado - mortalidad)'!AR18</f>
        <v>0</v>
      </c>
      <c r="AN8" s="122" t="s">
        <v>8857</v>
      </c>
      <c r="AO8" s="929">
        <v>0</v>
      </c>
    </row>
    <row r="9" spans="2:41" x14ac:dyDescent="0.25">
      <c r="B9" s="71">
        <f>'Acuario (Arribado - mortalidad)'!C19</f>
        <v>0</v>
      </c>
      <c r="C9" s="71">
        <f>'Acuario (Arribado - mortalidad)'!B19</f>
        <v>0</v>
      </c>
      <c r="D9" s="71" t="str">
        <f>'Acuario (Arribado - mortalidad)'!D19</f>
        <v/>
      </c>
      <c r="E9" s="71" t="str">
        <f>'Acuario (Arribado - mortalidad)'!E19</f>
        <v/>
      </c>
      <c r="F9" s="71">
        <f>'Acuario (Arribado - mortalidad)'!F19</f>
        <v>0</v>
      </c>
      <c r="G9" s="71" t="str">
        <f>'Acuario (Arribado - mortalidad)'!K19</f>
        <v/>
      </c>
      <c r="H9" s="71" t="str">
        <f>'Acuario (Arribado - mortalidad)'!G19</f>
        <v/>
      </c>
      <c r="I9" s="71">
        <f>'Acuario (Arribado - mortalidad)'!O19</f>
        <v>0</v>
      </c>
      <c r="J9" s="71">
        <f>'Acuario (Arribado - mortalidad)'!P19</f>
        <v>0</v>
      </c>
      <c r="K9" s="71">
        <f>'Acuario (Arribado - mortalidad)'!Q19</f>
        <v>0</v>
      </c>
      <c r="L9" s="71">
        <f>'Acuario (Arribado - mortalidad)'!R19</f>
        <v>0</v>
      </c>
      <c r="M9" s="71">
        <f>'Acuario (Arribado - mortalidad)'!S19</f>
        <v>0</v>
      </c>
      <c r="N9" s="71">
        <f>'Acuario (Arribado - mortalidad)'!T19</f>
        <v>0</v>
      </c>
      <c r="O9" s="71">
        <f>'Acuario (Arribado - mortalidad)'!U19</f>
        <v>0</v>
      </c>
      <c r="P9" s="71">
        <f>'Acuario (Arribado - mortalidad)'!V19</f>
        <v>0</v>
      </c>
      <c r="Q9" s="71">
        <f>'Acuario (Arribado - mortalidad)'!W19</f>
        <v>0</v>
      </c>
      <c r="R9" s="71">
        <f>'Acuario (Arribado - mortalidad)'!X19</f>
        <v>0</v>
      </c>
      <c r="S9" s="71">
        <f>'Acuario (Arribado - mortalidad)'!Y19</f>
        <v>0</v>
      </c>
      <c r="T9" s="71">
        <f>'Acuario (Arribado - mortalidad)'!Z19</f>
        <v>0</v>
      </c>
      <c r="U9" s="71">
        <f>'Acuario (Arribado - mortalidad)'!AA19</f>
        <v>0</v>
      </c>
      <c r="V9" s="71">
        <f>'Acuario (Arribado - mortalidad)'!AB19</f>
        <v>0</v>
      </c>
      <c r="W9" s="71">
        <f>'Acuario (Arribado - mortalidad)'!AC19</f>
        <v>0</v>
      </c>
      <c r="X9" s="71">
        <f>'Acuario (Arribado - mortalidad)'!AD19</f>
        <v>0</v>
      </c>
      <c r="Y9" s="71">
        <f>'Acuario (Arribado - mortalidad)'!AE19</f>
        <v>0</v>
      </c>
      <c r="Z9" s="71">
        <f>'Acuario (Arribado - mortalidad)'!AF19</f>
        <v>0</v>
      </c>
      <c r="AA9" s="71">
        <f>'Acuario (Arribado - mortalidad)'!AG19</f>
        <v>0</v>
      </c>
      <c r="AB9" s="71">
        <f>'Acuario (Arribado - mortalidad)'!AH19</f>
        <v>0</v>
      </c>
      <c r="AC9" s="71">
        <f>'Acuario (Arribado - mortalidad)'!AI19</f>
        <v>0</v>
      </c>
      <c r="AD9" s="71">
        <f>'Acuario (Arribado - mortalidad)'!AJ19</f>
        <v>0</v>
      </c>
      <c r="AE9" s="71">
        <f>'Acuario (Arribado - mortalidad)'!AK19</f>
        <v>0</v>
      </c>
      <c r="AF9" s="71">
        <f>'Acuario (Arribado - mortalidad)'!AL19</f>
        <v>0</v>
      </c>
      <c r="AG9" s="71">
        <f>'Acuario (Arribado - mortalidad)'!AM19</f>
        <v>0</v>
      </c>
      <c r="AH9" s="71">
        <f>'Acuario (Arribado - mortalidad)'!AN19</f>
        <v>0</v>
      </c>
      <c r="AI9" s="71">
        <f>'Acuario (Arribado - mortalidad)'!AO19</f>
        <v>0</v>
      </c>
      <c r="AJ9" s="71">
        <f>'Acuario (Arribado - mortalidad)'!AP19</f>
        <v>0</v>
      </c>
      <c r="AK9" s="71">
        <f>'Acuario (Arribado - mortalidad)'!AQ19</f>
        <v>0</v>
      </c>
      <c r="AL9" s="71">
        <f>'Acuario (Arribado - mortalidad)'!AR19</f>
        <v>0</v>
      </c>
      <c r="AN9" s="122" t="s">
        <v>8858</v>
      </c>
      <c r="AO9" s="929">
        <v>0</v>
      </c>
    </row>
    <row r="10" spans="2:41" x14ac:dyDescent="0.25">
      <c r="B10" s="71">
        <f>'Acuario (Arribado - mortalidad)'!C20</f>
        <v>0</v>
      </c>
      <c r="C10" s="71">
        <f>'Acuario (Arribado - mortalidad)'!B20</f>
        <v>0</v>
      </c>
      <c r="D10" s="71" t="str">
        <f>'Acuario (Arribado - mortalidad)'!D20</f>
        <v/>
      </c>
      <c r="E10" s="71" t="str">
        <f>'Acuario (Arribado - mortalidad)'!E20</f>
        <v/>
      </c>
      <c r="F10" s="71">
        <f>'Acuario (Arribado - mortalidad)'!F20</f>
        <v>0</v>
      </c>
      <c r="G10" s="71" t="str">
        <f>'Acuario (Arribado - mortalidad)'!K20</f>
        <v/>
      </c>
      <c r="H10" s="71" t="str">
        <f>'Acuario (Arribado - mortalidad)'!G20</f>
        <v/>
      </c>
      <c r="I10" s="71">
        <f>'Acuario (Arribado - mortalidad)'!O20</f>
        <v>0</v>
      </c>
      <c r="J10" s="71">
        <f>'Acuario (Arribado - mortalidad)'!P20</f>
        <v>0</v>
      </c>
      <c r="K10" s="71">
        <f>'Acuario (Arribado - mortalidad)'!Q20</f>
        <v>0</v>
      </c>
      <c r="L10" s="71">
        <f>'Acuario (Arribado - mortalidad)'!R20</f>
        <v>0</v>
      </c>
      <c r="M10" s="71">
        <f>'Acuario (Arribado - mortalidad)'!S20</f>
        <v>0</v>
      </c>
      <c r="N10" s="71">
        <f>'Acuario (Arribado - mortalidad)'!T20</f>
        <v>0</v>
      </c>
      <c r="O10" s="71">
        <f>'Acuario (Arribado - mortalidad)'!U20</f>
        <v>0</v>
      </c>
      <c r="P10" s="71">
        <f>'Acuario (Arribado - mortalidad)'!V20</f>
        <v>0</v>
      </c>
      <c r="Q10" s="71">
        <f>'Acuario (Arribado - mortalidad)'!W20</f>
        <v>0</v>
      </c>
      <c r="R10" s="71">
        <f>'Acuario (Arribado - mortalidad)'!X20</f>
        <v>0</v>
      </c>
      <c r="S10" s="71">
        <f>'Acuario (Arribado - mortalidad)'!Y20</f>
        <v>0</v>
      </c>
      <c r="T10" s="71">
        <f>'Acuario (Arribado - mortalidad)'!Z20</f>
        <v>0</v>
      </c>
      <c r="U10" s="71">
        <f>'Acuario (Arribado - mortalidad)'!AA20</f>
        <v>0</v>
      </c>
      <c r="V10" s="71">
        <f>'Acuario (Arribado - mortalidad)'!AB20</f>
        <v>0</v>
      </c>
      <c r="W10" s="71">
        <f>'Acuario (Arribado - mortalidad)'!AC20</f>
        <v>0</v>
      </c>
      <c r="X10" s="71">
        <f>'Acuario (Arribado - mortalidad)'!AD20</f>
        <v>0</v>
      </c>
      <c r="Y10" s="71">
        <f>'Acuario (Arribado - mortalidad)'!AE20</f>
        <v>0</v>
      </c>
      <c r="Z10" s="71">
        <f>'Acuario (Arribado - mortalidad)'!AF20</f>
        <v>0</v>
      </c>
      <c r="AA10" s="71">
        <f>'Acuario (Arribado - mortalidad)'!AG20</f>
        <v>0</v>
      </c>
      <c r="AB10" s="71">
        <f>'Acuario (Arribado - mortalidad)'!AH20</f>
        <v>0</v>
      </c>
      <c r="AC10" s="71">
        <f>'Acuario (Arribado - mortalidad)'!AI20</f>
        <v>0</v>
      </c>
      <c r="AD10" s="71">
        <f>'Acuario (Arribado - mortalidad)'!AJ20</f>
        <v>0</v>
      </c>
      <c r="AE10" s="71">
        <f>'Acuario (Arribado - mortalidad)'!AK20</f>
        <v>0</v>
      </c>
      <c r="AF10" s="71">
        <f>'Acuario (Arribado - mortalidad)'!AL20</f>
        <v>0</v>
      </c>
      <c r="AG10" s="71">
        <f>'Acuario (Arribado - mortalidad)'!AM20</f>
        <v>0</v>
      </c>
      <c r="AH10" s="71">
        <f>'Acuario (Arribado - mortalidad)'!AN20</f>
        <v>0</v>
      </c>
      <c r="AI10" s="71">
        <f>'Acuario (Arribado - mortalidad)'!AO20</f>
        <v>0</v>
      </c>
      <c r="AJ10" s="71">
        <f>'Acuario (Arribado - mortalidad)'!AP20</f>
        <v>0</v>
      </c>
      <c r="AK10" s="71">
        <f>'Acuario (Arribado - mortalidad)'!AQ20</f>
        <v>0</v>
      </c>
      <c r="AL10" s="71">
        <f>'Acuario (Arribado - mortalidad)'!AR20</f>
        <v>0</v>
      </c>
      <c r="AN10" s="122" t="s">
        <v>8859</v>
      </c>
      <c r="AO10" s="929">
        <v>0</v>
      </c>
    </row>
    <row r="11" spans="2:41" x14ac:dyDescent="0.25">
      <c r="B11" s="71">
        <f>'Acuario (Arribado - mortalidad)'!C21</f>
        <v>0</v>
      </c>
      <c r="C11" s="71">
        <f>'Acuario (Arribado - mortalidad)'!B21</f>
        <v>0</v>
      </c>
      <c r="D11" s="71" t="str">
        <f>'Acuario (Arribado - mortalidad)'!D21</f>
        <v/>
      </c>
      <c r="E11" s="71" t="str">
        <f>'Acuario (Arribado - mortalidad)'!E21</f>
        <v/>
      </c>
      <c r="F11" s="71">
        <f>'Acuario (Arribado - mortalidad)'!F21</f>
        <v>0</v>
      </c>
      <c r="G11" s="71" t="str">
        <f>'Acuario (Arribado - mortalidad)'!K21</f>
        <v/>
      </c>
      <c r="H11" s="71" t="str">
        <f>'Acuario (Arribado - mortalidad)'!G21</f>
        <v/>
      </c>
      <c r="I11" s="71">
        <f>'Acuario (Arribado - mortalidad)'!O21</f>
        <v>0</v>
      </c>
      <c r="J11" s="71">
        <f>'Acuario (Arribado - mortalidad)'!P21</f>
        <v>0</v>
      </c>
      <c r="K11" s="71">
        <f>'Acuario (Arribado - mortalidad)'!Q21</f>
        <v>0</v>
      </c>
      <c r="L11" s="71">
        <f>'Acuario (Arribado - mortalidad)'!R21</f>
        <v>0</v>
      </c>
      <c r="M11" s="71">
        <f>'Acuario (Arribado - mortalidad)'!S21</f>
        <v>0</v>
      </c>
      <c r="N11" s="71">
        <f>'Acuario (Arribado - mortalidad)'!T21</f>
        <v>0</v>
      </c>
      <c r="O11" s="71">
        <f>'Acuario (Arribado - mortalidad)'!U21</f>
        <v>0</v>
      </c>
      <c r="P11" s="71">
        <f>'Acuario (Arribado - mortalidad)'!V21</f>
        <v>0</v>
      </c>
      <c r="Q11" s="71">
        <f>'Acuario (Arribado - mortalidad)'!W21</f>
        <v>0</v>
      </c>
      <c r="R11" s="71">
        <f>'Acuario (Arribado - mortalidad)'!X21</f>
        <v>0</v>
      </c>
      <c r="S11" s="71">
        <f>'Acuario (Arribado - mortalidad)'!Y21</f>
        <v>0</v>
      </c>
      <c r="T11" s="71">
        <f>'Acuario (Arribado - mortalidad)'!Z21</f>
        <v>0</v>
      </c>
      <c r="U11" s="71">
        <f>'Acuario (Arribado - mortalidad)'!AA21</f>
        <v>0</v>
      </c>
      <c r="V11" s="71">
        <f>'Acuario (Arribado - mortalidad)'!AB21</f>
        <v>0</v>
      </c>
      <c r="W11" s="71">
        <f>'Acuario (Arribado - mortalidad)'!AC21</f>
        <v>0</v>
      </c>
      <c r="X11" s="71">
        <f>'Acuario (Arribado - mortalidad)'!AD21</f>
        <v>0</v>
      </c>
      <c r="Y11" s="71">
        <f>'Acuario (Arribado - mortalidad)'!AE21</f>
        <v>0</v>
      </c>
      <c r="Z11" s="71">
        <f>'Acuario (Arribado - mortalidad)'!AF21</f>
        <v>0</v>
      </c>
      <c r="AA11" s="71">
        <f>'Acuario (Arribado - mortalidad)'!AG21</f>
        <v>0</v>
      </c>
      <c r="AB11" s="71">
        <f>'Acuario (Arribado - mortalidad)'!AH21</f>
        <v>0</v>
      </c>
      <c r="AC11" s="71">
        <f>'Acuario (Arribado - mortalidad)'!AI21</f>
        <v>0</v>
      </c>
      <c r="AD11" s="71">
        <f>'Acuario (Arribado - mortalidad)'!AJ21</f>
        <v>0</v>
      </c>
      <c r="AE11" s="71">
        <f>'Acuario (Arribado - mortalidad)'!AK21</f>
        <v>0</v>
      </c>
      <c r="AF11" s="71">
        <f>'Acuario (Arribado - mortalidad)'!AL21</f>
        <v>0</v>
      </c>
      <c r="AG11" s="71">
        <f>'Acuario (Arribado - mortalidad)'!AM21</f>
        <v>0</v>
      </c>
      <c r="AH11" s="71">
        <f>'Acuario (Arribado - mortalidad)'!AN21</f>
        <v>0</v>
      </c>
      <c r="AI11" s="71">
        <f>'Acuario (Arribado - mortalidad)'!AO21</f>
        <v>0</v>
      </c>
      <c r="AJ11" s="71">
        <f>'Acuario (Arribado - mortalidad)'!AP21</f>
        <v>0</v>
      </c>
      <c r="AK11" s="71">
        <f>'Acuario (Arribado - mortalidad)'!AQ21</f>
        <v>0</v>
      </c>
      <c r="AL11" s="71">
        <f>'Acuario (Arribado - mortalidad)'!AR21</f>
        <v>0</v>
      </c>
      <c r="AN11" s="122" t="s">
        <v>8860</v>
      </c>
      <c r="AO11" s="929">
        <v>0</v>
      </c>
    </row>
    <row r="12" spans="2:41" x14ac:dyDescent="0.25">
      <c r="B12" s="71">
        <f>'Acuario (Arribado - mortalidad)'!C22</f>
        <v>0</v>
      </c>
      <c r="C12" s="71">
        <f>'Acuario (Arribado - mortalidad)'!B22</f>
        <v>0</v>
      </c>
      <c r="D12" s="71" t="str">
        <f>'Acuario (Arribado - mortalidad)'!D22</f>
        <v/>
      </c>
      <c r="E12" s="71" t="str">
        <f>'Acuario (Arribado - mortalidad)'!E22</f>
        <v/>
      </c>
      <c r="F12" s="71">
        <f>'Acuario (Arribado - mortalidad)'!F22</f>
        <v>0</v>
      </c>
      <c r="G12" s="71" t="str">
        <f>'Acuario (Arribado - mortalidad)'!K22</f>
        <v/>
      </c>
      <c r="H12" s="71" t="str">
        <f>'Acuario (Arribado - mortalidad)'!G22</f>
        <v/>
      </c>
      <c r="I12" s="71">
        <f>'Acuario (Arribado - mortalidad)'!O22</f>
        <v>0</v>
      </c>
      <c r="J12" s="71">
        <f>'Acuario (Arribado - mortalidad)'!P22</f>
        <v>0</v>
      </c>
      <c r="K12" s="71">
        <f>'Acuario (Arribado - mortalidad)'!Q22</f>
        <v>0</v>
      </c>
      <c r="L12" s="71">
        <f>'Acuario (Arribado - mortalidad)'!R22</f>
        <v>0</v>
      </c>
      <c r="M12" s="71">
        <f>'Acuario (Arribado - mortalidad)'!S22</f>
        <v>0</v>
      </c>
      <c r="N12" s="71">
        <f>'Acuario (Arribado - mortalidad)'!T22</f>
        <v>0</v>
      </c>
      <c r="O12" s="71">
        <f>'Acuario (Arribado - mortalidad)'!U22</f>
        <v>0</v>
      </c>
      <c r="P12" s="71">
        <f>'Acuario (Arribado - mortalidad)'!V22</f>
        <v>0</v>
      </c>
      <c r="Q12" s="71">
        <f>'Acuario (Arribado - mortalidad)'!W22</f>
        <v>0</v>
      </c>
      <c r="R12" s="71">
        <f>'Acuario (Arribado - mortalidad)'!X22</f>
        <v>0</v>
      </c>
      <c r="S12" s="71">
        <f>'Acuario (Arribado - mortalidad)'!Y22</f>
        <v>0</v>
      </c>
      <c r="T12" s="71">
        <f>'Acuario (Arribado - mortalidad)'!Z22</f>
        <v>0</v>
      </c>
      <c r="U12" s="71">
        <f>'Acuario (Arribado - mortalidad)'!AA22</f>
        <v>0</v>
      </c>
      <c r="V12" s="71">
        <f>'Acuario (Arribado - mortalidad)'!AB22</f>
        <v>0</v>
      </c>
      <c r="W12" s="71">
        <f>'Acuario (Arribado - mortalidad)'!AC22</f>
        <v>0</v>
      </c>
      <c r="X12" s="71">
        <f>'Acuario (Arribado - mortalidad)'!AD22</f>
        <v>0</v>
      </c>
      <c r="Y12" s="71">
        <f>'Acuario (Arribado - mortalidad)'!AE22</f>
        <v>0</v>
      </c>
      <c r="Z12" s="71">
        <f>'Acuario (Arribado - mortalidad)'!AF22</f>
        <v>0</v>
      </c>
      <c r="AA12" s="71">
        <f>'Acuario (Arribado - mortalidad)'!AG22</f>
        <v>0</v>
      </c>
      <c r="AB12" s="71">
        <f>'Acuario (Arribado - mortalidad)'!AH22</f>
        <v>0</v>
      </c>
      <c r="AC12" s="71">
        <f>'Acuario (Arribado - mortalidad)'!AI22</f>
        <v>0</v>
      </c>
      <c r="AD12" s="71">
        <f>'Acuario (Arribado - mortalidad)'!AJ22</f>
        <v>0</v>
      </c>
      <c r="AE12" s="71">
        <f>'Acuario (Arribado - mortalidad)'!AK22</f>
        <v>0</v>
      </c>
      <c r="AF12" s="71">
        <f>'Acuario (Arribado - mortalidad)'!AL22</f>
        <v>0</v>
      </c>
      <c r="AG12" s="71">
        <f>'Acuario (Arribado - mortalidad)'!AM22</f>
        <v>0</v>
      </c>
      <c r="AH12" s="71">
        <f>'Acuario (Arribado - mortalidad)'!AN22</f>
        <v>0</v>
      </c>
      <c r="AI12" s="71">
        <f>'Acuario (Arribado - mortalidad)'!AO22</f>
        <v>0</v>
      </c>
      <c r="AJ12" s="71">
        <f>'Acuario (Arribado - mortalidad)'!AP22</f>
        <v>0</v>
      </c>
      <c r="AK12" s="71">
        <f>'Acuario (Arribado - mortalidad)'!AQ22</f>
        <v>0</v>
      </c>
      <c r="AL12" s="71">
        <f>'Acuario (Arribado - mortalidad)'!AR22</f>
        <v>0</v>
      </c>
      <c r="AN12" s="122" t="s">
        <v>8861</v>
      </c>
      <c r="AO12" s="929">
        <v>0</v>
      </c>
    </row>
    <row r="13" spans="2:41" x14ac:dyDescent="0.25">
      <c r="B13" s="71">
        <f>'Acuario (Arribado - mortalidad)'!C23</f>
        <v>0</v>
      </c>
      <c r="C13" s="71">
        <f>'Acuario (Arribado - mortalidad)'!B23</f>
        <v>0</v>
      </c>
      <c r="D13" s="71" t="str">
        <f>'Acuario (Arribado - mortalidad)'!D23</f>
        <v/>
      </c>
      <c r="E13" s="71" t="str">
        <f>'Acuario (Arribado - mortalidad)'!E23</f>
        <v/>
      </c>
      <c r="F13" s="71">
        <f>'Acuario (Arribado - mortalidad)'!F23</f>
        <v>0</v>
      </c>
      <c r="G13" s="71" t="str">
        <f>'Acuario (Arribado - mortalidad)'!K23</f>
        <v/>
      </c>
      <c r="H13" s="71" t="str">
        <f>'Acuario (Arribado - mortalidad)'!G23</f>
        <v/>
      </c>
      <c r="I13" s="71">
        <f>'Acuario (Arribado - mortalidad)'!O23</f>
        <v>0</v>
      </c>
      <c r="J13" s="71">
        <f>'Acuario (Arribado - mortalidad)'!P23</f>
        <v>0</v>
      </c>
      <c r="K13" s="71">
        <f>'Acuario (Arribado - mortalidad)'!Q23</f>
        <v>0</v>
      </c>
      <c r="L13" s="71">
        <f>'Acuario (Arribado - mortalidad)'!R23</f>
        <v>0</v>
      </c>
      <c r="M13" s="71">
        <f>'Acuario (Arribado - mortalidad)'!S23</f>
        <v>0</v>
      </c>
      <c r="N13" s="71">
        <f>'Acuario (Arribado - mortalidad)'!T23</f>
        <v>0</v>
      </c>
      <c r="O13" s="71">
        <f>'Acuario (Arribado - mortalidad)'!U23</f>
        <v>0</v>
      </c>
      <c r="P13" s="71">
        <f>'Acuario (Arribado - mortalidad)'!V23</f>
        <v>0</v>
      </c>
      <c r="Q13" s="71">
        <f>'Acuario (Arribado - mortalidad)'!W23</f>
        <v>0</v>
      </c>
      <c r="R13" s="71">
        <f>'Acuario (Arribado - mortalidad)'!X23</f>
        <v>0</v>
      </c>
      <c r="S13" s="71">
        <f>'Acuario (Arribado - mortalidad)'!Y23</f>
        <v>0</v>
      </c>
      <c r="T13" s="71">
        <f>'Acuario (Arribado - mortalidad)'!Z23</f>
        <v>0</v>
      </c>
      <c r="U13" s="71">
        <f>'Acuario (Arribado - mortalidad)'!AA23</f>
        <v>0</v>
      </c>
      <c r="V13" s="71">
        <f>'Acuario (Arribado - mortalidad)'!AB23</f>
        <v>0</v>
      </c>
      <c r="W13" s="71">
        <f>'Acuario (Arribado - mortalidad)'!AC23</f>
        <v>0</v>
      </c>
      <c r="X13" s="71">
        <f>'Acuario (Arribado - mortalidad)'!AD23</f>
        <v>0</v>
      </c>
      <c r="Y13" s="71">
        <f>'Acuario (Arribado - mortalidad)'!AE23</f>
        <v>0</v>
      </c>
      <c r="Z13" s="71">
        <f>'Acuario (Arribado - mortalidad)'!AF23</f>
        <v>0</v>
      </c>
      <c r="AA13" s="71">
        <f>'Acuario (Arribado - mortalidad)'!AG23</f>
        <v>0</v>
      </c>
      <c r="AB13" s="71">
        <f>'Acuario (Arribado - mortalidad)'!AH23</f>
        <v>0</v>
      </c>
      <c r="AC13" s="71">
        <f>'Acuario (Arribado - mortalidad)'!AI23</f>
        <v>0</v>
      </c>
      <c r="AD13" s="71">
        <f>'Acuario (Arribado - mortalidad)'!AJ23</f>
        <v>0</v>
      </c>
      <c r="AE13" s="71">
        <f>'Acuario (Arribado - mortalidad)'!AK23</f>
        <v>0</v>
      </c>
      <c r="AF13" s="71">
        <f>'Acuario (Arribado - mortalidad)'!AL23</f>
        <v>0</v>
      </c>
      <c r="AG13" s="71">
        <f>'Acuario (Arribado - mortalidad)'!AM23</f>
        <v>0</v>
      </c>
      <c r="AH13" s="71">
        <f>'Acuario (Arribado - mortalidad)'!AN23</f>
        <v>0</v>
      </c>
      <c r="AI13" s="71">
        <f>'Acuario (Arribado - mortalidad)'!AO23</f>
        <v>0</v>
      </c>
      <c r="AJ13" s="71">
        <f>'Acuario (Arribado - mortalidad)'!AP23</f>
        <v>0</v>
      </c>
      <c r="AK13" s="71">
        <f>'Acuario (Arribado - mortalidad)'!AQ23</f>
        <v>0</v>
      </c>
      <c r="AL13" s="71">
        <f>'Acuario (Arribado - mortalidad)'!AR23</f>
        <v>0</v>
      </c>
      <c r="AN13" s="122" t="s">
        <v>8862</v>
      </c>
      <c r="AO13" s="929">
        <v>0</v>
      </c>
    </row>
    <row r="14" spans="2:41" x14ac:dyDescent="0.25">
      <c r="B14" s="71">
        <f>'Acuario (Arribado - mortalidad)'!C24</f>
        <v>0</v>
      </c>
      <c r="C14" s="71">
        <f>'Acuario (Arribado - mortalidad)'!B24</f>
        <v>0</v>
      </c>
      <c r="D14" s="71" t="str">
        <f>'Acuario (Arribado - mortalidad)'!D24</f>
        <v/>
      </c>
      <c r="E14" s="71" t="str">
        <f>'Acuario (Arribado - mortalidad)'!E24</f>
        <v/>
      </c>
      <c r="F14" s="71">
        <f>'Acuario (Arribado - mortalidad)'!F24</f>
        <v>0</v>
      </c>
      <c r="G14" s="71" t="str">
        <f>'Acuario (Arribado - mortalidad)'!K24</f>
        <v/>
      </c>
      <c r="H14" s="71" t="str">
        <f>'Acuario (Arribado - mortalidad)'!G24</f>
        <v/>
      </c>
      <c r="I14" s="71">
        <f>'Acuario (Arribado - mortalidad)'!O24</f>
        <v>0</v>
      </c>
      <c r="J14" s="71">
        <f>'Acuario (Arribado - mortalidad)'!P24</f>
        <v>0</v>
      </c>
      <c r="K14" s="71">
        <f>'Acuario (Arribado - mortalidad)'!Q24</f>
        <v>0</v>
      </c>
      <c r="L14" s="71">
        <f>'Acuario (Arribado - mortalidad)'!R24</f>
        <v>0</v>
      </c>
      <c r="M14" s="71">
        <f>'Acuario (Arribado - mortalidad)'!S24</f>
        <v>0</v>
      </c>
      <c r="N14" s="71">
        <f>'Acuario (Arribado - mortalidad)'!T24</f>
        <v>0</v>
      </c>
      <c r="O14" s="71">
        <f>'Acuario (Arribado - mortalidad)'!U24</f>
        <v>0</v>
      </c>
      <c r="P14" s="71">
        <f>'Acuario (Arribado - mortalidad)'!V24</f>
        <v>0</v>
      </c>
      <c r="Q14" s="71">
        <f>'Acuario (Arribado - mortalidad)'!W24</f>
        <v>0</v>
      </c>
      <c r="R14" s="71">
        <f>'Acuario (Arribado - mortalidad)'!X24</f>
        <v>0</v>
      </c>
      <c r="S14" s="71">
        <f>'Acuario (Arribado - mortalidad)'!Y24</f>
        <v>0</v>
      </c>
      <c r="T14" s="71">
        <f>'Acuario (Arribado - mortalidad)'!Z24</f>
        <v>0</v>
      </c>
      <c r="U14" s="71">
        <f>'Acuario (Arribado - mortalidad)'!AA24</f>
        <v>0</v>
      </c>
      <c r="V14" s="71">
        <f>'Acuario (Arribado - mortalidad)'!AB24</f>
        <v>0</v>
      </c>
      <c r="W14" s="71">
        <f>'Acuario (Arribado - mortalidad)'!AC24</f>
        <v>0</v>
      </c>
      <c r="X14" s="71">
        <f>'Acuario (Arribado - mortalidad)'!AD24</f>
        <v>0</v>
      </c>
      <c r="Y14" s="71">
        <f>'Acuario (Arribado - mortalidad)'!AE24</f>
        <v>0</v>
      </c>
      <c r="Z14" s="71">
        <f>'Acuario (Arribado - mortalidad)'!AF24</f>
        <v>0</v>
      </c>
      <c r="AA14" s="71">
        <f>'Acuario (Arribado - mortalidad)'!AG24</f>
        <v>0</v>
      </c>
      <c r="AB14" s="71">
        <f>'Acuario (Arribado - mortalidad)'!AH24</f>
        <v>0</v>
      </c>
      <c r="AC14" s="71">
        <f>'Acuario (Arribado - mortalidad)'!AI24</f>
        <v>0</v>
      </c>
      <c r="AD14" s="71">
        <f>'Acuario (Arribado - mortalidad)'!AJ24</f>
        <v>0</v>
      </c>
      <c r="AE14" s="71">
        <f>'Acuario (Arribado - mortalidad)'!AK24</f>
        <v>0</v>
      </c>
      <c r="AF14" s="71">
        <f>'Acuario (Arribado - mortalidad)'!AL24</f>
        <v>0</v>
      </c>
      <c r="AG14" s="71">
        <f>'Acuario (Arribado - mortalidad)'!AM24</f>
        <v>0</v>
      </c>
      <c r="AH14" s="71">
        <f>'Acuario (Arribado - mortalidad)'!AN24</f>
        <v>0</v>
      </c>
      <c r="AI14" s="71">
        <f>'Acuario (Arribado - mortalidad)'!AO24</f>
        <v>0</v>
      </c>
      <c r="AJ14" s="71">
        <f>'Acuario (Arribado - mortalidad)'!AP24</f>
        <v>0</v>
      </c>
      <c r="AK14" s="71">
        <f>'Acuario (Arribado - mortalidad)'!AQ24</f>
        <v>0</v>
      </c>
      <c r="AL14" s="71">
        <f>'Acuario (Arribado - mortalidad)'!AR24</f>
        <v>0</v>
      </c>
      <c r="AN14" s="122" t="s">
        <v>8863</v>
      </c>
      <c r="AO14" s="929">
        <v>0</v>
      </c>
    </row>
    <row r="15" spans="2:41" x14ac:dyDescent="0.25">
      <c r="B15" s="71">
        <f>'Acuario (Arribado - mortalidad)'!C25</f>
        <v>0</v>
      </c>
      <c r="C15" s="71">
        <f>'Acuario (Arribado - mortalidad)'!B25</f>
        <v>0</v>
      </c>
      <c r="D15" s="71" t="str">
        <f>'Acuario (Arribado - mortalidad)'!D25</f>
        <v/>
      </c>
      <c r="E15" s="71" t="str">
        <f>'Acuario (Arribado - mortalidad)'!E25</f>
        <v/>
      </c>
      <c r="F15" s="71">
        <f>'Acuario (Arribado - mortalidad)'!F25</f>
        <v>0</v>
      </c>
      <c r="G15" s="71" t="str">
        <f>'Acuario (Arribado - mortalidad)'!K25</f>
        <v/>
      </c>
      <c r="H15" s="71" t="str">
        <f>'Acuario (Arribado - mortalidad)'!G25</f>
        <v/>
      </c>
      <c r="I15" s="71">
        <f>'Acuario (Arribado - mortalidad)'!O25</f>
        <v>0</v>
      </c>
      <c r="J15" s="71">
        <f>'Acuario (Arribado - mortalidad)'!P25</f>
        <v>0</v>
      </c>
      <c r="K15" s="71">
        <f>'Acuario (Arribado - mortalidad)'!Q25</f>
        <v>0</v>
      </c>
      <c r="L15" s="71">
        <f>'Acuario (Arribado - mortalidad)'!R25</f>
        <v>0</v>
      </c>
      <c r="M15" s="71">
        <f>'Acuario (Arribado - mortalidad)'!S25</f>
        <v>0</v>
      </c>
      <c r="N15" s="71">
        <f>'Acuario (Arribado - mortalidad)'!T25</f>
        <v>0</v>
      </c>
      <c r="O15" s="71">
        <f>'Acuario (Arribado - mortalidad)'!U25</f>
        <v>0</v>
      </c>
      <c r="P15" s="71">
        <f>'Acuario (Arribado - mortalidad)'!V25</f>
        <v>0</v>
      </c>
      <c r="Q15" s="71">
        <f>'Acuario (Arribado - mortalidad)'!W25</f>
        <v>0</v>
      </c>
      <c r="R15" s="71">
        <f>'Acuario (Arribado - mortalidad)'!X25</f>
        <v>0</v>
      </c>
      <c r="S15" s="71">
        <f>'Acuario (Arribado - mortalidad)'!Y25</f>
        <v>0</v>
      </c>
      <c r="T15" s="71">
        <f>'Acuario (Arribado - mortalidad)'!Z25</f>
        <v>0</v>
      </c>
      <c r="U15" s="71">
        <f>'Acuario (Arribado - mortalidad)'!AA25</f>
        <v>0</v>
      </c>
      <c r="V15" s="71">
        <f>'Acuario (Arribado - mortalidad)'!AB25</f>
        <v>0</v>
      </c>
      <c r="W15" s="71">
        <f>'Acuario (Arribado - mortalidad)'!AC25</f>
        <v>0</v>
      </c>
      <c r="X15" s="71">
        <f>'Acuario (Arribado - mortalidad)'!AD25</f>
        <v>0</v>
      </c>
      <c r="Y15" s="71">
        <f>'Acuario (Arribado - mortalidad)'!AE25</f>
        <v>0</v>
      </c>
      <c r="Z15" s="71">
        <f>'Acuario (Arribado - mortalidad)'!AF25</f>
        <v>0</v>
      </c>
      <c r="AA15" s="71">
        <f>'Acuario (Arribado - mortalidad)'!AG25</f>
        <v>0</v>
      </c>
      <c r="AB15" s="71">
        <f>'Acuario (Arribado - mortalidad)'!AH25</f>
        <v>0</v>
      </c>
      <c r="AC15" s="71">
        <f>'Acuario (Arribado - mortalidad)'!AI25</f>
        <v>0</v>
      </c>
      <c r="AD15" s="71">
        <f>'Acuario (Arribado - mortalidad)'!AJ25</f>
        <v>0</v>
      </c>
      <c r="AE15" s="71">
        <f>'Acuario (Arribado - mortalidad)'!AK25</f>
        <v>0</v>
      </c>
      <c r="AF15" s="71">
        <f>'Acuario (Arribado - mortalidad)'!AL25</f>
        <v>0</v>
      </c>
      <c r="AG15" s="71">
        <f>'Acuario (Arribado - mortalidad)'!AM25</f>
        <v>0</v>
      </c>
      <c r="AH15" s="71">
        <f>'Acuario (Arribado - mortalidad)'!AN25</f>
        <v>0</v>
      </c>
      <c r="AI15" s="71">
        <f>'Acuario (Arribado - mortalidad)'!AO25</f>
        <v>0</v>
      </c>
      <c r="AJ15" s="71">
        <f>'Acuario (Arribado - mortalidad)'!AP25</f>
        <v>0</v>
      </c>
      <c r="AK15" s="71">
        <f>'Acuario (Arribado - mortalidad)'!AQ25</f>
        <v>0</v>
      </c>
      <c r="AL15" s="71">
        <f>'Acuario (Arribado - mortalidad)'!AR25</f>
        <v>0</v>
      </c>
      <c r="AN15" s="122" t="s">
        <v>8864</v>
      </c>
      <c r="AO15" s="929">
        <v>0</v>
      </c>
    </row>
    <row r="16" spans="2:41" x14ac:dyDescent="0.25">
      <c r="B16" s="71">
        <f>'Acuario (Arribado - mortalidad)'!C26</f>
        <v>0</v>
      </c>
      <c r="C16" s="71">
        <f>'Acuario (Arribado - mortalidad)'!B26</f>
        <v>0</v>
      </c>
      <c r="D16" s="71" t="str">
        <f>'Acuario (Arribado - mortalidad)'!D26</f>
        <v/>
      </c>
      <c r="E16" s="71" t="str">
        <f>'Acuario (Arribado - mortalidad)'!E26</f>
        <v/>
      </c>
      <c r="F16" s="71">
        <f>'Acuario (Arribado - mortalidad)'!F26</f>
        <v>0</v>
      </c>
      <c r="G16" s="71" t="str">
        <f>'Acuario (Arribado - mortalidad)'!K26</f>
        <v/>
      </c>
      <c r="H16" s="71" t="str">
        <f>'Acuario (Arribado - mortalidad)'!G26</f>
        <v/>
      </c>
      <c r="I16" s="71">
        <f>'Acuario (Arribado - mortalidad)'!O26</f>
        <v>0</v>
      </c>
      <c r="J16" s="71">
        <f>'Acuario (Arribado - mortalidad)'!P26</f>
        <v>0</v>
      </c>
      <c r="K16" s="71">
        <f>'Acuario (Arribado - mortalidad)'!Q26</f>
        <v>0</v>
      </c>
      <c r="L16" s="71">
        <f>'Acuario (Arribado - mortalidad)'!R26</f>
        <v>0</v>
      </c>
      <c r="M16" s="71">
        <f>'Acuario (Arribado - mortalidad)'!S26</f>
        <v>0</v>
      </c>
      <c r="N16" s="71">
        <f>'Acuario (Arribado - mortalidad)'!T26</f>
        <v>0</v>
      </c>
      <c r="O16" s="71">
        <f>'Acuario (Arribado - mortalidad)'!U26</f>
        <v>0</v>
      </c>
      <c r="P16" s="71">
        <f>'Acuario (Arribado - mortalidad)'!V26</f>
        <v>0</v>
      </c>
      <c r="Q16" s="71">
        <f>'Acuario (Arribado - mortalidad)'!W26</f>
        <v>0</v>
      </c>
      <c r="R16" s="71">
        <f>'Acuario (Arribado - mortalidad)'!X26</f>
        <v>0</v>
      </c>
      <c r="S16" s="71">
        <f>'Acuario (Arribado - mortalidad)'!Y26</f>
        <v>0</v>
      </c>
      <c r="T16" s="71">
        <f>'Acuario (Arribado - mortalidad)'!Z26</f>
        <v>0</v>
      </c>
      <c r="U16" s="71">
        <f>'Acuario (Arribado - mortalidad)'!AA26</f>
        <v>0</v>
      </c>
      <c r="V16" s="71">
        <f>'Acuario (Arribado - mortalidad)'!AB26</f>
        <v>0</v>
      </c>
      <c r="W16" s="71">
        <f>'Acuario (Arribado - mortalidad)'!AC26</f>
        <v>0</v>
      </c>
      <c r="X16" s="71">
        <f>'Acuario (Arribado - mortalidad)'!AD26</f>
        <v>0</v>
      </c>
      <c r="Y16" s="71">
        <f>'Acuario (Arribado - mortalidad)'!AE26</f>
        <v>0</v>
      </c>
      <c r="Z16" s="71">
        <f>'Acuario (Arribado - mortalidad)'!AF26</f>
        <v>0</v>
      </c>
      <c r="AA16" s="71">
        <f>'Acuario (Arribado - mortalidad)'!AG26</f>
        <v>0</v>
      </c>
      <c r="AB16" s="71">
        <f>'Acuario (Arribado - mortalidad)'!AH26</f>
        <v>0</v>
      </c>
      <c r="AC16" s="71">
        <f>'Acuario (Arribado - mortalidad)'!AI26</f>
        <v>0</v>
      </c>
      <c r="AD16" s="71">
        <f>'Acuario (Arribado - mortalidad)'!AJ26</f>
        <v>0</v>
      </c>
      <c r="AE16" s="71">
        <f>'Acuario (Arribado - mortalidad)'!AK26</f>
        <v>0</v>
      </c>
      <c r="AF16" s="71">
        <f>'Acuario (Arribado - mortalidad)'!AL26</f>
        <v>0</v>
      </c>
      <c r="AG16" s="71">
        <f>'Acuario (Arribado - mortalidad)'!AM26</f>
        <v>0</v>
      </c>
      <c r="AH16" s="71">
        <f>'Acuario (Arribado - mortalidad)'!AN26</f>
        <v>0</v>
      </c>
      <c r="AI16" s="71">
        <f>'Acuario (Arribado - mortalidad)'!AO26</f>
        <v>0</v>
      </c>
      <c r="AJ16" s="71">
        <f>'Acuario (Arribado - mortalidad)'!AP26</f>
        <v>0</v>
      </c>
      <c r="AK16" s="71">
        <f>'Acuario (Arribado - mortalidad)'!AQ26</f>
        <v>0</v>
      </c>
      <c r="AL16" s="71">
        <f>'Acuario (Arribado - mortalidad)'!AR26</f>
        <v>0</v>
      </c>
      <c r="AN16" s="122" t="s">
        <v>8865</v>
      </c>
      <c r="AO16" s="929">
        <v>0</v>
      </c>
    </row>
    <row r="17" spans="2:41" x14ac:dyDescent="0.25">
      <c r="B17" s="71">
        <f>'Acuario (Arribado - mortalidad)'!C27</f>
        <v>0</v>
      </c>
      <c r="C17" s="71">
        <f>'Acuario (Arribado - mortalidad)'!B27</f>
        <v>0</v>
      </c>
      <c r="D17" s="71" t="str">
        <f>'Acuario (Arribado - mortalidad)'!D27</f>
        <v/>
      </c>
      <c r="E17" s="71" t="str">
        <f>'Acuario (Arribado - mortalidad)'!E27</f>
        <v/>
      </c>
      <c r="F17" s="71">
        <f>'Acuario (Arribado - mortalidad)'!F27</f>
        <v>0</v>
      </c>
      <c r="G17" s="71" t="str">
        <f>'Acuario (Arribado - mortalidad)'!K27</f>
        <v/>
      </c>
      <c r="H17" s="71" t="str">
        <f>'Acuario (Arribado - mortalidad)'!G27</f>
        <v/>
      </c>
      <c r="I17" s="71">
        <f>'Acuario (Arribado - mortalidad)'!O27</f>
        <v>0</v>
      </c>
      <c r="J17" s="71">
        <f>'Acuario (Arribado - mortalidad)'!P27</f>
        <v>0</v>
      </c>
      <c r="K17" s="71">
        <f>'Acuario (Arribado - mortalidad)'!Q27</f>
        <v>0</v>
      </c>
      <c r="L17" s="71">
        <f>'Acuario (Arribado - mortalidad)'!R27</f>
        <v>0</v>
      </c>
      <c r="M17" s="71">
        <f>'Acuario (Arribado - mortalidad)'!S27</f>
        <v>0</v>
      </c>
      <c r="N17" s="71">
        <f>'Acuario (Arribado - mortalidad)'!T27</f>
        <v>0</v>
      </c>
      <c r="O17" s="71">
        <f>'Acuario (Arribado - mortalidad)'!U27</f>
        <v>0</v>
      </c>
      <c r="P17" s="71">
        <f>'Acuario (Arribado - mortalidad)'!V27</f>
        <v>0</v>
      </c>
      <c r="Q17" s="71">
        <f>'Acuario (Arribado - mortalidad)'!W27</f>
        <v>0</v>
      </c>
      <c r="R17" s="71">
        <f>'Acuario (Arribado - mortalidad)'!X27</f>
        <v>0</v>
      </c>
      <c r="S17" s="71">
        <f>'Acuario (Arribado - mortalidad)'!Y27</f>
        <v>0</v>
      </c>
      <c r="T17" s="71">
        <f>'Acuario (Arribado - mortalidad)'!Z27</f>
        <v>0</v>
      </c>
      <c r="U17" s="71">
        <f>'Acuario (Arribado - mortalidad)'!AA27</f>
        <v>0</v>
      </c>
      <c r="V17" s="71">
        <f>'Acuario (Arribado - mortalidad)'!AB27</f>
        <v>0</v>
      </c>
      <c r="W17" s="71">
        <f>'Acuario (Arribado - mortalidad)'!AC27</f>
        <v>0</v>
      </c>
      <c r="X17" s="71">
        <f>'Acuario (Arribado - mortalidad)'!AD27</f>
        <v>0</v>
      </c>
      <c r="Y17" s="71">
        <f>'Acuario (Arribado - mortalidad)'!AE27</f>
        <v>0</v>
      </c>
      <c r="Z17" s="71">
        <f>'Acuario (Arribado - mortalidad)'!AF27</f>
        <v>0</v>
      </c>
      <c r="AA17" s="71">
        <f>'Acuario (Arribado - mortalidad)'!AG27</f>
        <v>0</v>
      </c>
      <c r="AB17" s="71">
        <f>'Acuario (Arribado - mortalidad)'!AH27</f>
        <v>0</v>
      </c>
      <c r="AC17" s="71">
        <f>'Acuario (Arribado - mortalidad)'!AI27</f>
        <v>0</v>
      </c>
      <c r="AD17" s="71">
        <f>'Acuario (Arribado - mortalidad)'!AJ27</f>
        <v>0</v>
      </c>
      <c r="AE17" s="71">
        <f>'Acuario (Arribado - mortalidad)'!AK27</f>
        <v>0</v>
      </c>
      <c r="AF17" s="71">
        <f>'Acuario (Arribado - mortalidad)'!AL27</f>
        <v>0</v>
      </c>
      <c r="AG17" s="71">
        <f>'Acuario (Arribado - mortalidad)'!AM27</f>
        <v>0</v>
      </c>
      <c r="AH17" s="71">
        <f>'Acuario (Arribado - mortalidad)'!AN27</f>
        <v>0</v>
      </c>
      <c r="AI17" s="71">
        <f>'Acuario (Arribado - mortalidad)'!AO27</f>
        <v>0</v>
      </c>
      <c r="AJ17" s="71">
        <f>'Acuario (Arribado - mortalidad)'!AP27</f>
        <v>0</v>
      </c>
      <c r="AK17" s="71">
        <f>'Acuario (Arribado - mortalidad)'!AQ27</f>
        <v>0</v>
      </c>
      <c r="AL17" s="71">
        <f>'Acuario (Arribado - mortalidad)'!AR27</f>
        <v>0</v>
      </c>
      <c r="AN17" s="122" t="s">
        <v>8866</v>
      </c>
      <c r="AO17" s="929">
        <v>0</v>
      </c>
    </row>
    <row r="18" spans="2:41" x14ac:dyDescent="0.25">
      <c r="B18" s="71">
        <f>'Acuario (Arribado - mortalidad)'!C28</f>
        <v>0</v>
      </c>
      <c r="C18" s="71">
        <f>'Acuario (Arribado - mortalidad)'!B28</f>
        <v>0</v>
      </c>
      <c r="D18" s="71" t="str">
        <f>'Acuario (Arribado - mortalidad)'!D28</f>
        <v/>
      </c>
      <c r="E18" s="71" t="str">
        <f>'Acuario (Arribado - mortalidad)'!E28</f>
        <v/>
      </c>
      <c r="F18" s="71">
        <f>'Acuario (Arribado - mortalidad)'!F28</f>
        <v>0</v>
      </c>
      <c r="G18" s="71" t="str">
        <f>'Acuario (Arribado - mortalidad)'!K28</f>
        <v/>
      </c>
      <c r="H18" s="71" t="str">
        <f>'Acuario (Arribado - mortalidad)'!G28</f>
        <v/>
      </c>
      <c r="I18" s="71">
        <f>'Acuario (Arribado - mortalidad)'!O28</f>
        <v>0</v>
      </c>
      <c r="J18" s="71">
        <f>'Acuario (Arribado - mortalidad)'!P28</f>
        <v>0</v>
      </c>
      <c r="K18" s="71">
        <f>'Acuario (Arribado - mortalidad)'!Q28</f>
        <v>0</v>
      </c>
      <c r="L18" s="71">
        <f>'Acuario (Arribado - mortalidad)'!R28</f>
        <v>0</v>
      </c>
      <c r="M18" s="71">
        <f>'Acuario (Arribado - mortalidad)'!S28</f>
        <v>0</v>
      </c>
      <c r="N18" s="71">
        <f>'Acuario (Arribado - mortalidad)'!T28</f>
        <v>0</v>
      </c>
      <c r="O18" s="71">
        <f>'Acuario (Arribado - mortalidad)'!U28</f>
        <v>0</v>
      </c>
      <c r="P18" s="71">
        <f>'Acuario (Arribado - mortalidad)'!V28</f>
        <v>0</v>
      </c>
      <c r="Q18" s="71">
        <f>'Acuario (Arribado - mortalidad)'!W28</f>
        <v>0</v>
      </c>
      <c r="R18" s="71">
        <f>'Acuario (Arribado - mortalidad)'!X28</f>
        <v>0</v>
      </c>
      <c r="S18" s="71">
        <f>'Acuario (Arribado - mortalidad)'!Y28</f>
        <v>0</v>
      </c>
      <c r="T18" s="71">
        <f>'Acuario (Arribado - mortalidad)'!Z28</f>
        <v>0</v>
      </c>
      <c r="U18" s="71">
        <f>'Acuario (Arribado - mortalidad)'!AA28</f>
        <v>0</v>
      </c>
      <c r="V18" s="71">
        <f>'Acuario (Arribado - mortalidad)'!AB28</f>
        <v>0</v>
      </c>
      <c r="W18" s="71">
        <f>'Acuario (Arribado - mortalidad)'!AC28</f>
        <v>0</v>
      </c>
      <c r="X18" s="71">
        <f>'Acuario (Arribado - mortalidad)'!AD28</f>
        <v>0</v>
      </c>
      <c r="Y18" s="71">
        <f>'Acuario (Arribado - mortalidad)'!AE28</f>
        <v>0</v>
      </c>
      <c r="Z18" s="71">
        <f>'Acuario (Arribado - mortalidad)'!AF28</f>
        <v>0</v>
      </c>
      <c r="AA18" s="71">
        <f>'Acuario (Arribado - mortalidad)'!AG28</f>
        <v>0</v>
      </c>
      <c r="AB18" s="71">
        <f>'Acuario (Arribado - mortalidad)'!AH28</f>
        <v>0</v>
      </c>
      <c r="AC18" s="71">
        <f>'Acuario (Arribado - mortalidad)'!AI28</f>
        <v>0</v>
      </c>
      <c r="AD18" s="71">
        <f>'Acuario (Arribado - mortalidad)'!AJ28</f>
        <v>0</v>
      </c>
      <c r="AE18" s="71">
        <f>'Acuario (Arribado - mortalidad)'!AK28</f>
        <v>0</v>
      </c>
      <c r="AF18" s="71">
        <f>'Acuario (Arribado - mortalidad)'!AL28</f>
        <v>0</v>
      </c>
      <c r="AG18" s="71">
        <f>'Acuario (Arribado - mortalidad)'!AM28</f>
        <v>0</v>
      </c>
      <c r="AH18" s="71">
        <f>'Acuario (Arribado - mortalidad)'!AN28</f>
        <v>0</v>
      </c>
      <c r="AI18" s="71">
        <f>'Acuario (Arribado - mortalidad)'!AO28</f>
        <v>0</v>
      </c>
      <c r="AJ18" s="71">
        <f>'Acuario (Arribado - mortalidad)'!AP28</f>
        <v>0</v>
      </c>
      <c r="AK18" s="71">
        <f>'Acuario (Arribado - mortalidad)'!AQ28</f>
        <v>0</v>
      </c>
      <c r="AL18" s="71">
        <f>'Acuario (Arribado - mortalidad)'!AR28</f>
        <v>0</v>
      </c>
      <c r="AN18" s="122" t="s">
        <v>8867</v>
      </c>
      <c r="AO18" s="929">
        <v>0</v>
      </c>
    </row>
    <row r="19" spans="2:41" x14ac:dyDescent="0.25">
      <c r="B19" s="71">
        <f>'Acuario (Arribado - mortalidad)'!C29</f>
        <v>0</v>
      </c>
      <c r="C19" s="71">
        <f>'Acuario (Arribado - mortalidad)'!B29</f>
        <v>0</v>
      </c>
      <c r="D19" s="71" t="str">
        <f>'Acuario (Arribado - mortalidad)'!D29</f>
        <v/>
      </c>
      <c r="E19" s="71" t="str">
        <f>'Acuario (Arribado - mortalidad)'!E29</f>
        <v/>
      </c>
      <c r="F19" s="71">
        <f>'Acuario (Arribado - mortalidad)'!F29</f>
        <v>0</v>
      </c>
      <c r="G19" s="71" t="str">
        <f>'Acuario (Arribado - mortalidad)'!K29</f>
        <v/>
      </c>
      <c r="H19" s="71" t="str">
        <f>'Acuario (Arribado - mortalidad)'!G29</f>
        <v/>
      </c>
      <c r="I19" s="71">
        <f>'Acuario (Arribado - mortalidad)'!O29</f>
        <v>0</v>
      </c>
      <c r="J19" s="71">
        <f>'Acuario (Arribado - mortalidad)'!P29</f>
        <v>0</v>
      </c>
      <c r="K19" s="71">
        <f>'Acuario (Arribado - mortalidad)'!Q29</f>
        <v>0</v>
      </c>
      <c r="L19" s="71">
        <f>'Acuario (Arribado - mortalidad)'!R29</f>
        <v>0</v>
      </c>
      <c r="M19" s="71">
        <f>'Acuario (Arribado - mortalidad)'!S29</f>
        <v>0</v>
      </c>
      <c r="N19" s="71">
        <f>'Acuario (Arribado - mortalidad)'!T29</f>
        <v>0</v>
      </c>
      <c r="O19" s="71">
        <f>'Acuario (Arribado - mortalidad)'!U29</f>
        <v>0</v>
      </c>
      <c r="P19" s="71">
        <f>'Acuario (Arribado - mortalidad)'!V29</f>
        <v>0</v>
      </c>
      <c r="Q19" s="71">
        <f>'Acuario (Arribado - mortalidad)'!W29</f>
        <v>0</v>
      </c>
      <c r="R19" s="71">
        <f>'Acuario (Arribado - mortalidad)'!X29</f>
        <v>0</v>
      </c>
      <c r="S19" s="71">
        <f>'Acuario (Arribado - mortalidad)'!Y29</f>
        <v>0</v>
      </c>
      <c r="T19" s="71">
        <f>'Acuario (Arribado - mortalidad)'!Z29</f>
        <v>0</v>
      </c>
      <c r="U19" s="71">
        <f>'Acuario (Arribado - mortalidad)'!AA29</f>
        <v>0</v>
      </c>
      <c r="V19" s="71">
        <f>'Acuario (Arribado - mortalidad)'!AB29</f>
        <v>0</v>
      </c>
      <c r="W19" s="71">
        <f>'Acuario (Arribado - mortalidad)'!AC29</f>
        <v>0</v>
      </c>
      <c r="X19" s="71">
        <f>'Acuario (Arribado - mortalidad)'!AD29</f>
        <v>0</v>
      </c>
      <c r="Y19" s="71">
        <f>'Acuario (Arribado - mortalidad)'!AE29</f>
        <v>0</v>
      </c>
      <c r="Z19" s="71">
        <f>'Acuario (Arribado - mortalidad)'!AF29</f>
        <v>0</v>
      </c>
      <c r="AA19" s="71">
        <f>'Acuario (Arribado - mortalidad)'!AG29</f>
        <v>0</v>
      </c>
      <c r="AB19" s="71">
        <f>'Acuario (Arribado - mortalidad)'!AH29</f>
        <v>0</v>
      </c>
      <c r="AC19" s="71">
        <f>'Acuario (Arribado - mortalidad)'!AI29</f>
        <v>0</v>
      </c>
      <c r="AD19" s="71">
        <f>'Acuario (Arribado - mortalidad)'!AJ29</f>
        <v>0</v>
      </c>
      <c r="AE19" s="71">
        <f>'Acuario (Arribado - mortalidad)'!AK29</f>
        <v>0</v>
      </c>
      <c r="AF19" s="71">
        <f>'Acuario (Arribado - mortalidad)'!AL29</f>
        <v>0</v>
      </c>
      <c r="AG19" s="71">
        <f>'Acuario (Arribado - mortalidad)'!AM29</f>
        <v>0</v>
      </c>
      <c r="AH19" s="71">
        <f>'Acuario (Arribado - mortalidad)'!AN29</f>
        <v>0</v>
      </c>
      <c r="AI19" s="71">
        <f>'Acuario (Arribado - mortalidad)'!AO29</f>
        <v>0</v>
      </c>
      <c r="AJ19" s="71">
        <f>'Acuario (Arribado - mortalidad)'!AP29</f>
        <v>0</v>
      </c>
      <c r="AK19" s="71">
        <f>'Acuario (Arribado - mortalidad)'!AQ29</f>
        <v>0</v>
      </c>
      <c r="AL19" s="71">
        <f>'Acuario (Arribado - mortalidad)'!AR29</f>
        <v>0</v>
      </c>
      <c r="AN19" s="122" t="s">
        <v>8868</v>
      </c>
      <c r="AO19" s="929">
        <v>0</v>
      </c>
    </row>
    <row r="20" spans="2:41" x14ac:dyDescent="0.25">
      <c r="B20" s="71">
        <f>'Acuario (Arribado - mortalidad)'!C30</f>
        <v>0</v>
      </c>
      <c r="C20" s="71">
        <f>'Acuario (Arribado - mortalidad)'!B30</f>
        <v>0</v>
      </c>
      <c r="D20" s="71" t="str">
        <f>'Acuario (Arribado - mortalidad)'!D30</f>
        <v/>
      </c>
      <c r="E20" s="71" t="str">
        <f>'Acuario (Arribado - mortalidad)'!E30</f>
        <v/>
      </c>
      <c r="F20" s="71">
        <f>'Acuario (Arribado - mortalidad)'!F30</f>
        <v>0</v>
      </c>
      <c r="G20" s="71" t="str">
        <f>'Acuario (Arribado - mortalidad)'!K30</f>
        <v/>
      </c>
      <c r="H20" s="71" t="str">
        <f>'Acuario (Arribado - mortalidad)'!G30</f>
        <v/>
      </c>
      <c r="I20" s="71">
        <f>'Acuario (Arribado - mortalidad)'!O30</f>
        <v>0</v>
      </c>
      <c r="J20" s="71">
        <f>'Acuario (Arribado - mortalidad)'!P30</f>
        <v>0</v>
      </c>
      <c r="K20" s="71">
        <f>'Acuario (Arribado - mortalidad)'!Q30</f>
        <v>0</v>
      </c>
      <c r="L20" s="71">
        <f>'Acuario (Arribado - mortalidad)'!R30</f>
        <v>0</v>
      </c>
      <c r="M20" s="71">
        <f>'Acuario (Arribado - mortalidad)'!S30</f>
        <v>0</v>
      </c>
      <c r="N20" s="71">
        <f>'Acuario (Arribado - mortalidad)'!T30</f>
        <v>0</v>
      </c>
      <c r="O20" s="71">
        <f>'Acuario (Arribado - mortalidad)'!U30</f>
        <v>0</v>
      </c>
      <c r="P20" s="71">
        <f>'Acuario (Arribado - mortalidad)'!V30</f>
        <v>0</v>
      </c>
      <c r="Q20" s="71">
        <f>'Acuario (Arribado - mortalidad)'!W30</f>
        <v>0</v>
      </c>
      <c r="R20" s="71">
        <f>'Acuario (Arribado - mortalidad)'!X30</f>
        <v>0</v>
      </c>
      <c r="S20" s="71">
        <f>'Acuario (Arribado - mortalidad)'!Y30</f>
        <v>0</v>
      </c>
      <c r="T20" s="71">
        <f>'Acuario (Arribado - mortalidad)'!Z30</f>
        <v>0</v>
      </c>
      <c r="U20" s="71">
        <f>'Acuario (Arribado - mortalidad)'!AA30</f>
        <v>0</v>
      </c>
      <c r="V20" s="71">
        <f>'Acuario (Arribado - mortalidad)'!AB30</f>
        <v>0</v>
      </c>
      <c r="W20" s="71">
        <f>'Acuario (Arribado - mortalidad)'!AC30</f>
        <v>0</v>
      </c>
      <c r="X20" s="71">
        <f>'Acuario (Arribado - mortalidad)'!AD30</f>
        <v>0</v>
      </c>
      <c r="Y20" s="71">
        <f>'Acuario (Arribado - mortalidad)'!AE30</f>
        <v>0</v>
      </c>
      <c r="Z20" s="71">
        <f>'Acuario (Arribado - mortalidad)'!AF30</f>
        <v>0</v>
      </c>
      <c r="AA20" s="71">
        <f>'Acuario (Arribado - mortalidad)'!AG30</f>
        <v>0</v>
      </c>
      <c r="AB20" s="71">
        <f>'Acuario (Arribado - mortalidad)'!AH30</f>
        <v>0</v>
      </c>
      <c r="AC20" s="71">
        <f>'Acuario (Arribado - mortalidad)'!AI30</f>
        <v>0</v>
      </c>
      <c r="AD20" s="71">
        <f>'Acuario (Arribado - mortalidad)'!AJ30</f>
        <v>0</v>
      </c>
      <c r="AE20" s="71">
        <f>'Acuario (Arribado - mortalidad)'!AK30</f>
        <v>0</v>
      </c>
      <c r="AF20" s="71">
        <f>'Acuario (Arribado - mortalidad)'!AL30</f>
        <v>0</v>
      </c>
      <c r="AG20" s="71">
        <f>'Acuario (Arribado - mortalidad)'!AM30</f>
        <v>0</v>
      </c>
      <c r="AH20" s="71">
        <f>'Acuario (Arribado - mortalidad)'!AN30</f>
        <v>0</v>
      </c>
      <c r="AI20" s="71">
        <f>'Acuario (Arribado - mortalidad)'!AO30</f>
        <v>0</v>
      </c>
      <c r="AJ20" s="71">
        <f>'Acuario (Arribado - mortalidad)'!AP30</f>
        <v>0</v>
      </c>
      <c r="AK20" s="71">
        <f>'Acuario (Arribado - mortalidad)'!AQ30</f>
        <v>0</v>
      </c>
      <c r="AL20" s="71">
        <f>'Acuario (Arribado - mortalidad)'!AR30</f>
        <v>0</v>
      </c>
      <c r="AO20"/>
    </row>
    <row r="21" spans="2:41" x14ac:dyDescent="0.25">
      <c r="B21" s="71">
        <f>'Acuario (Arribado - mortalidad)'!C31</f>
        <v>0</v>
      </c>
      <c r="C21" s="71">
        <f>'Acuario (Arribado - mortalidad)'!B31</f>
        <v>0</v>
      </c>
      <c r="D21" s="71" t="str">
        <f>'Acuario (Arribado - mortalidad)'!D31</f>
        <v/>
      </c>
      <c r="E21" s="71" t="str">
        <f>'Acuario (Arribado - mortalidad)'!E31</f>
        <v/>
      </c>
      <c r="F21" s="71">
        <f>'Acuario (Arribado - mortalidad)'!F31</f>
        <v>0</v>
      </c>
      <c r="G21" s="71" t="str">
        <f>'Acuario (Arribado - mortalidad)'!K31</f>
        <v/>
      </c>
      <c r="H21" s="71" t="str">
        <f>'Acuario (Arribado - mortalidad)'!G31</f>
        <v/>
      </c>
      <c r="I21" s="71">
        <f>'Acuario (Arribado - mortalidad)'!O31</f>
        <v>0</v>
      </c>
      <c r="J21" s="71">
        <f>'Acuario (Arribado - mortalidad)'!P31</f>
        <v>0</v>
      </c>
      <c r="K21" s="71">
        <f>'Acuario (Arribado - mortalidad)'!Q31</f>
        <v>0</v>
      </c>
      <c r="L21" s="71">
        <f>'Acuario (Arribado - mortalidad)'!R31</f>
        <v>0</v>
      </c>
      <c r="M21" s="71">
        <f>'Acuario (Arribado - mortalidad)'!S31</f>
        <v>0</v>
      </c>
      <c r="N21" s="71">
        <f>'Acuario (Arribado - mortalidad)'!T31</f>
        <v>0</v>
      </c>
      <c r="O21" s="71">
        <f>'Acuario (Arribado - mortalidad)'!U31</f>
        <v>0</v>
      </c>
      <c r="P21" s="71">
        <f>'Acuario (Arribado - mortalidad)'!V31</f>
        <v>0</v>
      </c>
      <c r="Q21" s="71">
        <f>'Acuario (Arribado - mortalidad)'!W31</f>
        <v>0</v>
      </c>
      <c r="R21" s="71">
        <f>'Acuario (Arribado - mortalidad)'!X31</f>
        <v>0</v>
      </c>
      <c r="S21" s="71">
        <f>'Acuario (Arribado - mortalidad)'!Y31</f>
        <v>0</v>
      </c>
      <c r="T21" s="71">
        <f>'Acuario (Arribado - mortalidad)'!Z31</f>
        <v>0</v>
      </c>
      <c r="U21" s="71">
        <f>'Acuario (Arribado - mortalidad)'!AA31</f>
        <v>0</v>
      </c>
      <c r="V21" s="71">
        <f>'Acuario (Arribado - mortalidad)'!AB31</f>
        <v>0</v>
      </c>
      <c r="W21" s="71">
        <f>'Acuario (Arribado - mortalidad)'!AC31</f>
        <v>0</v>
      </c>
      <c r="X21" s="71">
        <f>'Acuario (Arribado - mortalidad)'!AD31</f>
        <v>0</v>
      </c>
      <c r="Y21" s="71">
        <f>'Acuario (Arribado - mortalidad)'!AE31</f>
        <v>0</v>
      </c>
      <c r="Z21" s="71">
        <f>'Acuario (Arribado - mortalidad)'!AF31</f>
        <v>0</v>
      </c>
      <c r="AA21" s="71">
        <f>'Acuario (Arribado - mortalidad)'!AG31</f>
        <v>0</v>
      </c>
      <c r="AB21" s="71">
        <f>'Acuario (Arribado - mortalidad)'!AH31</f>
        <v>0</v>
      </c>
      <c r="AC21" s="71">
        <f>'Acuario (Arribado - mortalidad)'!AI31</f>
        <v>0</v>
      </c>
      <c r="AD21" s="71">
        <f>'Acuario (Arribado - mortalidad)'!AJ31</f>
        <v>0</v>
      </c>
      <c r="AE21" s="71">
        <f>'Acuario (Arribado - mortalidad)'!AK31</f>
        <v>0</v>
      </c>
      <c r="AF21" s="71">
        <f>'Acuario (Arribado - mortalidad)'!AL31</f>
        <v>0</v>
      </c>
      <c r="AG21" s="71">
        <f>'Acuario (Arribado - mortalidad)'!AM31</f>
        <v>0</v>
      </c>
      <c r="AH21" s="71">
        <f>'Acuario (Arribado - mortalidad)'!AN31</f>
        <v>0</v>
      </c>
      <c r="AI21" s="71">
        <f>'Acuario (Arribado - mortalidad)'!AO31</f>
        <v>0</v>
      </c>
      <c r="AJ21" s="71">
        <f>'Acuario (Arribado - mortalidad)'!AP31</f>
        <v>0</v>
      </c>
      <c r="AK21" s="71">
        <f>'Acuario (Arribado - mortalidad)'!AQ31</f>
        <v>0</v>
      </c>
      <c r="AL21" s="71">
        <f>'Acuario (Arribado - mortalidad)'!AR31</f>
        <v>0</v>
      </c>
      <c r="AO21"/>
    </row>
    <row r="22" spans="2:41" x14ac:dyDescent="0.25">
      <c r="B22" s="71">
        <f>'Acuario (Arribado - mortalidad)'!C32</f>
        <v>0</v>
      </c>
      <c r="C22" s="71">
        <f>'Acuario (Arribado - mortalidad)'!B32</f>
        <v>0</v>
      </c>
      <c r="D22" s="71" t="str">
        <f>'Acuario (Arribado - mortalidad)'!D32</f>
        <v/>
      </c>
      <c r="E22" s="71" t="str">
        <f>'Acuario (Arribado - mortalidad)'!E32</f>
        <v/>
      </c>
      <c r="F22" s="71">
        <f>'Acuario (Arribado - mortalidad)'!F32</f>
        <v>0</v>
      </c>
      <c r="G22" s="71" t="str">
        <f>'Acuario (Arribado - mortalidad)'!K32</f>
        <v/>
      </c>
      <c r="H22" s="71" t="str">
        <f>'Acuario (Arribado - mortalidad)'!G32</f>
        <v/>
      </c>
      <c r="I22" s="71">
        <f>'Acuario (Arribado - mortalidad)'!O32</f>
        <v>0</v>
      </c>
      <c r="J22" s="71">
        <f>'Acuario (Arribado - mortalidad)'!P32</f>
        <v>0</v>
      </c>
      <c r="K22" s="71">
        <f>'Acuario (Arribado - mortalidad)'!Q32</f>
        <v>0</v>
      </c>
      <c r="L22" s="71">
        <f>'Acuario (Arribado - mortalidad)'!R32</f>
        <v>0</v>
      </c>
      <c r="M22" s="71">
        <f>'Acuario (Arribado - mortalidad)'!S32</f>
        <v>0</v>
      </c>
      <c r="N22" s="71">
        <f>'Acuario (Arribado - mortalidad)'!T32</f>
        <v>0</v>
      </c>
      <c r="O22" s="71">
        <f>'Acuario (Arribado - mortalidad)'!U32</f>
        <v>0</v>
      </c>
      <c r="P22" s="71">
        <f>'Acuario (Arribado - mortalidad)'!V32</f>
        <v>0</v>
      </c>
      <c r="Q22" s="71">
        <f>'Acuario (Arribado - mortalidad)'!W32</f>
        <v>0</v>
      </c>
      <c r="R22" s="71">
        <f>'Acuario (Arribado - mortalidad)'!X32</f>
        <v>0</v>
      </c>
      <c r="S22" s="71">
        <f>'Acuario (Arribado - mortalidad)'!Y32</f>
        <v>0</v>
      </c>
      <c r="T22" s="71">
        <f>'Acuario (Arribado - mortalidad)'!Z32</f>
        <v>0</v>
      </c>
      <c r="U22" s="71">
        <f>'Acuario (Arribado - mortalidad)'!AA32</f>
        <v>0</v>
      </c>
      <c r="V22" s="71">
        <f>'Acuario (Arribado - mortalidad)'!AB32</f>
        <v>0</v>
      </c>
      <c r="W22" s="71">
        <f>'Acuario (Arribado - mortalidad)'!AC32</f>
        <v>0</v>
      </c>
      <c r="X22" s="71">
        <f>'Acuario (Arribado - mortalidad)'!AD32</f>
        <v>0</v>
      </c>
      <c r="Y22" s="71">
        <f>'Acuario (Arribado - mortalidad)'!AE32</f>
        <v>0</v>
      </c>
      <c r="Z22" s="71">
        <f>'Acuario (Arribado - mortalidad)'!AF32</f>
        <v>0</v>
      </c>
      <c r="AA22" s="71">
        <f>'Acuario (Arribado - mortalidad)'!AG32</f>
        <v>0</v>
      </c>
      <c r="AB22" s="71">
        <f>'Acuario (Arribado - mortalidad)'!AH32</f>
        <v>0</v>
      </c>
      <c r="AC22" s="71">
        <f>'Acuario (Arribado - mortalidad)'!AI32</f>
        <v>0</v>
      </c>
      <c r="AD22" s="71">
        <f>'Acuario (Arribado - mortalidad)'!AJ32</f>
        <v>0</v>
      </c>
      <c r="AE22" s="71">
        <f>'Acuario (Arribado - mortalidad)'!AK32</f>
        <v>0</v>
      </c>
      <c r="AF22" s="71">
        <f>'Acuario (Arribado - mortalidad)'!AL32</f>
        <v>0</v>
      </c>
      <c r="AG22" s="71">
        <f>'Acuario (Arribado - mortalidad)'!AM32</f>
        <v>0</v>
      </c>
      <c r="AH22" s="71">
        <f>'Acuario (Arribado - mortalidad)'!AN32</f>
        <v>0</v>
      </c>
      <c r="AI22" s="71">
        <f>'Acuario (Arribado - mortalidad)'!AO32</f>
        <v>0</v>
      </c>
      <c r="AJ22" s="71">
        <f>'Acuario (Arribado - mortalidad)'!AP32</f>
        <v>0</v>
      </c>
      <c r="AK22" s="71">
        <f>'Acuario (Arribado - mortalidad)'!AQ32</f>
        <v>0</v>
      </c>
      <c r="AL22" s="71">
        <f>'Acuario (Arribado - mortalidad)'!AR32</f>
        <v>0</v>
      </c>
      <c r="AO22"/>
    </row>
    <row r="23" spans="2:41" x14ac:dyDescent="0.25">
      <c r="B23" s="71">
        <f>'Acuario (Arribado - mortalidad)'!C33</f>
        <v>0</v>
      </c>
      <c r="C23" s="71">
        <f>'Acuario (Arribado - mortalidad)'!B33</f>
        <v>0</v>
      </c>
      <c r="D23" s="71" t="str">
        <f>'Acuario (Arribado - mortalidad)'!D33</f>
        <v/>
      </c>
      <c r="E23" s="71" t="str">
        <f>'Acuario (Arribado - mortalidad)'!E33</f>
        <v/>
      </c>
      <c r="F23" s="71">
        <f>'Acuario (Arribado - mortalidad)'!F33</f>
        <v>0</v>
      </c>
      <c r="G23" s="71" t="str">
        <f>'Acuario (Arribado - mortalidad)'!K33</f>
        <v/>
      </c>
      <c r="H23" s="71" t="str">
        <f>'Acuario (Arribado - mortalidad)'!G33</f>
        <v/>
      </c>
      <c r="I23" s="71">
        <f>'Acuario (Arribado - mortalidad)'!O33</f>
        <v>0</v>
      </c>
      <c r="J23" s="71">
        <f>'Acuario (Arribado - mortalidad)'!P33</f>
        <v>0</v>
      </c>
      <c r="K23" s="71">
        <f>'Acuario (Arribado - mortalidad)'!Q33</f>
        <v>0</v>
      </c>
      <c r="L23" s="71">
        <f>'Acuario (Arribado - mortalidad)'!R33</f>
        <v>0</v>
      </c>
      <c r="M23" s="71">
        <f>'Acuario (Arribado - mortalidad)'!S33</f>
        <v>0</v>
      </c>
      <c r="N23" s="71">
        <f>'Acuario (Arribado - mortalidad)'!T33</f>
        <v>0</v>
      </c>
      <c r="O23" s="71">
        <f>'Acuario (Arribado - mortalidad)'!U33</f>
        <v>0</v>
      </c>
      <c r="P23" s="71">
        <f>'Acuario (Arribado - mortalidad)'!V33</f>
        <v>0</v>
      </c>
      <c r="Q23" s="71">
        <f>'Acuario (Arribado - mortalidad)'!W33</f>
        <v>0</v>
      </c>
      <c r="R23" s="71">
        <f>'Acuario (Arribado - mortalidad)'!X33</f>
        <v>0</v>
      </c>
      <c r="S23" s="71">
        <f>'Acuario (Arribado - mortalidad)'!Y33</f>
        <v>0</v>
      </c>
      <c r="T23" s="71">
        <f>'Acuario (Arribado - mortalidad)'!Z33</f>
        <v>0</v>
      </c>
      <c r="U23" s="71">
        <f>'Acuario (Arribado - mortalidad)'!AA33</f>
        <v>0</v>
      </c>
      <c r="V23" s="71">
        <f>'Acuario (Arribado - mortalidad)'!AB33</f>
        <v>0</v>
      </c>
      <c r="W23" s="71">
        <f>'Acuario (Arribado - mortalidad)'!AC33</f>
        <v>0</v>
      </c>
      <c r="X23" s="71">
        <f>'Acuario (Arribado - mortalidad)'!AD33</f>
        <v>0</v>
      </c>
      <c r="Y23" s="71">
        <f>'Acuario (Arribado - mortalidad)'!AE33</f>
        <v>0</v>
      </c>
      <c r="Z23" s="71">
        <f>'Acuario (Arribado - mortalidad)'!AF33</f>
        <v>0</v>
      </c>
      <c r="AA23" s="71">
        <f>'Acuario (Arribado - mortalidad)'!AG33</f>
        <v>0</v>
      </c>
      <c r="AB23" s="71">
        <f>'Acuario (Arribado - mortalidad)'!AH33</f>
        <v>0</v>
      </c>
      <c r="AC23" s="71">
        <f>'Acuario (Arribado - mortalidad)'!AI33</f>
        <v>0</v>
      </c>
      <c r="AD23" s="71">
        <f>'Acuario (Arribado - mortalidad)'!AJ33</f>
        <v>0</v>
      </c>
      <c r="AE23" s="71">
        <f>'Acuario (Arribado - mortalidad)'!AK33</f>
        <v>0</v>
      </c>
      <c r="AF23" s="71">
        <f>'Acuario (Arribado - mortalidad)'!AL33</f>
        <v>0</v>
      </c>
      <c r="AG23" s="71">
        <f>'Acuario (Arribado - mortalidad)'!AM33</f>
        <v>0</v>
      </c>
      <c r="AH23" s="71">
        <f>'Acuario (Arribado - mortalidad)'!AN33</f>
        <v>0</v>
      </c>
      <c r="AI23" s="71">
        <f>'Acuario (Arribado - mortalidad)'!AO33</f>
        <v>0</v>
      </c>
      <c r="AJ23" s="71">
        <f>'Acuario (Arribado - mortalidad)'!AP33</f>
        <v>0</v>
      </c>
      <c r="AK23" s="71">
        <f>'Acuario (Arribado - mortalidad)'!AQ33</f>
        <v>0</v>
      </c>
      <c r="AL23" s="71">
        <f>'Acuario (Arribado - mortalidad)'!AR33</f>
        <v>0</v>
      </c>
      <c r="AO23"/>
    </row>
    <row r="24" spans="2:41" x14ac:dyDescent="0.25">
      <c r="B24" s="71">
        <f>'Acuario (Arribado - mortalidad)'!C34</f>
        <v>0</v>
      </c>
      <c r="C24" s="71">
        <f>'Acuario (Arribado - mortalidad)'!B34</f>
        <v>0</v>
      </c>
      <c r="D24" s="71" t="str">
        <f>'Acuario (Arribado - mortalidad)'!D34</f>
        <v/>
      </c>
      <c r="E24" s="71" t="str">
        <f>'Acuario (Arribado - mortalidad)'!E34</f>
        <v/>
      </c>
      <c r="F24" s="71">
        <f>'Acuario (Arribado - mortalidad)'!F34</f>
        <v>0</v>
      </c>
      <c r="G24" s="71" t="str">
        <f>'Acuario (Arribado - mortalidad)'!K34</f>
        <v/>
      </c>
      <c r="H24" s="71" t="str">
        <f>'Acuario (Arribado - mortalidad)'!G34</f>
        <v/>
      </c>
      <c r="I24" s="71">
        <f>'Acuario (Arribado - mortalidad)'!O34</f>
        <v>0</v>
      </c>
      <c r="J24" s="71">
        <f>'Acuario (Arribado - mortalidad)'!P34</f>
        <v>0</v>
      </c>
      <c r="K24" s="71">
        <f>'Acuario (Arribado - mortalidad)'!Q34</f>
        <v>0</v>
      </c>
      <c r="L24" s="71">
        <f>'Acuario (Arribado - mortalidad)'!R34</f>
        <v>0</v>
      </c>
      <c r="M24" s="71">
        <f>'Acuario (Arribado - mortalidad)'!S34</f>
        <v>0</v>
      </c>
      <c r="N24" s="71">
        <f>'Acuario (Arribado - mortalidad)'!T34</f>
        <v>0</v>
      </c>
      <c r="O24" s="71">
        <f>'Acuario (Arribado - mortalidad)'!U34</f>
        <v>0</v>
      </c>
      <c r="P24" s="71">
        <f>'Acuario (Arribado - mortalidad)'!V34</f>
        <v>0</v>
      </c>
      <c r="Q24" s="71">
        <f>'Acuario (Arribado - mortalidad)'!W34</f>
        <v>0</v>
      </c>
      <c r="R24" s="71">
        <f>'Acuario (Arribado - mortalidad)'!X34</f>
        <v>0</v>
      </c>
      <c r="S24" s="71">
        <f>'Acuario (Arribado - mortalidad)'!Y34</f>
        <v>0</v>
      </c>
      <c r="T24" s="71">
        <f>'Acuario (Arribado - mortalidad)'!Z34</f>
        <v>0</v>
      </c>
      <c r="U24" s="71">
        <f>'Acuario (Arribado - mortalidad)'!AA34</f>
        <v>0</v>
      </c>
      <c r="V24" s="71">
        <f>'Acuario (Arribado - mortalidad)'!AB34</f>
        <v>0</v>
      </c>
      <c r="W24" s="71">
        <f>'Acuario (Arribado - mortalidad)'!AC34</f>
        <v>0</v>
      </c>
      <c r="X24" s="71">
        <f>'Acuario (Arribado - mortalidad)'!AD34</f>
        <v>0</v>
      </c>
      <c r="Y24" s="71">
        <f>'Acuario (Arribado - mortalidad)'!AE34</f>
        <v>0</v>
      </c>
      <c r="Z24" s="71">
        <f>'Acuario (Arribado - mortalidad)'!AF34</f>
        <v>0</v>
      </c>
      <c r="AA24" s="71">
        <f>'Acuario (Arribado - mortalidad)'!AG34</f>
        <v>0</v>
      </c>
      <c r="AB24" s="71">
        <f>'Acuario (Arribado - mortalidad)'!AH34</f>
        <v>0</v>
      </c>
      <c r="AC24" s="71">
        <f>'Acuario (Arribado - mortalidad)'!AI34</f>
        <v>0</v>
      </c>
      <c r="AD24" s="71">
        <f>'Acuario (Arribado - mortalidad)'!AJ34</f>
        <v>0</v>
      </c>
      <c r="AE24" s="71">
        <f>'Acuario (Arribado - mortalidad)'!AK34</f>
        <v>0</v>
      </c>
      <c r="AF24" s="71">
        <f>'Acuario (Arribado - mortalidad)'!AL34</f>
        <v>0</v>
      </c>
      <c r="AG24" s="71">
        <f>'Acuario (Arribado - mortalidad)'!AM34</f>
        <v>0</v>
      </c>
      <c r="AH24" s="71">
        <f>'Acuario (Arribado - mortalidad)'!AN34</f>
        <v>0</v>
      </c>
      <c r="AI24" s="71">
        <f>'Acuario (Arribado - mortalidad)'!AO34</f>
        <v>0</v>
      </c>
      <c r="AJ24" s="71">
        <f>'Acuario (Arribado - mortalidad)'!AP34</f>
        <v>0</v>
      </c>
      <c r="AK24" s="71">
        <f>'Acuario (Arribado - mortalidad)'!AQ34</f>
        <v>0</v>
      </c>
      <c r="AL24" s="71">
        <f>'Acuario (Arribado - mortalidad)'!AR34</f>
        <v>0</v>
      </c>
      <c r="AO24"/>
    </row>
    <row r="25" spans="2:41" x14ac:dyDescent="0.25">
      <c r="B25" s="71">
        <f>'Acuario (Arribado - mortalidad)'!C35</f>
        <v>0</v>
      </c>
      <c r="C25" s="71">
        <f>'Acuario (Arribado - mortalidad)'!B35</f>
        <v>0</v>
      </c>
      <c r="D25" s="71" t="str">
        <f>'Acuario (Arribado - mortalidad)'!D35</f>
        <v/>
      </c>
      <c r="E25" s="71" t="str">
        <f>'Acuario (Arribado - mortalidad)'!E35</f>
        <v/>
      </c>
      <c r="F25" s="71">
        <f>'Acuario (Arribado - mortalidad)'!F35</f>
        <v>0</v>
      </c>
      <c r="G25" s="71" t="str">
        <f>'Acuario (Arribado - mortalidad)'!K35</f>
        <v/>
      </c>
      <c r="H25" s="71" t="str">
        <f>'Acuario (Arribado - mortalidad)'!G35</f>
        <v/>
      </c>
      <c r="I25" s="71">
        <f>'Acuario (Arribado - mortalidad)'!O35</f>
        <v>0</v>
      </c>
      <c r="J25" s="71">
        <f>'Acuario (Arribado - mortalidad)'!P35</f>
        <v>0</v>
      </c>
      <c r="K25" s="71">
        <f>'Acuario (Arribado - mortalidad)'!Q35</f>
        <v>0</v>
      </c>
      <c r="L25" s="71">
        <f>'Acuario (Arribado - mortalidad)'!R35</f>
        <v>0</v>
      </c>
      <c r="M25" s="71">
        <f>'Acuario (Arribado - mortalidad)'!S35</f>
        <v>0</v>
      </c>
      <c r="N25" s="71">
        <f>'Acuario (Arribado - mortalidad)'!T35</f>
        <v>0</v>
      </c>
      <c r="O25" s="71">
        <f>'Acuario (Arribado - mortalidad)'!U35</f>
        <v>0</v>
      </c>
      <c r="P25" s="71">
        <f>'Acuario (Arribado - mortalidad)'!V35</f>
        <v>0</v>
      </c>
      <c r="Q25" s="71">
        <f>'Acuario (Arribado - mortalidad)'!W35</f>
        <v>0</v>
      </c>
      <c r="R25" s="71">
        <f>'Acuario (Arribado - mortalidad)'!X35</f>
        <v>0</v>
      </c>
      <c r="S25" s="71">
        <f>'Acuario (Arribado - mortalidad)'!Y35</f>
        <v>0</v>
      </c>
      <c r="T25" s="71">
        <f>'Acuario (Arribado - mortalidad)'!Z35</f>
        <v>0</v>
      </c>
      <c r="U25" s="71">
        <f>'Acuario (Arribado - mortalidad)'!AA35</f>
        <v>0</v>
      </c>
      <c r="V25" s="71">
        <f>'Acuario (Arribado - mortalidad)'!AB35</f>
        <v>0</v>
      </c>
      <c r="W25" s="71">
        <f>'Acuario (Arribado - mortalidad)'!AC35</f>
        <v>0</v>
      </c>
      <c r="X25" s="71">
        <f>'Acuario (Arribado - mortalidad)'!AD35</f>
        <v>0</v>
      </c>
      <c r="Y25" s="71">
        <f>'Acuario (Arribado - mortalidad)'!AE35</f>
        <v>0</v>
      </c>
      <c r="Z25" s="71">
        <f>'Acuario (Arribado - mortalidad)'!AF35</f>
        <v>0</v>
      </c>
      <c r="AA25" s="71">
        <f>'Acuario (Arribado - mortalidad)'!AG35</f>
        <v>0</v>
      </c>
      <c r="AB25" s="71">
        <f>'Acuario (Arribado - mortalidad)'!AH35</f>
        <v>0</v>
      </c>
      <c r="AC25" s="71">
        <f>'Acuario (Arribado - mortalidad)'!AI35</f>
        <v>0</v>
      </c>
      <c r="AD25" s="71">
        <f>'Acuario (Arribado - mortalidad)'!AJ35</f>
        <v>0</v>
      </c>
      <c r="AE25" s="71">
        <f>'Acuario (Arribado - mortalidad)'!AK35</f>
        <v>0</v>
      </c>
      <c r="AF25" s="71">
        <f>'Acuario (Arribado - mortalidad)'!AL35</f>
        <v>0</v>
      </c>
      <c r="AG25" s="71">
        <f>'Acuario (Arribado - mortalidad)'!AM35</f>
        <v>0</v>
      </c>
      <c r="AH25" s="71">
        <f>'Acuario (Arribado - mortalidad)'!AN35</f>
        <v>0</v>
      </c>
      <c r="AI25" s="71">
        <f>'Acuario (Arribado - mortalidad)'!AO35</f>
        <v>0</v>
      </c>
      <c r="AJ25" s="71">
        <f>'Acuario (Arribado - mortalidad)'!AP35</f>
        <v>0</v>
      </c>
      <c r="AK25" s="71">
        <f>'Acuario (Arribado - mortalidad)'!AQ35</f>
        <v>0</v>
      </c>
      <c r="AL25" s="71">
        <f>'Acuario (Arribado - mortalidad)'!AR35</f>
        <v>0</v>
      </c>
      <c r="AO25"/>
    </row>
    <row r="26" spans="2:41" x14ac:dyDescent="0.25">
      <c r="B26" s="71">
        <f>'Acuario (Arribado - mortalidad)'!C36</f>
        <v>0</v>
      </c>
      <c r="C26" s="71">
        <f>'Acuario (Arribado - mortalidad)'!B36</f>
        <v>0</v>
      </c>
      <c r="D26" s="71" t="str">
        <f>'Acuario (Arribado - mortalidad)'!D36</f>
        <v/>
      </c>
      <c r="E26" s="71" t="str">
        <f>'Acuario (Arribado - mortalidad)'!E36</f>
        <v/>
      </c>
      <c r="F26" s="71">
        <f>'Acuario (Arribado - mortalidad)'!F36</f>
        <v>0</v>
      </c>
      <c r="G26" s="71" t="str">
        <f>'Acuario (Arribado - mortalidad)'!K36</f>
        <v/>
      </c>
      <c r="H26" s="71" t="str">
        <f>'Acuario (Arribado - mortalidad)'!G36</f>
        <v/>
      </c>
      <c r="I26" s="71">
        <f>'Acuario (Arribado - mortalidad)'!O36</f>
        <v>0</v>
      </c>
      <c r="J26" s="71">
        <f>'Acuario (Arribado - mortalidad)'!P36</f>
        <v>0</v>
      </c>
      <c r="K26" s="71">
        <f>'Acuario (Arribado - mortalidad)'!Q36</f>
        <v>0</v>
      </c>
      <c r="L26" s="71">
        <f>'Acuario (Arribado - mortalidad)'!R36</f>
        <v>0</v>
      </c>
      <c r="M26" s="71">
        <f>'Acuario (Arribado - mortalidad)'!S36</f>
        <v>0</v>
      </c>
      <c r="N26" s="71">
        <f>'Acuario (Arribado - mortalidad)'!T36</f>
        <v>0</v>
      </c>
      <c r="O26" s="71">
        <f>'Acuario (Arribado - mortalidad)'!U36</f>
        <v>0</v>
      </c>
      <c r="P26" s="71">
        <f>'Acuario (Arribado - mortalidad)'!V36</f>
        <v>0</v>
      </c>
      <c r="Q26" s="71">
        <f>'Acuario (Arribado - mortalidad)'!W36</f>
        <v>0</v>
      </c>
      <c r="R26" s="71">
        <f>'Acuario (Arribado - mortalidad)'!X36</f>
        <v>0</v>
      </c>
      <c r="S26" s="71">
        <f>'Acuario (Arribado - mortalidad)'!Y36</f>
        <v>0</v>
      </c>
      <c r="T26" s="71">
        <f>'Acuario (Arribado - mortalidad)'!Z36</f>
        <v>0</v>
      </c>
      <c r="U26" s="71">
        <f>'Acuario (Arribado - mortalidad)'!AA36</f>
        <v>0</v>
      </c>
      <c r="V26" s="71">
        <f>'Acuario (Arribado - mortalidad)'!AB36</f>
        <v>0</v>
      </c>
      <c r="W26" s="71">
        <f>'Acuario (Arribado - mortalidad)'!AC36</f>
        <v>0</v>
      </c>
      <c r="X26" s="71">
        <f>'Acuario (Arribado - mortalidad)'!AD36</f>
        <v>0</v>
      </c>
      <c r="Y26" s="71">
        <f>'Acuario (Arribado - mortalidad)'!AE36</f>
        <v>0</v>
      </c>
      <c r="Z26" s="71">
        <f>'Acuario (Arribado - mortalidad)'!AF36</f>
        <v>0</v>
      </c>
      <c r="AA26" s="71">
        <f>'Acuario (Arribado - mortalidad)'!AG36</f>
        <v>0</v>
      </c>
      <c r="AB26" s="71">
        <f>'Acuario (Arribado - mortalidad)'!AH36</f>
        <v>0</v>
      </c>
      <c r="AC26" s="71">
        <f>'Acuario (Arribado - mortalidad)'!AI36</f>
        <v>0</v>
      </c>
      <c r="AD26" s="71">
        <f>'Acuario (Arribado - mortalidad)'!AJ36</f>
        <v>0</v>
      </c>
      <c r="AE26" s="71">
        <f>'Acuario (Arribado - mortalidad)'!AK36</f>
        <v>0</v>
      </c>
      <c r="AF26" s="71">
        <f>'Acuario (Arribado - mortalidad)'!AL36</f>
        <v>0</v>
      </c>
      <c r="AG26" s="71">
        <f>'Acuario (Arribado - mortalidad)'!AM36</f>
        <v>0</v>
      </c>
      <c r="AH26" s="71">
        <f>'Acuario (Arribado - mortalidad)'!AN36</f>
        <v>0</v>
      </c>
      <c r="AI26" s="71">
        <f>'Acuario (Arribado - mortalidad)'!AO36</f>
        <v>0</v>
      </c>
      <c r="AJ26" s="71">
        <f>'Acuario (Arribado - mortalidad)'!AP36</f>
        <v>0</v>
      </c>
      <c r="AK26" s="71">
        <f>'Acuario (Arribado - mortalidad)'!AQ36</f>
        <v>0</v>
      </c>
      <c r="AL26" s="71">
        <f>'Acuario (Arribado - mortalidad)'!AR36</f>
        <v>0</v>
      </c>
      <c r="AO26"/>
    </row>
    <row r="27" spans="2:41" x14ac:dyDescent="0.25">
      <c r="B27" s="71">
        <f>'Acuario (Arribado - mortalidad)'!C37</f>
        <v>0</v>
      </c>
      <c r="C27" s="71">
        <f>'Acuario (Arribado - mortalidad)'!B37</f>
        <v>0</v>
      </c>
      <c r="D27" s="71" t="str">
        <f>'Acuario (Arribado - mortalidad)'!D37</f>
        <v/>
      </c>
      <c r="E27" s="71" t="str">
        <f>'Acuario (Arribado - mortalidad)'!E37</f>
        <v/>
      </c>
      <c r="F27" s="71">
        <f>'Acuario (Arribado - mortalidad)'!F37</f>
        <v>0</v>
      </c>
      <c r="G27" s="71" t="str">
        <f>'Acuario (Arribado - mortalidad)'!K37</f>
        <v/>
      </c>
      <c r="H27" s="71" t="str">
        <f>'Acuario (Arribado - mortalidad)'!G37</f>
        <v/>
      </c>
      <c r="I27" s="71">
        <f>'Acuario (Arribado - mortalidad)'!O37</f>
        <v>0</v>
      </c>
      <c r="J27" s="71">
        <f>'Acuario (Arribado - mortalidad)'!P37</f>
        <v>0</v>
      </c>
      <c r="K27" s="71">
        <f>'Acuario (Arribado - mortalidad)'!Q37</f>
        <v>0</v>
      </c>
      <c r="L27" s="71">
        <f>'Acuario (Arribado - mortalidad)'!R37</f>
        <v>0</v>
      </c>
      <c r="M27" s="71">
        <f>'Acuario (Arribado - mortalidad)'!S37</f>
        <v>0</v>
      </c>
      <c r="N27" s="71">
        <f>'Acuario (Arribado - mortalidad)'!T37</f>
        <v>0</v>
      </c>
      <c r="O27" s="71">
        <f>'Acuario (Arribado - mortalidad)'!U37</f>
        <v>0</v>
      </c>
      <c r="P27" s="71">
        <f>'Acuario (Arribado - mortalidad)'!V37</f>
        <v>0</v>
      </c>
      <c r="Q27" s="71">
        <f>'Acuario (Arribado - mortalidad)'!W37</f>
        <v>0</v>
      </c>
      <c r="R27" s="71">
        <f>'Acuario (Arribado - mortalidad)'!X37</f>
        <v>0</v>
      </c>
      <c r="S27" s="71">
        <f>'Acuario (Arribado - mortalidad)'!Y37</f>
        <v>0</v>
      </c>
      <c r="T27" s="71">
        <f>'Acuario (Arribado - mortalidad)'!Z37</f>
        <v>0</v>
      </c>
      <c r="U27" s="71">
        <f>'Acuario (Arribado - mortalidad)'!AA37</f>
        <v>0</v>
      </c>
      <c r="V27" s="71">
        <f>'Acuario (Arribado - mortalidad)'!AB37</f>
        <v>0</v>
      </c>
      <c r="W27" s="71">
        <f>'Acuario (Arribado - mortalidad)'!AC37</f>
        <v>0</v>
      </c>
      <c r="X27" s="71">
        <f>'Acuario (Arribado - mortalidad)'!AD37</f>
        <v>0</v>
      </c>
      <c r="Y27" s="71">
        <f>'Acuario (Arribado - mortalidad)'!AE37</f>
        <v>0</v>
      </c>
      <c r="Z27" s="71">
        <f>'Acuario (Arribado - mortalidad)'!AF37</f>
        <v>0</v>
      </c>
      <c r="AA27" s="71">
        <f>'Acuario (Arribado - mortalidad)'!AG37</f>
        <v>0</v>
      </c>
      <c r="AB27" s="71">
        <f>'Acuario (Arribado - mortalidad)'!AH37</f>
        <v>0</v>
      </c>
      <c r="AC27" s="71">
        <f>'Acuario (Arribado - mortalidad)'!AI37</f>
        <v>0</v>
      </c>
      <c r="AD27" s="71">
        <f>'Acuario (Arribado - mortalidad)'!AJ37</f>
        <v>0</v>
      </c>
      <c r="AE27" s="71">
        <f>'Acuario (Arribado - mortalidad)'!AK37</f>
        <v>0</v>
      </c>
      <c r="AF27" s="71">
        <f>'Acuario (Arribado - mortalidad)'!AL37</f>
        <v>0</v>
      </c>
      <c r="AG27" s="71">
        <f>'Acuario (Arribado - mortalidad)'!AM37</f>
        <v>0</v>
      </c>
      <c r="AH27" s="71">
        <f>'Acuario (Arribado - mortalidad)'!AN37</f>
        <v>0</v>
      </c>
      <c r="AI27" s="71">
        <f>'Acuario (Arribado - mortalidad)'!AO37</f>
        <v>0</v>
      </c>
      <c r="AJ27" s="71">
        <f>'Acuario (Arribado - mortalidad)'!AP37</f>
        <v>0</v>
      </c>
      <c r="AK27" s="71">
        <f>'Acuario (Arribado - mortalidad)'!AQ37</f>
        <v>0</v>
      </c>
      <c r="AL27" s="71">
        <f>'Acuario (Arribado - mortalidad)'!AR37</f>
        <v>0</v>
      </c>
      <c r="AO27"/>
    </row>
    <row r="28" spans="2:41" x14ac:dyDescent="0.25">
      <c r="B28" s="71">
        <f>'Acuario (Arribado - mortalidad)'!C38</f>
        <v>0</v>
      </c>
      <c r="C28" s="71">
        <f>'Acuario (Arribado - mortalidad)'!B38</f>
        <v>0</v>
      </c>
      <c r="D28" s="71" t="str">
        <f>'Acuario (Arribado - mortalidad)'!D38</f>
        <v/>
      </c>
      <c r="E28" s="71" t="str">
        <f>'Acuario (Arribado - mortalidad)'!E38</f>
        <v/>
      </c>
      <c r="F28" s="71">
        <f>'Acuario (Arribado - mortalidad)'!F38</f>
        <v>0</v>
      </c>
      <c r="G28" s="71" t="str">
        <f>'Acuario (Arribado - mortalidad)'!K38</f>
        <v/>
      </c>
      <c r="H28" s="71" t="str">
        <f>'Acuario (Arribado - mortalidad)'!G38</f>
        <v/>
      </c>
      <c r="I28" s="71">
        <f>'Acuario (Arribado - mortalidad)'!O38</f>
        <v>0</v>
      </c>
      <c r="J28" s="71">
        <f>'Acuario (Arribado - mortalidad)'!P38</f>
        <v>0</v>
      </c>
      <c r="K28" s="71">
        <f>'Acuario (Arribado - mortalidad)'!Q38</f>
        <v>0</v>
      </c>
      <c r="L28" s="71">
        <f>'Acuario (Arribado - mortalidad)'!R38</f>
        <v>0</v>
      </c>
      <c r="M28" s="71">
        <f>'Acuario (Arribado - mortalidad)'!S38</f>
        <v>0</v>
      </c>
      <c r="N28" s="71">
        <f>'Acuario (Arribado - mortalidad)'!T38</f>
        <v>0</v>
      </c>
      <c r="O28" s="71">
        <f>'Acuario (Arribado - mortalidad)'!U38</f>
        <v>0</v>
      </c>
      <c r="P28" s="71">
        <f>'Acuario (Arribado - mortalidad)'!V38</f>
        <v>0</v>
      </c>
      <c r="Q28" s="71">
        <f>'Acuario (Arribado - mortalidad)'!W38</f>
        <v>0</v>
      </c>
      <c r="R28" s="71">
        <f>'Acuario (Arribado - mortalidad)'!X38</f>
        <v>0</v>
      </c>
      <c r="S28" s="71">
        <f>'Acuario (Arribado - mortalidad)'!Y38</f>
        <v>0</v>
      </c>
      <c r="T28" s="71">
        <f>'Acuario (Arribado - mortalidad)'!Z38</f>
        <v>0</v>
      </c>
      <c r="U28" s="71">
        <f>'Acuario (Arribado - mortalidad)'!AA38</f>
        <v>0</v>
      </c>
      <c r="V28" s="71">
        <f>'Acuario (Arribado - mortalidad)'!AB38</f>
        <v>0</v>
      </c>
      <c r="W28" s="71">
        <f>'Acuario (Arribado - mortalidad)'!AC38</f>
        <v>0</v>
      </c>
      <c r="X28" s="71">
        <f>'Acuario (Arribado - mortalidad)'!AD38</f>
        <v>0</v>
      </c>
      <c r="Y28" s="71">
        <f>'Acuario (Arribado - mortalidad)'!AE38</f>
        <v>0</v>
      </c>
      <c r="Z28" s="71">
        <f>'Acuario (Arribado - mortalidad)'!AF38</f>
        <v>0</v>
      </c>
      <c r="AA28" s="71">
        <f>'Acuario (Arribado - mortalidad)'!AG38</f>
        <v>0</v>
      </c>
      <c r="AB28" s="71">
        <f>'Acuario (Arribado - mortalidad)'!AH38</f>
        <v>0</v>
      </c>
      <c r="AC28" s="71">
        <f>'Acuario (Arribado - mortalidad)'!AI38</f>
        <v>0</v>
      </c>
      <c r="AD28" s="71">
        <f>'Acuario (Arribado - mortalidad)'!AJ38</f>
        <v>0</v>
      </c>
      <c r="AE28" s="71">
        <f>'Acuario (Arribado - mortalidad)'!AK38</f>
        <v>0</v>
      </c>
      <c r="AF28" s="71">
        <f>'Acuario (Arribado - mortalidad)'!AL38</f>
        <v>0</v>
      </c>
      <c r="AG28" s="71">
        <f>'Acuario (Arribado - mortalidad)'!AM38</f>
        <v>0</v>
      </c>
      <c r="AH28" s="71">
        <f>'Acuario (Arribado - mortalidad)'!AN38</f>
        <v>0</v>
      </c>
      <c r="AI28" s="71">
        <f>'Acuario (Arribado - mortalidad)'!AO38</f>
        <v>0</v>
      </c>
      <c r="AJ28" s="71">
        <f>'Acuario (Arribado - mortalidad)'!AP38</f>
        <v>0</v>
      </c>
      <c r="AK28" s="71">
        <f>'Acuario (Arribado - mortalidad)'!AQ38</f>
        <v>0</v>
      </c>
      <c r="AL28" s="71">
        <f>'Acuario (Arribado - mortalidad)'!AR38</f>
        <v>0</v>
      </c>
      <c r="AO28"/>
    </row>
    <row r="29" spans="2:41" x14ac:dyDescent="0.25">
      <c r="B29" s="71">
        <f>'Acuario (Arribado - mortalidad)'!C39</f>
        <v>0</v>
      </c>
      <c r="C29" s="71">
        <f>'Acuario (Arribado - mortalidad)'!B39</f>
        <v>0</v>
      </c>
      <c r="D29" s="71" t="str">
        <f>'Acuario (Arribado - mortalidad)'!D39</f>
        <v/>
      </c>
      <c r="E29" s="71" t="str">
        <f>'Acuario (Arribado - mortalidad)'!E39</f>
        <v/>
      </c>
      <c r="F29" s="71">
        <f>'Acuario (Arribado - mortalidad)'!F39</f>
        <v>0</v>
      </c>
      <c r="G29" s="71" t="str">
        <f>'Acuario (Arribado - mortalidad)'!K39</f>
        <v/>
      </c>
      <c r="H29" s="71" t="str">
        <f>'Acuario (Arribado - mortalidad)'!G39</f>
        <v/>
      </c>
      <c r="I29" s="71">
        <f>'Acuario (Arribado - mortalidad)'!O39</f>
        <v>0</v>
      </c>
      <c r="J29" s="71">
        <f>'Acuario (Arribado - mortalidad)'!P39</f>
        <v>0</v>
      </c>
      <c r="K29" s="71">
        <f>'Acuario (Arribado - mortalidad)'!Q39</f>
        <v>0</v>
      </c>
      <c r="L29" s="71">
        <f>'Acuario (Arribado - mortalidad)'!R39</f>
        <v>0</v>
      </c>
      <c r="M29" s="71">
        <f>'Acuario (Arribado - mortalidad)'!S39</f>
        <v>0</v>
      </c>
      <c r="N29" s="71">
        <f>'Acuario (Arribado - mortalidad)'!T39</f>
        <v>0</v>
      </c>
      <c r="O29" s="71">
        <f>'Acuario (Arribado - mortalidad)'!U39</f>
        <v>0</v>
      </c>
      <c r="P29" s="71">
        <f>'Acuario (Arribado - mortalidad)'!V39</f>
        <v>0</v>
      </c>
      <c r="Q29" s="71">
        <f>'Acuario (Arribado - mortalidad)'!W39</f>
        <v>0</v>
      </c>
      <c r="R29" s="71">
        <f>'Acuario (Arribado - mortalidad)'!X39</f>
        <v>0</v>
      </c>
      <c r="S29" s="71">
        <f>'Acuario (Arribado - mortalidad)'!Y39</f>
        <v>0</v>
      </c>
      <c r="T29" s="71">
        <f>'Acuario (Arribado - mortalidad)'!Z39</f>
        <v>0</v>
      </c>
      <c r="U29" s="71">
        <f>'Acuario (Arribado - mortalidad)'!AA39</f>
        <v>0</v>
      </c>
      <c r="V29" s="71">
        <f>'Acuario (Arribado - mortalidad)'!AB39</f>
        <v>0</v>
      </c>
      <c r="W29" s="71">
        <f>'Acuario (Arribado - mortalidad)'!AC39</f>
        <v>0</v>
      </c>
      <c r="X29" s="71">
        <f>'Acuario (Arribado - mortalidad)'!AD39</f>
        <v>0</v>
      </c>
      <c r="Y29" s="71">
        <f>'Acuario (Arribado - mortalidad)'!AE39</f>
        <v>0</v>
      </c>
      <c r="Z29" s="71">
        <f>'Acuario (Arribado - mortalidad)'!AF39</f>
        <v>0</v>
      </c>
      <c r="AA29" s="71">
        <f>'Acuario (Arribado - mortalidad)'!AG39</f>
        <v>0</v>
      </c>
      <c r="AB29" s="71">
        <f>'Acuario (Arribado - mortalidad)'!AH39</f>
        <v>0</v>
      </c>
      <c r="AC29" s="71">
        <f>'Acuario (Arribado - mortalidad)'!AI39</f>
        <v>0</v>
      </c>
      <c r="AD29" s="71">
        <f>'Acuario (Arribado - mortalidad)'!AJ39</f>
        <v>0</v>
      </c>
      <c r="AE29" s="71">
        <f>'Acuario (Arribado - mortalidad)'!AK39</f>
        <v>0</v>
      </c>
      <c r="AF29" s="71">
        <f>'Acuario (Arribado - mortalidad)'!AL39</f>
        <v>0</v>
      </c>
      <c r="AG29" s="71">
        <f>'Acuario (Arribado - mortalidad)'!AM39</f>
        <v>0</v>
      </c>
      <c r="AH29" s="71">
        <f>'Acuario (Arribado - mortalidad)'!AN39</f>
        <v>0</v>
      </c>
      <c r="AI29" s="71">
        <f>'Acuario (Arribado - mortalidad)'!AO39</f>
        <v>0</v>
      </c>
      <c r="AJ29" s="71">
        <f>'Acuario (Arribado - mortalidad)'!AP39</f>
        <v>0</v>
      </c>
      <c r="AK29" s="71">
        <f>'Acuario (Arribado - mortalidad)'!AQ39</f>
        <v>0</v>
      </c>
      <c r="AL29" s="71">
        <f>'Acuario (Arribado - mortalidad)'!AR39</f>
        <v>0</v>
      </c>
      <c r="AO29"/>
    </row>
    <row r="30" spans="2:41" x14ac:dyDescent="0.25">
      <c r="B30" s="71">
        <f>'Acuario (Arribado - mortalidad)'!C40</f>
        <v>0</v>
      </c>
      <c r="C30" s="71">
        <f>'Acuario (Arribado - mortalidad)'!B40</f>
        <v>0</v>
      </c>
      <c r="D30" s="71" t="str">
        <f>'Acuario (Arribado - mortalidad)'!D40</f>
        <v/>
      </c>
      <c r="E30" s="71" t="str">
        <f>'Acuario (Arribado - mortalidad)'!E40</f>
        <v/>
      </c>
      <c r="F30" s="71">
        <f>'Acuario (Arribado - mortalidad)'!F40</f>
        <v>0</v>
      </c>
      <c r="G30" s="71" t="str">
        <f>'Acuario (Arribado - mortalidad)'!K40</f>
        <v/>
      </c>
      <c r="H30" s="71" t="str">
        <f>'Acuario (Arribado - mortalidad)'!G40</f>
        <v/>
      </c>
      <c r="I30" s="71">
        <f>'Acuario (Arribado - mortalidad)'!O40</f>
        <v>0</v>
      </c>
      <c r="J30" s="71">
        <f>'Acuario (Arribado - mortalidad)'!P40</f>
        <v>0</v>
      </c>
      <c r="K30" s="71">
        <f>'Acuario (Arribado - mortalidad)'!Q40</f>
        <v>0</v>
      </c>
      <c r="L30" s="71">
        <f>'Acuario (Arribado - mortalidad)'!R40</f>
        <v>0</v>
      </c>
      <c r="M30" s="71">
        <f>'Acuario (Arribado - mortalidad)'!S40</f>
        <v>0</v>
      </c>
      <c r="N30" s="71">
        <f>'Acuario (Arribado - mortalidad)'!T40</f>
        <v>0</v>
      </c>
      <c r="O30" s="71">
        <f>'Acuario (Arribado - mortalidad)'!U40</f>
        <v>0</v>
      </c>
      <c r="P30" s="71">
        <f>'Acuario (Arribado - mortalidad)'!V40</f>
        <v>0</v>
      </c>
      <c r="Q30" s="71">
        <f>'Acuario (Arribado - mortalidad)'!W40</f>
        <v>0</v>
      </c>
      <c r="R30" s="71">
        <f>'Acuario (Arribado - mortalidad)'!X40</f>
        <v>0</v>
      </c>
      <c r="S30" s="71">
        <f>'Acuario (Arribado - mortalidad)'!Y40</f>
        <v>0</v>
      </c>
      <c r="T30" s="71">
        <f>'Acuario (Arribado - mortalidad)'!Z40</f>
        <v>0</v>
      </c>
      <c r="U30" s="71">
        <f>'Acuario (Arribado - mortalidad)'!AA40</f>
        <v>0</v>
      </c>
      <c r="V30" s="71">
        <f>'Acuario (Arribado - mortalidad)'!AB40</f>
        <v>0</v>
      </c>
      <c r="W30" s="71">
        <f>'Acuario (Arribado - mortalidad)'!AC40</f>
        <v>0</v>
      </c>
      <c r="X30" s="71">
        <f>'Acuario (Arribado - mortalidad)'!AD40</f>
        <v>0</v>
      </c>
      <c r="Y30" s="71">
        <f>'Acuario (Arribado - mortalidad)'!AE40</f>
        <v>0</v>
      </c>
      <c r="Z30" s="71">
        <f>'Acuario (Arribado - mortalidad)'!AF40</f>
        <v>0</v>
      </c>
      <c r="AA30" s="71">
        <f>'Acuario (Arribado - mortalidad)'!AG40</f>
        <v>0</v>
      </c>
      <c r="AB30" s="71">
        <f>'Acuario (Arribado - mortalidad)'!AH40</f>
        <v>0</v>
      </c>
      <c r="AC30" s="71">
        <f>'Acuario (Arribado - mortalidad)'!AI40</f>
        <v>0</v>
      </c>
      <c r="AD30" s="71">
        <f>'Acuario (Arribado - mortalidad)'!AJ40</f>
        <v>0</v>
      </c>
      <c r="AE30" s="71">
        <f>'Acuario (Arribado - mortalidad)'!AK40</f>
        <v>0</v>
      </c>
      <c r="AF30" s="71">
        <f>'Acuario (Arribado - mortalidad)'!AL40</f>
        <v>0</v>
      </c>
      <c r="AG30" s="71">
        <f>'Acuario (Arribado - mortalidad)'!AM40</f>
        <v>0</v>
      </c>
      <c r="AH30" s="71">
        <f>'Acuario (Arribado - mortalidad)'!AN40</f>
        <v>0</v>
      </c>
      <c r="AI30" s="71">
        <f>'Acuario (Arribado - mortalidad)'!AO40</f>
        <v>0</v>
      </c>
      <c r="AJ30" s="71">
        <f>'Acuario (Arribado - mortalidad)'!AP40</f>
        <v>0</v>
      </c>
      <c r="AK30" s="71">
        <f>'Acuario (Arribado - mortalidad)'!AQ40</f>
        <v>0</v>
      </c>
      <c r="AL30" s="71">
        <f>'Acuario (Arribado - mortalidad)'!AR40</f>
        <v>0</v>
      </c>
      <c r="AO30"/>
    </row>
    <row r="31" spans="2:41" x14ac:dyDescent="0.25">
      <c r="B31" s="71">
        <f>'Acuario (Arribado - mortalidad)'!C41</f>
        <v>0</v>
      </c>
      <c r="C31" s="71">
        <f>'Acuario (Arribado - mortalidad)'!B41</f>
        <v>0</v>
      </c>
      <c r="D31" s="71" t="str">
        <f>'Acuario (Arribado - mortalidad)'!D41</f>
        <v/>
      </c>
      <c r="E31" s="71" t="str">
        <f>'Acuario (Arribado - mortalidad)'!E41</f>
        <v/>
      </c>
      <c r="F31" s="71">
        <f>'Acuario (Arribado - mortalidad)'!F41</f>
        <v>0</v>
      </c>
      <c r="G31" s="71" t="str">
        <f>'Acuario (Arribado - mortalidad)'!K41</f>
        <v/>
      </c>
      <c r="H31" s="71" t="str">
        <f>'Acuario (Arribado - mortalidad)'!G41</f>
        <v/>
      </c>
      <c r="I31" s="71">
        <f>'Acuario (Arribado - mortalidad)'!O41</f>
        <v>0</v>
      </c>
      <c r="J31" s="71">
        <f>'Acuario (Arribado - mortalidad)'!P41</f>
        <v>0</v>
      </c>
      <c r="K31" s="71">
        <f>'Acuario (Arribado - mortalidad)'!Q41</f>
        <v>0</v>
      </c>
      <c r="L31" s="71">
        <f>'Acuario (Arribado - mortalidad)'!R41</f>
        <v>0</v>
      </c>
      <c r="M31" s="71">
        <f>'Acuario (Arribado - mortalidad)'!S41</f>
        <v>0</v>
      </c>
      <c r="N31" s="71">
        <f>'Acuario (Arribado - mortalidad)'!T41</f>
        <v>0</v>
      </c>
      <c r="O31" s="71">
        <f>'Acuario (Arribado - mortalidad)'!U41</f>
        <v>0</v>
      </c>
      <c r="P31" s="71">
        <f>'Acuario (Arribado - mortalidad)'!V41</f>
        <v>0</v>
      </c>
      <c r="Q31" s="71">
        <f>'Acuario (Arribado - mortalidad)'!W41</f>
        <v>0</v>
      </c>
      <c r="R31" s="71">
        <f>'Acuario (Arribado - mortalidad)'!X41</f>
        <v>0</v>
      </c>
      <c r="S31" s="71">
        <f>'Acuario (Arribado - mortalidad)'!Y41</f>
        <v>0</v>
      </c>
      <c r="T31" s="71">
        <f>'Acuario (Arribado - mortalidad)'!Z41</f>
        <v>0</v>
      </c>
      <c r="U31" s="71">
        <f>'Acuario (Arribado - mortalidad)'!AA41</f>
        <v>0</v>
      </c>
      <c r="V31" s="71">
        <f>'Acuario (Arribado - mortalidad)'!AB41</f>
        <v>0</v>
      </c>
      <c r="W31" s="71">
        <f>'Acuario (Arribado - mortalidad)'!AC41</f>
        <v>0</v>
      </c>
      <c r="X31" s="71">
        <f>'Acuario (Arribado - mortalidad)'!AD41</f>
        <v>0</v>
      </c>
      <c r="Y31" s="71">
        <f>'Acuario (Arribado - mortalidad)'!AE41</f>
        <v>0</v>
      </c>
      <c r="Z31" s="71">
        <f>'Acuario (Arribado - mortalidad)'!AF41</f>
        <v>0</v>
      </c>
      <c r="AA31" s="71">
        <f>'Acuario (Arribado - mortalidad)'!AG41</f>
        <v>0</v>
      </c>
      <c r="AB31" s="71">
        <f>'Acuario (Arribado - mortalidad)'!AH41</f>
        <v>0</v>
      </c>
      <c r="AC31" s="71">
        <f>'Acuario (Arribado - mortalidad)'!AI41</f>
        <v>0</v>
      </c>
      <c r="AD31" s="71">
        <f>'Acuario (Arribado - mortalidad)'!AJ41</f>
        <v>0</v>
      </c>
      <c r="AE31" s="71">
        <f>'Acuario (Arribado - mortalidad)'!AK41</f>
        <v>0</v>
      </c>
      <c r="AF31" s="71">
        <f>'Acuario (Arribado - mortalidad)'!AL41</f>
        <v>0</v>
      </c>
      <c r="AG31" s="71">
        <f>'Acuario (Arribado - mortalidad)'!AM41</f>
        <v>0</v>
      </c>
      <c r="AH31" s="71">
        <f>'Acuario (Arribado - mortalidad)'!AN41</f>
        <v>0</v>
      </c>
      <c r="AI31" s="71">
        <f>'Acuario (Arribado - mortalidad)'!AO41</f>
        <v>0</v>
      </c>
      <c r="AJ31" s="71">
        <f>'Acuario (Arribado - mortalidad)'!AP41</f>
        <v>0</v>
      </c>
      <c r="AK31" s="71">
        <f>'Acuario (Arribado - mortalidad)'!AQ41</f>
        <v>0</v>
      </c>
      <c r="AL31" s="71">
        <f>'Acuario (Arribado - mortalidad)'!AR41</f>
        <v>0</v>
      </c>
      <c r="AO31"/>
    </row>
    <row r="32" spans="2:41" x14ac:dyDescent="0.25">
      <c r="B32" s="71">
        <f>'Acuario (Arribado - mortalidad)'!C42</f>
        <v>0</v>
      </c>
      <c r="C32" s="71">
        <f>'Acuario (Arribado - mortalidad)'!B42</f>
        <v>0</v>
      </c>
      <c r="D32" s="71" t="str">
        <f>'Acuario (Arribado - mortalidad)'!D42</f>
        <v/>
      </c>
      <c r="E32" s="71" t="str">
        <f>'Acuario (Arribado - mortalidad)'!E42</f>
        <v/>
      </c>
      <c r="F32" s="71">
        <f>'Acuario (Arribado - mortalidad)'!F42</f>
        <v>0</v>
      </c>
      <c r="G32" s="71" t="str">
        <f>'Acuario (Arribado - mortalidad)'!K42</f>
        <v/>
      </c>
      <c r="H32" s="71" t="str">
        <f>'Acuario (Arribado - mortalidad)'!G42</f>
        <v/>
      </c>
      <c r="I32" s="71">
        <f>'Acuario (Arribado - mortalidad)'!O42</f>
        <v>0</v>
      </c>
      <c r="J32" s="71">
        <f>'Acuario (Arribado - mortalidad)'!P42</f>
        <v>0</v>
      </c>
      <c r="K32" s="71">
        <f>'Acuario (Arribado - mortalidad)'!Q42</f>
        <v>0</v>
      </c>
      <c r="L32" s="71">
        <f>'Acuario (Arribado - mortalidad)'!R42</f>
        <v>0</v>
      </c>
      <c r="M32" s="71">
        <f>'Acuario (Arribado - mortalidad)'!S42</f>
        <v>0</v>
      </c>
      <c r="N32" s="71">
        <f>'Acuario (Arribado - mortalidad)'!T42</f>
        <v>0</v>
      </c>
      <c r="O32" s="71">
        <f>'Acuario (Arribado - mortalidad)'!U42</f>
        <v>0</v>
      </c>
      <c r="P32" s="71">
        <f>'Acuario (Arribado - mortalidad)'!V42</f>
        <v>0</v>
      </c>
      <c r="Q32" s="71">
        <f>'Acuario (Arribado - mortalidad)'!W42</f>
        <v>0</v>
      </c>
      <c r="R32" s="71">
        <f>'Acuario (Arribado - mortalidad)'!X42</f>
        <v>0</v>
      </c>
      <c r="S32" s="71">
        <f>'Acuario (Arribado - mortalidad)'!Y42</f>
        <v>0</v>
      </c>
      <c r="T32" s="71">
        <f>'Acuario (Arribado - mortalidad)'!Z42</f>
        <v>0</v>
      </c>
      <c r="U32" s="71">
        <f>'Acuario (Arribado - mortalidad)'!AA42</f>
        <v>0</v>
      </c>
      <c r="V32" s="71">
        <f>'Acuario (Arribado - mortalidad)'!AB42</f>
        <v>0</v>
      </c>
      <c r="W32" s="71">
        <f>'Acuario (Arribado - mortalidad)'!AC42</f>
        <v>0</v>
      </c>
      <c r="X32" s="71">
        <f>'Acuario (Arribado - mortalidad)'!AD42</f>
        <v>0</v>
      </c>
      <c r="Y32" s="71">
        <f>'Acuario (Arribado - mortalidad)'!AE42</f>
        <v>0</v>
      </c>
      <c r="Z32" s="71">
        <f>'Acuario (Arribado - mortalidad)'!AF42</f>
        <v>0</v>
      </c>
      <c r="AA32" s="71">
        <f>'Acuario (Arribado - mortalidad)'!AG42</f>
        <v>0</v>
      </c>
      <c r="AB32" s="71">
        <f>'Acuario (Arribado - mortalidad)'!AH42</f>
        <v>0</v>
      </c>
      <c r="AC32" s="71">
        <f>'Acuario (Arribado - mortalidad)'!AI42</f>
        <v>0</v>
      </c>
      <c r="AD32" s="71">
        <f>'Acuario (Arribado - mortalidad)'!AJ42</f>
        <v>0</v>
      </c>
      <c r="AE32" s="71">
        <f>'Acuario (Arribado - mortalidad)'!AK42</f>
        <v>0</v>
      </c>
      <c r="AF32" s="71">
        <f>'Acuario (Arribado - mortalidad)'!AL42</f>
        <v>0</v>
      </c>
      <c r="AG32" s="71">
        <f>'Acuario (Arribado - mortalidad)'!AM42</f>
        <v>0</v>
      </c>
      <c r="AH32" s="71">
        <f>'Acuario (Arribado - mortalidad)'!AN42</f>
        <v>0</v>
      </c>
      <c r="AI32" s="71">
        <f>'Acuario (Arribado - mortalidad)'!AO42</f>
        <v>0</v>
      </c>
      <c r="AJ32" s="71">
        <f>'Acuario (Arribado - mortalidad)'!AP42</f>
        <v>0</v>
      </c>
      <c r="AK32" s="71">
        <f>'Acuario (Arribado - mortalidad)'!AQ42</f>
        <v>0</v>
      </c>
      <c r="AL32" s="71">
        <f>'Acuario (Arribado - mortalidad)'!AR42</f>
        <v>0</v>
      </c>
      <c r="AO32"/>
    </row>
    <row r="33" spans="2:41" x14ac:dyDescent="0.25">
      <c r="B33" s="71">
        <f>'Acuario (Arribado - mortalidad)'!C43</f>
        <v>0</v>
      </c>
      <c r="C33" s="71">
        <f>'Acuario (Arribado - mortalidad)'!B43</f>
        <v>0</v>
      </c>
      <c r="D33" s="71" t="str">
        <f>'Acuario (Arribado - mortalidad)'!D43</f>
        <v/>
      </c>
      <c r="E33" s="71" t="str">
        <f>'Acuario (Arribado - mortalidad)'!E43</f>
        <v/>
      </c>
      <c r="F33" s="71">
        <f>'Acuario (Arribado - mortalidad)'!F43</f>
        <v>0</v>
      </c>
      <c r="G33" s="71" t="str">
        <f>'Acuario (Arribado - mortalidad)'!K43</f>
        <v/>
      </c>
      <c r="H33" s="71" t="str">
        <f>'Acuario (Arribado - mortalidad)'!G43</f>
        <v/>
      </c>
      <c r="I33" s="71">
        <f>'Acuario (Arribado - mortalidad)'!O43</f>
        <v>0</v>
      </c>
      <c r="J33" s="71">
        <f>'Acuario (Arribado - mortalidad)'!P43</f>
        <v>0</v>
      </c>
      <c r="K33" s="71">
        <f>'Acuario (Arribado - mortalidad)'!Q43</f>
        <v>0</v>
      </c>
      <c r="L33" s="71">
        <f>'Acuario (Arribado - mortalidad)'!R43</f>
        <v>0</v>
      </c>
      <c r="M33" s="71">
        <f>'Acuario (Arribado - mortalidad)'!S43</f>
        <v>0</v>
      </c>
      <c r="N33" s="71">
        <f>'Acuario (Arribado - mortalidad)'!T43</f>
        <v>0</v>
      </c>
      <c r="O33" s="71">
        <f>'Acuario (Arribado - mortalidad)'!U43</f>
        <v>0</v>
      </c>
      <c r="P33" s="71">
        <f>'Acuario (Arribado - mortalidad)'!V43</f>
        <v>0</v>
      </c>
      <c r="Q33" s="71">
        <f>'Acuario (Arribado - mortalidad)'!W43</f>
        <v>0</v>
      </c>
      <c r="R33" s="71">
        <f>'Acuario (Arribado - mortalidad)'!X43</f>
        <v>0</v>
      </c>
      <c r="S33" s="71">
        <f>'Acuario (Arribado - mortalidad)'!Y43</f>
        <v>0</v>
      </c>
      <c r="T33" s="71">
        <f>'Acuario (Arribado - mortalidad)'!Z43</f>
        <v>0</v>
      </c>
      <c r="U33" s="71">
        <f>'Acuario (Arribado - mortalidad)'!AA43</f>
        <v>0</v>
      </c>
      <c r="V33" s="71">
        <f>'Acuario (Arribado - mortalidad)'!AB43</f>
        <v>0</v>
      </c>
      <c r="W33" s="71">
        <f>'Acuario (Arribado - mortalidad)'!AC43</f>
        <v>0</v>
      </c>
      <c r="X33" s="71">
        <f>'Acuario (Arribado - mortalidad)'!AD43</f>
        <v>0</v>
      </c>
      <c r="Y33" s="71">
        <f>'Acuario (Arribado - mortalidad)'!AE43</f>
        <v>0</v>
      </c>
      <c r="Z33" s="71">
        <f>'Acuario (Arribado - mortalidad)'!AF43</f>
        <v>0</v>
      </c>
      <c r="AA33" s="71">
        <f>'Acuario (Arribado - mortalidad)'!AG43</f>
        <v>0</v>
      </c>
      <c r="AB33" s="71">
        <f>'Acuario (Arribado - mortalidad)'!AH43</f>
        <v>0</v>
      </c>
      <c r="AC33" s="71">
        <f>'Acuario (Arribado - mortalidad)'!AI43</f>
        <v>0</v>
      </c>
      <c r="AD33" s="71">
        <f>'Acuario (Arribado - mortalidad)'!AJ43</f>
        <v>0</v>
      </c>
      <c r="AE33" s="71">
        <f>'Acuario (Arribado - mortalidad)'!AK43</f>
        <v>0</v>
      </c>
      <c r="AF33" s="71">
        <f>'Acuario (Arribado - mortalidad)'!AL43</f>
        <v>0</v>
      </c>
      <c r="AG33" s="71">
        <f>'Acuario (Arribado - mortalidad)'!AM43</f>
        <v>0</v>
      </c>
      <c r="AH33" s="71">
        <f>'Acuario (Arribado - mortalidad)'!AN43</f>
        <v>0</v>
      </c>
      <c r="AI33" s="71">
        <f>'Acuario (Arribado - mortalidad)'!AO43</f>
        <v>0</v>
      </c>
      <c r="AJ33" s="71">
        <f>'Acuario (Arribado - mortalidad)'!AP43</f>
        <v>0</v>
      </c>
      <c r="AK33" s="71">
        <f>'Acuario (Arribado - mortalidad)'!AQ43</f>
        <v>0</v>
      </c>
      <c r="AL33" s="71">
        <f>'Acuario (Arribado - mortalidad)'!AR43</f>
        <v>0</v>
      </c>
      <c r="AO33"/>
    </row>
    <row r="34" spans="2:41" x14ac:dyDescent="0.25">
      <c r="B34" s="71">
        <f>'Acuario (Arribado - mortalidad)'!C44</f>
        <v>0</v>
      </c>
      <c r="C34" s="71">
        <f>'Acuario (Arribado - mortalidad)'!B44</f>
        <v>0</v>
      </c>
      <c r="D34" s="71" t="str">
        <f>'Acuario (Arribado - mortalidad)'!D44</f>
        <v/>
      </c>
      <c r="E34" s="71" t="str">
        <f>'Acuario (Arribado - mortalidad)'!E44</f>
        <v/>
      </c>
      <c r="F34" s="71">
        <f>'Acuario (Arribado - mortalidad)'!F44</f>
        <v>0</v>
      </c>
      <c r="G34" s="71" t="str">
        <f>'Acuario (Arribado - mortalidad)'!K44</f>
        <v/>
      </c>
      <c r="H34" s="71" t="str">
        <f>'Acuario (Arribado - mortalidad)'!G44</f>
        <v/>
      </c>
      <c r="I34" s="71">
        <f>'Acuario (Arribado - mortalidad)'!O44</f>
        <v>0</v>
      </c>
      <c r="J34" s="71">
        <f>'Acuario (Arribado - mortalidad)'!P44</f>
        <v>0</v>
      </c>
      <c r="K34" s="71">
        <f>'Acuario (Arribado - mortalidad)'!Q44</f>
        <v>0</v>
      </c>
      <c r="L34" s="71">
        <f>'Acuario (Arribado - mortalidad)'!R44</f>
        <v>0</v>
      </c>
      <c r="M34" s="71">
        <f>'Acuario (Arribado - mortalidad)'!S44</f>
        <v>0</v>
      </c>
      <c r="N34" s="71">
        <f>'Acuario (Arribado - mortalidad)'!T44</f>
        <v>0</v>
      </c>
      <c r="O34" s="71">
        <f>'Acuario (Arribado - mortalidad)'!U44</f>
        <v>0</v>
      </c>
      <c r="P34" s="71">
        <f>'Acuario (Arribado - mortalidad)'!V44</f>
        <v>0</v>
      </c>
      <c r="Q34" s="71">
        <f>'Acuario (Arribado - mortalidad)'!W44</f>
        <v>0</v>
      </c>
      <c r="R34" s="71">
        <f>'Acuario (Arribado - mortalidad)'!X44</f>
        <v>0</v>
      </c>
      <c r="S34" s="71">
        <f>'Acuario (Arribado - mortalidad)'!Y44</f>
        <v>0</v>
      </c>
      <c r="T34" s="71">
        <f>'Acuario (Arribado - mortalidad)'!Z44</f>
        <v>0</v>
      </c>
      <c r="U34" s="71">
        <f>'Acuario (Arribado - mortalidad)'!AA44</f>
        <v>0</v>
      </c>
      <c r="V34" s="71">
        <f>'Acuario (Arribado - mortalidad)'!AB44</f>
        <v>0</v>
      </c>
      <c r="W34" s="71">
        <f>'Acuario (Arribado - mortalidad)'!AC44</f>
        <v>0</v>
      </c>
      <c r="X34" s="71">
        <f>'Acuario (Arribado - mortalidad)'!AD44</f>
        <v>0</v>
      </c>
      <c r="Y34" s="71">
        <f>'Acuario (Arribado - mortalidad)'!AE44</f>
        <v>0</v>
      </c>
      <c r="Z34" s="71">
        <f>'Acuario (Arribado - mortalidad)'!AF44</f>
        <v>0</v>
      </c>
      <c r="AA34" s="71">
        <f>'Acuario (Arribado - mortalidad)'!AG44</f>
        <v>0</v>
      </c>
      <c r="AB34" s="71">
        <f>'Acuario (Arribado - mortalidad)'!AH44</f>
        <v>0</v>
      </c>
      <c r="AC34" s="71">
        <f>'Acuario (Arribado - mortalidad)'!AI44</f>
        <v>0</v>
      </c>
      <c r="AD34" s="71">
        <f>'Acuario (Arribado - mortalidad)'!AJ44</f>
        <v>0</v>
      </c>
      <c r="AE34" s="71">
        <f>'Acuario (Arribado - mortalidad)'!AK44</f>
        <v>0</v>
      </c>
      <c r="AF34" s="71">
        <f>'Acuario (Arribado - mortalidad)'!AL44</f>
        <v>0</v>
      </c>
      <c r="AG34" s="71">
        <f>'Acuario (Arribado - mortalidad)'!AM44</f>
        <v>0</v>
      </c>
      <c r="AH34" s="71">
        <f>'Acuario (Arribado - mortalidad)'!AN44</f>
        <v>0</v>
      </c>
      <c r="AI34" s="71">
        <f>'Acuario (Arribado - mortalidad)'!AO44</f>
        <v>0</v>
      </c>
      <c r="AJ34" s="71">
        <f>'Acuario (Arribado - mortalidad)'!AP44</f>
        <v>0</v>
      </c>
      <c r="AK34" s="71">
        <f>'Acuario (Arribado - mortalidad)'!AQ44</f>
        <v>0</v>
      </c>
      <c r="AL34" s="71">
        <f>'Acuario (Arribado - mortalidad)'!AR44</f>
        <v>0</v>
      </c>
      <c r="AO34"/>
    </row>
    <row r="35" spans="2:41" x14ac:dyDescent="0.25">
      <c r="B35" s="71">
        <f>'Acuario (Arribado - mortalidad)'!C45</f>
        <v>0</v>
      </c>
      <c r="C35" s="71">
        <f>'Acuario (Arribado - mortalidad)'!B45</f>
        <v>0</v>
      </c>
      <c r="D35" s="71" t="str">
        <f>'Acuario (Arribado - mortalidad)'!D45</f>
        <v/>
      </c>
      <c r="E35" s="71" t="str">
        <f>'Acuario (Arribado - mortalidad)'!E45</f>
        <v/>
      </c>
      <c r="F35" s="71">
        <f>'Acuario (Arribado - mortalidad)'!F45</f>
        <v>0</v>
      </c>
      <c r="G35" s="71" t="str">
        <f>'Acuario (Arribado - mortalidad)'!K45</f>
        <v/>
      </c>
      <c r="H35" s="71" t="str">
        <f>'Acuario (Arribado - mortalidad)'!G45</f>
        <v/>
      </c>
      <c r="I35" s="71">
        <f>'Acuario (Arribado - mortalidad)'!O45</f>
        <v>0</v>
      </c>
      <c r="J35" s="71">
        <f>'Acuario (Arribado - mortalidad)'!P45</f>
        <v>0</v>
      </c>
      <c r="K35" s="71">
        <f>'Acuario (Arribado - mortalidad)'!Q45</f>
        <v>0</v>
      </c>
      <c r="L35" s="71">
        <f>'Acuario (Arribado - mortalidad)'!R45</f>
        <v>0</v>
      </c>
      <c r="M35" s="71">
        <f>'Acuario (Arribado - mortalidad)'!S45</f>
        <v>0</v>
      </c>
      <c r="N35" s="71">
        <f>'Acuario (Arribado - mortalidad)'!T45</f>
        <v>0</v>
      </c>
      <c r="O35" s="71">
        <f>'Acuario (Arribado - mortalidad)'!U45</f>
        <v>0</v>
      </c>
      <c r="P35" s="71">
        <f>'Acuario (Arribado - mortalidad)'!V45</f>
        <v>0</v>
      </c>
      <c r="Q35" s="71">
        <f>'Acuario (Arribado - mortalidad)'!W45</f>
        <v>0</v>
      </c>
      <c r="R35" s="71">
        <f>'Acuario (Arribado - mortalidad)'!X45</f>
        <v>0</v>
      </c>
      <c r="S35" s="71">
        <f>'Acuario (Arribado - mortalidad)'!Y45</f>
        <v>0</v>
      </c>
      <c r="T35" s="71">
        <f>'Acuario (Arribado - mortalidad)'!Z45</f>
        <v>0</v>
      </c>
      <c r="U35" s="71">
        <f>'Acuario (Arribado - mortalidad)'!AA45</f>
        <v>0</v>
      </c>
      <c r="V35" s="71">
        <f>'Acuario (Arribado - mortalidad)'!AB45</f>
        <v>0</v>
      </c>
      <c r="W35" s="71">
        <f>'Acuario (Arribado - mortalidad)'!AC45</f>
        <v>0</v>
      </c>
      <c r="X35" s="71">
        <f>'Acuario (Arribado - mortalidad)'!AD45</f>
        <v>0</v>
      </c>
      <c r="Y35" s="71">
        <f>'Acuario (Arribado - mortalidad)'!AE45</f>
        <v>0</v>
      </c>
      <c r="Z35" s="71">
        <f>'Acuario (Arribado - mortalidad)'!AF45</f>
        <v>0</v>
      </c>
      <c r="AA35" s="71">
        <f>'Acuario (Arribado - mortalidad)'!AG45</f>
        <v>0</v>
      </c>
      <c r="AB35" s="71">
        <f>'Acuario (Arribado - mortalidad)'!AH45</f>
        <v>0</v>
      </c>
      <c r="AC35" s="71">
        <f>'Acuario (Arribado - mortalidad)'!AI45</f>
        <v>0</v>
      </c>
      <c r="AD35" s="71">
        <f>'Acuario (Arribado - mortalidad)'!AJ45</f>
        <v>0</v>
      </c>
      <c r="AE35" s="71">
        <f>'Acuario (Arribado - mortalidad)'!AK45</f>
        <v>0</v>
      </c>
      <c r="AF35" s="71">
        <f>'Acuario (Arribado - mortalidad)'!AL45</f>
        <v>0</v>
      </c>
      <c r="AG35" s="71">
        <f>'Acuario (Arribado - mortalidad)'!AM45</f>
        <v>0</v>
      </c>
      <c r="AH35" s="71">
        <f>'Acuario (Arribado - mortalidad)'!AN45</f>
        <v>0</v>
      </c>
      <c r="AI35" s="71">
        <f>'Acuario (Arribado - mortalidad)'!AO45</f>
        <v>0</v>
      </c>
      <c r="AJ35" s="71">
        <f>'Acuario (Arribado - mortalidad)'!AP45</f>
        <v>0</v>
      </c>
      <c r="AK35" s="71">
        <f>'Acuario (Arribado - mortalidad)'!AQ45</f>
        <v>0</v>
      </c>
      <c r="AL35" s="71">
        <f>'Acuario (Arribado - mortalidad)'!AR45</f>
        <v>0</v>
      </c>
      <c r="AO35"/>
    </row>
    <row r="36" spans="2:41" x14ac:dyDescent="0.25">
      <c r="B36" s="71">
        <f>'Acuario (Arribado - mortalidad)'!C46</f>
        <v>0</v>
      </c>
      <c r="C36" s="71">
        <f>'Acuario (Arribado - mortalidad)'!B46</f>
        <v>0</v>
      </c>
      <c r="D36" s="71" t="str">
        <f>'Acuario (Arribado - mortalidad)'!D46</f>
        <v/>
      </c>
      <c r="E36" s="71" t="str">
        <f>'Acuario (Arribado - mortalidad)'!E46</f>
        <v/>
      </c>
      <c r="F36" s="71">
        <f>'Acuario (Arribado - mortalidad)'!F46</f>
        <v>0</v>
      </c>
      <c r="G36" s="71" t="str">
        <f>'Acuario (Arribado - mortalidad)'!K46</f>
        <v/>
      </c>
      <c r="H36" s="71" t="str">
        <f>'Acuario (Arribado - mortalidad)'!G46</f>
        <v/>
      </c>
      <c r="I36" s="71">
        <f>'Acuario (Arribado - mortalidad)'!O46</f>
        <v>0</v>
      </c>
      <c r="J36" s="71">
        <f>'Acuario (Arribado - mortalidad)'!P46</f>
        <v>0</v>
      </c>
      <c r="K36" s="71">
        <f>'Acuario (Arribado - mortalidad)'!Q46</f>
        <v>0</v>
      </c>
      <c r="L36" s="71">
        <f>'Acuario (Arribado - mortalidad)'!R46</f>
        <v>0</v>
      </c>
      <c r="M36" s="71">
        <f>'Acuario (Arribado - mortalidad)'!S46</f>
        <v>0</v>
      </c>
      <c r="N36" s="71">
        <f>'Acuario (Arribado - mortalidad)'!T46</f>
        <v>0</v>
      </c>
      <c r="O36" s="71">
        <f>'Acuario (Arribado - mortalidad)'!U46</f>
        <v>0</v>
      </c>
      <c r="P36" s="71">
        <f>'Acuario (Arribado - mortalidad)'!V46</f>
        <v>0</v>
      </c>
      <c r="Q36" s="71">
        <f>'Acuario (Arribado - mortalidad)'!W46</f>
        <v>0</v>
      </c>
      <c r="R36" s="71">
        <f>'Acuario (Arribado - mortalidad)'!X46</f>
        <v>0</v>
      </c>
      <c r="S36" s="71">
        <f>'Acuario (Arribado - mortalidad)'!Y46</f>
        <v>0</v>
      </c>
      <c r="T36" s="71">
        <f>'Acuario (Arribado - mortalidad)'!Z46</f>
        <v>0</v>
      </c>
      <c r="U36" s="71">
        <f>'Acuario (Arribado - mortalidad)'!AA46</f>
        <v>0</v>
      </c>
      <c r="V36" s="71">
        <f>'Acuario (Arribado - mortalidad)'!AB46</f>
        <v>0</v>
      </c>
      <c r="W36" s="71">
        <f>'Acuario (Arribado - mortalidad)'!AC46</f>
        <v>0</v>
      </c>
      <c r="X36" s="71">
        <f>'Acuario (Arribado - mortalidad)'!AD46</f>
        <v>0</v>
      </c>
      <c r="Y36" s="71">
        <f>'Acuario (Arribado - mortalidad)'!AE46</f>
        <v>0</v>
      </c>
      <c r="Z36" s="71">
        <f>'Acuario (Arribado - mortalidad)'!AF46</f>
        <v>0</v>
      </c>
      <c r="AA36" s="71">
        <f>'Acuario (Arribado - mortalidad)'!AG46</f>
        <v>0</v>
      </c>
      <c r="AB36" s="71">
        <f>'Acuario (Arribado - mortalidad)'!AH46</f>
        <v>0</v>
      </c>
      <c r="AC36" s="71">
        <f>'Acuario (Arribado - mortalidad)'!AI46</f>
        <v>0</v>
      </c>
      <c r="AD36" s="71">
        <f>'Acuario (Arribado - mortalidad)'!AJ46</f>
        <v>0</v>
      </c>
      <c r="AE36" s="71">
        <f>'Acuario (Arribado - mortalidad)'!AK46</f>
        <v>0</v>
      </c>
      <c r="AF36" s="71">
        <f>'Acuario (Arribado - mortalidad)'!AL46</f>
        <v>0</v>
      </c>
      <c r="AG36" s="71">
        <f>'Acuario (Arribado - mortalidad)'!AM46</f>
        <v>0</v>
      </c>
      <c r="AH36" s="71">
        <f>'Acuario (Arribado - mortalidad)'!AN46</f>
        <v>0</v>
      </c>
      <c r="AI36" s="71">
        <f>'Acuario (Arribado - mortalidad)'!AO46</f>
        <v>0</v>
      </c>
      <c r="AJ36" s="71">
        <f>'Acuario (Arribado - mortalidad)'!AP46</f>
        <v>0</v>
      </c>
      <c r="AK36" s="71">
        <f>'Acuario (Arribado - mortalidad)'!AQ46</f>
        <v>0</v>
      </c>
      <c r="AL36" s="71">
        <f>'Acuario (Arribado - mortalidad)'!AR46</f>
        <v>0</v>
      </c>
      <c r="AO36"/>
    </row>
    <row r="37" spans="2:41" x14ac:dyDescent="0.25">
      <c r="B37" s="71">
        <f>'Acuario (Arribado - mortalidad)'!C47</f>
        <v>0</v>
      </c>
      <c r="C37" s="71">
        <f>'Acuario (Arribado - mortalidad)'!B47</f>
        <v>0</v>
      </c>
      <c r="D37" s="71" t="str">
        <f>'Acuario (Arribado - mortalidad)'!D47</f>
        <v/>
      </c>
      <c r="E37" s="71" t="str">
        <f>'Acuario (Arribado - mortalidad)'!E47</f>
        <v/>
      </c>
      <c r="F37" s="71">
        <f>'Acuario (Arribado - mortalidad)'!F47</f>
        <v>0</v>
      </c>
      <c r="G37" s="71" t="str">
        <f>'Acuario (Arribado - mortalidad)'!K47</f>
        <v/>
      </c>
      <c r="H37" s="71" t="str">
        <f>'Acuario (Arribado - mortalidad)'!G47</f>
        <v/>
      </c>
      <c r="I37" s="71">
        <f>'Acuario (Arribado - mortalidad)'!O47</f>
        <v>0</v>
      </c>
      <c r="J37" s="71">
        <f>'Acuario (Arribado - mortalidad)'!P47</f>
        <v>0</v>
      </c>
      <c r="K37" s="71">
        <f>'Acuario (Arribado - mortalidad)'!Q47</f>
        <v>0</v>
      </c>
      <c r="L37" s="71">
        <f>'Acuario (Arribado - mortalidad)'!R47</f>
        <v>0</v>
      </c>
      <c r="M37" s="71">
        <f>'Acuario (Arribado - mortalidad)'!S47</f>
        <v>0</v>
      </c>
      <c r="N37" s="71">
        <f>'Acuario (Arribado - mortalidad)'!T47</f>
        <v>0</v>
      </c>
      <c r="O37" s="71">
        <f>'Acuario (Arribado - mortalidad)'!U47</f>
        <v>0</v>
      </c>
      <c r="P37" s="71">
        <f>'Acuario (Arribado - mortalidad)'!V47</f>
        <v>0</v>
      </c>
      <c r="Q37" s="71">
        <f>'Acuario (Arribado - mortalidad)'!W47</f>
        <v>0</v>
      </c>
      <c r="R37" s="71">
        <f>'Acuario (Arribado - mortalidad)'!X47</f>
        <v>0</v>
      </c>
      <c r="S37" s="71">
        <f>'Acuario (Arribado - mortalidad)'!Y47</f>
        <v>0</v>
      </c>
      <c r="T37" s="71">
        <f>'Acuario (Arribado - mortalidad)'!Z47</f>
        <v>0</v>
      </c>
      <c r="U37" s="71">
        <f>'Acuario (Arribado - mortalidad)'!AA47</f>
        <v>0</v>
      </c>
      <c r="V37" s="71">
        <f>'Acuario (Arribado - mortalidad)'!AB47</f>
        <v>0</v>
      </c>
      <c r="W37" s="71">
        <f>'Acuario (Arribado - mortalidad)'!AC47</f>
        <v>0</v>
      </c>
      <c r="X37" s="71">
        <f>'Acuario (Arribado - mortalidad)'!AD47</f>
        <v>0</v>
      </c>
      <c r="Y37" s="71">
        <f>'Acuario (Arribado - mortalidad)'!AE47</f>
        <v>0</v>
      </c>
      <c r="Z37" s="71">
        <f>'Acuario (Arribado - mortalidad)'!AF47</f>
        <v>0</v>
      </c>
      <c r="AA37" s="71">
        <f>'Acuario (Arribado - mortalidad)'!AG47</f>
        <v>0</v>
      </c>
      <c r="AB37" s="71">
        <f>'Acuario (Arribado - mortalidad)'!AH47</f>
        <v>0</v>
      </c>
      <c r="AC37" s="71">
        <f>'Acuario (Arribado - mortalidad)'!AI47</f>
        <v>0</v>
      </c>
      <c r="AD37" s="71">
        <f>'Acuario (Arribado - mortalidad)'!AJ47</f>
        <v>0</v>
      </c>
      <c r="AE37" s="71">
        <f>'Acuario (Arribado - mortalidad)'!AK47</f>
        <v>0</v>
      </c>
      <c r="AF37" s="71">
        <f>'Acuario (Arribado - mortalidad)'!AL47</f>
        <v>0</v>
      </c>
      <c r="AG37" s="71">
        <f>'Acuario (Arribado - mortalidad)'!AM47</f>
        <v>0</v>
      </c>
      <c r="AH37" s="71">
        <f>'Acuario (Arribado - mortalidad)'!AN47</f>
        <v>0</v>
      </c>
      <c r="AI37" s="71">
        <f>'Acuario (Arribado - mortalidad)'!AO47</f>
        <v>0</v>
      </c>
      <c r="AJ37" s="71">
        <f>'Acuario (Arribado - mortalidad)'!AP47</f>
        <v>0</v>
      </c>
      <c r="AK37" s="71">
        <f>'Acuario (Arribado - mortalidad)'!AQ47</f>
        <v>0</v>
      </c>
      <c r="AL37" s="71">
        <f>'Acuario (Arribado - mortalidad)'!AR47</f>
        <v>0</v>
      </c>
      <c r="AO37"/>
    </row>
    <row r="38" spans="2:41" x14ac:dyDescent="0.25">
      <c r="B38" s="71">
        <f>'Acuario (Arribado - mortalidad)'!C48</f>
        <v>0</v>
      </c>
      <c r="C38" s="71">
        <f>'Acuario (Arribado - mortalidad)'!B48</f>
        <v>0</v>
      </c>
      <c r="D38" s="71" t="str">
        <f>'Acuario (Arribado - mortalidad)'!D48</f>
        <v/>
      </c>
      <c r="E38" s="71" t="str">
        <f>'Acuario (Arribado - mortalidad)'!E48</f>
        <v/>
      </c>
      <c r="F38" s="71">
        <f>'Acuario (Arribado - mortalidad)'!F48</f>
        <v>0</v>
      </c>
      <c r="G38" s="71" t="str">
        <f>'Acuario (Arribado - mortalidad)'!K48</f>
        <v/>
      </c>
      <c r="H38" s="71" t="str">
        <f>'Acuario (Arribado - mortalidad)'!G48</f>
        <v/>
      </c>
      <c r="I38" s="71">
        <f>'Acuario (Arribado - mortalidad)'!O48</f>
        <v>0</v>
      </c>
      <c r="J38" s="71">
        <f>'Acuario (Arribado - mortalidad)'!P48</f>
        <v>0</v>
      </c>
      <c r="K38" s="71">
        <f>'Acuario (Arribado - mortalidad)'!Q48</f>
        <v>0</v>
      </c>
      <c r="L38" s="71">
        <f>'Acuario (Arribado - mortalidad)'!R48</f>
        <v>0</v>
      </c>
      <c r="M38" s="71">
        <f>'Acuario (Arribado - mortalidad)'!S48</f>
        <v>0</v>
      </c>
      <c r="N38" s="71">
        <f>'Acuario (Arribado - mortalidad)'!T48</f>
        <v>0</v>
      </c>
      <c r="O38" s="71">
        <f>'Acuario (Arribado - mortalidad)'!U48</f>
        <v>0</v>
      </c>
      <c r="P38" s="71">
        <f>'Acuario (Arribado - mortalidad)'!V48</f>
        <v>0</v>
      </c>
      <c r="Q38" s="71">
        <f>'Acuario (Arribado - mortalidad)'!W48</f>
        <v>0</v>
      </c>
      <c r="R38" s="71">
        <f>'Acuario (Arribado - mortalidad)'!X48</f>
        <v>0</v>
      </c>
      <c r="S38" s="71">
        <f>'Acuario (Arribado - mortalidad)'!Y48</f>
        <v>0</v>
      </c>
      <c r="T38" s="71">
        <f>'Acuario (Arribado - mortalidad)'!Z48</f>
        <v>0</v>
      </c>
      <c r="U38" s="71">
        <f>'Acuario (Arribado - mortalidad)'!AA48</f>
        <v>0</v>
      </c>
      <c r="V38" s="71">
        <f>'Acuario (Arribado - mortalidad)'!AB48</f>
        <v>0</v>
      </c>
      <c r="W38" s="71">
        <f>'Acuario (Arribado - mortalidad)'!AC48</f>
        <v>0</v>
      </c>
      <c r="X38" s="71">
        <f>'Acuario (Arribado - mortalidad)'!AD48</f>
        <v>0</v>
      </c>
      <c r="Y38" s="71">
        <f>'Acuario (Arribado - mortalidad)'!AE48</f>
        <v>0</v>
      </c>
      <c r="Z38" s="71">
        <f>'Acuario (Arribado - mortalidad)'!AF48</f>
        <v>0</v>
      </c>
      <c r="AA38" s="71">
        <f>'Acuario (Arribado - mortalidad)'!AG48</f>
        <v>0</v>
      </c>
      <c r="AB38" s="71">
        <f>'Acuario (Arribado - mortalidad)'!AH48</f>
        <v>0</v>
      </c>
      <c r="AC38" s="71">
        <f>'Acuario (Arribado - mortalidad)'!AI48</f>
        <v>0</v>
      </c>
      <c r="AD38" s="71">
        <f>'Acuario (Arribado - mortalidad)'!AJ48</f>
        <v>0</v>
      </c>
      <c r="AE38" s="71">
        <f>'Acuario (Arribado - mortalidad)'!AK48</f>
        <v>0</v>
      </c>
      <c r="AF38" s="71">
        <f>'Acuario (Arribado - mortalidad)'!AL48</f>
        <v>0</v>
      </c>
      <c r="AG38" s="71">
        <f>'Acuario (Arribado - mortalidad)'!AM48</f>
        <v>0</v>
      </c>
      <c r="AH38" s="71">
        <f>'Acuario (Arribado - mortalidad)'!AN48</f>
        <v>0</v>
      </c>
      <c r="AI38" s="71">
        <f>'Acuario (Arribado - mortalidad)'!AO48</f>
        <v>0</v>
      </c>
      <c r="AJ38" s="71">
        <f>'Acuario (Arribado - mortalidad)'!AP48</f>
        <v>0</v>
      </c>
      <c r="AK38" s="71">
        <f>'Acuario (Arribado - mortalidad)'!AQ48</f>
        <v>0</v>
      </c>
      <c r="AL38" s="71">
        <f>'Acuario (Arribado - mortalidad)'!AR48</f>
        <v>0</v>
      </c>
      <c r="AO38"/>
    </row>
    <row r="39" spans="2:41" x14ac:dyDescent="0.25">
      <c r="B39" s="71">
        <f>'Acuario (Arribado - mortalidad)'!C49</f>
        <v>0</v>
      </c>
      <c r="C39" s="71">
        <f>'Acuario (Arribado - mortalidad)'!B49</f>
        <v>0</v>
      </c>
      <c r="D39" s="71" t="str">
        <f>'Acuario (Arribado - mortalidad)'!D49</f>
        <v/>
      </c>
      <c r="E39" s="71" t="str">
        <f>'Acuario (Arribado - mortalidad)'!E49</f>
        <v/>
      </c>
      <c r="F39" s="71">
        <f>'Acuario (Arribado - mortalidad)'!F49</f>
        <v>0</v>
      </c>
      <c r="G39" s="71" t="str">
        <f>'Acuario (Arribado - mortalidad)'!K49</f>
        <v/>
      </c>
      <c r="H39" s="71" t="str">
        <f>'Acuario (Arribado - mortalidad)'!G49</f>
        <v/>
      </c>
      <c r="I39" s="71">
        <f>'Acuario (Arribado - mortalidad)'!O49</f>
        <v>0</v>
      </c>
      <c r="J39" s="71">
        <f>'Acuario (Arribado - mortalidad)'!P49</f>
        <v>0</v>
      </c>
      <c r="K39" s="71">
        <f>'Acuario (Arribado - mortalidad)'!Q49</f>
        <v>0</v>
      </c>
      <c r="L39" s="71">
        <f>'Acuario (Arribado - mortalidad)'!R49</f>
        <v>0</v>
      </c>
      <c r="M39" s="71">
        <f>'Acuario (Arribado - mortalidad)'!S49</f>
        <v>0</v>
      </c>
      <c r="N39" s="71">
        <f>'Acuario (Arribado - mortalidad)'!T49</f>
        <v>0</v>
      </c>
      <c r="O39" s="71">
        <f>'Acuario (Arribado - mortalidad)'!U49</f>
        <v>0</v>
      </c>
      <c r="P39" s="71">
        <f>'Acuario (Arribado - mortalidad)'!V49</f>
        <v>0</v>
      </c>
      <c r="Q39" s="71">
        <f>'Acuario (Arribado - mortalidad)'!W49</f>
        <v>0</v>
      </c>
      <c r="R39" s="71">
        <f>'Acuario (Arribado - mortalidad)'!X49</f>
        <v>0</v>
      </c>
      <c r="S39" s="71">
        <f>'Acuario (Arribado - mortalidad)'!Y49</f>
        <v>0</v>
      </c>
      <c r="T39" s="71">
        <f>'Acuario (Arribado - mortalidad)'!Z49</f>
        <v>0</v>
      </c>
      <c r="U39" s="71">
        <f>'Acuario (Arribado - mortalidad)'!AA49</f>
        <v>0</v>
      </c>
      <c r="V39" s="71">
        <f>'Acuario (Arribado - mortalidad)'!AB49</f>
        <v>0</v>
      </c>
      <c r="W39" s="71">
        <f>'Acuario (Arribado - mortalidad)'!AC49</f>
        <v>0</v>
      </c>
      <c r="X39" s="71">
        <f>'Acuario (Arribado - mortalidad)'!AD49</f>
        <v>0</v>
      </c>
      <c r="Y39" s="71">
        <f>'Acuario (Arribado - mortalidad)'!AE49</f>
        <v>0</v>
      </c>
      <c r="Z39" s="71">
        <f>'Acuario (Arribado - mortalidad)'!AF49</f>
        <v>0</v>
      </c>
      <c r="AA39" s="71">
        <f>'Acuario (Arribado - mortalidad)'!AG49</f>
        <v>0</v>
      </c>
      <c r="AB39" s="71">
        <f>'Acuario (Arribado - mortalidad)'!AH49</f>
        <v>0</v>
      </c>
      <c r="AC39" s="71">
        <f>'Acuario (Arribado - mortalidad)'!AI49</f>
        <v>0</v>
      </c>
      <c r="AD39" s="71">
        <f>'Acuario (Arribado - mortalidad)'!AJ49</f>
        <v>0</v>
      </c>
      <c r="AE39" s="71">
        <f>'Acuario (Arribado - mortalidad)'!AK49</f>
        <v>0</v>
      </c>
      <c r="AF39" s="71">
        <f>'Acuario (Arribado - mortalidad)'!AL49</f>
        <v>0</v>
      </c>
      <c r="AG39" s="71">
        <f>'Acuario (Arribado - mortalidad)'!AM49</f>
        <v>0</v>
      </c>
      <c r="AH39" s="71">
        <f>'Acuario (Arribado - mortalidad)'!AN49</f>
        <v>0</v>
      </c>
      <c r="AI39" s="71">
        <f>'Acuario (Arribado - mortalidad)'!AO49</f>
        <v>0</v>
      </c>
      <c r="AJ39" s="71">
        <f>'Acuario (Arribado - mortalidad)'!AP49</f>
        <v>0</v>
      </c>
      <c r="AK39" s="71">
        <f>'Acuario (Arribado - mortalidad)'!AQ49</f>
        <v>0</v>
      </c>
      <c r="AL39" s="71">
        <f>'Acuario (Arribado - mortalidad)'!AR49</f>
        <v>0</v>
      </c>
      <c r="AO39"/>
    </row>
    <row r="40" spans="2:41" x14ac:dyDescent="0.25">
      <c r="B40" s="71">
        <f>'Acuario (Arribado - mortalidad)'!C50</f>
        <v>0</v>
      </c>
      <c r="C40" s="71">
        <f>'Acuario (Arribado - mortalidad)'!B50</f>
        <v>0</v>
      </c>
      <c r="D40" s="71" t="str">
        <f>'Acuario (Arribado - mortalidad)'!D50</f>
        <v/>
      </c>
      <c r="E40" s="71" t="str">
        <f>'Acuario (Arribado - mortalidad)'!E50</f>
        <v/>
      </c>
      <c r="F40" s="71">
        <f>'Acuario (Arribado - mortalidad)'!F50</f>
        <v>0</v>
      </c>
      <c r="G40" s="71" t="str">
        <f>'Acuario (Arribado - mortalidad)'!K50</f>
        <v/>
      </c>
      <c r="H40" s="71" t="str">
        <f>'Acuario (Arribado - mortalidad)'!G50</f>
        <v/>
      </c>
      <c r="I40" s="71">
        <f>'Acuario (Arribado - mortalidad)'!O50</f>
        <v>0</v>
      </c>
      <c r="J40" s="71">
        <f>'Acuario (Arribado - mortalidad)'!P50</f>
        <v>0</v>
      </c>
      <c r="K40" s="71">
        <f>'Acuario (Arribado - mortalidad)'!Q50</f>
        <v>0</v>
      </c>
      <c r="L40" s="71">
        <f>'Acuario (Arribado - mortalidad)'!R50</f>
        <v>0</v>
      </c>
      <c r="M40" s="71">
        <f>'Acuario (Arribado - mortalidad)'!S50</f>
        <v>0</v>
      </c>
      <c r="N40" s="71">
        <f>'Acuario (Arribado - mortalidad)'!T50</f>
        <v>0</v>
      </c>
      <c r="O40" s="71">
        <f>'Acuario (Arribado - mortalidad)'!U50</f>
        <v>0</v>
      </c>
      <c r="P40" s="71">
        <f>'Acuario (Arribado - mortalidad)'!V50</f>
        <v>0</v>
      </c>
      <c r="Q40" s="71">
        <f>'Acuario (Arribado - mortalidad)'!W50</f>
        <v>0</v>
      </c>
      <c r="R40" s="71">
        <f>'Acuario (Arribado - mortalidad)'!X50</f>
        <v>0</v>
      </c>
      <c r="S40" s="71">
        <f>'Acuario (Arribado - mortalidad)'!Y50</f>
        <v>0</v>
      </c>
      <c r="T40" s="71">
        <f>'Acuario (Arribado - mortalidad)'!Z50</f>
        <v>0</v>
      </c>
      <c r="U40" s="71">
        <f>'Acuario (Arribado - mortalidad)'!AA50</f>
        <v>0</v>
      </c>
      <c r="V40" s="71">
        <f>'Acuario (Arribado - mortalidad)'!AB50</f>
        <v>0</v>
      </c>
      <c r="W40" s="71">
        <f>'Acuario (Arribado - mortalidad)'!AC50</f>
        <v>0</v>
      </c>
      <c r="X40" s="71">
        <f>'Acuario (Arribado - mortalidad)'!AD50</f>
        <v>0</v>
      </c>
      <c r="Y40" s="71">
        <f>'Acuario (Arribado - mortalidad)'!AE50</f>
        <v>0</v>
      </c>
      <c r="Z40" s="71">
        <f>'Acuario (Arribado - mortalidad)'!AF50</f>
        <v>0</v>
      </c>
      <c r="AA40" s="71">
        <f>'Acuario (Arribado - mortalidad)'!AG50</f>
        <v>0</v>
      </c>
      <c r="AB40" s="71">
        <f>'Acuario (Arribado - mortalidad)'!AH50</f>
        <v>0</v>
      </c>
      <c r="AC40" s="71">
        <f>'Acuario (Arribado - mortalidad)'!AI50</f>
        <v>0</v>
      </c>
      <c r="AD40" s="71">
        <f>'Acuario (Arribado - mortalidad)'!AJ50</f>
        <v>0</v>
      </c>
      <c r="AE40" s="71">
        <f>'Acuario (Arribado - mortalidad)'!AK50</f>
        <v>0</v>
      </c>
      <c r="AF40" s="71">
        <f>'Acuario (Arribado - mortalidad)'!AL50</f>
        <v>0</v>
      </c>
      <c r="AG40" s="71">
        <f>'Acuario (Arribado - mortalidad)'!AM50</f>
        <v>0</v>
      </c>
      <c r="AH40" s="71">
        <f>'Acuario (Arribado - mortalidad)'!AN50</f>
        <v>0</v>
      </c>
      <c r="AI40" s="71">
        <f>'Acuario (Arribado - mortalidad)'!AO50</f>
        <v>0</v>
      </c>
      <c r="AJ40" s="71">
        <f>'Acuario (Arribado - mortalidad)'!AP50</f>
        <v>0</v>
      </c>
      <c r="AK40" s="71">
        <f>'Acuario (Arribado - mortalidad)'!AQ50</f>
        <v>0</v>
      </c>
      <c r="AL40" s="71">
        <f>'Acuario (Arribado - mortalidad)'!AR50</f>
        <v>0</v>
      </c>
      <c r="AO40"/>
    </row>
    <row r="41" spans="2:41" x14ac:dyDescent="0.25">
      <c r="B41" s="71">
        <f>'Acuario (Arribado - mortalidad)'!C51</f>
        <v>0</v>
      </c>
      <c r="C41" s="71">
        <f>'Acuario (Arribado - mortalidad)'!B51</f>
        <v>0</v>
      </c>
      <c r="D41" s="71" t="str">
        <f>'Acuario (Arribado - mortalidad)'!D51</f>
        <v/>
      </c>
      <c r="E41" s="71" t="str">
        <f>'Acuario (Arribado - mortalidad)'!E51</f>
        <v/>
      </c>
      <c r="F41" s="71">
        <f>'Acuario (Arribado - mortalidad)'!F51</f>
        <v>0</v>
      </c>
      <c r="G41" s="71" t="str">
        <f>'Acuario (Arribado - mortalidad)'!K51</f>
        <v/>
      </c>
      <c r="H41" s="71" t="str">
        <f>'Acuario (Arribado - mortalidad)'!G51</f>
        <v/>
      </c>
      <c r="I41" s="71">
        <f>'Acuario (Arribado - mortalidad)'!O51</f>
        <v>0</v>
      </c>
      <c r="J41" s="71">
        <f>'Acuario (Arribado - mortalidad)'!P51</f>
        <v>0</v>
      </c>
      <c r="K41" s="71">
        <f>'Acuario (Arribado - mortalidad)'!Q51</f>
        <v>0</v>
      </c>
      <c r="L41" s="71">
        <f>'Acuario (Arribado - mortalidad)'!R51</f>
        <v>0</v>
      </c>
      <c r="M41" s="71">
        <f>'Acuario (Arribado - mortalidad)'!S51</f>
        <v>0</v>
      </c>
      <c r="N41" s="71">
        <f>'Acuario (Arribado - mortalidad)'!T51</f>
        <v>0</v>
      </c>
      <c r="O41" s="71">
        <f>'Acuario (Arribado - mortalidad)'!U51</f>
        <v>0</v>
      </c>
      <c r="P41" s="71">
        <f>'Acuario (Arribado - mortalidad)'!V51</f>
        <v>0</v>
      </c>
      <c r="Q41" s="71">
        <f>'Acuario (Arribado - mortalidad)'!W51</f>
        <v>0</v>
      </c>
      <c r="R41" s="71">
        <f>'Acuario (Arribado - mortalidad)'!X51</f>
        <v>0</v>
      </c>
      <c r="S41" s="71">
        <f>'Acuario (Arribado - mortalidad)'!Y51</f>
        <v>0</v>
      </c>
      <c r="T41" s="71">
        <f>'Acuario (Arribado - mortalidad)'!Z51</f>
        <v>0</v>
      </c>
      <c r="U41" s="71">
        <f>'Acuario (Arribado - mortalidad)'!AA51</f>
        <v>0</v>
      </c>
      <c r="V41" s="71">
        <f>'Acuario (Arribado - mortalidad)'!AB51</f>
        <v>0</v>
      </c>
      <c r="W41" s="71">
        <f>'Acuario (Arribado - mortalidad)'!AC51</f>
        <v>0</v>
      </c>
      <c r="X41" s="71">
        <f>'Acuario (Arribado - mortalidad)'!AD51</f>
        <v>0</v>
      </c>
      <c r="Y41" s="71">
        <f>'Acuario (Arribado - mortalidad)'!AE51</f>
        <v>0</v>
      </c>
      <c r="Z41" s="71">
        <f>'Acuario (Arribado - mortalidad)'!AF51</f>
        <v>0</v>
      </c>
      <c r="AA41" s="71">
        <f>'Acuario (Arribado - mortalidad)'!AG51</f>
        <v>0</v>
      </c>
      <c r="AB41" s="71">
        <f>'Acuario (Arribado - mortalidad)'!AH51</f>
        <v>0</v>
      </c>
      <c r="AC41" s="71">
        <f>'Acuario (Arribado - mortalidad)'!AI51</f>
        <v>0</v>
      </c>
      <c r="AD41" s="71">
        <f>'Acuario (Arribado - mortalidad)'!AJ51</f>
        <v>0</v>
      </c>
      <c r="AE41" s="71">
        <f>'Acuario (Arribado - mortalidad)'!AK51</f>
        <v>0</v>
      </c>
      <c r="AF41" s="71">
        <f>'Acuario (Arribado - mortalidad)'!AL51</f>
        <v>0</v>
      </c>
      <c r="AG41" s="71">
        <f>'Acuario (Arribado - mortalidad)'!AM51</f>
        <v>0</v>
      </c>
      <c r="AH41" s="71">
        <f>'Acuario (Arribado - mortalidad)'!AN51</f>
        <v>0</v>
      </c>
      <c r="AI41" s="71">
        <f>'Acuario (Arribado - mortalidad)'!AO51</f>
        <v>0</v>
      </c>
      <c r="AJ41" s="71">
        <f>'Acuario (Arribado - mortalidad)'!AP51</f>
        <v>0</v>
      </c>
      <c r="AK41" s="71">
        <f>'Acuario (Arribado - mortalidad)'!AQ51</f>
        <v>0</v>
      </c>
      <c r="AL41" s="71">
        <f>'Acuario (Arribado - mortalidad)'!AR51</f>
        <v>0</v>
      </c>
      <c r="AO41"/>
    </row>
    <row r="42" spans="2:41" x14ac:dyDescent="0.25">
      <c r="B42" s="71">
        <f>'Acuario (Arribado - mortalidad)'!C52</f>
        <v>0</v>
      </c>
      <c r="C42" s="71">
        <f>'Acuario (Arribado - mortalidad)'!B52</f>
        <v>0</v>
      </c>
      <c r="D42" s="71" t="str">
        <f>'Acuario (Arribado - mortalidad)'!D52</f>
        <v/>
      </c>
      <c r="E42" s="71" t="str">
        <f>'Acuario (Arribado - mortalidad)'!E52</f>
        <v/>
      </c>
      <c r="F42" s="71">
        <f>'Acuario (Arribado - mortalidad)'!F52</f>
        <v>0</v>
      </c>
      <c r="G42" s="71" t="str">
        <f>'Acuario (Arribado - mortalidad)'!K52</f>
        <v/>
      </c>
      <c r="H42" s="71" t="str">
        <f>'Acuario (Arribado - mortalidad)'!G52</f>
        <v/>
      </c>
      <c r="I42" s="71">
        <f>'Acuario (Arribado - mortalidad)'!O52</f>
        <v>0</v>
      </c>
      <c r="J42" s="71">
        <f>'Acuario (Arribado - mortalidad)'!P52</f>
        <v>0</v>
      </c>
      <c r="K42" s="71">
        <f>'Acuario (Arribado - mortalidad)'!Q52</f>
        <v>0</v>
      </c>
      <c r="L42" s="71">
        <f>'Acuario (Arribado - mortalidad)'!R52</f>
        <v>0</v>
      </c>
      <c r="M42" s="71">
        <f>'Acuario (Arribado - mortalidad)'!S52</f>
        <v>0</v>
      </c>
      <c r="N42" s="71">
        <f>'Acuario (Arribado - mortalidad)'!T52</f>
        <v>0</v>
      </c>
      <c r="O42" s="71">
        <f>'Acuario (Arribado - mortalidad)'!U52</f>
        <v>0</v>
      </c>
      <c r="P42" s="71">
        <f>'Acuario (Arribado - mortalidad)'!V52</f>
        <v>0</v>
      </c>
      <c r="Q42" s="71">
        <f>'Acuario (Arribado - mortalidad)'!W52</f>
        <v>0</v>
      </c>
      <c r="R42" s="71">
        <f>'Acuario (Arribado - mortalidad)'!X52</f>
        <v>0</v>
      </c>
      <c r="S42" s="71">
        <f>'Acuario (Arribado - mortalidad)'!Y52</f>
        <v>0</v>
      </c>
      <c r="T42" s="71">
        <f>'Acuario (Arribado - mortalidad)'!Z52</f>
        <v>0</v>
      </c>
      <c r="U42" s="71">
        <f>'Acuario (Arribado - mortalidad)'!AA52</f>
        <v>0</v>
      </c>
      <c r="V42" s="71">
        <f>'Acuario (Arribado - mortalidad)'!AB52</f>
        <v>0</v>
      </c>
      <c r="W42" s="71">
        <f>'Acuario (Arribado - mortalidad)'!AC52</f>
        <v>0</v>
      </c>
      <c r="X42" s="71">
        <f>'Acuario (Arribado - mortalidad)'!AD52</f>
        <v>0</v>
      </c>
      <c r="Y42" s="71">
        <f>'Acuario (Arribado - mortalidad)'!AE52</f>
        <v>0</v>
      </c>
      <c r="Z42" s="71">
        <f>'Acuario (Arribado - mortalidad)'!AF52</f>
        <v>0</v>
      </c>
      <c r="AA42" s="71">
        <f>'Acuario (Arribado - mortalidad)'!AG52</f>
        <v>0</v>
      </c>
      <c r="AB42" s="71">
        <f>'Acuario (Arribado - mortalidad)'!AH52</f>
        <v>0</v>
      </c>
      <c r="AC42" s="71">
        <f>'Acuario (Arribado - mortalidad)'!AI52</f>
        <v>0</v>
      </c>
      <c r="AD42" s="71">
        <f>'Acuario (Arribado - mortalidad)'!AJ52</f>
        <v>0</v>
      </c>
      <c r="AE42" s="71">
        <f>'Acuario (Arribado - mortalidad)'!AK52</f>
        <v>0</v>
      </c>
      <c r="AF42" s="71">
        <f>'Acuario (Arribado - mortalidad)'!AL52</f>
        <v>0</v>
      </c>
      <c r="AG42" s="71">
        <f>'Acuario (Arribado - mortalidad)'!AM52</f>
        <v>0</v>
      </c>
      <c r="AH42" s="71">
        <f>'Acuario (Arribado - mortalidad)'!AN52</f>
        <v>0</v>
      </c>
      <c r="AI42" s="71">
        <f>'Acuario (Arribado - mortalidad)'!AO52</f>
        <v>0</v>
      </c>
      <c r="AJ42" s="71">
        <f>'Acuario (Arribado - mortalidad)'!AP52</f>
        <v>0</v>
      </c>
      <c r="AK42" s="71">
        <f>'Acuario (Arribado - mortalidad)'!AQ52</f>
        <v>0</v>
      </c>
      <c r="AL42" s="71">
        <f>'Acuario (Arribado - mortalidad)'!AR52</f>
        <v>0</v>
      </c>
      <c r="AO42"/>
    </row>
    <row r="43" spans="2:41" x14ac:dyDescent="0.25">
      <c r="B43" s="71">
        <f>'Acuario (Arribado - mortalidad)'!C53</f>
        <v>0</v>
      </c>
      <c r="C43" s="71">
        <f>'Acuario (Arribado - mortalidad)'!B53</f>
        <v>0</v>
      </c>
      <c r="D43" s="71" t="str">
        <f>'Acuario (Arribado - mortalidad)'!D53</f>
        <v/>
      </c>
      <c r="E43" s="71" t="str">
        <f>'Acuario (Arribado - mortalidad)'!E53</f>
        <v/>
      </c>
      <c r="F43" s="71">
        <f>'Acuario (Arribado - mortalidad)'!F53</f>
        <v>0</v>
      </c>
      <c r="G43" s="71" t="str">
        <f>'Acuario (Arribado - mortalidad)'!K53</f>
        <v/>
      </c>
      <c r="H43" s="71" t="str">
        <f>'Acuario (Arribado - mortalidad)'!G53</f>
        <v/>
      </c>
      <c r="I43" s="71">
        <f>'Acuario (Arribado - mortalidad)'!O53</f>
        <v>0</v>
      </c>
      <c r="J43" s="71">
        <f>'Acuario (Arribado - mortalidad)'!P53</f>
        <v>0</v>
      </c>
      <c r="K43" s="71">
        <f>'Acuario (Arribado - mortalidad)'!Q53</f>
        <v>0</v>
      </c>
      <c r="L43" s="71">
        <f>'Acuario (Arribado - mortalidad)'!R53</f>
        <v>0</v>
      </c>
      <c r="M43" s="71">
        <f>'Acuario (Arribado - mortalidad)'!S53</f>
        <v>0</v>
      </c>
      <c r="N43" s="71">
        <f>'Acuario (Arribado - mortalidad)'!T53</f>
        <v>0</v>
      </c>
      <c r="O43" s="71">
        <f>'Acuario (Arribado - mortalidad)'!U53</f>
        <v>0</v>
      </c>
      <c r="P43" s="71">
        <f>'Acuario (Arribado - mortalidad)'!V53</f>
        <v>0</v>
      </c>
      <c r="Q43" s="71">
        <f>'Acuario (Arribado - mortalidad)'!W53</f>
        <v>0</v>
      </c>
      <c r="R43" s="71">
        <f>'Acuario (Arribado - mortalidad)'!X53</f>
        <v>0</v>
      </c>
      <c r="S43" s="71">
        <f>'Acuario (Arribado - mortalidad)'!Y53</f>
        <v>0</v>
      </c>
      <c r="T43" s="71">
        <f>'Acuario (Arribado - mortalidad)'!Z53</f>
        <v>0</v>
      </c>
      <c r="U43" s="71">
        <f>'Acuario (Arribado - mortalidad)'!AA53</f>
        <v>0</v>
      </c>
      <c r="V43" s="71">
        <f>'Acuario (Arribado - mortalidad)'!AB53</f>
        <v>0</v>
      </c>
      <c r="W43" s="71">
        <f>'Acuario (Arribado - mortalidad)'!AC53</f>
        <v>0</v>
      </c>
      <c r="X43" s="71">
        <f>'Acuario (Arribado - mortalidad)'!AD53</f>
        <v>0</v>
      </c>
      <c r="Y43" s="71">
        <f>'Acuario (Arribado - mortalidad)'!AE53</f>
        <v>0</v>
      </c>
      <c r="Z43" s="71">
        <f>'Acuario (Arribado - mortalidad)'!AF53</f>
        <v>0</v>
      </c>
      <c r="AA43" s="71">
        <f>'Acuario (Arribado - mortalidad)'!AG53</f>
        <v>0</v>
      </c>
      <c r="AB43" s="71">
        <f>'Acuario (Arribado - mortalidad)'!AH53</f>
        <v>0</v>
      </c>
      <c r="AC43" s="71">
        <f>'Acuario (Arribado - mortalidad)'!AI53</f>
        <v>0</v>
      </c>
      <c r="AD43" s="71">
        <f>'Acuario (Arribado - mortalidad)'!AJ53</f>
        <v>0</v>
      </c>
      <c r="AE43" s="71">
        <f>'Acuario (Arribado - mortalidad)'!AK53</f>
        <v>0</v>
      </c>
      <c r="AF43" s="71">
        <f>'Acuario (Arribado - mortalidad)'!AL53</f>
        <v>0</v>
      </c>
      <c r="AG43" s="71">
        <f>'Acuario (Arribado - mortalidad)'!AM53</f>
        <v>0</v>
      </c>
      <c r="AH43" s="71">
        <f>'Acuario (Arribado - mortalidad)'!AN53</f>
        <v>0</v>
      </c>
      <c r="AI43" s="71">
        <f>'Acuario (Arribado - mortalidad)'!AO53</f>
        <v>0</v>
      </c>
      <c r="AJ43" s="71">
        <f>'Acuario (Arribado - mortalidad)'!AP53</f>
        <v>0</v>
      </c>
      <c r="AK43" s="71">
        <f>'Acuario (Arribado - mortalidad)'!AQ53</f>
        <v>0</v>
      </c>
      <c r="AL43" s="71">
        <f>'Acuario (Arribado - mortalidad)'!AR53</f>
        <v>0</v>
      </c>
      <c r="AO43"/>
    </row>
    <row r="44" spans="2:41" x14ac:dyDescent="0.25">
      <c r="AO44"/>
    </row>
    <row r="45" spans="2:41" x14ac:dyDescent="0.25">
      <c r="AO45"/>
    </row>
    <row r="46" spans="2:41" x14ac:dyDescent="0.25">
      <c r="AO46"/>
    </row>
    <row r="47" spans="2:41" x14ac:dyDescent="0.25">
      <c r="AO47"/>
    </row>
    <row r="48" spans="2:41" x14ac:dyDescent="0.25">
      <c r="AO48"/>
    </row>
    <row r="49" spans="41:41" x14ac:dyDescent="0.25">
      <c r="AO49"/>
    </row>
    <row r="50" spans="41:41" x14ac:dyDescent="0.25">
      <c r="AO50"/>
    </row>
    <row r="51" spans="41:41" x14ac:dyDescent="0.25">
      <c r="AO51"/>
    </row>
    <row r="52" spans="41:41" x14ac:dyDescent="0.25">
      <c r="AO52"/>
    </row>
    <row r="53" spans="41:41" x14ac:dyDescent="0.25">
      <c r="AO53"/>
    </row>
    <row r="54" spans="41:41" x14ac:dyDescent="0.25">
      <c r="AO54"/>
    </row>
    <row r="55" spans="41:41" x14ac:dyDescent="0.25">
      <c r="AO55"/>
    </row>
    <row r="56" spans="41:41" x14ac:dyDescent="0.25">
      <c r="AO56"/>
    </row>
    <row r="57" spans="41:41" x14ac:dyDescent="0.25">
      <c r="AO57"/>
    </row>
    <row r="58" spans="41:41" x14ac:dyDescent="0.25">
      <c r="AO58"/>
    </row>
    <row r="59" spans="41:41" x14ac:dyDescent="0.25">
      <c r="AO59"/>
    </row>
    <row r="60" spans="41:41" x14ac:dyDescent="0.25">
      <c r="AO60"/>
    </row>
    <row r="61" spans="41:41" x14ac:dyDescent="0.25">
      <c r="AO61"/>
    </row>
    <row r="62" spans="41:41" x14ac:dyDescent="0.25">
      <c r="AO62"/>
    </row>
    <row r="63" spans="41:41" x14ac:dyDescent="0.25">
      <c r="AO63"/>
    </row>
    <row r="64" spans="41:41" x14ac:dyDescent="0.25">
      <c r="AO64"/>
    </row>
    <row r="65" spans="41:41" x14ac:dyDescent="0.25">
      <c r="AO65"/>
    </row>
    <row r="66" spans="41:41" x14ac:dyDescent="0.25">
      <c r="AO66"/>
    </row>
    <row r="67" spans="41:41" x14ac:dyDescent="0.25">
      <c r="AO67"/>
    </row>
    <row r="68" spans="41:41" x14ac:dyDescent="0.25">
      <c r="AO68"/>
    </row>
    <row r="69" spans="41:41" x14ac:dyDescent="0.25">
      <c r="AO69"/>
    </row>
    <row r="70" spans="41:41" x14ac:dyDescent="0.25">
      <c r="AO70"/>
    </row>
    <row r="71" spans="41:41" x14ac:dyDescent="0.25">
      <c r="AO71"/>
    </row>
    <row r="72" spans="41:41" x14ac:dyDescent="0.25">
      <c r="AO72"/>
    </row>
    <row r="73" spans="41:41" x14ac:dyDescent="0.25">
      <c r="AO73"/>
    </row>
    <row r="74" spans="41:41" x14ac:dyDescent="0.25">
      <c r="AO74"/>
    </row>
    <row r="75" spans="41:41" x14ac:dyDescent="0.25">
      <c r="AO75"/>
    </row>
    <row r="76" spans="41:41" x14ac:dyDescent="0.25">
      <c r="AO76"/>
    </row>
    <row r="77" spans="41:41" x14ac:dyDescent="0.25">
      <c r="AO77"/>
    </row>
    <row r="78" spans="41:41" x14ac:dyDescent="0.25">
      <c r="AO78"/>
    </row>
    <row r="79" spans="41:41" x14ac:dyDescent="0.25">
      <c r="AO79"/>
    </row>
    <row r="80" spans="41:41" x14ac:dyDescent="0.25">
      <c r="AO80"/>
    </row>
    <row r="81" spans="41:41" x14ac:dyDescent="0.25">
      <c r="AO81"/>
    </row>
    <row r="82" spans="41:41" x14ac:dyDescent="0.25">
      <c r="AO82"/>
    </row>
    <row r="83" spans="41:41" x14ac:dyDescent="0.25">
      <c r="AO83"/>
    </row>
    <row r="84" spans="41:41" x14ac:dyDescent="0.25">
      <c r="AO84"/>
    </row>
    <row r="85" spans="41:41" x14ac:dyDescent="0.25">
      <c r="AO85"/>
    </row>
    <row r="86" spans="41:41" x14ac:dyDescent="0.25">
      <c r="AO86"/>
    </row>
    <row r="87" spans="41:41" x14ac:dyDescent="0.25">
      <c r="AO87"/>
    </row>
    <row r="88" spans="41:41" x14ac:dyDescent="0.25">
      <c r="AO88"/>
    </row>
    <row r="89" spans="41:41" x14ac:dyDescent="0.25">
      <c r="AO89"/>
    </row>
    <row r="90" spans="41:41" x14ac:dyDescent="0.25">
      <c r="AO90"/>
    </row>
    <row r="91" spans="41:41" x14ac:dyDescent="0.25">
      <c r="AO91"/>
    </row>
    <row r="92" spans="41:41" x14ac:dyDescent="0.25">
      <c r="AO92"/>
    </row>
    <row r="93" spans="41:41" x14ac:dyDescent="0.25">
      <c r="AO93"/>
    </row>
    <row r="94" spans="41:41" x14ac:dyDescent="0.25">
      <c r="AO94"/>
    </row>
    <row r="95" spans="41:41" x14ac:dyDescent="0.25">
      <c r="AO95"/>
    </row>
    <row r="96" spans="41:41" x14ac:dyDescent="0.25">
      <c r="AO96"/>
    </row>
    <row r="97" spans="41:41" x14ac:dyDescent="0.25">
      <c r="AO97"/>
    </row>
    <row r="98" spans="41:41" x14ac:dyDescent="0.25">
      <c r="AO98"/>
    </row>
    <row r="99" spans="41:41" x14ac:dyDescent="0.25">
      <c r="AO99"/>
    </row>
    <row r="100" spans="41:41" x14ac:dyDescent="0.25">
      <c r="AO100"/>
    </row>
    <row r="101" spans="41:41" x14ac:dyDescent="0.25">
      <c r="AO101"/>
    </row>
    <row r="102" spans="41:41" x14ac:dyDescent="0.25">
      <c r="AO102"/>
    </row>
    <row r="103" spans="41:41" x14ac:dyDescent="0.25">
      <c r="AO103"/>
    </row>
    <row r="104" spans="41:41" x14ac:dyDescent="0.25">
      <c r="AO104"/>
    </row>
    <row r="105" spans="41:41" x14ac:dyDescent="0.25">
      <c r="AO105"/>
    </row>
    <row r="106" spans="41:41" x14ac:dyDescent="0.25">
      <c r="AO106"/>
    </row>
    <row r="107" spans="41:41" x14ac:dyDescent="0.25">
      <c r="AO107"/>
    </row>
    <row r="108" spans="41:41" x14ac:dyDescent="0.25">
      <c r="AO108"/>
    </row>
    <row r="109" spans="41:41" x14ac:dyDescent="0.25">
      <c r="AO109"/>
    </row>
    <row r="110" spans="41:41" x14ac:dyDescent="0.25">
      <c r="AO110"/>
    </row>
    <row r="111" spans="41:41" x14ac:dyDescent="0.25">
      <c r="AO111"/>
    </row>
    <row r="112" spans="41:41" x14ac:dyDescent="0.25">
      <c r="AO112"/>
    </row>
    <row r="113" spans="41:41" x14ac:dyDescent="0.25">
      <c r="AO113"/>
    </row>
    <row r="114" spans="41:41" x14ac:dyDescent="0.25">
      <c r="AO114"/>
    </row>
    <row r="115" spans="41:41" x14ac:dyDescent="0.25">
      <c r="AO115"/>
    </row>
    <row r="116" spans="41:41" x14ac:dyDescent="0.25">
      <c r="AO116"/>
    </row>
    <row r="117" spans="41:41" x14ac:dyDescent="0.25">
      <c r="AO117"/>
    </row>
    <row r="118" spans="41:41" x14ac:dyDescent="0.25">
      <c r="AO118"/>
    </row>
    <row r="119" spans="41:41" x14ac:dyDescent="0.25">
      <c r="AO119"/>
    </row>
    <row r="120" spans="41:41" x14ac:dyDescent="0.25">
      <c r="AO120"/>
    </row>
    <row r="121" spans="41:41" x14ac:dyDescent="0.25">
      <c r="AO121"/>
    </row>
    <row r="122" spans="41:41" x14ac:dyDescent="0.25">
      <c r="AO122"/>
    </row>
    <row r="123" spans="41:41" x14ac:dyDescent="0.25">
      <c r="AO123"/>
    </row>
    <row r="124" spans="41:41" x14ac:dyDescent="0.25">
      <c r="AO124"/>
    </row>
    <row r="125" spans="41:41" x14ac:dyDescent="0.25">
      <c r="AO125"/>
    </row>
    <row r="126" spans="41:41" x14ac:dyDescent="0.25">
      <c r="AO126"/>
    </row>
    <row r="127" spans="41:41" x14ac:dyDescent="0.25">
      <c r="AO127"/>
    </row>
    <row r="128" spans="41:41" x14ac:dyDescent="0.25">
      <c r="AO128"/>
    </row>
    <row r="129" spans="41:41" x14ac:dyDescent="0.25">
      <c r="AO129"/>
    </row>
    <row r="130" spans="41:41" x14ac:dyDescent="0.25">
      <c r="AO130"/>
    </row>
    <row r="131" spans="41:41" x14ac:dyDescent="0.25">
      <c r="AO131"/>
    </row>
    <row r="132" spans="41:41" x14ac:dyDescent="0.25">
      <c r="AO132"/>
    </row>
    <row r="133" spans="41:41" x14ac:dyDescent="0.25">
      <c r="AO133"/>
    </row>
    <row r="134" spans="41:41" x14ac:dyDescent="0.25">
      <c r="AO134"/>
    </row>
    <row r="135" spans="41:41" x14ac:dyDescent="0.25">
      <c r="AO135"/>
    </row>
    <row r="136" spans="41:41" x14ac:dyDescent="0.25">
      <c r="AO136"/>
    </row>
    <row r="137" spans="41:41" x14ac:dyDescent="0.25">
      <c r="AO137"/>
    </row>
    <row r="138" spans="41:41" x14ac:dyDescent="0.25">
      <c r="AO138"/>
    </row>
    <row r="139" spans="41:41" x14ac:dyDescent="0.25">
      <c r="AO139"/>
    </row>
    <row r="140" spans="41:41" x14ac:dyDescent="0.25">
      <c r="AO140"/>
    </row>
    <row r="141" spans="41:41" x14ac:dyDescent="0.25">
      <c r="AO141"/>
    </row>
    <row r="142" spans="41:41" x14ac:dyDescent="0.25">
      <c r="AO142"/>
    </row>
    <row r="143" spans="41:41" x14ac:dyDescent="0.25">
      <c r="AO143"/>
    </row>
    <row r="144" spans="41:41" x14ac:dyDescent="0.25">
      <c r="AO144"/>
    </row>
    <row r="145" spans="41:41" x14ac:dyDescent="0.25">
      <c r="AO145"/>
    </row>
    <row r="146" spans="41:41" x14ac:dyDescent="0.25">
      <c r="AO146"/>
    </row>
    <row r="147" spans="41:41" x14ac:dyDescent="0.25">
      <c r="AO147"/>
    </row>
    <row r="148" spans="41:41" x14ac:dyDescent="0.25">
      <c r="AO148"/>
    </row>
    <row r="149" spans="41:41" x14ac:dyDescent="0.25">
      <c r="AO149"/>
    </row>
    <row r="150" spans="41:41" x14ac:dyDescent="0.25">
      <c r="AO150"/>
    </row>
    <row r="151" spans="41:41" x14ac:dyDescent="0.25">
      <c r="AO151"/>
    </row>
    <row r="152" spans="41:41" x14ac:dyDescent="0.25">
      <c r="AO152"/>
    </row>
    <row r="153" spans="41:41" x14ac:dyDescent="0.25">
      <c r="AO153"/>
    </row>
    <row r="154" spans="41:41" x14ac:dyDescent="0.25">
      <c r="AO154"/>
    </row>
  </sheetData>
  <pageMargins left="0.7" right="0.7" top="0.75" bottom="0.75" header="0.3" footer="0.3"/>
  <pageSetup paperSize="9" scale="47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M230"/>
  <sheetViews>
    <sheetView topLeftCell="BG1" zoomScale="80" zoomScaleNormal="80" workbookViewId="0">
      <selection activeCell="BM15" sqref="BM15"/>
    </sheetView>
  </sheetViews>
  <sheetFormatPr baseColWidth="10" defaultRowHeight="15" x14ac:dyDescent="0.25"/>
  <cols>
    <col min="1" max="1" width="11.5703125" customWidth="1"/>
    <col min="2" max="2" width="12.140625" customWidth="1"/>
    <col min="3" max="3" width="12.5703125" customWidth="1"/>
    <col min="4" max="4" width="15.140625" customWidth="1"/>
    <col min="5" max="5" width="17.140625" customWidth="1"/>
    <col min="6" max="6" width="12.85546875" customWidth="1"/>
    <col min="7" max="7" width="12.42578125" customWidth="1"/>
    <col min="8" max="8" width="13.140625" customWidth="1"/>
    <col min="10" max="10" width="17.140625" customWidth="1"/>
    <col min="12" max="12" width="12" customWidth="1"/>
    <col min="13" max="13" width="11.42578125" customWidth="1"/>
    <col min="14" max="14" width="16.5703125" customWidth="1"/>
    <col min="16" max="16" width="16.140625" customWidth="1"/>
    <col min="17" max="17" width="17.42578125" customWidth="1"/>
    <col min="18" max="18" width="13.42578125" customWidth="1"/>
    <col min="19" max="19" width="15" customWidth="1"/>
    <col min="20" max="20" width="14.140625" customWidth="1"/>
    <col min="21" max="21" width="14.42578125" customWidth="1"/>
    <col min="22" max="22" width="13.28515625" customWidth="1"/>
    <col min="24" max="24" width="11" customWidth="1"/>
    <col min="25" max="25" width="11.42578125" customWidth="1"/>
    <col min="26" max="26" width="11.7109375" customWidth="1"/>
    <col min="27" max="27" width="11" customWidth="1"/>
    <col min="28" max="28" width="13.85546875" customWidth="1"/>
    <col min="29" max="29" width="12.7109375" customWidth="1"/>
    <col min="30" max="30" width="12.5703125" customWidth="1"/>
    <col min="31" max="31" width="13.5703125" customWidth="1"/>
    <col min="32" max="32" width="14.42578125" customWidth="1"/>
    <col min="33" max="33" width="14.5703125" customWidth="1"/>
    <col min="34" max="34" width="15.85546875" customWidth="1"/>
    <col min="35" max="35" width="19.140625" customWidth="1"/>
    <col min="36" max="36" width="12.85546875" customWidth="1"/>
    <col min="38" max="38" width="15.7109375" customWidth="1"/>
    <col min="39" max="40" width="13.85546875" customWidth="1"/>
    <col min="41" max="41" width="11.5703125" customWidth="1"/>
    <col min="42" max="42" width="14.42578125" customWidth="1"/>
    <col min="43" max="43" width="12.85546875" customWidth="1"/>
    <col min="44" max="44" width="15" customWidth="1"/>
    <col min="46" max="46" width="11" customWidth="1"/>
    <col min="47" max="47" width="11.5703125" customWidth="1"/>
    <col min="49" max="49" width="14.42578125" customWidth="1"/>
    <col min="50" max="51" width="12.5703125" customWidth="1"/>
    <col min="52" max="52" width="11.140625" customWidth="1"/>
    <col min="53" max="53" width="14" customWidth="1"/>
    <col min="54" max="54" width="19.5703125" customWidth="1"/>
    <col min="55" max="55" width="13.140625" customWidth="1"/>
    <col min="56" max="56" width="14.85546875" customWidth="1"/>
    <col min="57" max="57" width="16.140625" customWidth="1"/>
    <col min="58" max="58" width="13.85546875" customWidth="1"/>
    <col min="59" max="59" width="11.42578125" customWidth="1"/>
    <col min="62" max="62" width="16.28515625" customWidth="1"/>
    <col min="63" max="63" width="12" customWidth="1"/>
    <col min="65" max="65" width="12.42578125" customWidth="1"/>
    <col min="66" max="66" width="13.28515625" customWidth="1"/>
    <col min="67" max="67" width="11.140625" customWidth="1"/>
    <col min="68" max="68" width="13.85546875" customWidth="1"/>
    <col min="72" max="72" width="15.85546875" customWidth="1"/>
    <col min="74" max="74" width="12.5703125" customWidth="1"/>
    <col min="75" max="76" width="11" customWidth="1"/>
    <col min="79" max="79" width="15" customWidth="1"/>
    <col min="80" max="80" width="19.5703125" customWidth="1"/>
    <col min="81" max="81" width="16.85546875" customWidth="1"/>
    <col min="82" max="82" width="14.5703125" customWidth="1"/>
    <col min="83" max="83" width="18.85546875" customWidth="1"/>
    <col min="84" max="84" width="18.7109375" customWidth="1"/>
    <col min="88" max="88" width="14.85546875" customWidth="1"/>
    <col min="89" max="89" width="20.140625" customWidth="1"/>
    <col min="90" max="90" width="15" customWidth="1"/>
    <col min="92" max="92" width="13.85546875" customWidth="1"/>
    <col min="93" max="93" width="12.42578125" customWidth="1"/>
    <col min="94" max="95" width="14.140625" customWidth="1"/>
    <col min="96" max="96" width="12.5703125" customWidth="1"/>
    <col min="97" max="97" width="19.140625" customWidth="1"/>
    <col min="98" max="98" width="14.140625" customWidth="1"/>
    <col min="100" max="100" width="11.85546875" customWidth="1"/>
    <col min="101" max="101" width="11" customWidth="1"/>
    <col min="102" max="102" width="14.42578125" customWidth="1"/>
    <col min="103" max="104" width="12.85546875" customWidth="1"/>
    <col min="105" max="105" width="15.140625" customWidth="1"/>
    <col min="108" max="108" width="14.85546875" customWidth="1"/>
    <col min="109" max="109" width="16.140625" customWidth="1"/>
    <col min="110" max="110" width="12.42578125" customWidth="1"/>
    <col min="111" max="111" width="17.5703125" customWidth="1"/>
    <col min="112" max="112" width="14.42578125" customWidth="1"/>
    <col min="114" max="114" width="16.28515625" customWidth="1"/>
    <col min="115" max="115" width="17.5703125" customWidth="1"/>
    <col min="118" max="118" width="13.85546875" customWidth="1"/>
    <col min="120" max="120" width="15.140625" customWidth="1"/>
    <col min="123" max="123" width="13.42578125" customWidth="1"/>
    <col min="125" max="125" width="15.140625" customWidth="1"/>
    <col min="126" max="126" width="14.42578125" customWidth="1"/>
    <col min="127" max="127" width="13.140625" customWidth="1"/>
    <col min="129" max="129" width="14.28515625" customWidth="1"/>
    <col min="131" max="131" width="12.85546875" customWidth="1"/>
    <col min="133" max="133" width="12.85546875" customWidth="1"/>
    <col min="134" max="134" width="13.140625" customWidth="1"/>
    <col min="135" max="135" width="14.5703125" customWidth="1"/>
    <col min="136" max="136" width="11.5703125" customWidth="1"/>
    <col min="138" max="138" width="13.7109375" customWidth="1"/>
    <col min="140" max="141" width="12.140625" customWidth="1"/>
    <col min="142" max="142" width="15.7109375" customWidth="1"/>
    <col min="145" max="145" width="12" bestFit="1" customWidth="1"/>
    <col min="146" max="146" width="13.28515625" bestFit="1" customWidth="1"/>
    <col min="147" max="147" width="15.140625" bestFit="1" customWidth="1"/>
    <col min="148" max="148" width="14" customWidth="1"/>
    <col min="149" max="149" width="15.5703125" customWidth="1"/>
    <col min="150" max="150" width="14" bestFit="1" customWidth="1"/>
    <col min="151" max="151" width="12.5703125" customWidth="1"/>
    <col min="152" max="152" width="11.85546875" customWidth="1"/>
    <col min="153" max="153" width="13.28515625" customWidth="1"/>
    <col min="154" max="154" width="14.42578125" customWidth="1"/>
    <col min="155" max="155" width="15.140625" customWidth="1"/>
    <col min="156" max="156" width="13.85546875" customWidth="1"/>
    <col min="157" max="157" width="14.5703125" customWidth="1"/>
    <col min="158" max="158" width="14.7109375" customWidth="1"/>
    <col min="159" max="159" width="12.85546875" customWidth="1"/>
    <col min="160" max="160" width="19.42578125" customWidth="1"/>
    <col min="162" max="162" width="12.85546875" customWidth="1"/>
    <col min="163" max="163" width="16.140625" customWidth="1"/>
    <col min="164" max="164" width="12.28515625" customWidth="1"/>
    <col min="165" max="165" width="12.85546875" customWidth="1"/>
    <col min="166" max="166" width="14" customWidth="1"/>
    <col min="167" max="167" width="14.140625" customWidth="1"/>
    <col min="168" max="168" width="16.7109375" customWidth="1"/>
    <col min="170" max="170" width="11.5703125" customWidth="1"/>
    <col min="171" max="171" width="14.5703125" customWidth="1"/>
    <col min="173" max="173" width="11" customWidth="1"/>
    <col min="174" max="174" width="12.28515625" customWidth="1"/>
    <col min="175" max="175" width="12.42578125" customWidth="1"/>
    <col min="176" max="176" width="14.42578125" customWidth="1"/>
    <col min="177" max="177" width="13.7109375" customWidth="1"/>
    <col min="180" max="180" width="11" customWidth="1"/>
    <col min="181" max="181" width="16.42578125" customWidth="1"/>
    <col min="183" max="183" width="12.85546875" customWidth="1"/>
    <col min="184" max="184" width="17.5703125" customWidth="1"/>
    <col min="188" max="188" width="14.140625" customWidth="1"/>
    <col min="189" max="189" width="11.85546875" customWidth="1"/>
    <col min="190" max="190" width="14.85546875" customWidth="1"/>
    <col min="191" max="191" width="13.42578125" customWidth="1"/>
    <col min="192" max="192" width="13.28515625" customWidth="1"/>
    <col min="193" max="193" width="14.7109375" customWidth="1"/>
    <col min="194" max="194" width="15" customWidth="1"/>
    <col min="195" max="195" width="17.42578125" customWidth="1"/>
    <col min="197" max="197" width="13.28515625" customWidth="1"/>
    <col min="200" max="200" width="13.5703125" customWidth="1"/>
    <col min="201" max="201" width="12.140625" customWidth="1"/>
    <col min="202" max="202" width="14.7109375" customWidth="1"/>
    <col min="204" max="204" width="13.7109375" customWidth="1"/>
    <col min="207" max="207" width="12.140625" customWidth="1"/>
    <col min="208" max="208" width="11.7109375" customWidth="1"/>
    <col min="209" max="209" width="16.28515625" customWidth="1"/>
    <col min="210" max="210" width="17.140625" customWidth="1"/>
    <col min="212" max="212" width="16" customWidth="1"/>
    <col min="213" max="213" width="14.140625" customWidth="1"/>
    <col min="214" max="214" width="12.5703125" customWidth="1"/>
    <col min="215" max="215" width="16.140625" customWidth="1"/>
    <col min="216" max="216" width="16.5703125" customWidth="1"/>
    <col min="217" max="217" width="12.5703125" customWidth="1"/>
    <col min="218" max="218" width="16.140625" customWidth="1"/>
    <col min="219" max="219" width="15" customWidth="1"/>
    <col min="220" max="220" width="11.5703125" customWidth="1"/>
    <col min="221" max="221" width="11.42578125" customWidth="1"/>
    <col min="222" max="222" width="12.7109375" customWidth="1"/>
    <col min="223" max="223" width="12.85546875" customWidth="1"/>
    <col min="225" max="225" width="13.28515625" customWidth="1"/>
    <col min="226" max="226" width="20.5703125" customWidth="1"/>
    <col min="227" max="227" width="17.42578125" customWidth="1"/>
    <col min="228" max="228" width="18.42578125" customWidth="1"/>
    <col min="229" max="229" width="16.85546875" customWidth="1"/>
    <col min="230" max="230" width="14.85546875" customWidth="1"/>
    <col min="231" max="231" width="11.7109375" customWidth="1"/>
    <col min="232" max="232" width="14.5703125" customWidth="1"/>
    <col min="233" max="233" width="13.140625" customWidth="1"/>
    <col min="235" max="235" width="14.85546875" customWidth="1"/>
    <col min="236" max="236" width="12.5703125" customWidth="1"/>
    <col min="237" max="237" width="12.28515625" customWidth="1"/>
    <col min="238" max="238" width="13.42578125" customWidth="1"/>
    <col min="239" max="239" width="14.140625" customWidth="1"/>
    <col min="240" max="240" width="15.5703125" customWidth="1"/>
    <col min="241" max="241" width="18.5703125" customWidth="1"/>
    <col min="242" max="242" width="11.5703125" customWidth="1"/>
    <col min="243" max="243" width="14.42578125" customWidth="1"/>
    <col min="244" max="244" width="17.140625" customWidth="1"/>
    <col min="245" max="245" width="11.85546875" customWidth="1"/>
    <col min="247" max="247" width="14.5703125" customWidth="1"/>
    <col min="249" max="249" width="13.85546875" customWidth="1"/>
    <col min="250" max="250" width="14.42578125" customWidth="1"/>
    <col min="251" max="251" width="15.140625" customWidth="1"/>
    <col min="252" max="252" width="13.140625" customWidth="1"/>
    <col min="253" max="253" width="12.5703125" customWidth="1"/>
    <col min="254" max="254" width="16.85546875" customWidth="1"/>
    <col min="255" max="255" width="15" customWidth="1"/>
    <col min="256" max="256" width="14.42578125" customWidth="1"/>
    <col min="257" max="257" width="15.28515625" customWidth="1"/>
    <col min="258" max="258" width="13.5703125" customWidth="1"/>
    <col min="259" max="259" width="13.42578125" customWidth="1"/>
    <col min="260" max="260" width="14.42578125" customWidth="1"/>
    <col min="261" max="263" width="12.85546875" customWidth="1"/>
    <col min="264" max="264" width="14.42578125" customWidth="1"/>
    <col min="265" max="265" width="12.28515625" customWidth="1"/>
    <col min="266" max="266" width="12.85546875" customWidth="1"/>
    <col min="267" max="267" width="12" customWidth="1"/>
    <col min="268" max="268" width="14.7109375" customWidth="1"/>
    <col min="269" max="269" width="14.140625" customWidth="1"/>
    <col min="271" max="271" width="15.7109375" customWidth="1"/>
    <col min="272" max="272" width="15.5703125" customWidth="1"/>
    <col min="273" max="273" width="12.85546875" customWidth="1"/>
    <col min="274" max="274" width="11.42578125" customWidth="1"/>
    <col min="275" max="275" width="12.42578125" customWidth="1"/>
    <col min="277" max="277" width="11.5703125" customWidth="1"/>
    <col min="278" max="278" width="15.5703125" customWidth="1"/>
    <col min="279" max="279" width="14.140625" customWidth="1"/>
    <col min="281" max="281" width="19.85546875" customWidth="1"/>
    <col min="282" max="282" width="12.85546875" customWidth="1"/>
    <col min="283" max="283" width="12.7109375" customWidth="1"/>
    <col min="285" max="285" width="17" customWidth="1"/>
    <col min="286" max="286" width="11.42578125" customWidth="1"/>
    <col min="287" max="287" width="13.7109375" customWidth="1"/>
    <col min="288" max="288" width="12.42578125" customWidth="1"/>
    <col min="289" max="289" width="12.140625" customWidth="1"/>
    <col min="291" max="291" width="13.42578125" customWidth="1"/>
    <col min="292" max="292" width="14.85546875" customWidth="1"/>
    <col min="293" max="293" width="11.42578125" customWidth="1"/>
    <col min="294" max="294" width="13.85546875" customWidth="1"/>
    <col min="295" max="295" width="15" customWidth="1"/>
    <col min="296" max="296" width="12.140625" customWidth="1"/>
    <col min="298" max="298" width="14.85546875" customWidth="1"/>
    <col min="299" max="299" width="12.5703125" customWidth="1"/>
    <col min="300" max="300" width="15.5703125" customWidth="1"/>
    <col min="301" max="301" width="20.140625" customWidth="1"/>
    <col min="302" max="302" width="13.85546875" customWidth="1"/>
    <col min="303" max="303" width="15.140625" customWidth="1"/>
    <col min="304" max="304" width="15.85546875" customWidth="1"/>
    <col min="305" max="305" width="16.42578125" customWidth="1"/>
    <col min="306" max="306" width="12.42578125" customWidth="1"/>
    <col min="307" max="307" width="14.140625" customWidth="1"/>
    <col min="308" max="308" width="20.140625" customWidth="1"/>
    <col min="309" max="309" width="16.42578125" customWidth="1"/>
    <col min="310" max="310" width="15.140625" customWidth="1"/>
    <col min="311" max="311" width="12.5703125" customWidth="1"/>
    <col min="312" max="312" width="16.5703125" customWidth="1"/>
    <col min="313" max="313" width="12.85546875" customWidth="1"/>
    <col min="314" max="314" width="19.42578125" customWidth="1"/>
    <col min="315" max="315" width="11.140625" customWidth="1"/>
    <col min="316" max="316" width="17.7109375" customWidth="1"/>
    <col min="317" max="317" width="13.28515625" customWidth="1"/>
    <col min="318" max="318" width="14.7109375" customWidth="1"/>
    <col min="319" max="319" width="17.140625" customWidth="1"/>
    <col min="320" max="320" width="17.5703125" customWidth="1"/>
    <col min="321" max="321" width="12.140625" customWidth="1"/>
    <col min="322" max="322" width="14.5703125" customWidth="1"/>
    <col min="323" max="323" width="14.85546875" customWidth="1"/>
    <col min="324" max="324" width="14" customWidth="1"/>
    <col min="325" max="325" width="15.28515625" customWidth="1"/>
    <col min="326" max="326" width="13.5703125" customWidth="1"/>
    <col min="328" max="328" width="11" customWidth="1"/>
    <col min="329" max="329" width="12.85546875" customWidth="1"/>
    <col min="330" max="330" width="12.7109375" customWidth="1"/>
    <col min="332" max="332" width="11.85546875" customWidth="1"/>
    <col min="334" max="334" width="12.5703125" customWidth="1"/>
    <col min="335" max="335" width="14.7109375" customWidth="1"/>
    <col min="336" max="336" width="14.42578125" customWidth="1"/>
    <col min="339" max="339" width="12.140625" customWidth="1"/>
    <col min="340" max="340" width="13.85546875" customWidth="1"/>
    <col min="341" max="341" width="12.85546875" customWidth="1"/>
    <col min="342" max="342" width="15.140625" customWidth="1"/>
    <col min="343" max="343" width="15.7109375" customWidth="1"/>
    <col min="344" max="344" width="14.85546875" customWidth="1"/>
    <col min="345" max="345" width="13.42578125" customWidth="1"/>
    <col min="346" max="347" width="17.140625" customWidth="1"/>
    <col min="348" max="348" width="12.42578125" customWidth="1"/>
    <col min="349" max="349" width="16.42578125" customWidth="1"/>
    <col min="350" max="350" width="15.42578125" customWidth="1"/>
    <col min="351" max="351" width="16.7109375" customWidth="1"/>
    <col min="352" max="352" width="11.5703125" customWidth="1"/>
    <col min="353" max="353" width="16.7109375" customWidth="1"/>
    <col min="354" max="354" width="12.7109375" customWidth="1"/>
    <col min="355" max="355" width="16" customWidth="1"/>
    <col min="358" max="358" width="18.42578125" customWidth="1"/>
    <col min="359" max="359" width="15.5703125" customWidth="1"/>
    <col min="361" max="361" width="14.7109375" customWidth="1"/>
    <col min="362" max="362" width="12.85546875" customWidth="1"/>
    <col min="363" max="363" width="15" customWidth="1"/>
    <col min="364" max="364" width="11.42578125" customWidth="1"/>
    <col min="365" max="365" width="12.140625" customWidth="1"/>
    <col min="366" max="367" width="13.42578125" customWidth="1"/>
    <col min="368" max="368" width="12.85546875" customWidth="1"/>
    <col min="369" max="369" width="18" customWidth="1"/>
    <col min="371" max="371" width="11.5703125" customWidth="1"/>
    <col min="373" max="373" width="11.42578125" customWidth="1"/>
    <col min="374" max="374" width="14.140625" customWidth="1"/>
    <col min="375" max="375" width="15.5703125" customWidth="1"/>
    <col min="376" max="376" width="14.5703125" customWidth="1"/>
    <col min="377" max="377" width="15.5703125" customWidth="1"/>
    <col min="378" max="378" width="13.85546875" customWidth="1"/>
    <col min="379" max="379" width="14.140625" customWidth="1"/>
    <col min="380" max="380" width="18" customWidth="1"/>
    <col min="381" max="381" width="15.140625" customWidth="1"/>
    <col min="382" max="382" width="13.7109375" customWidth="1"/>
    <col min="383" max="383" width="18.85546875" customWidth="1"/>
    <col min="384" max="384" width="12.7109375" customWidth="1"/>
    <col min="385" max="385" width="12.85546875" customWidth="1"/>
    <col min="387" max="387" width="17.42578125" customWidth="1"/>
    <col min="388" max="388" width="11" customWidth="1"/>
    <col min="389" max="389" width="16.85546875" customWidth="1"/>
    <col min="390" max="390" width="15.85546875" customWidth="1"/>
    <col min="391" max="391" width="16.5703125" customWidth="1"/>
    <col min="392" max="392" width="14.85546875" customWidth="1"/>
    <col min="395" max="395" width="14.42578125" customWidth="1"/>
    <col min="396" max="396" width="13.42578125" customWidth="1"/>
    <col min="397" max="397" width="15.7109375" customWidth="1"/>
    <col min="398" max="398" width="18.28515625" customWidth="1"/>
    <col min="399" max="399" width="14.5703125" customWidth="1"/>
    <col min="400" max="400" width="17.140625" customWidth="1"/>
    <col min="401" max="401" width="11.5703125" customWidth="1"/>
    <col min="403" max="403" width="11.140625" customWidth="1"/>
    <col min="404" max="404" width="13.140625" customWidth="1"/>
    <col min="405" max="405" width="11.85546875" customWidth="1"/>
    <col min="406" max="406" width="16" customWidth="1"/>
    <col min="408" max="408" width="12.28515625" customWidth="1"/>
    <col min="409" max="409" width="19" customWidth="1"/>
    <col min="410" max="410" width="13.140625" customWidth="1"/>
    <col min="411" max="411" width="19.5703125" customWidth="1"/>
    <col min="412" max="412" width="13.85546875" customWidth="1"/>
    <col min="415" max="415" width="13.140625" customWidth="1"/>
    <col min="416" max="416" width="12.140625" customWidth="1"/>
    <col min="417" max="417" width="14.5703125" customWidth="1"/>
    <col min="418" max="418" width="14.140625" customWidth="1"/>
    <col min="420" max="420" width="15.5703125" customWidth="1"/>
    <col min="422" max="422" width="14.42578125" customWidth="1"/>
    <col min="424" max="424" width="12.7109375" customWidth="1"/>
    <col min="425" max="425" width="12.85546875" customWidth="1"/>
    <col min="426" max="426" width="13.28515625" customWidth="1"/>
    <col min="427" max="427" width="15.7109375" customWidth="1"/>
    <col min="428" max="428" width="12.140625" customWidth="1"/>
    <col min="429" max="429" width="14.42578125" customWidth="1"/>
    <col min="430" max="430" width="16.5703125" customWidth="1"/>
    <col min="431" max="431" width="15.85546875" customWidth="1"/>
    <col min="432" max="432" width="20.140625" customWidth="1"/>
    <col min="433" max="433" width="17.5703125" customWidth="1"/>
    <col min="434" max="434" width="15.140625" customWidth="1"/>
    <col min="435" max="435" width="17.85546875" customWidth="1"/>
    <col min="436" max="436" width="18.85546875" customWidth="1"/>
    <col min="437" max="437" width="16.7109375" customWidth="1"/>
    <col min="438" max="439" width="13.140625" customWidth="1"/>
    <col min="441" max="441" width="14" customWidth="1"/>
    <col min="442" max="442" width="14.5703125" customWidth="1"/>
    <col min="443" max="444" width="18.28515625" customWidth="1"/>
    <col min="446" max="446" width="12" customWidth="1"/>
    <col min="447" max="447" width="12.140625" customWidth="1"/>
    <col min="449" max="450" width="16.28515625" customWidth="1"/>
    <col min="451" max="451" width="14.5703125" customWidth="1"/>
    <col min="452" max="452" width="15.7109375" customWidth="1"/>
    <col min="453" max="453" width="14.140625" customWidth="1"/>
    <col min="456" max="456" width="14.5703125" customWidth="1"/>
    <col min="457" max="457" width="13.85546875" customWidth="1"/>
    <col min="460" max="460" width="14" customWidth="1"/>
    <col min="461" max="461" width="16.42578125" customWidth="1"/>
    <col min="463" max="463" width="12.5703125" customWidth="1"/>
    <col min="464" max="464" width="17.5703125" customWidth="1"/>
    <col min="467" max="467" width="12.85546875" customWidth="1"/>
    <col min="468" max="468" width="13.140625" customWidth="1"/>
    <col min="469" max="469" width="14" customWidth="1"/>
    <col min="470" max="470" width="16.28515625" customWidth="1"/>
    <col min="472" max="472" width="12.140625" customWidth="1"/>
    <col min="473" max="473" width="15.28515625" customWidth="1"/>
    <col min="474" max="474" width="13.42578125" customWidth="1"/>
    <col min="475" max="475" width="15.140625" customWidth="1"/>
    <col min="476" max="476" width="13.42578125" customWidth="1"/>
    <col min="478" max="478" width="14.42578125" customWidth="1"/>
    <col min="479" max="479" width="13.5703125" customWidth="1"/>
    <col min="480" max="480" width="11.28515625" customWidth="1"/>
    <col min="481" max="481" width="13.7109375" customWidth="1"/>
    <col min="482" max="482" width="14.7109375" customWidth="1"/>
    <col min="483" max="483" width="18.5703125" customWidth="1"/>
    <col min="484" max="484" width="11.7109375" customWidth="1"/>
    <col min="485" max="485" width="13.28515625" customWidth="1"/>
    <col min="486" max="486" width="14.85546875" customWidth="1"/>
    <col min="487" max="487" width="13.85546875" customWidth="1"/>
    <col min="488" max="488" width="13.42578125" customWidth="1"/>
    <col min="489" max="489" width="12.140625" customWidth="1"/>
    <col min="490" max="491" width="12.5703125" customWidth="1"/>
    <col min="492" max="492" width="13.5703125" customWidth="1"/>
    <col min="494" max="494" width="14.85546875" customWidth="1"/>
    <col min="495" max="495" width="12.28515625" customWidth="1"/>
    <col min="497" max="497" width="14.5703125" customWidth="1"/>
    <col min="498" max="498" width="16.85546875" customWidth="1"/>
    <col min="500" max="500" width="17.42578125" customWidth="1"/>
    <col min="501" max="501" width="12" customWidth="1"/>
    <col min="502" max="502" width="13.140625" customWidth="1"/>
    <col min="504" max="504" width="15.85546875" customWidth="1"/>
    <col min="505" max="505" width="13.140625" customWidth="1"/>
    <col min="508" max="508" width="13.85546875" customWidth="1"/>
    <col min="509" max="509" width="12.85546875" customWidth="1"/>
    <col min="510" max="510" width="13.85546875" customWidth="1"/>
    <col min="511" max="511" width="11.5703125" customWidth="1"/>
    <col min="512" max="512" width="14.7109375" customWidth="1"/>
    <col min="513" max="513" width="15.5703125" customWidth="1"/>
    <col min="515" max="515" width="12.85546875" customWidth="1"/>
    <col min="517" max="517" width="13.42578125" customWidth="1"/>
    <col min="518" max="518" width="16.85546875" customWidth="1"/>
    <col min="521" max="521" width="14.5703125" customWidth="1"/>
    <col min="522" max="522" width="17.140625" customWidth="1"/>
    <col min="525" max="525" width="14.140625" customWidth="1"/>
    <col min="526" max="526" width="13.42578125" customWidth="1"/>
    <col min="527" max="527" width="12.85546875" customWidth="1"/>
    <col min="528" max="528" width="13.85546875" customWidth="1"/>
    <col min="530" max="530" width="15.140625" customWidth="1"/>
    <col min="532" max="532" width="12.5703125" customWidth="1"/>
  </cols>
  <sheetData>
    <row r="1" spans="1:533" ht="15.75" thickBot="1" x14ac:dyDescent="0.3">
      <c r="A1" s="7" t="s">
        <v>23</v>
      </c>
      <c r="B1" s="7" t="s">
        <v>24</v>
      </c>
      <c r="C1" s="7" t="s">
        <v>25</v>
      </c>
      <c r="D1" s="7" t="s">
        <v>26</v>
      </c>
      <c r="E1" s="7" t="s">
        <v>27</v>
      </c>
      <c r="F1" s="7" t="s">
        <v>28</v>
      </c>
      <c r="G1" s="7" t="s">
        <v>29</v>
      </c>
      <c r="H1" s="7" t="s">
        <v>30</v>
      </c>
      <c r="I1" s="7" t="s">
        <v>31</v>
      </c>
      <c r="J1" s="7" t="s">
        <v>32</v>
      </c>
      <c r="K1" s="7" t="s">
        <v>33</v>
      </c>
      <c r="L1" s="7" t="s">
        <v>35</v>
      </c>
      <c r="M1" s="7" t="s">
        <v>36</v>
      </c>
      <c r="N1" s="7" t="s">
        <v>37</v>
      </c>
      <c r="O1" s="7" t="s">
        <v>38</v>
      </c>
      <c r="P1" s="7" t="s">
        <v>39</v>
      </c>
      <c r="Q1" s="7" t="s">
        <v>40</v>
      </c>
      <c r="R1" s="7" t="s">
        <v>41</v>
      </c>
      <c r="S1" s="7" t="s">
        <v>42</v>
      </c>
      <c r="T1" s="7" t="s">
        <v>43</v>
      </c>
      <c r="U1" s="7" t="s">
        <v>44</v>
      </c>
      <c r="V1" s="7" t="s">
        <v>45</v>
      </c>
      <c r="W1" s="7" t="s">
        <v>46</v>
      </c>
      <c r="X1" s="7" t="s">
        <v>47</v>
      </c>
      <c r="Y1" s="7" t="s">
        <v>48</v>
      </c>
      <c r="Z1" s="7" t="s">
        <v>49</v>
      </c>
      <c r="AA1" s="7" t="s">
        <v>50</v>
      </c>
      <c r="AB1" s="7" t="s">
        <v>51</v>
      </c>
      <c r="AC1" s="7" t="s">
        <v>52</v>
      </c>
      <c r="AD1" s="7" t="s">
        <v>53</v>
      </c>
      <c r="AE1" s="7" t="s">
        <v>54</v>
      </c>
      <c r="AF1" s="7" t="s">
        <v>55</v>
      </c>
      <c r="AG1" s="7" t="s">
        <v>56</v>
      </c>
      <c r="AH1" s="7" t="s">
        <v>57</v>
      </c>
      <c r="AI1" s="7" t="s">
        <v>58</v>
      </c>
      <c r="AJ1" s="7" t="s">
        <v>59</v>
      </c>
      <c r="AK1" s="7" t="s">
        <v>60</v>
      </c>
      <c r="AL1" s="7" t="s">
        <v>61</v>
      </c>
      <c r="AM1" s="7" t="s">
        <v>62</v>
      </c>
      <c r="AN1" s="7" t="s">
        <v>8915</v>
      </c>
      <c r="AO1" s="7" t="s">
        <v>63</v>
      </c>
      <c r="AP1" s="7" t="s">
        <v>65</v>
      </c>
      <c r="AQ1" s="7" t="s">
        <v>66</v>
      </c>
      <c r="AR1" s="7" t="s">
        <v>67</v>
      </c>
      <c r="AS1" s="7" t="s">
        <v>68</v>
      </c>
      <c r="AT1" s="7" t="s">
        <v>69</v>
      </c>
      <c r="AU1" s="7" t="s">
        <v>70</v>
      </c>
      <c r="AV1" s="7" t="s">
        <v>71</v>
      </c>
      <c r="AW1" s="7" t="s">
        <v>72</v>
      </c>
      <c r="AX1" s="7" t="s">
        <v>73</v>
      </c>
      <c r="AY1" s="7" t="s">
        <v>74</v>
      </c>
      <c r="AZ1" s="7" t="s">
        <v>75</v>
      </c>
      <c r="BA1" s="7" t="s">
        <v>76</v>
      </c>
      <c r="BB1" s="7" t="s">
        <v>77</v>
      </c>
      <c r="BC1" s="7" t="s">
        <v>78</v>
      </c>
      <c r="BD1" s="7" t="s">
        <v>79</v>
      </c>
      <c r="BE1" s="7" t="s">
        <v>80</v>
      </c>
      <c r="BF1" s="7" t="s">
        <v>81</v>
      </c>
      <c r="BG1" s="7" t="s">
        <v>82</v>
      </c>
      <c r="BH1" s="7" t="s">
        <v>83</v>
      </c>
      <c r="BI1" s="7" t="s">
        <v>84</v>
      </c>
      <c r="BJ1" s="7" t="s">
        <v>85</v>
      </c>
      <c r="BK1" s="7" t="s">
        <v>86</v>
      </c>
      <c r="BL1" s="7" t="s">
        <v>87</v>
      </c>
      <c r="BM1" s="7" t="s">
        <v>88</v>
      </c>
      <c r="BN1" s="7" t="s">
        <v>89</v>
      </c>
      <c r="BO1" s="7" t="s">
        <v>90</v>
      </c>
      <c r="BP1" s="7" t="s">
        <v>91</v>
      </c>
      <c r="BQ1" s="7" t="s">
        <v>92</v>
      </c>
      <c r="BR1" s="7" t="s">
        <v>93</v>
      </c>
      <c r="BS1" s="7" t="s">
        <v>94</v>
      </c>
      <c r="BT1" s="7" t="s">
        <v>95</v>
      </c>
      <c r="BU1" s="7" t="s">
        <v>96</v>
      </c>
      <c r="BV1" s="7" t="s">
        <v>97</v>
      </c>
      <c r="BW1" s="7" t="s">
        <v>98</v>
      </c>
      <c r="BX1" s="7" t="s">
        <v>99</v>
      </c>
      <c r="BY1" s="7" t="s">
        <v>100</v>
      </c>
      <c r="BZ1" s="7" t="s">
        <v>101</v>
      </c>
      <c r="CA1" s="7" t="s">
        <v>102</v>
      </c>
      <c r="CB1" s="7" t="s">
        <v>103</v>
      </c>
      <c r="CC1" s="7" t="s">
        <v>104</v>
      </c>
      <c r="CD1" s="7" t="s">
        <v>105</v>
      </c>
      <c r="CE1" s="7" t="s">
        <v>106</v>
      </c>
      <c r="CF1" s="7" t="s">
        <v>107</v>
      </c>
      <c r="CG1" s="7" t="s">
        <v>108</v>
      </c>
      <c r="CH1" s="7" t="s">
        <v>109</v>
      </c>
      <c r="CI1" s="7" t="s">
        <v>110</v>
      </c>
      <c r="CJ1" s="7" t="s">
        <v>111</v>
      </c>
      <c r="CK1" s="7" t="s">
        <v>112</v>
      </c>
      <c r="CL1" s="7" t="s">
        <v>113</v>
      </c>
      <c r="CM1" s="7" t="s">
        <v>114</v>
      </c>
      <c r="CN1" s="7" t="s">
        <v>115</v>
      </c>
      <c r="CO1" s="7" t="s">
        <v>116</v>
      </c>
      <c r="CP1" s="7" t="s">
        <v>117</v>
      </c>
      <c r="CQ1" s="7" t="s">
        <v>118</v>
      </c>
      <c r="CR1" s="7" t="s">
        <v>119</v>
      </c>
      <c r="CS1" s="7" t="s">
        <v>120</v>
      </c>
      <c r="CT1" s="7" t="s">
        <v>121</v>
      </c>
      <c r="CU1" s="7" t="s">
        <v>122</v>
      </c>
      <c r="CV1" s="7" t="s">
        <v>123</v>
      </c>
      <c r="CW1" s="7" t="s">
        <v>124</v>
      </c>
      <c r="CX1" s="7" t="s">
        <v>125</v>
      </c>
      <c r="CY1" s="7" t="s">
        <v>126</v>
      </c>
      <c r="CZ1" s="7" t="s">
        <v>127</v>
      </c>
      <c r="DA1" s="7" t="s">
        <v>128</v>
      </c>
      <c r="DB1" s="7" t="s">
        <v>129</v>
      </c>
      <c r="DC1" s="7" t="s">
        <v>130</v>
      </c>
      <c r="DD1" s="7" t="s">
        <v>131</v>
      </c>
      <c r="DE1" s="7" t="s">
        <v>132</v>
      </c>
      <c r="DF1" s="7" t="s">
        <v>133</v>
      </c>
      <c r="DG1" s="7" t="s">
        <v>134</v>
      </c>
      <c r="DH1" s="7" t="s">
        <v>135</v>
      </c>
      <c r="DI1" s="7" t="s">
        <v>136</v>
      </c>
      <c r="DJ1" s="7" t="s">
        <v>137</v>
      </c>
      <c r="DK1" s="7" t="s">
        <v>138</v>
      </c>
      <c r="DL1" s="7" t="s">
        <v>139</v>
      </c>
      <c r="DM1" s="7" t="s">
        <v>140</v>
      </c>
      <c r="DN1" s="7" t="s">
        <v>141</v>
      </c>
      <c r="DO1" s="7" t="s">
        <v>142</v>
      </c>
      <c r="DP1" s="7" t="s">
        <v>143</v>
      </c>
      <c r="DQ1" s="7" t="s">
        <v>144</v>
      </c>
      <c r="DR1" s="7" t="s">
        <v>145</v>
      </c>
      <c r="DS1" s="7" t="s">
        <v>146</v>
      </c>
      <c r="DT1" s="7" t="s">
        <v>147</v>
      </c>
      <c r="DU1" s="7" t="s">
        <v>148</v>
      </c>
      <c r="DV1" s="7" t="s">
        <v>149</v>
      </c>
      <c r="DW1" s="7" t="s">
        <v>150</v>
      </c>
      <c r="DX1" s="7" t="s">
        <v>151</v>
      </c>
      <c r="DY1" s="72" t="s">
        <v>152</v>
      </c>
      <c r="DZ1" s="7" t="s">
        <v>153</v>
      </c>
      <c r="EA1" s="7" t="s">
        <v>154</v>
      </c>
      <c r="EB1" s="7" t="s">
        <v>155</v>
      </c>
      <c r="EC1" s="7" t="s">
        <v>156</v>
      </c>
      <c r="ED1" s="7" t="s">
        <v>157</v>
      </c>
      <c r="EE1" s="7" t="s">
        <v>158</v>
      </c>
      <c r="EF1" s="7" t="s">
        <v>159</v>
      </c>
      <c r="EG1" s="7" t="s">
        <v>160</v>
      </c>
      <c r="EH1" s="7" t="s">
        <v>161</v>
      </c>
      <c r="EI1" s="7" t="s">
        <v>162</v>
      </c>
      <c r="EJ1" s="7" t="s">
        <v>163</v>
      </c>
      <c r="EK1" s="7" t="s">
        <v>164</v>
      </c>
      <c r="EL1" s="7" t="s">
        <v>165</v>
      </c>
      <c r="EM1" s="7" t="s">
        <v>166</v>
      </c>
      <c r="EN1" s="7" t="s">
        <v>167</v>
      </c>
      <c r="EO1" s="7" t="s">
        <v>168</v>
      </c>
      <c r="EP1" s="7" t="s">
        <v>169</v>
      </c>
      <c r="EQ1" s="7" t="s">
        <v>170</v>
      </c>
      <c r="ER1" s="7" t="s">
        <v>171</v>
      </c>
      <c r="ES1" s="7" t="s">
        <v>172</v>
      </c>
      <c r="ET1" s="7" t="s">
        <v>173</v>
      </c>
      <c r="EU1" s="7" t="s">
        <v>174</v>
      </c>
      <c r="EV1" s="7" t="s">
        <v>175</v>
      </c>
      <c r="EW1" s="7" t="s">
        <v>176</v>
      </c>
      <c r="EX1" s="7" t="s">
        <v>177</v>
      </c>
      <c r="EY1" s="7" t="s">
        <v>178</v>
      </c>
      <c r="EZ1" s="7" t="s">
        <v>179</v>
      </c>
      <c r="FA1" s="7" t="s">
        <v>180</v>
      </c>
      <c r="FB1" s="7" t="s">
        <v>181</v>
      </c>
      <c r="FC1" s="7" t="s">
        <v>182</v>
      </c>
      <c r="FD1" s="7" t="s">
        <v>183</v>
      </c>
      <c r="FE1" s="7" t="s">
        <v>8254</v>
      </c>
      <c r="FF1" s="7" t="s">
        <v>185</v>
      </c>
      <c r="FG1" s="7" t="s">
        <v>186</v>
      </c>
      <c r="FH1" s="7" t="s">
        <v>187</v>
      </c>
      <c r="FI1" s="7" t="s">
        <v>188</v>
      </c>
      <c r="FJ1" s="7" t="s">
        <v>189</v>
      </c>
      <c r="FK1" s="7" t="s">
        <v>190</v>
      </c>
      <c r="FL1" s="7" t="s">
        <v>191</v>
      </c>
      <c r="FM1" s="7" t="s">
        <v>192</v>
      </c>
      <c r="FN1" s="7" t="s">
        <v>193</v>
      </c>
      <c r="FO1" s="7" t="s">
        <v>194</v>
      </c>
      <c r="FP1" s="7" t="s">
        <v>195</v>
      </c>
      <c r="FQ1" s="7" t="s">
        <v>196</v>
      </c>
      <c r="FR1" s="7" t="s">
        <v>197</v>
      </c>
      <c r="FS1" s="7" t="s">
        <v>198</v>
      </c>
      <c r="FT1" s="7" t="s">
        <v>199</v>
      </c>
      <c r="FU1" s="7" t="s">
        <v>200</v>
      </c>
      <c r="FV1" s="7" t="s">
        <v>201</v>
      </c>
      <c r="FW1" s="7" t="s">
        <v>202</v>
      </c>
      <c r="FX1" s="7" t="s">
        <v>203</v>
      </c>
      <c r="FY1" s="7" t="s">
        <v>204</v>
      </c>
      <c r="FZ1" s="7" t="s">
        <v>205</v>
      </c>
      <c r="GA1" s="7" t="s">
        <v>206</v>
      </c>
      <c r="GB1" s="7" t="s">
        <v>5927</v>
      </c>
      <c r="GC1" s="7" t="s">
        <v>207</v>
      </c>
      <c r="GD1" s="7" t="s">
        <v>208</v>
      </c>
      <c r="GE1" s="7" t="s">
        <v>209</v>
      </c>
      <c r="GF1" s="7" t="s">
        <v>210</v>
      </c>
      <c r="GG1" s="7" t="s">
        <v>211</v>
      </c>
      <c r="GH1" s="7" t="s">
        <v>212</v>
      </c>
      <c r="GI1" s="7" t="s">
        <v>213</v>
      </c>
      <c r="GJ1" s="7" t="s">
        <v>214</v>
      </c>
      <c r="GK1" s="7" t="s">
        <v>215</v>
      </c>
      <c r="GL1" s="7" t="s">
        <v>216</v>
      </c>
      <c r="GM1" s="7" t="s">
        <v>217</v>
      </c>
      <c r="GN1" s="7" t="s">
        <v>218</v>
      </c>
      <c r="GO1" s="7" t="s">
        <v>219</v>
      </c>
      <c r="GP1" s="7" t="s">
        <v>220</v>
      </c>
      <c r="GQ1" s="7" t="s">
        <v>221</v>
      </c>
      <c r="GR1" s="7" t="s">
        <v>222</v>
      </c>
      <c r="GS1" s="7" t="s">
        <v>223</v>
      </c>
      <c r="GT1" s="7" t="s">
        <v>224</v>
      </c>
      <c r="GU1" s="7" t="s">
        <v>225</v>
      </c>
      <c r="GV1" s="7" t="s">
        <v>226</v>
      </c>
      <c r="GW1" s="7" t="s">
        <v>227</v>
      </c>
      <c r="GX1" s="7" t="s">
        <v>228</v>
      </c>
      <c r="GY1" s="7" t="s">
        <v>229</v>
      </c>
      <c r="GZ1" s="7" t="s">
        <v>230</v>
      </c>
      <c r="HA1" s="7" t="s">
        <v>231</v>
      </c>
      <c r="HB1" s="7" t="s">
        <v>232</v>
      </c>
      <c r="HC1" s="7" t="s">
        <v>233</v>
      </c>
      <c r="HD1" s="7" t="s">
        <v>234</v>
      </c>
      <c r="HE1" s="7" t="s">
        <v>235</v>
      </c>
      <c r="HF1" s="7" t="s">
        <v>236</v>
      </c>
      <c r="HG1" s="7" t="s">
        <v>237</v>
      </c>
      <c r="HH1" s="7" t="s">
        <v>238</v>
      </c>
      <c r="HI1" s="7" t="s">
        <v>239</v>
      </c>
      <c r="HJ1" s="7" t="s">
        <v>240</v>
      </c>
      <c r="HK1" s="7" t="s">
        <v>241</v>
      </c>
      <c r="HL1" s="7" t="s">
        <v>5546</v>
      </c>
      <c r="HM1" s="7" t="s">
        <v>242</v>
      </c>
      <c r="HN1" s="7" t="s">
        <v>243</v>
      </c>
      <c r="HO1" s="7" t="s">
        <v>244</v>
      </c>
      <c r="HP1" s="7" t="s">
        <v>245</v>
      </c>
      <c r="HQ1" s="7" t="s">
        <v>246</v>
      </c>
      <c r="HR1" s="7" t="s">
        <v>247</v>
      </c>
      <c r="HS1" s="7" t="s">
        <v>248</v>
      </c>
      <c r="HT1" s="7" t="s">
        <v>249</v>
      </c>
      <c r="HU1" s="7" t="s">
        <v>250</v>
      </c>
      <c r="HV1" s="7" t="s">
        <v>251</v>
      </c>
      <c r="HW1" s="7" t="s">
        <v>252</v>
      </c>
      <c r="HX1" s="7" t="s">
        <v>253</v>
      </c>
      <c r="HY1" s="7" t="s">
        <v>254</v>
      </c>
      <c r="HZ1" s="7" t="s">
        <v>255</v>
      </c>
      <c r="IA1" s="7" t="s">
        <v>256</v>
      </c>
      <c r="IB1" s="7" t="s">
        <v>257</v>
      </c>
      <c r="IC1" s="7" t="s">
        <v>258</v>
      </c>
      <c r="ID1" s="7" t="s">
        <v>259</v>
      </c>
      <c r="IE1" s="7" t="s">
        <v>260</v>
      </c>
      <c r="IF1" s="7" t="s">
        <v>261</v>
      </c>
      <c r="IG1" s="7" t="s">
        <v>262</v>
      </c>
      <c r="IH1" s="7" t="s">
        <v>263</v>
      </c>
      <c r="II1" s="7" t="s">
        <v>264</v>
      </c>
      <c r="IJ1" s="7" t="s">
        <v>265</v>
      </c>
      <c r="IK1" s="7" t="s">
        <v>266</v>
      </c>
      <c r="IL1" s="7" t="s">
        <v>267</v>
      </c>
      <c r="IM1" s="7" t="s">
        <v>268</v>
      </c>
      <c r="IN1" s="7" t="s">
        <v>269</v>
      </c>
      <c r="IO1" s="7" t="s">
        <v>270</v>
      </c>
      <c r="IP1" s="7" t="s">
        <v>271</v>
      </c>
      <c r="IQ1" s="7" t="s">
        <v>272</v>
      </c>
      <c r="IR1" s="7" t="s">
        <v>273</v>
      </c>
      <c r="IS1" s="7" t="s">
        <v>274</v>
      </c>
      <c r="IT1" s="7" t="s">
        <v>275</v>
      </c>
      <c r="IU1" s="7" t="s">
        <v>276</v>
      </c>
      <c r="IV1" s="7" t="s">
        <v>277</v>
      </c>
      <c r="IW1" s="7" t="s">
        <v>278</v>
      </c>
      <c r="IX1" s="7" t="s">
        <v>279</v>
      </c>
      <c r="IY1" s="7" t="s">
        <v>280</v>
      </c>
      <c r="IZ1" s="7" t="s">
        <v>281</v>
      </c>
      <c r="JA1" s="7" t="s">
        <v>282</v>
      </c>
      <c r="JB1" s="7" t="s">
        <v>9010</v>
      </c>
      <c r="JC1" s="7" t="s">
        <v>283</v>
      </c>
      <c r="JD1" s="7" t="s">
        <v>284</v>
      </c>
      <c r="JE1" s="7" t="s">
        <v>285</v>
      </c>
      <c r="JF1" s="7" t="s">
        <v>286</v>
      </c>
      <c r="JG1" s="7" t="s">
        <v>287</v>
      </c>
      <c r="JH1" s="7" t="s">
        <v>288</v>
      </c>
      <c r="JI1" s="7" t="s">
        <v>289</v>
      </c>
      <c r="JJ1" s="7" t="s">
        <v>290</v>
      </c>
      <c r="JK1" s="7" t="s">
        <v>291</v>
      </c>
      <c r="JL1" s="7" t="s">
        <v>292</v>
      </c>
      <c r="JM1" s="7" t="s">
        <v>293</v>
      </c>
      <c r="JN1" s="7" t="s">
        <v>294</v>
      </c>
      <c r="JO1" s="7" t="s">
        <v>295</v>
      </c>
      <c r="JP1" s="7" t="s">
        <v>296</v>
      </c>
      <c r="JQ1" s="7" t="s">
        <v>297</v>
      </c>
      <c r="JR1" s="7" t="s">
        <v>298</v>
      </c>
      <c r="JS1" s="7" t="s">
        <v>299</v>
      </c>
      <c r="JT1" s="7" t="s">
        <v>300</v>
      </c>
      <c r="JU1" s="7" t="s">
        <v>301</v>
      </c>
      <c r="JV1" s="7" t="s">
        <v>302</v>
      </c>
      <c r="JW1" s="7" t="s">
        <v>303</v>
      </c>
      <c r="JX1" s="7" t="s">
        <v>304</v>
      </c>
      <c r="JY1" s="7" t="s">
        <v>305</v>
      </c>
      <c r="JZ1" s="7" t="s">
        <v>306</v>
      </c>
      <c r="KA1" s="7" t="s">
        <v>307</v>
      </c>
      <c r="KB1" s="7" t="s">
        <v>308</v>
      </c>
      <c r="KC1" s="7" t="s">
        <v>309</v>
      </c>
      <c r="KD1" s="7" t="s">
        <v>310</v>
      </c>
      <c r="KE1" s="7" t="s">
        <v>311</v>
      </c>
      <c r="KF1" s="7" t="s">
        <v>312</v>
      </c>
      <c r="KG1" s="7" t="s">
        <v>313</v>
      </c>
      <c r="KH1" s="7" t="s">
        <v>314</v>
      </c>
      <c r="KI1" s="7" t="s">
        <v>315</v>
      </c>
      <c r="KJ1" s="7" t="s">
        <v>316</v>
      </c>
      <c r="KK1" s="7" t="s">
        <v>317</v>
      </c>
      <c r="KL1" s="7" t="s">
        <v>8901</v>
      </c>
      <c r="KM1" s="7" t="s">
        <v>318</v>
      </c>
      <c r="KN1" s="7" t="s">
        <v>319</v>
      </c>
      <c r="KO1" s="7" t="s">
        <v>320</v>
      </c>
      <c r="KP1" s="7" t="s">
        <v>321</v>
      </c>
      <c r="KQ1" s="7" t="s">
        <v>322</v>
      </c>
      <c r="KR1" s="7" t="s">
        <v>323</v>
      </c>
      <c r="KS1" s="7" t="s">
        <v>324</v>
      </c>
      <c r="KT1" s="7" t="s">
        <v>325</v>
      </c>
      <c r="KU1" s="7" t="s">
        <v>326</v>
      </c>
      <c r="KV1" s="7" t="s">
        <v>327</v>
      </c>
      <c r="KW1" s="7" t="s">
        <v>328</v>
      </c>
      <c r="KX1" s="7" t="s">
        <v>329</v>
      </c>
      <c r="KY1" s="7" t="s">
        <v>330</v>
      </c>
      <c r="KZ1" s="7" t="s">
        <v>9011</v>
      </c>
      <c r="LA1" s="7" t="s">
        <v>331</v>
      </c>
      <c r="LB1" s="7" t="s">
        <v>332</v>
      </c>
      <c r="LC1" s="7" t="s">
        <v>333</v>
      </c>
      <c r="LD1" s="7" t="s">
        <v>334</v>
      </c>
      <c r="LE1" s="7" t="s">
        <v>335</v>
      </c>
      <c r="LF1" s="7" t="s">
        <v>336</v>
      </c>
      <c r="LG1" s="7" t="s">
        <v>337</v>
      </c>
      <c r="LH1" s="7" t="s">
        <v>338</v>
      </c>
      <c r="LI1" s="7" t="s">
        <v>339</v>
      </c>
      <c r="LJ1" s="7" t="s">
        <v>340</v>
      </c>
      <c r="LK1" s="7" t="s">
        <v>341</v>
      </c>
      <c r="LL1" s="7" t="s">
        <v>342</v>
      </c>
      <c r="LM1" s="7" t="s">
        <v>343</v>
      </c>
      <c r="LN1" s="7" t="s">
        <v>344</v>
      </c>
      <c r="LO1" s="7" t="s">
        <v>345</v>
      </c>
      <c r="LP1" s="7" t="s">
        <v>346</v>
      </c>
      <c r="LQ1" s="7" t="s">
        <v>347</v>
      </c>
      <c r="LR1" s="7" t="s">
        <v>348</v>
      </c>
      <c r="LS1" s="7" t="s">
        <v>349</v>
      </c>
      <c r="LT1" s="7" t="s">
        <v>350</v>
      </c>
      <c r="LU1" s="7" t="s">
        <v>351</v>
      </c>
      <c r="LV1" s="7" t="s">
        <v>352</v>
      </c>
      <c r="LW1" s="7" t="s">
        <v>353</v>
      </c>
      <c r="LX1" s="7" t="s">
        <v>354</v>
      </c>
      <c r="LY1" s="7" t="s">
        <v>355</v>
      </c>
      <c r="LZ1" s="7" t="s">
        <v>356</v>
      </c>
      <c r="MA1" s="7" t="s">
        <v>357</v>
      </c>
      <c r="MB1" s="7" t="s">
        <v>358</v>
      </c>
      <c r="MC1" s="7" t="s">
        <v>359</v>
      </c>
      <c r="MD1" s="7" t="s">
        <v>360</v>
      </c>
      <c r="ME1" s="7" t="s">
        <v>361</v>
      </c>
      <c r="MF1" s="7" t="s">
        <v>362</v>
      </c>
      <c r="MG1" s="7" t="s">
        <v>363</v>
      </c>
      <c r="MH1" s="7" t="s">
        <v>364</v>
      </c>
      <c r="MI1" s="7" t="s">
        <v>365</v>
      </c>
      <c r="MJ1" s="7" t="s">
        <v>366</v>
      </c>
      <c r="MK1" s="7" t="s">
        <v>367</v>
      </c>
      <c r="ML1" s="7" t="s">
        <v>368</v>
      </c>
      <c r="MM1" s="7" t="s">
        <v>369</v>
      </c>
      <c r="MN1" s="7" t="s">
        <v>370</v>
      </c>
      <c r="MO1" s="7" t="s">
        <v>371</v>
      </c>
      <c r="MP1" s="7" t="s">
        <v>372</v>
      </c>
      <c r="MQ1" s="7" t="s">
        <v>373</v>
      </c>
      <c r="MR1" s="7" t="s">
        <v>374</v>
      </c>
      <c r="MS1" s="7" t="s">
        <v>375</v>
      </c>
      <c r="MT1" s="7" t="s">
        <v>376</v>
      </c>
      <c r="MU1" s="7" t="s">
        <v>377</v>
      </c>
      <c r="MV1" s="7" t="s">
        <v>378</v>
      </c>
      <c r="MW1" s="7" t="s">
        <v>379</v>
      </c>
      <c r="MX1" s="7" t="s">
        <v>380</v>
      </c>
      <c r="MY1" s="7" t="s">
        <v>381</v>
      </c>
      <c r="MZ1" s="7" t="s">
        <v>382</v>
      </c>
      <c r="NA1" s="7" t="s">
        <v>383</v>
      </c>
      <c r="NB1" s="7" t="s">
        <v>384</v>
      </c>
      <c r="NC1" s="7" t="s">
        <v>385</v>
      </c>
      <c r="ND1" s="7" t="s">
        <v>386</v>
      </c>
      <c r="NE1" s="7" t="s">
        <v>387</v>
      </c>
      <c r="NF1" s="7" t="s">
        <v>388</v>
      </c>
      <c r="NG1" s="7" t="s">
        <v>389</v>
      </c>
      <c r="NH1" s="7" t="s">
        <v>390</v>
      </c>
      <c r="NI1" s="7" t="s">
        <v>391</v>
      </c>
      <c r="NJ1" s="7" t="s">
        <v>392</v>
      </c>
      <c r="NK1" s="7" t="s">
        <v>393</v>
      </c>
      <c r="NL1" s="7" t="s">
        <v>394</v>
      </c>
      <c r="NM1" s="7" t="s">
        <v>395</v>
      </c>
      <c r="NN1" s="7" t="s">
        <v>396</v>
      </c>
      <c r="NO1" s="7" t="s">
        <v>397</v>
      </c>
      <c r="NP1" s="7" t="s">
        <v>398</v>
      </c>
      <c r="NQ1" s="7" t="s">
        <v>399</v>
      </c>
      <c r="NR1" s="7" t="s">
        <v>400</v>
      </c>
      <c r="NS1" s="7" t="s">
        <v>401</v>
      </c>
      <c r="NT1" s="7" t="s">
        <v>402</v>
      </c>
      <c r="NU1" s="7" t="s">
        <v>403</v>
      </c>
      <c r="NV1" s="7" t="s">
        <v>404</v>
      </c>
      <c r="NW1" s="7" t="s">
        <v>405</v>
      </c>
      <c r="NX1" s="7" t="s">
        <v>406</v>
      </c>
      <c r="NY1" s="7" t="s">
        <v>407</v>
      </c>
      <c r="NZ1" s="7" t="s">
        <v>408</v>
      </c>
      <c r="OA1" s="7" t="s">
        <v>409</v>
      </c>
      <c r="OB1" s="7" t="s">
        <v>410</v>
      </c>
      <c r="OC1" s="7" t="s">
        <v>411</v>
      </c>
      <c r="OD1" s="7" t="s">
        <v>412</v>
      </c>
      <c r="OE1" s="7" t="s">
        <v>413</v>
      </c>
      <c r="OF1" s="7" t="s">
        <v>414</v>
      </c>
      <c r="OG1" s="7" t="s">
        <v>415</v>
      </c>
      <c r="OH1" s="7" t="s">
        <v>416</v>
      </c>
      <c r="OI1" s="7" t="s">
        <v>417</v>
      </c>
      <c r="OJ1" s="7" t="s">
        <v>418</v>
      </c>
      <c r="OK1" s="7" t="s">
        <v>419</v>
      </c>
      <c r="OL1" s="7" t="s">
        <v>420</v>
      </c>
      <c r="OM1" s="7" t="s">
        <v>421</v>
      </c>
      <c r="ON1" s="7" t="s">
        <v>422</v>
      </c>
      <c r="OO1" s="7" t="s">
        <v>423</v>
      </c>
      <c r="OP1" s="7" t="s">
        <v>424</v>
      </c>
      <c r="OQ1" s="7" t="s">
        <v>425</v>
      </c>
      <c r="OR1" s="7" t="s">
        <v>426</v>
      </c>
      <c r="OS1" s="7" t="s">
        <v>427</v>
      </c>
      <c r="OT1" s="7" t="s">
        <v>428</v>
      </c>
      <c r="OU1" s="7" t="s">
        <v>429</v>
      </c>
      <c r="OV1" s="7" t="s">
        <v>430</v>
      </c>
      <c r="OW1" s="7" t="s">
        <v>431</v>
      </c>
      <c r="OX1" s="7" t="s">
        <v>432</v>
      </c>
      <c r="OY1" s="7" t="s">
        <v>433</v>
      </c>
      <c r="OZ1" s="7" t="s">
        <v>434</v>
      </c>
      <c r="PA1" s="7" t="s">
        <v>435</v>
      </c>
      <c r="PB1" s="7" t="s">
        <v>436</v>
      </c>
      <c r="PC1" s="7" t="s">
        <v>437</v>
      </c>
      <c r="PD1" s="7" t="s">
        <v>438</v>
      </c>
      <c r="PE1" s="7" t="s">
        <v>439</v>
      </c>
      <c r="PF1" s="7" t="s">
        <v>440</v>
      </c>
      <c r="PG1" s="7" t="s">
        <v>441</v>
      </c>
      <c r="PH1" s="7" t="s">
        <v>442</v>
      </c>
      <c r="PI1" s="7" t="s">
        <v>443</v>
      </c>
      <c r="PJ1" s="7" t="s">
        <v>444</v>
      </c>
      <c r="PK1" s="7" t="s">
        <v>445</v>
      </c>
      <c r="PL1" s="7" t="s">
        <v>446</v>
      </c>
      <c r="PM1" s="7" t="s">
        <v>447</v>
      </c>
      <c r="PN1" s="7" t="s">
        <v>448</v>
      </c>
      <c r="PO1" s="7" t="s">
        <v>449</v>
      </c>
      <c r="PP1" s="7" t="s">
        <v>450</v>
      </c>
      <c r="PQ1" s="7" t="s">
        <v>451</v>
      </c>
      <c r="PR1" s="7" t="s">
        <v>452</v>
      </c>
      <c r="PS1" s="7" t="s">
        <v>453</v>
      </c>
      <c r="PT1" s="7" t="s">
        <v>454</v>
      </c>
      <c r="PU1" s="7" t="s">
        <v>455</v>
      </c>
      <c r="PV1" s="7" t="s">
        <v>456</v>
      </c>
      <c r="PW1" s="7" t="s">
        <v>457</v>
      </c>
      <c r="PX1" s="7" t="s">
        <v>458</v>
      </c>
      <c r="PY1" s="7" t="s">
        <v>8900</v>
      </c>
      <c r="PZ1" s="7" t="s">
        <v>459</v>
      </c>
      <c r="QA1" s="7" t="s">
        <v>8899</v>
      </c>
      <c r="QB1" s="7" t="s">
        <v>8996</v>
      </c>
      <c r="QC1" s="7" t="s">
        <v>460</v>
      </c>
      <c r="QD1" s="7" t="s">
        <v>461</v>
      </c>
      <c r="QE1" s="7" t="s">
        <v>462</v>
      </c>
      <c r="QF1" s="7" t="s">
        <v>463</v>
      </c>
      <c r="QG1" s="7" t="s">
        <v>464</v>
      </c>
      <c r="QH1" s="7" t="s">
        <v>465</v>
      </c>
      <c r="QI1" s="7" t="s">
        <v>466</v>
      </c>
      <c r="QJ1" s="7" t="s">
        <v>467</v>
      </c>
      <c r="QK1" s="7" t="s">
        <v>468</v>
      </c>
      <c r="QL1" s="7" t="s">
        <v>469</v>
      </c>
      <c r="QM1" s="7" t="s">
        <v>470</v>
      </c>
      <c r="QN1" s="7" t="s">
        <v>471</v>
      </c>
      <c r="QO1" s="7" t="s">
        <v>472</v>
      </c>
      <c r="QP1" s="7" t="s">
        <v>473</v>
      </c>
      <c r="QQ1" s="7" t="s">
        <v>474</v>
      </c>
      <c r="QR1" s="7" t="s">
        <v>475</v>
      </c>
      <c r="QS1" s="7" t="s">
        <v>476</v>
      </c>
      <c r="QT1" s="7" t="s">
        <v>477</v>
      </c>
      <c r="QU1" s="7" t="s">
        <v>478</v>
      </c>
      <c r="QV1" s="7" t="s">
        <v>479</v>
      </c>
      <c r="QW1" s="7" t="s">
        <v>480</v>
      </c>
      <c r="QX1" s="7" t="s">
        <v>481</v>
      </c>
      <c r="QY1" s="7" t="s">
        <v>482</v>
      </c>
      <c r="QZ1" s="7" t="s">
        <v>483</v>
      </c>
      <c r="RA1" s="7" t="s">
        <v>484</v>
      </c>
      <c r="RB1" s="7" t="s">
        <v>485</v>
      </c>
      <c r="RC1" s="7" t="s">
        <v>486</v>
      </c>
      <c r="RD1" s="7" t="s">
        <v>487</v>
      </c>
      <c r="RE1" s="7" t="s">
        <v>488</v>
      </c>
      <c r="RF1" s="7" t="s">
        <v>489</v>
      </c>
      <c r="RG1" s="7" t="s">
        <v>490</v>
      </c>
      <c r="RH1" s="7" t="s">
        <v>491</v>
      </c>
      <c r="RI1" s="7" t="s">
        <v>492</v>
      </c>
      <c r="RJ1" s="7" t="s">
        <v>493</v>
      </c>
      <c r="RK1" s="7" t="s">
        <v>494</v>
      </c>
      <c r="RL1" s="7" t="s">
        <v>495</v>
      </c>
      <c r="RM1" s="7" t="s">
        <v>496</v>
      </c>
      <c r="RN1" s="7" t="s">
        <v>497</v>
      </c>
      <c r="RO1" s="7" t="s">
        <v>498</v>
      </c>
      <c r="RP1" s="7" t="s">
        <v>499</v>
      </c>
      <c r="RQ1" s="7" t="s">
        <v>500</v>
      </c>
      <c r="RR1" s="7" t="s">
        <v>501</v>
      </c>
      <c r="RS1" s="7" t="s">
        <v>502</v>
      </c>
      <c r="RT1" s="7" t="s">
        <v>503</v>
      </c>
      <c r="RU1" s="7" t="s">
        <v>504</v>
      </c>
      <c r="RV1" s="7" t="s">
        <v>505</v>
      </c>
      <c r="RW1" s="7" t="s">
        <v>506</v>
      </c>
      <c r="RX1" s="7" t="s">
        <v>507</v>
      </c>
      <c r="RY1" s="7" t="s">
        <v>508</v>
      </c>
      <c r="RZ1" s="7" t="s">
        <v>509</v>
      </c>
      <c r="SA1" s="7" t="s">
        <v>510</v>
      </c>
      <c r="SB1" s="7" t="s">
        <v>511</v>
      </c>
      <c r="SC1" s="7" t="s">
        <v>512</v>
      </c>
      <c r="SD1" s="7" t="s">
        <v>513</v>
      </c>
      <c r="SE1" s="7" t="s">
        <v>514</v>
      </c>
      <c r="SF1" s="7" t="s">
        <v>515</v>
      </c>
      <c r="SG1" s="7" t="s">
        <v>516</v>
      </c>
      <c r="SH1" s="7" t="s">
        <v>517</v>
      </c>
      <c r="SI1" s="7" t="s">
        <v>518</v>
      </c>
      <c r="SJ1" s="7" t="s">
        <v>519</v>
      </c>
      <c r="SK1" s="7" t="s">
        <v>520</v>
      </c>
      <c r="SL1" s="7" t="s">
        <v>521</v>
      </c>
      <c r="SM1" s="7" t="s">
        <v>522</v>
      </c>
      <c r="SN1" s="7" t="s">
        <v>8904</v>
      </c>
      <c r="SO1" s="7" t="s">
        <v>523</v>
      </c>
      <c r="SP1" s="7" t="s">
        <v>524</v>
      </c>
      <c r="SQ1" s="7" t="s">
        <v>525</v>
      </c>
      <c r="SR1" s="7" t="s">
        <v>526</v>
      </c>
      <c r="SS1" s="7" t="s">
        <v>527</v>
      </c>
      <c r="ST1" s="7" t="s">
        <v>528</v>
      </c>
      <c r="SU1" s="7" t="s">
        <v>529</v>
      </c>
      <c r="SV1" s="7" t="s">
        <v>530</v>
      </c>
      <c r="SW1" s="7" t="s">
        <v>531</v>
      </c>
      <c r="SX1" s="7" t="s">
        <v>532</v>
      </c>
      <c r="SY1" s="7" t="s">
        <v>533</v>
      </c>
      <c r="SZ1" s="7" t="s">
        <v>534</v>
      </c>
      <c r="TA1" s="7" t="s">
        <v>535</v>
      </c>
      <c r="TB1" s="7" t="s">
        <v>536</v>
      </c>
      <c r="TC1" s="7" t="s">
        <v>537</v>
      </c>
      <c r="TD1" s="7" t="s">
        <v>538</v>
      </c>
      <c r="TE1" s="7" t="s">
        <v>539</v>
      </c>
      <c r="TF1" s="7" t="s">
        <v>540</v>
      </c>
      <c r="TG1" s="7" t="s">
        <v>541</v>
      </c>
      <c r="TH1" s="7" t="s">
        <v>542</v>
      </c>
      <c r="TI1" s="7" t="s">
        <v>543</v>
      </c>
      <c r="TJ1" s="7" t="s">
        <v>544</v>
      </c>
      <c r="TK1" s="7" t="s">
        <v>545</v>
      </c>
      <c r="TL1" s="7" t="s">
        <v>546</v>
      </c>
      <c r="TM1" s="7" t="s">
        <v>547</v>
      </c>
    </row>
    <row r="2" spans="1:533" ht="15.75" thickTop="1" x14ac:dyDescent="0.25">
      <c r="A2" t="s">
        <v>1890</v>
      </c>
      <c r="B2" t="s">
        <v>1892</v>
      </c>
      <c r="C2" t="s">
        <v>7805</v>
      </c>
      <c r="D2" t="s">
        <v>7803</v>
      </c>
      <c r="E2" t="s">
        <v>5760</v>
      </c>
      <c r="F2" t="s">
        <v>7779</v>
      </c>
      <c r="G2" t="s">
        <v>7772</v>
      </c>
      <c r="H2" t="s">
        <v>7771</v>
      </c>
      <c r="I2" t="s">
        <v>7769</v>
      </c>
      <c r="J2" t="s">
        <v>3453</v>
      </c>
      <c r="K2" t="s">
        <v>7761</v>
      </c>
      <c r="L2" t="s">
        <v>7753</v>
      </c>
      <c r="M2" t="s">
        <v>4512</v>
      </c>
      <c r="N2" t="s">
        <v>7749</v>
      </c>
      <c r="O2" t="s">
        <v>7747</v>
      </c>
      <c r="P2" t="s">
        <v>4070</v>
      </c>
      <c r="Q2" t="s">
        <v>7740</v>
      </c>
      <c r="R2" t="s">
        <v>765</v>
      </c>
      <c r="S2" t="s">
        <v>7709</v>
      </c>
      <c r="T2" t="s">
        <v>7698</v>
      </c>
      <c r="U2" t="s">
        <v>7688</v>
      </c>
      <c r="V2" t="s">
        <v>7671</v>
      </c>
      <c r="W2" t="s">
        <v>7670</v>
      </c>
      <c r="X2" t="s">
        <v>7668</v>
      </c>
      <c r="Y2" t="s">
        <v>7665</v>
      </c>
      <c r="Z2" t="s">
        <v>3351</v>
      </c>
      <c r="AA2" t="s">
        <v>7615</v>
      </c>
      <c r="AB2" t="s">
        <v>4161</v>
      </c>
      <c r="AC2" t="s">
        <v>7611</v>
      </c>
      <c r="AD2" t="s">
        <v>2139</v>
      </c>
      <c r="AE2" t="s">
        <v>2517</v>
      </c>
      <c r="AF2" t="s">
        <v>3335</v>
      </c>
      <c r="AG2" t="s">
        <v>7532</v>
      </c>
      <c r="AH2" t="s">
        <v>6205</v>
      </c>
      <c r="AI2" t="s">
        <v>7475</v>
      </c>
      <c r="AJ2" t="s">
        <v>7472</v>
      </c>
      <c r="AK2" t="s">
        <v>1683</v>
      </c>
      <c r="AL2" t="s">
        <v>3397</v>
      </c>
      <c r="AM2" t="s">
        <v>7422</v>
      </c>
      <c r="AN2" t="s">
        <v>8916</v>
      </c>
      <c r="AO2" t="s">
        <v>3335</v>
      </c>
      <c r="AP2" t="s">
        <v>7420</v>
      </c>
      <c r="AQ2" t="s">
        <v>3130</v>
      </c>
      <c r="AR2" t="s">
        <v>4075</v>
      </c>
      <c r="AS2" s="56" t="s">
        <v>3472</v>
      </c>
      <c r="AT2" t="s">
        <v>3351</v>
      </c>
      <c r="AU2" t="s">
        <v>7391</v>
      </c>
      <c r="AV2" t="s">
        <v>5730</v>
      </c>
      <c r="AW2" t="s">
        <v>7382</v>
      </c>
      <c r="AX2" t="s">
        <v>7381</v>
      </c>
      <c r="AY2" t="s">
        <v>7380</v>
      </c>
      <c r="AZ2" t="s">
        <v>7282</v>
      </c>
      <c r="BA2" t="s">
        <v>7279</v>
      </c>
      <c r="BB2" t="s">
        <v>6972</v>
      </c>
      <c r="BC2" t="s">
        <v>7265</v>
      </c>
      <c r="BD2" t="s">
        <v>7264</v>
      </c>
      <c r="BE2" t="s">
        <v>7259</v>
      </c>
      <c r="BF2" t="s">
        <v>7229</v>
      </c>
      <c r="BG2" t="s">
        <v>7226</v>
      </c>
      <c r="BH2" t="s">
        <v>7206</v>
      </c>
      <c r="BI2" t="s">
        <v>7203</v>
      </c>
      <c r="BJ2" t="s">
        <v>7202</v>
      </c>
      <c r="BK2" t="s">
        <v>762</v>
      </c>
      <c r="BL2" t="s">
        <v>7199</v>
      </c>
      <c r="BM2" t="s">
        <v>7198</v>
      </c>
      <c r="BN2" t="s">
        <v>1071</v>
      </c>
      <c r="BO2" t="s">
        <v>7159</v>
      </c>
      <c r="BP2" t="s">
        <v>2389</v>
      </c>
      <c r="BQ2" t="s">
        <v>6889</v>
      </c>
      <c r="BR2" t="s">
        <v>7149</v>
      </c>
      <c r="BS2" t="s">
        <v>7148</v>
      </c>
      <c r="BT2" t="s">
        <v>3622</v>
      </c>
      <c r="BU2" t="s">
        <v>7093</v>
      </c>
      <c r="BV2" t="s">
        <v>2108</v>
      </c>
      <c r="BW2" t="s">
        <v>7065</v>
      </c>
      <c r="BX2" t="s">
        <v>7064</v>
      </c>
      <c r="BY2" t="s">
        <v>7060</v>
      </c>
      <c r="BZ2" t="s">
        <v>7053</v>
      </c>
      <c r="CA2" t="s">
        <v>6303</v>
      </c>
      <c r="CB2" t="s">
        <v>2082</v>
      </c>
      <c r="CC2" t="s">
        <v>4297</v>
      </c>
      <c r="CD2" t="s">
        <v>7044</v>
      </c>
      <c r="CE2" t="s">
        <v>2191</v>
      </c>
      <c r="CF2" t="s">
        <v>7021</v>
      </c>
      <c r="CG2" t="s">
        <v>2498</v>
      </c>
      <c r="CH2" t="s">
        <v>7004</v>
      </c>
      <c r="CI2" t="s">
        <v>6980</v>
      </c>
      <c r="CJ2" t="s">
        <v>6977</v>
      </c>
      <c r="CK2" s="160" t="s">
        <v>6967</v>
      </c>
      <c r="CL2" t="s">
        <v>6967</v>
      </c>
      <c r="CM2" t="s">
        <v>749</v>
      </c>
      <c r="CN2" t="s">
        <v>6961</v>
      </c>
      <c r="CO2" t="s">
        <v>6957</v>
      </c>
      <c r="CP2" t="s">
        <v>2242</v>
      </c>
      <c r="CQ2" t="s">
        <v>2306</v>
      </c>
      <c r="CR2" t="s">
        <v>5318</v>
      </c>
      <c r="CS2" t="s">
        <v>6942</v>
      </c>
      <c r="CT2" t="s">
        <v>749</v>
      </c>
      <c r="CU2" t="s">
        <v>1421</v>
      </c>
      <c r="CV2" t="s">
        <v>6857</v>
      </c>
      <c r="CW2" t="s">
        <v>4449</v>
      </c>
      <c r="CX2" t="s">
        <v>6833</v>
      </c>
      <c r="CY2" t="s">
        <v>2172</v>
      </c>
      <c r="CZ2" t="s">
        <v>6811</v>
      </c>
      <c r="DA2" t="s">
        <v>6796</v>
      </c>
      <c r="DB2" t="s">
        <v>6780</v>
      </c>
      <c r="DC2" t="s">
        <v>2770</v>
      </c>
      <c r="DD2" t="s">
        <v>6777</v>
      </c>
      <c r="DE2" t="s">
        <v>6775</v>
      </c>
      <c r="DF2" t="s">
        <v>6724</v>
      </c>
      <c r="DG2" t="s">
        <v>6715</v>
      </c>
      <c r="DH2" t="s">
        <v>6678</v>
      </c>
      <c r="DI2" t="s">
        <v>6675</v>
      </c>
      <c r="DJ2" t="s">
        <v>2036</v>
      </c>
      <c r="DK2" t="s">
        <v>3352</v>
      </c>
      <c r="DL2" t="s">
        <v>6671</v>
      </c>
      <c r="DM2" t="s">
        <v>6647</v>
      </c>
      <c r="DN2" t="s">
        <v>6595</v>
      </c>
      <c r="DO2" t="s">
        <v>2751</v>
      </c>
      <c r="DP2" t="s">
        <v>6587</v>
      </c>
      <c r="DQ2" t="s">
        <v>6585</v>
      </c>
      <c r="DR2" t="s">
        <v>3627</v>
      </c>
      <c r="DS2" t="s">
        <v>6584</v>
      </c>
      <c r="DT2" t="s">
        <v>6582</v>
      </c>
      <c r="DU2" t="s">
        <v>6474</v>
      </c>
      <c r="DV2" t="s">
        <v>6577</v>
      </c>
      <c r="DW2" t="s">
        <v>6576</v>
      </c>
      <c r="DX2" t="s">
        <v>6573</v>
      </c>
      <c r="DY2" t="s">
        <v>2306</v>
      </c>
      <c r="DZ2" t="s">
        <v>6501</v>
      </c>
      <c r="EA2" t="s">
        <v>6476</v>
      </c>
      <c r="EB2" t="s">
        <v>1828</v>
      </c>
      <c r="EC2" t="s">
        <v>6449</v>
      </c>
      <c r="ED2" t="s">
        <v>6417</v>
      </c>
      <c r="EE2" t="s">
        <v>6413</v>
      </c>
      <c r="EF2" t="s">
        <v>2494</v>
      </c>
      <c r="EG2" t="s">
        <v>4940</v>
      </c>
      <c r="EH2" t="s">
        <v>6409</v>
      </c>
      <c r="EI2" t="s">
        <v>6340</v>
      </c>
      <c r="EJ2" t="s">
        <v>6339</v>
      </c>
      <c r="EK2" t="s">
        <v>6338</v>
      </c>
      <c r="EL2" t="s">
        <v>6323</v>
      </c>
      <c r="EM2" t="s">
        <v>6321</v>
      </c>
      <c r="EN2" t="s">
        <v>3842</v>
      </c>
      <c r="EO2" t="s">
        <v>2306</v>
      </c>
      <c r="EP2" t="s">
        <v>1108</v>
      </c>
      <c r="EQ2" t="s">
        <v>6205</v>
      </c>
      <c r="ER2" t="s">
        <v>6204</v>
      </c>
      <c r="ES2" t="s">
        <v>6192</v>
      </c>
      <c r="ET2" t="s">
        <v>6190</v>
      </c>
      <c r="EU2" t="s">
        <v>3472</v>
      </c>
      <c r="EV2" t="s">
        <v>6127</v>
      </c>
      <c r="EW2" t="s">
        <v>2306</v>
      </c>
      <c r="EX2" t="s">
        <v>6118</v>
      </c>
      <c r="EY2" t="s">
        <v>6093</v>
      </c>
      <c r="EZ2" t="s">
        <v>1998</v>
      </c>
      <c r="FA2" t="s">
        <v>3960</v>
      </c>
      <c r="FB2" t="s">
        <v>6081</v>
      </c>
      <c r="FC2" t="s">
        <v>6079</v>
      </c>
      <c r="FD2" t="s">
        <v>6078</v>
      </c>
      <c r="FE2" t="s">
        <v>1845</v>
      </c>
      <c r="FF2" t="s">
        <v>6064</v>
      </c>
      <c r="FG2" t="s">
        <v>4079</v>
      </c>
      <c r="FH2" t="s">
        <v>2389</v>
      </c>
      <c r="FI2" t="s">
        <v>6051</v>
      </c>
      <c r="FJ2" t="s">
        <v>6049</v>
      </c>
      <c r="FK2" t="s">
        <v>6047</v>
      </c>
      <c r="FL2" t="s">
        <v>6046</v>
      </c>
      <c r="FM2" t="s">
        <v>6026</v>
      </c>
      <c r="FN2" t="s">
        <v>1997</v>
      </c>
      <c r="FO2" t="s">
        <v>2429</v>
      </c>
      <c r="FP2" t="s">
        <v>3498</v>
      </c>
      <c r="FQ2" t="s">
        <v>5999</v>
      </c>
      <c r="FR2" t="s">
        <v>5996</v>
      </c>
      <c r="FS2" t="s">
        <v>5993</v>
      </c>
      <c r="FT2" t="s">
        <v>5991</v>
      </c>
      <c r="FU2" t="s">
        <v>5984</v>
      </c>
      <c r="FV2" t="s">
        <v>5956</v>
      </c>
      <c r="FW2" t="s">
        <v>4794</v>
      </c>
      <c r="FX2" t="s">
        <v>2217</v>
      </c>
      <c r="FY2" t="s">
        <v>5950</v>
      </c>
      <c r="FZ2" t="s">
        <v>5946</v>
      </c>
      <c r="GA2" t="s">
        <v>765</v>
      </c>
      <c r="GB2" t="s">
        <v>2392</v>
      </c>
      <c r="GC2" t="s">
        <v>5925</v>
      </c>
      <c r="GD2" t="s">
        <v>5917</v>
      </c>
      <c r="GE2" t="s">
        <v>5888</v>
      </c>
      <c r="GF2" t="s">
        <v>5880</v>
      </c>
      <c r="GG2" t="s">
        <v>5861</v>
      </c>
      <c r="GH2" t="s">
        <v>5860</v>
      </c>
      <c r="GI2" t="s">
        <v>1108</v>
      </c>
      <c r="GJ2" t="s">
        <v>5840</v>
      </c>
      <c r="GK2" t="s">
        <v>2194</v>
      </c>
      <c r="GL2" t="s">
        <v>5837</v>
      </c>
      <c r="GM2" t="s">
        <v>946</v>
      </c>
      <c r="GN2" t="s">
        <v>2838</v>
      </c>
      <c r="GO2" t="s">
        <v>5777</v>
      </c>
      <c r="GP2" t="s">
        <v>2438</v>
      </c>
      <c r="GQ2" t="s">
        <v>4052</v>
      </c>
      <c r="GR2" t="s">
        <v>5749</v>
      </c>
      <c r="GS2" t="s">
        <v>5748</v>
      </c>
      <c r="GT2" t="s">
        <v>5747</v>
      </c>
      <c r="GU2" t="s">
        <v>4222</v>
      </c>
      <c r="GV2" t="s">
        <v>5745</v>
      </c>
      <c r="GW2" t="s">
        <v>2838</v>
      </c>
      <c r="GX2" t="s">
        <v>3025</v>
      </c>
      <c r="GY2" t="s">
        <v>5732</v>
      </c>
      <c r="GZ2" t="s">
        <v>5730</v>
      </c>
      <c r="HA2" t="s">
        <v>2758</v>
      </c>
      <c r="HB2" t="s">
        <v>5709</v>
      </c>
      <c r="HC2" t="s">
        <v>5598</v>
      </c>
      <c r="HD2" t="s">
        <v>1142</v>
      </c>
      <c r="HE2" t="s">
        <v>2745</v>
      </c>
      <c r="HF2" t="s">
        <v>5574</v>
      </c>
      <c r="HG2" t="s">
        <v>5565</v>
      </c>
      <c r="HH2" t="s">
        <v>5563</v>
      </c>
      <c r="HI2" t="s">
        <v>5555</v>
      </c>
      <c r="HJ2" t="s">
        <v>5553</v>
      </c>
      <c r="HK2" t="s">
        <v>2130</v>
      </c>
      <c r="HL2" t="s">
        <v>2540</v>
      </c>
      <c r="HM2" t="s">
        <v>5533</v>
      </c>
      <c r="HN2" t="s">
        <v>5517</v>
      </c>
      <c r="HO2" t="s">
        <v>3352</v>
      </c>
      <c r="HP2" t="s">
        <v>3525</v>
      </c>
      <c r="HQ2" t="s">
        <v>5512</v>
      </c>
      <c r="HR2" t="s">
        <v>5511</v>
      </c>
      <c r="HS2" t="s">
        <v>5509</v>
      </c>
      <c r="HT2" t="s">
        <v>857</v>
      </c>
      <c r="HU2" t="s">
        <v>3120</v>
      </c>
      <c r="HV2" t="s">
        <v>3915</v>
      </c>
      <c r="HW2" t="s">
        <v>3768</v>
      </c>
      <c r="HX2" t="s">
        <v>5388</v>
      </c>
      <c r="HY2" t="s">
        <v>2387</v>
      </c>
      <c r="HZ2" t="s">
        <v>5338</v>
      </c>
      <c r="IA2" t="s">
        <v>2896</v>
      </c>
      <c r="IB2" t="s">
        <v>5332</v>
      </c>
      <c r="IC2" t="s">
        <v>6446</v>
      </c>
      <c r="ID2" t="s">
        <v>5301</v>
      </c>
      <c r="IE2" t="s">
        <v>5294</v>
      </c>
      <c r="IF2" t="s">
        <v>5259</v>
      </c>
      <c r="IG2" t="s">
        <v>5258</v>
      </c>
      <c r="IH2" t="s">
        <v>3167</v>
      </c>
      <c r="II2" t="s">
        <v>3495</v>
      </c>
      <c r="IJ2" t="s">
        <v>5243</v>
      </c>
      <c r="IK2" t="s">
        <v>3689</v>
      </c>
      <c r="IL2" t="s">
        <v>5234</v>
      </c>
      <c r="IM2" t="s">
        <v>1892</v>
      </c>
      <c r="IN2" t="s">
        <v>5195</v>
      </c>
      <c r="IO2" t="s">
        <v>2540</v>
      </c>
      <c r="IP2" t="s">
        <v>5185</v>
      </c>
      <c r="IQ2" t="s">
        <v>5183</v>
      </c>
      <c r="IR2" t="s">
        <v>5180</v>
      </c>
      <c r="IS2" t="s">
        <v>742</v>
      </c>
      <c r="IT2" t="s">
        <v>5073</v>
      </c>
      <c r="IU2" t="s">
        <v>5072</v>
      </c>
      <c r="IV2" t="s">
        <v>932</v>
      </c>
      <c r="IW2" t="s">
        <v>5046</v>
      </c>
      <c r="IX2" t="s">
        <v>765</v>
      </c>
      <c r="IY2" t="s">
        <v>4937</v>
      </c>
      <c r="IZ2" t="s">
        <v>4934</v>
      </c>
      <c r="JA2" t="s">
        <v>4595</v>
      </c>
      <c r="JB2" t="s">
        <v>5961</v>
      </c>
      <c r="JC2" t="s">
        <v>4932</v>
      </c>
      <c r="JD2" t="s">
        <v>4929</v>
      </c>
      <c r="JE2" t="s">
        <v>1707</v>
      </c>
      <c r="JF2" t="s">
        <v>3866</v>
      </c>
      <c r="JG2" t="s">
        <v>4924</v>
      </c>
      <c r="JH2" t="s">
        <v>4920</v>
      </c>
      <c r="JI2" t="s">
        <v>4904</v>
      </c>
      <c r="JJ2" t="s">
        <v>4834</v>
      </c>
      <c r="JK2" t="s">
        <v>2220</v>
      </c>
      <c r="JL2" t="s">
        <v>3352</v>
      </c>
      <c r="JM2" t="s">
        <v>4825</v>
      </c>
      <c r="JN2" t="s">
        <v>946</v>
      </c>
      <c r="JO2" t="s">
        <v>4821</v>
      </c>
      <c r="JP2" t="s">
        <v>4818</v>
      </c>
      <c r="JQ2" t="s">
        <v>4811</v>
      </c>
      <c r="JR2" t="s">
        <v>4806</v>
      </c>
      <c r="JS2" t="s">
        <v>4795</v>
      </c>
      <c r="JT2" t="s">
        <v>4793</v>
      </c>
      <c r="JU2" t="s">
        <v>3731</v>
      </c>
      <c r="JV2" t="s">
        <v>4787</v>
      </c>
      <c r="JW2" t="s">
        <v>4242</v>
      </c>
      <c r="JX2" t="s">
        <v>2042</v>
      </c>
      <c r="JY2" t="s">
        <v>2169</v>
      </c>
      <c r="JZ2" t="s">
        <v>4157</v>
      </c>
      <c r="KA2" t="s">
        <v>4719</v>
      </c>
      <c r="KB2" t="s">
        <v>1080</v>
      </c>
      <c r="KC2" t="s">
        <v>2040</v>
      </c>
      <c r="KD2" t="s">
        <v>4690</v>
      </c>
      <c r="KE2" t="s">
        <v>932</v>
      </c>
      <c r="KF2" t="s">
        <v>2724</v>
      </c>
      <c r="KG2" t="s">
        <v>4663</v>
      </c>
      <c r="KH2" t="s">
        <v>2980</v>
      </c>
      <c r="KI2" t="s">
        <v>4662</v>
      </c>
      <c r="KJ2" t="s">
        <v>3867</v>
      </c>
      <c r="KK2" t="s">
        <v>4607</v>
      </c>
      <c r="KL2" t="s">
        <v>6426</v>
      </c>
      <c r="KM2" t="s">
        <v>4593</v>
      </c>
      <c r="KN2" t="s">
        <v>2745</v>
      </c>
      <c r="KO2" t="s">
        <v>4574</v>
      </c>
      <c r="KP2" t="s">
        <v>4569</v>
      </c>
      <c r="KQ2" t="s">
        <v>2540</v>
      </c>
      <c r="KR2" t="s">
        <v>4551</v>
      </c>
      <c r="KS2" t="s">
        <v>2669</v>
      </c>
      <c r="KT2" t="s">
        <v>1325</v>
      </c>
      <c r="KU2" t="s">
        <v>4466</v>
      </c>
      <c r="KV2" t="s">
        <v>4461</v>
      </c>
      <c r="KW2" t="s">
        <v>4449</v>
      </c>
      <c r="KX2" t="s">
        <v>765</v>
      </c>
      <c r="KY2" t="s">
        <v>3365</v>
      </c>
      <c r="KZ2" t="s">
        <v>2563</v>
      </c>
      <c r="LA2" t="s">
        <v>4394</v>
      </c>
      <c r="LB2" t="s">
        <v>4391</v>
      </c>
      <c r="LC2" t="s">
        <v>4382</v>
      </c>
      <c r="LD2" t="s">
        <v>2194</v>
      </c>
      <c r="LE2" t="s">
        <v>3122</v>
      </c>
      <c r="LF2" s="12" t="s">
        <v>7057</v>
      </c>
      <c r="LG2" t="s">
        <v>4358</v>
      </c>
      <c r="LH2" t="s">
        <v>4356</v>
      </c>
      <c r="LI2" t="s">
        <v>4349</v>
      </c>
      <c r="LJ2" t="s">
        <v>765</v>
      </c>
      <c r="LK2" t="s">
        <v>1383</v>
      </c>
      <c r="LL2" t="s">
        <v>4104</v>
      </c>
      <c r="LM2" t="s">
        <v>2141</v>
      </c>
      <c r="LN2" t="s">
        <v>2040</v>
      </c>
      <c r="LO2" t="s">
        <v>2582</v>
      </c>
      <c r="LP2" t="s">
        <v>3842</v>
      </c>
      <c r="LQ2" t="s">
        <v>4255</v>
      </c>
      <c r="LR2" t="s">
        <v>4250</v>
      </c>
      <c r="LS2" t="s">
        <v>3453</v>
      </c>
      <c r="LT2" t="s">
        <v>4216</v>
      </c>
      <c r="LU2" t="s">
        <v>4210</v>
      </c>
      <c r="LV2" t="s">
        <v>4204</v>
      </c>
      <c r="LW2" t="s">
        <v>4193</v>
      </c>
      <c r="LX2" t="s">
        <v>4188</v>
      </c>
      <c r="LY2" t="s">
        <v>4173</v>
      </c>
      <c r="LZ2" t="s">
        <v>2438</v>
      </c>
      <c r="MA2" t="s">
        <v>4157</v>
      </c>
      <c r="MB2" t="s">
        <v>4114</v>
      </c>
      <c r="MC2" t="s">
        <v>4112</v>
      </c>
      <c r="MD2" t="s">
        <v>2000</v>
      </c>
      <c r="ME2" t="s">
        <v>4109</v>
      </c>
      <c r="MF2" t="s">
        <v>4106</v>
      </c>
      <c r="MG2" t="s">
        <v>742</v>
      </c>
      <c r="MH2" t="s">
        <v>4098</v>
      </c>
      <c r="MI2" t="s">
        <v>4070</v>
      </c>
      <c r="MJ2" t="s">
        <v>2141</v>
      </c>
      <c r="MK2" t="s">
        <v>4065</v>
      </c>
      <c r="ML2" t="s">
        <v>3996</v>
      </c>
      <c r="MM2" t="s">
        <v>4047</v>
      </c>
      <c r="MN2" t="s">
        <v>1244</v>
      </c>
      <c r="MO2" t="s">
        <v>3984</v>
      </c>
      <c r="MP2" t="s">
        <v>3983</v>
      </c>
      <c r="MQ2" t="s">
        <v>3982</v>
      </c>
      <c r="MR2" t="s">
        <v>2525</v>
      </c>
      <c r="MS2" t="s">
        <v>3959</v>
      </c>
      <c r="MT2" t="s">
        <v>2919</v>
      </c>
      <c r="MU2" t="s">
        <v>3334</v>
      </c>
      <c r="MV2" t="s">
        <v>3893</v>
      </c>
      <c r="MW2" t="s">
        <v>3891</v>
      </c>
      <c r="MX2" t="s">
        <v>3866</v>
      </c>
      <c r="MY2" t="s">
        <v>3864</v>
      </c>
      <c r="MZ2" t="s">
        <v>3857</v>
      </c>
      <c r="NA2" t="s">
        <v>3842</v>
      </c>
      <c r="NB2" t="s">
        <v>3832</v>
      </c>
      <c r="NC2" t="s">
        <v>3831</v>
      </c>
      <c r="ND2" t="s">
        <v>3817</v>
      </c>
      <c r="NE2" t="s">
        <v>3816</v>
      </c>
      <c r="NF2" t="s">
        <v>3810</v>
      </c>
      <c r="NG2" t="s">
        <v>3792</v>
      </c>
      <c r="NH2" t="s">
        <v>3765</v>
      </c>
      <c r="NI2" t="s">
        <v>3764</v>
      </c>
      <c r="NJ2" t="s">
        <v>1919</v>
      </c>
      <c r="NK2" t="s">
        <v>2548</v>
      </c>
      <c r="NL2" t="s">
        <v>3730</v>
      </c>
      <c r="NM2" t="s">
        <v>2350</v>
      </c>
      <c r="NN2" t="s">
        <v>3723</v>
      </c>
      <c r="NO2" t="s">
        <v>3718</v>
      </c>
      <c r="NP2" t="s">
        <v>3717</v>
      </c>
      <c r="NQ2" t="s">
        <v>3712</v>
      </c>
      <c r="NR2" t="s">
        <v>1998</v>
      </c>
      <c r="NS2" t="s">
        <v>2132</v>
      </c>
      <c r="NT2" t="s">
        <v>3696</v>
      </c>
      <c r="NU2" t="s">
        <v>3695</v>
      </c>
      <c r="NV2" t="s">
        <v>3689</v>
      </c>
      <c r="NW2" t="s">
        <v>3670</v>
      </c>
      <c r="NX2" t="s">
        <v>3653</v>
      </c>
      <c r="NY2" t="s">
        <v>3651</v>
      </c>
      <c r="NZ2" t="s">
        <v>3646</v>
      </c>
      <c r="OA2" t="s">
        <v>3632</v>
      </c>
      <c r="OB2" t="s">
        <v>3631</v>
      </c>
      <c r="OC2" t="s">
        <v>3624</v>
      </c>
      <c r="OD2" t="s">
        <v>3623</v>
      </c>
      <c r="OE2" t="s">
        <v>3620</v>
      </c>
      <c r="OF2" t="s">
        <v>3612</v>
      </c>
      <c r="OG2" t="s">
        <v>3593</v>
      </c>
      <c r="OH2" t="s">
        <v>3588</v>
      </c>
      <c r="OI2" t="s">
        <v>3586</v>
      </c>
      <c r="OJ2" t="s">
        <v>3585</v>
      </c>
      <c r="OK2" t="s">
        <v>3579</v>
      </c>
      <c r="OL2" t="s">
        <v>3577</v>
      </c>
      <c r="OM2" t="s">
        <v>3575</v>
      </c>
      <c r="ON2" t="s">
        <v>2582</v>
      </c>
      <c r="OO2" t="s">
        <v>3498</v>
      </c>
      <c r="OP2" t="s">
        <v>2630</v>
      </c>
      <c r="OQ2" t="s">
        <v>3468</v>
      </c>
      <c r="OR2" t="s">
        <v>3464</v>
      </c>
      <c r="OS2" t="s">
        <v>1901</v>
      </c>
      <c r="OT2" t="s">
        <v>3461</v>
      </c>
      <c r="OU2" t="s">
        <v>3460</v>
      </c>
      <c r="OV2" t="s">
        <v>3459</v>
      </c>
      <c r="OW2" t="s">
        <v>3453</v>
      </c>
      <c r="OX2" t="s">
        <v>3312</v>
      </c>
      <c r="OY2" t="s">
        <v>3417</v>
      </c>
      <c r="OZ2" t="s">
        <v>2194</v>
      </c>
      <c r="PA2" t="s">
        <v>2542</v>
      </c>
      <c r="PB2" t="s">
        <v>3334</v>
      </c>
      <c r="PC2" t="s">
        <v>3333</v>
      </c>
      <c r="PD2" t="s">
        <v>3308</v>
      </c>
      <c r="PE2" t="s">
        <v>3307</v>
      </c>
      <c r="PF2" t="s">
        <v>3305</v>
      </c>
      <c r="PG2" t="s">
        <v>3304</v>
      </c>
      <c r="PH2" t="s">
        <v>932</v>
      </c>
      <c r="PI2" t="s">
        <v>1430</v>
      </c>
      <c r="PJ2" t="s">
        <v>3293</v>
      </c>
      <c r="PK2" t="s">
        <v>3292</v>
      </c>
      <c r="PL2" t="s">
        <v>1306</v>
      </c>
      <c r="PM2" t="s">
        <v>3239</v>
      </c>
      <c r="PN2" t="s">
        <v>3233</v>
      </c>
      <c r="PO2" t="s">
        <v>3182</v>
      </c>
      <c r="PP2" t="s">
        <v>3173</v>
      </c>
      <c r="PQ2" t="s">
        <v>3167</v>
      </c>
      <c r="PR2" t="s">
        <v>3151</v>
      </c>
      <c r="PS2" t="s">
        <v>3147</v>
      </c>
      <c r="PT2" t="s">
        <v>3140</v>
      </c>
      <c r="PU2" t="s">
        <v>3122</v>
      </c>
      <c r="PV2" t="s">
        <v>3121</v>
      </c>
      <c r="PW2" t="s">
        <v>1009</v>
      </c>
      <c r="PX2" t="s">
        <v>3097</v>
      </c>
      <c r="PY2" s="160" t="s">
        <v>7498</v>
      </c>
      <c r="PZ2" t="s">
        <v>1182</v>
      </c>
      <c r="QA2" s="160" t="s">
        <v>2421</v>
      </c>
      <c r="QB2" s="165" t="s">
        <v>9000</v>
      </c>
      <c r="QC2" t="s">
        <v>2852</v>
      </c>
      <c r="QD2" t="s">
        <v>2851</v>
      </c>
      <c r="QE2" t="s">
        <v>857</v>
      </c>
      <c r="QF2" t="s">
        <v>2760</v>
      </c>
      <c r="QG2" t="s">
        <v>2759</v>
      </c>
      <c r="QH2" t="s">
        <v>2751</v>
      </c>
      <c r="QI2" t="s">
        <v>2744</v>
      </c>
      <c r="QJ2" t="s">
        <v>2743</v>
      </c>
      <c r="QK2" t="s">
        <v>2690</v>
      </c>
      <c r="QL2" t="s">
        <v>2680</v>
      </c>
      <c r="QM2" t="s">
        <v>2669</v>
      </c>
      <c r="QN2" t="s">
        <v>2638</v>
      </c>
      <c r="QO2" t="s">
        <v>2630</v>
      </c>
      <c r="QP2" t="s">
        <v>2625</v>
      </c>
      <c r="QQ2" t="s">
        <v>2582</v>
      </c>
      <c r="QR2" t="s">
        <v>1632</v>
      </c>
      <c r="QS2" t="s">
        <v>2577</v>
      </c>
      <c r="QT2" t="s">
        <v>2571</v>
      </c>
      <c r="QU2" t="s">
        <v>2569</v>
      </c>
      <c r="QV2" t="s">
        <v>2565</v>
      </c>
      <c r="QW2" t="s">
        <v>2538</v>
      </c>
      <c r="QX2" t="s">
        <v>2141</v>
      </c>
      <c r="QY2" t="s">
        <v>2517</v>
      </c>
      <c r="QZ2" t="s">
        <v>2510</v>
      </c>
      <c r="RA2" t="s">
        <v>2509</v>
      </c>
      <c r="RB2" t="s">
        <v>2488</v>
      </c>
      <c r="RC2" t="s">
        <v>2485</v>
      </c>
      <c r="RD2" t="s">
        <v>2472</v>
      </c>
      <c r="RE2" t="s">
        <v>2461</v>
      </c>
      <c r="RF2" t="s">
        <v>2459</v>
      </c>
      <c r="RG2" t="s">
        <v>2456</v>
      </c>
      <c r="RH2" t="s">
        <v>2436</v>
      </c>
      <c r="RI2" t="s">
        <v>1358</v>
      </c>
      <c r="RJ2" t="s">
        <v>772</v>
      </c>
      <c r="RK2" t="s">
        <v>2418</v>
      </c>
      <c r="RL2" t="s">
        <v>2386</v>
      </c>
      <c r="RM2" t="s">
        <v>2377</v>
      </c>
      <c r="RN2" t="s">
        <v>2370</v>
      </c>
      <c r="RO2" t="s">
        <v>2361</v>
      </c>
      <c r="RP2" t="s">
        <v>2357</v>
      </c>
      <c r="RQ2" t="s">
        <v>2349</v>
      </c>
      <c r="RR2" t="s">
        <v>2346</v>
      </c>
      <c r="RS2" t="s">
        <v>2343</v>
      </c>
      <c r="RT2" t="s">
        <v>2306</v>
      </c>
      <c r="RU2" t="s">
        <v>2301</v>
      </c>
      <c r="RV2" t="s">
        <v>2188</v>
      </c>
      <c r="RW2" t="s">
        <v>2187</v>
      </c>
      <c r="RX2" t="s">
        <v>2186</v>
      </c>
      <c r="RY2" t="s">
        <v>2183</v>
      </c>
      <c r="RZ2" t="s">
        <v>2182</v>
      </c>
      <c r="SA2" t="s">
        <v>2179</v>
      </c>
      <c r="SB2" t="s">
        <v>2164</v>
      </c>
      <c r="SC2" t="s">
        <v>2154</v>
      </c>
      <c r="SD2" t="s">
        <v>2149</v>
      </c>
      <c r="SE2" t="s">
        <v>2146</v>
      </c>
      <c r="SF2" t="s">
        <v>2138</v>
      </c>
      <c r="SG2" t="s">
        <v>2130</v>
      </c>
      <c r="SH2" t="s">
        <v>2104</v>
      </c>
      <c r="SI2" t="s">
        <v>2101</v>
      </c>
      <c r="SJ2" t="s">
        <v>2099</v>
      </c>
      <c r="SK2" t="s">
        <v>765</v>
      </c>
      <c r="SL2" t="s">
        <v>2085</v>
      </c>
      <c r="SM2" t="s">
        <v>2077</v>
      </c>
      <c r="SN2" t="s">
        <v>8907</v>
      </c>
      <c r="SO2" t="s">
        <v>2084</v>
      </c>
      <c r="SP2" t="s">
        <v>2073</v>
      </c>
      <c r="SQ2" t="s">
        <v>2070</v>
      </c>
      <c r="SR2" t="s">
        <v>2069</v>
      </c>
      <c r="SS2" t="s">
        <v>2065</v>
      </c>
      <c r="ST2" t="s">
        <v>2057</v>
      </c>
      <c r="SU2" t="s">
        <v>2040</v>
      </c>
      <c r="SV2" t="s">
        <v>1430</v>
      </c>
      <c r="SW2" t="s">
        <v>2021</v>
      </c>
      <c r="SX2" t="s">
        <v>2017</v>
      </c>
      <c r="SY2" t="s">
        <v>2015</v>
      </c>
      <c r="SZ2" t="s">
        <v>2011</v>
      </c>
      <c r="TA2" t="s">
        <v>1998</v>
      </c>
      <c r="TB2" t="s">
        <v>1997</v>
      </c>
      <c r="TC2" t="s">
        <v>1990</v>
      </c>
      <c r="TD2" t="s">
        <v>1986</v>
      </c>
      <c r="TE2" t="s">
        <v>1980</v>
      </c>
      <c r="TF2" t="s">
        <v>1978</v>
      </c>
      <c r="TG2" t="s">
        <v>1960</v>
      </c>
      <c r="TH2" t="s">
        <v>1932</v>
      </c>
      <c r="TI2" t="s">
        <v>1925</v>
      </c>
      <c r="TJ2" t="s">
        <v>1920</v>
      </c>
      <c r="TK2" t="s">
        <v>1919</v>
      </c>
      <c r="TL2" t="s">
        <v>1913</v>
      </c>
      <c r="TM2" t="s">
        <v>1911</v>
      </c>
    </row>
    <row r="3" spans="1:533" x14ac:dyDescent="0.25">
      <c r="A3" t="s">
        <v>1891</v>
      </c>
      <c r="B3" t="s">
        <v>1893</v>
      </c>
      <c r="C3" t="s">
        <v>855</v>
      </c>
      <c r="D3" t="s">
        <v>7804</v>
      </c>
      <c r="E3" t="s">
        <v>7801</v>
      </c>
      <c r="F3" t="s">
        <v>7780</v>
      </c>
      <c r="G3" t="s">
        <v>7773</v>
      </c>
      <c r="I3" t="s">
        <v>7770</v>
      </c>
      <c r="J3" t="s">
        <v>2389</v>
      </c>
      <c r="K3" t="s">
        <v>6738</v>
      </c>
      <c r="L3" t="s">
        <v>2642</v>
      </c>
      <c r="M3" t="s">
        <v>7752</v>
      </c>
      <c r="N3" t="s">
        <v>7750</v>
      </c>
      <c r="O3" t="s">
        <v>5191</v>
      </c>
      <c r="P3" t="s">
        <v>2036</v>
      </c>
      <c r="Q3" t="s">
        <v>5950</v>
      </c>
      <c r="R3" t="s">
        <v>7736</v>
      </c>
      <c r="S3" t="s">
        <v>1325</v>
      </c>
      <c r="T3" t="s">
        <v>7699</v>
      </c>
      <c r="U3" t="s">
        <v>7689</v>
      </c>
      <c r="V3" t="s">
        <v>7672</v>
      </c>
      <c r="W3" t="s">
        <v>2452</v>
      </c>
      <c r="X3" t="s">
        <v>7669</v>
      </c>
      <c r="Y3" t="s">
        <v>7666</v>
      </c>
      <c r="Z3" t="s">
        <v>6717</v>
      </c>
      <c r="AA3" t="s">
        <v>7616</v>
      </c>
      <c r="AB3" t="s">
        <v>7612</v>
      </c>
      <c r="AD3" t="s">
        <v>7609</v>
      </c>
      <c r="AE3" t="s">
        <v>7608</v>
      </c>
      <c r="AF3" t="s">
        <v>6980</v>
      </c>
      <c r="AG3" t="s">
        <v>2577</v>
      </c>
      <c r="AH3" t="s">
        <v>3335</v>
      </c>
      <c r="AJ3" t="s">
        <v>3701</v>
      </c>
      <c r="AK3" t="s">
        <v>7443</v>
      </c>
      <c r="AL3" t="s">
        <v>2764</v>
      </c>
      <c r="AM3" t="s">
        <v>7423</v>
      </c>
      <c r="AN3" t="s">
        <v>8917</v>
      </c>
      <c r="AO3" t="s">
        <v>1719</v>
      </c>
      <c r="AP3" t="s">
        <v>4755</v>
      </c>
      <c r="AS3" s="56" t="s">
        <v>2540</v>
      </c>
      <c r="AT3" t="s">
        <v>1800</v>
      </c>
      <c r="AU3" t="s">
        <v>7392</v>
      </c>
      <c r="AV3" t="s">
        <v>7390</v>
      </c>
      <c r="AW3" t="s">
        <v>1963</v>
      </c>
      <c r="AY3" t="s">
        <v>2419</v>
      </c>
      <c r="AZ3" t="s">
        <v>5778</v>
      </c>
      <c r="BA3" t="s">
        <v>7280</v>
      </c>
      <c r="BB3" t="s">
        <v>3482</v>
      </c>
      <c r="BC3" t="s">
        <v>7266</v>
      </c>
      <c r="BE3" t="s">
        <v>7260</v>
      </c>
      <c r="BF3" t="s">
        <v>765</v>
      </c>
      <c r="BG3" t="s">
        <v>7227</v>
      </c>
      <c r="BH3" t="s">
        <v>5960</v>
      </c>
      <c r="BI3" t="s">
        <v>3225</v>
      </c>
      <c r="BJ3" t="s">
        <v>2247</v>
      </c>
      <c r="BL3" t="s">
        <v>7200</v>
      </c>
      <c r="BM3" t="s">
        <v>1783</v>
      </c>
      <c r="BO3" t="s">
        <v>7160</v>
      </c>
      <c r="BP3" t="s">
        <v>7155</v>
      </c>
      <c r="BQ3" t="s">
        <v>6890</v>
      </c>
      <c r="BR3" t="s">
        <v>7150</v>
      </c>
      <c r="BS3" t="s">
        <v>3328</v>
      </c>
      <c r="BT3" t="s">
        <v>7146</v>
      </c>
      <c r="BU3" t="s">
        <v>4400</v>
      </c>
      <c r="BV3" t="s">
        <v>7092</v>
      </c>
      <c r="BW3" t="s">
        <v>7066</v>
      </c>
      <c r="BY3" t="s">
        <v>1944</v>
      </c>
      <c r="BZ3" t="s">
        <v>7054</v>
      </c>
      <c r="CA3" t="s">
        <v>3541</v>
      </c>
      <c r="CC3" t="s">
        <v>7050</v>
      </c>
      <c r="CD3" t="s">
        <v>3773</v>
      </c>
      <c r="CE3" t="s">
        <v>7024</v>
      </c>
      <c r="CF3" t="s">
        <v>1263</v>
      </c>
      <c r="CH3" t="s">
        <v>765</v>
      </c>
      <c r="CI3" t="s">
        <v>771</v>
      </c>
      <c r="CJ3" t="s">
        <v>6978</v>
      </c>
      <c r="CK3" s="9" t="s">
        <v>6968</v>
      </c>
      <c r="CL3" t="s">
        <v>6968</v>
      </c>
      <c r="CM3" t="s">
        <v>6964</v>
      </c>
      <c r="CN3" t="s">
        <v>3400</v>
      </c>
      <c r="CO3" t="s">
        <v>6958</v>
      </c>
      <c r="CP3" t="s">
        <v>1701</v>
      </c>
      <c r="CQ3" t="s">
        <v>1632</v>
      </c>
      <c r="CS3" t="s">
        <v>6943</v>
      </c>
      <c r="CT3" t="s">
        <v>6917</v>
      </c>
      <c r="CU3" t="s">
        <v>6858</v>
      </c>
      <c r="CV3" t="s">
        <v>2807</v>
      </c>
      <c r="CW3" t="s">
        <v>6853</v>
      </c>
      <c r="CX3" t="s">
        <v>3984</v>
      </c>
      <c r="CY3" t="s">
        <v>2807</v>
      </c>
      <c r="CZ3" t="s">
        <v>6812</v>
      </c>
      <c r="DA3" t="s">
        <v>1632</v>
      </c>
      <c r="DB3" t="s">
        <v>6781</v>
      </c>
      <c r="DC3" t="s">
        <v>6578</v>
      </c>
      <c r="DE3" t="s">
        <v>6776</v>
      </c>
      <c r="DF3" t="s">
        <v>1427</v>
      </c>
      <c r="DG3" t="s">
        <v>3351</v>
      </c>
      <c r="DH3" t="s">
        <v>6679</v>
      </c>
      <c r="DI3" t="s">
        <v>4196</v>
      </c>
      <c r="DJ3" t="s">
        <v>6673</v>
      </c>
      <c r="DK3" t="s">
        <v>6672</v>
      </c>
      <c r="DM3" t="s">
        <v>6648</v>
      </c>
      <c r="DN3" t="s">
        <v>6596</v>
      </c>
      <c r="DO3" t="s">
        <v>6221</v>
      </c>
      <c r="DQ3" t="s">
        <v>6586</v>
      </c>
      <c r="DR3" t="s">
        <v>4927</v>
      </c>
      <c r="DS3" t="s">
        <v>6090</v>
      </c>
      <c r="DT3" t="s">
        <v>1306</v>
      </c>
      <c r="DU3" t="s">
        <v>986</v>
      </c>
      <c r="DV3" t="s">
        <v>6578</v>
      </c>
      <c r="DX3" t="s">
        <v>2773</v>
      </c>
      <c r="DZ3" t="s">
        <v>6502</v>
      </c>
      <c r="EA3" t="s">
        <v>1623</v>
      </c>
      <c r="EB3" t="s">
        <v>6462</v>
      </c>
      <c r="EC3" t="s">
        <v>6450</v>
      </c>
      <c r="ED3" t="s">
        <v>6418</v>
      </c>
      <c r="EE3" t="s">
        <v>2092</v>
      </c>
      <c r="EF3" t="s">
        <v>6411</v>
      </c>
      <c r="EG3" t="s">
        <v>2752</v>
      </c>
      <c r="EI3" t="s">
        <v>6341</v>
      </c>
      <c r="EJ3" t="s">
        <v>2612</v>
      </c>
      <c r="EL3" t="s">
        <v>2913</v>
      </c>
      <c r="EM3" t="s">
        <v>6322</v>
      </c>
      <c r="EN3" t="s">
        <v>6320</v>
      </c>
      <c r="EO3" t="s">
        <v>6319</v>
      </c>
      <c r="EP3" t="s">
        <v>944</v>
      </c>
      <c r="EQ3" t="s">
        <v>6206</v>
      </c>
      <c r="ES3" t="s">
        <v>6193</v>
      </c>
      <c r="ET3" t="s">
        <v>6191</v>
      </c>
      <c r="EU3" t="s">
        <v>6128</v>
      </c>
      <c r="EX3" t="s">
        <v>2857</v>
      </c>
      <c r="EY3" t="s">
        <v>6094</v>
      </c>
      <c r="EZ3" t="s">
        <v>6091</v>
      </c>
      <c r="FA3" t="s">
        <v>6087</v>
      </c>
      <c r="FB3" t="s">
        <v>6082</v>
      </c>
      <c r="FC3" t="s">
        <v>6080</v>
      </c>
      <c r="FE3" t="s">
        <v>8255</v>
      </c>
      <c r="FF3" t="s">
        <v>6065</v>
      </c>
      <c r="FH3" t="s">
        <v>3731</v>
      </c>
      <c r="FI3" t="s">
        <v>2350</v>
      </c>
      <c r="FJ3" t="s">
        <v>6050</v>
      </c>
      <c r="FK3" t="s">
        <v>2803</v>
      </c>
      <c r="FM3" t="s">
        <v>2130</v>
      </c>
      <c r="FO3" t="s">
        <v>6023</v>
      </c>
      <c r="FP3" t="s">
        <v>6005</v>
      </c>
      <c r="FQ3" t="s">
        <v>6000</v>
      </c>
      <c r="FR3" t="s">
        <v>2082</v>
      </c>
      <c r="FS3" t="s">
        <v>3313</v>
      </c>
      <c r="FT3" t="s">
        <v>3866</v>
      </c>
      <c r="FU3" t="s">
        <v>5985</v>
      </c>
      <c r="FV3" t="s">
        <v>5957</v>
      </c>
      <c r="FW3" t="s">
        <v>5955</v>
      </c>
      <c r="FX3" t="s">
        <v>5952</v>
      </c>
      <c r="FY3" t="s">
        <v>2589</v>
      </c>
      <c r="FZ3" t="s">
        <v>5947</v>
      </c>
      <c r="GA3" t="s">
        <v>2389</v>
      </c>
      <c r="GB3" t="s">
        <v>5928</v>
      </c>
      <c r="GC3" t="s">
        <v>5926</v>
      </c>
      <c r="GD3" t="s">
        <v>5918</v>
      </c>
      <c r="GE3" t="s">
        <v>1998</v>
      </c>
      <c r="GF3" t="s">
        <v>5881</v>
      </c>
      <c r="GG3" t="s">
        <v>5862</v>
      </c>
      <c r="GI3" t="s">
        <v>857</v>
      </c>
      <c r="GJ3" t="s">
        <v>1248</v>
      </c>
      <c r="GK3" t="s">
        <v>5839</v>
      </c>
      <c r="GL3" t="s">
        <v>5838</v>
      </c>
      <c r="GM3" t="s">
        <v>2365</v>
      </c>
      <c r="GN3" t="s">
        <v>5834</v>
      </c>
      <c r="GO3" t="s">
        <v>5778</v>
      </c>
      <c r="GP3" t="s">
        <v>2194</v>
      </c>
      <c r="GQ3" t="s">
        <v>2412</v>
      </c>
      <c r="GS3" t="s">
        <v>4921</v>
      </c>
      <c r="GU3" t="s">
        <v>1944</v>
      </c>
      <c r="GV3" t="s">
        <v>1973</v>
      </c>
      <c r="GY3" t="s">
        <v>5733</v>
      </c>
      <c r="GZ3" t="s">
        <v>2238</v>
      </c>
      <c r="HB3" t="s">
        <v>3842</v>
      </c>
      <c r="HC3" t="s">
        <v>5599</v>
      </c>
      <c r="HD3" t="s">
        <v>1944</v>
      </c>
      <c r="HE3" t="s">
        <v>5593</v>
      </c>
      <c r="HF3" t="s">
        <v>5575</v>
      </c>
      <c r="HG3" t="s">
        <v>5566</v>
      </c>
      <c r="HH3" t="s">
        <v>5564</v>
      </c>
      <c r="HI3" t="s">
        <v>5556</v>
      </c>
      <c r="HJ3" t="s">
        <v>5554</v>
      </c>
      <c r="HK3" t="s">
        <v>5551</v>
      </c>
      <c r="HL3" t="s">
        <v>5547</v>
      </c>
      <c r="HM3" t="s">
        <v>3239</v>
      </c>
      <c r="HN3" t="s">
        <v>5518</v>
      </c>
      <c r="HO3" t="s">
        <v>5242</v>
      </c>
      <c r="HP3" t="s">
        <v>5513</v>
      </c>
      <c r="HR3" t="s">
        <v>4075</v>
      </c>
      <c r="HS3" t="s">
        <v>5510</v>
      </c>
      <c r="HT3" t="s">
        <v>5502</v>
      </c>
      <c r="HV3" t="s">
        <v>3984</v>
      </c>
      <c r="HW3" t="s">
        <v>5391</v>
      </c>
      <c r="HX3" t="s">
        <v>5389</v>
      </c>
      <c r="HY3" t="s">
        <v>5342</v>
      </c>
      <c r="HZ3" t="s">
        <v>4207</v>
      </c>
      <c r="IA3" t="s">
        <v>2897</v>
      </c>
      <c r="IB3" t="s">
        <v>5333</v>
      </c>
      <c r="ID3" t="s">
        <v>4904</v>
      </c>
      <c r="IE3" t="s">
        <v>2855</v>
      </c>
      <c r="IF3" t="s">
        <v>4611</v>
      </c>
      <c r="IH3" t="s">
        <v>2141</v>
      </c>
      <c r="IJ3" t="s">
        <v>2030</v>
      </c>
      <c r="IK3" t="s">
        <v>5238</v>
      </c>
      <c r="IL3" s="12" t="s">
        <v>3583</v>
      </c>
      <c r="IM3" t="s">
        <v>4939</v>
      </c>
      <c r="IO3" t="s">
        <v>5190</v>
      </c>
      <c r="IP3" t="s">
        <v>5186</v>
      </c>
      <c r="IQ3" t="s">
        <v>2047</v>
      </c>
      <c r="IR3" t="s">
        <v>5181</v>
      </c>
      <c r="IS3" t="s">
        <v>5178</v>
      </c>
      <c r="IT3" t="s">
        <v>5074</v>
      </c>
      <c r="IV3" t="s">
        <v>5059</v>
      </c>
      <c r="IW3" t="s">
        <v>5047</v>
      </c>
      <c r="IX3" t="s">
        <v>4938</v>
      </c>
      <c r="IY3" t="s">
        <v>2152</v>
      </c>
      <c r="IZ3" t="s">
        <v>4935</v>
      </c>
      <c r="JA3" t="s">
        <v>3025</v>
      </c>
      <c r="JB3" t="s">
        <v>9012</v>
      </c>
      <c r="JD3" t="s">
        <v>4930</v>
      </c>
      <c r="JF3" t="s">
        <v>3190</v>
      </c>
      <c r="JH3" t="s">
        <v>4921</v>
      </c>
      <c r="JI3" t="s">
        <v>4905</v>
      </c>
      <c r="JJ3" t="s">
        <v>4835</v>
      </c>
      <c r="JK3" t="s">
        <v>2035</v>
      </c>
      <c r="JL3" t="s">
        <v>4826</v>
      </c>
      <c r="JN3" t="s">
        <v>2589</v>
      </c>
      <c r="JO3" t="s">
        <v>4822</v>
      </c>
      <c r="JP3" t="s">
        <v>829</v>
      </c>
      <c r="JQ3" t="s">
        <v>4812</v>
      </c>
      <c r="JR3" t="s">
        <v>2217</v>
      </c>
      <c r="JS3" t="s">
        <v>4796</v>
      </c>
      <c r="JT3" t="s">
        <v>4794</v>
      </c>
      <c r="JU3" t="s">
        <v>1962</v>
      </c>
      <c r="JW3" t="s">
        <v>4784</v>
      </c>
      <c r="JX3" t="s">
        <v>4775</v>
      </c>
      <c r="JY3" t="s">
        <v>3821</v>
      </c>
      <c r="JZ3" t="s">
        <v>765</v>
      </c>
      <c r="KA3" t="s">
        <v>2791</v>
      </c>
      <c r="KB3" t="s">
        <v>4711</v>
      </c>
      <c r="KC3" t="s">
        <v>2389</v>
      </c>
      <c r="KD3" t="s">
        <v>3425</v>
      </c>
      <c r="KE3" t="s">
        <v>4666</v>
      </c>
      <c r="KF3" t="s">
        <v>4665</v>
      </c>
      <c r="KG3" t="s">
        <v>4664</v>
      </c>
      <c r="KI3" t="s">
        <v>1075</v>
      </c>
      <c r="KJ3" t="s">
        <v>4658</v>
      </c>
      <c r="KK3" t="s">
        <v>4608</v>
      </c>
      <c r="KL3" t="s">
        <v>8902</v>
      </c>
      <c r="KM3" t="s">
        <v>3525</v>
      </c>
      <c r="KN3" t="s">
        <v>2040</v>
      </c>
      <c r="KO3" t="s">
        <v>2476</v>
      </c>
      <c r="KP3" t="s">
        <v>4570</v>
      </c>
      <c r="KQ3" t="s">
        <v>4067</v>
      </c>
      <c r="KS3" t="s">
        <v>4512</v>
      </c>
      <c r="KT3" t="s">
        <v>4484</v>
      </c>
      <c r="KU3" t="s">
        <v>4467</v>
      </c>
      <c r="KV3" t="s">
        <v>4462</v>
      </c>
      <c r="KW3" t="s">
        <v>4450</v>
      </c>
      <c r="KX3" t="s">
        <v>4399</v>
      </c>
      <c r="KY3" t="s">
        <v>2525</v>
      </c>
      <c r="LA3" t="s">
        <v>4395</v>
      </c>
      <c r="LB3" t="s">
        <v>4392</v>
      </c>
      <c r="LC3" t="s">
        <v>2141</v>
      </c>
      <c r="LD3" t="s">
        <v>4374</v>
      </c>
      <c r="LE3" t="s">
        <v>4360</v>
      </c>
      <c r="LF3" t="s">
        <v>1840</v>
      </c>
      <c r="LG3" t="s">
        <v>3355</v>
      </c>
      <c r="LH3" t="s">
        <v>4357</v>
      </c>
      <c r="LI3" t="s">
        <v>4350</v>
      </c>
      <c r="LJ3" t="s">
        <v>4284</v>
      </c>
      <c r="LK3" t="s">
        <v>4282</v>
      </c>
      <c r="LM3" t="s">
        <v>4280</v>
      </c>
      <c r="LN3" t="s">
        <v>946</v>
      </c>
      <c r="LO3" t="s">
        <v>4265</v>
      </c>
      <c r="LP3" t="s">
        <v>4257</v>
      </c>
      <c r="LQ3" t="s">
        <v>2361</v>
      </c>
      <c r="LR3" t="s">
        <v>3152</v>
      </c>
      <c r="LS3" t="s">
        <v>4218</v>
      </c>
      <c r="LT3" t="s">
        <v>4217</v>
      </c>
      <c r="LU3" t="s">
        <v>4211</v>
      </c>
      <c r="LV3" t="s">
        <v>4205</v>
      </c>
      <c r="LW3" t="s">
        <v>4194</v>
      </c>
      <c r="LX3" t="s">
        <v>1343</v>
      </c>
      <c r="LY3" t="s">
        <v>2769</v>
      </c>
      <c r="LZ3" t="s">
        <v>4159</v>
      </c>
      <c r="MA3" t="s">
        <v>4158</v>
      </c>
      <c r="MB3" t="s">
        <v>4115</v>
      </c>
      <c r="MC3" t="s">
        <v>1775</v>
      </c>
      <c r="MD3" t="s">
        <v>4111</v>
      </c>
      <c r="ME3" t="s">
        <v>4110</v>
      </c>
      <c r="MF3" t="s">
        <v>4107</v>
      </c>
      <c r="MH3" t="s">
        <v>4099</v>
      </c>
      <c r="MI3" t="s">
        <v>2838</v>
      </c>
      <c r="MJ3" t="s">
        <v>4067</v>
      </c>
      <c r="MK3" t="s">
        <v>4066</v>
      </c>
      <c r="ML3" t="s">
        <v>4062</v>
      </c>
      <c r="MM3" t="s">
        <v>4048</v>
      </c>
      <c r="MO3" t="s">
        <v>1430</v>
      </c>
      <c r="MS3" t="s">
        <v>2855</v>
      </c>
      <c r="MT3" t="s">
        <v>3958</v>
      </c>
      <c r="MU3" t="s">
        <v>3915</v>
      </c>
      <c r="MV3" t="s">
        <v>3894</v>
      </c>
      <c r="MW3" t="s">
        <v>3892</v>
      </c>
      <c r="MX3" t="s">
        <v>3867</v>
      </c>
      <c r="MY3" t="s">
        <v>3865</v>
      </c>
      <c r="MZ3" t="s">
        <v>3858</v>
      </c>
      <c r="NA3" t="s">
        <v>3843</v>
      </c>
      <c r="NB3" t="s">
        <v>3833</v>
      </c>
      <c r="ND3" t="s">
        <v>1437</v>
      </c>
      <c r="NE3" t="s">
        <v>2238</v>
      </c>
      <c r="NF3" t="s">
        <v>3811</v>
      </c>
      <c r="NG3" t="s">
        <v>3793</v>
      </c>
      <c r="NH3" t="s">
        <v>3766</v>
      </c>
      <c r="NJ3" t="s">
        <v>3743</v>
      </c>
      <c r="NL3" t="s">
        <v>2041</v>
      </c>
      <c r="NM3" t="s">
        <v>3728</v>
      </c>
      <c r="NN3" t="s">
        <v>3724</v>
      </c>
      <c r="NO3" t="s">
        <v>946</v>
      </c>
      <c r="NP3" t="s">
        <v>3006</v>
      </c>
      <c r="NQ3" t="s">
        <v>3713</v>
      </c>
      <c r="NR3" t="s">
        <v>2582</v>
      </c>
      <c r="NS3" t="s">
        <v>2419</v>
      </c>
      <c r="NT3" t="s">
        <v>3697</v>
      </c>
      <c r="NV3" t="s">
        <v>3690</v>
      </c>
      <c r="NW3" t="s">
        <v>3671</v>
      </c>
      <c r="NX3" t="s">
        <v>3654</v>
      </c>
      <c r="NY3" t="s">
        <v>3652</v>
      </c>
      <c r="NZ3" t="s">
        <v>1823</v>
      </c>
      <c r="OA3" t="s">
        <v>3633</v>
      </c>
      <c r="OC3" t="s">
        <v>3625</v>
      </c>
      <c r="OE3" t="s">
        <v>3621</v>
      </c>
      <c r="OF3" t="s">
        <v>2547</v>
      </c>
      <c r="OG3" t="s">
        <v>2695</v>
      </c>
      <c r="OH3" t="s">
        <v>772</v>
      </c>
      <c r="OI3" t="s">
        <v>3587</v>
      </c>
      <c r="OK3" t="s">
        <v>3580</v>
      </c>
      <c r="OL3" t="s">
        <v>3578</v>
      </c>
      <c r="OM3" t="s">
        <v>3576</v>
      </c>
      <c r="ON3" t="s">
        <v>857</v>
      </c>
      <c r="OO3" t="s">
        <v>3499</v>
      </c>
      <c r="OP3" t="s">
        <v>3472</v>
      </c>
      <c r="OQ3" t="s">
        <v>3469</v>
      </c>
      <c r="OR3" t="s">
        <v>3465</v>
      </c>
      <c r="OT3" t="s">
        <v>3462</v>
      </c>
      <c r="OV3" t="s">
        <v>1843</v>
      </c>
      <c r="OW3" t="s">
        <v>3454</v>
      </c>
      <c r="OX3" t="s">
        <v>3419</v>
      </c>
      <c r="OY3" t="s">
        <v>3418</v>
      </c>
      <c r="OZ3" t="s">
        <v>3408</v>
      </c>
      <c r="PA3" t="s">
        <v>3397</v>
      </c>
      <c r="PB3" t="s">
        <v>3335</v>
      </c>
      <c r="PC3" t="s">
        <v>1020</v>
      </c>
      <c r="PD3" t="s">
        <v>3309</v>
      </c>
      <c r="PF3" t="s">
        <v>3306</v>
      </c>
      <c r="PH3" t="s">
        <v>3303</v>
      </c>
      <c r="PI3" t="s">
        <v>3295</v>
      </c>
      <c r="PJ3" t="s">
        <v>2853</v>
      </c>
      <c r="PL3" t="s">
        <v>3289</v>
      </c>
      <c r="PM3" t="s">
        <v>3186</v>
      </c>
      <c r="PN3" t="s">
        <v>3234</v>
      </c>
      <c r="PO3" t="s">
        <v>3183</v>
      </c>
      <c r="PP3" t="s">
        <v>3174</v>
      </c>
      <c r="PQ3" t="s">
        <v>3168</v>
      </c>
      <c r="PR3" t="s">
        <v>3152</v>
      </c>
      <c r="PS3" t="s">
        <v>3148</v>
      </c>
      <c r="PT3" t="s">
        <v>3141</v>
      </c>
      <c r="PU3" t="s">
        <v>3123</v>
      </c>
      <c r="PW3" t="s">
        <v>3105</v>
      </c>
      <c r="PX3" t="s">
        <v>3098</v>
      </c>
      <c r="PY3" s="162" t="s">
        <v>2508</v>
      </c>
      <c r="PZ3" t="s">
        <v>3095</v>
      </c>
      <c r="QA3" s="9" t="s">
        <v>8251</v>
      </c>
      <c r="QB3" s="163" t="s">
        <v>9001</v>
      </c>
      <c r="QC3" t="s">
        <v>2853</v>
      </c>
      <c r="QE3" t="s">
        <v>2695</v>
      </c>
      <c r="QF3" t="s">
        <v>2761</v>
      </c>
      <c r="QH3" t="s">
        <v>2752</v>
      </c>
      <c r="QI3" t="s">
        <v>2745</v>
      </c>
      <c r="QK3" t="s">
        <v>2582</v>
      </c>
      <c r="QL3" t="s">
        <v>2681</v>
      </c>
      <c r="QM3" t="s">
        <v>2670</v>
      </c>
      <c r="QN3" t="s">
        <v>2639</v>
      </c>
      <c r="QO3" t="s">
        <v>2631</v>
      </c>
      <c r="QP3" t="s">
        <v>1406</v>
      </c>
      <c r="QQ3" t="s">
        <v>2583</v>
      </c>
      <c r="QR3" t="s">
        <v>2581</v>
      </c>
      <c r="QS3" t="s">
        <v>2578</v>
      </c>
      <c r="QT3" t="s">
        <v>2572</v>
      </c>
      <c r="QU3" t="s">
        <v>2570</v>
      </c>
      <c r="QV3" t="s">
        <v>1827</v>
      </c>
      <c r="QW3" t="s">
        <v>2539</v>
      </c>
      <c r="QX3" t="s">
        <v>2518</v>
      </c>
      <c r="QZ3" t="s">
        <v>2421</v>
      </c>
      <c r="RB3" t="s">
        <v>2489</v>
      </c>
      <c r="RC3" t="s">
        <v>1775</v>
      </c>
      <c r="RD3" t="s">
        <v>2473</v>
      </c>
      <c r="RE3" t="s">
        <v>2462</v>
      </c>
      <c r="RF3" t="s">
        <v>2460</v>
      </c>
      <c r="RG3" t="s">
        <v>2457</v>
      </c>
      <c r="RH3" t="s">
        <v>2437</v>
      </c>
      <c r="RI3" t="s">
        <v>2428</v>
      </c>
      <c r="RJ3" t="s">
        <v>2420</v>
      </c>
      <c r="RK3" t="s">
        <v>887</v>
      </c>
      <c r="RL3" t="s">
        <v>2387</v>
      </c>
      <c r="RM3" t="s">
        <v>2378</v>
      </c>
      <c r="RN3" t="s">
        <v>2371</v>
      </c>
      <c r="RO3" t="s">
        <v>2362</v>
      </c>
      <c r="RP3" t="s">
        <v>1734</v>
      </c>
      <c r="RQ3" t="s">
        <v>2350</v>
      </c>
      <c r="RR3" t="s">
        <v>2347</v>
      </c>
      <c r="RS3" t="s">
        <v>2344</v>
      </c>
      <c r="RT3" t="s">
        <v>2307</v>
      </c>
      <c r="RU3" t="s">
        <v>2302</v>
      </c>
      <c r="RV3" t="s">
        <v>2189</v>
      </c>
      <c r="RY3" t="s">
        <v>2184</v>
      </c>
      <c r="SA3" t="s">
        <v>2180</v>
      </c>
      <c r="SB3" t="s">
        <v>2165</v>
      </c>
      <c r="SC3" t="s">
        <v>2155</v>
      </c>
      <c r="SD3" t="s">
        <v>2150</v>
      </c>
      <c r="SE3" t="s">
        <v>2147</v>
      </c>
      <c r="SF3" t="s">
        <v>2139</v>
      </c>
      <c r="SG3" t="s">
        <v>2037</v>
      </c>
      <c r="SH3" t="s">
        <v>2105</v>
      </c>
      <c r="SI3" t="s">
        <v>2102</v>
      </c>
      <c r="SJ3" t="s">
        <v>2100</v>
      </c>
      <c r="SK3" t="s">
        <v>2092</v>
      </c>
      <c r="SL3" t="s">
        <v>2086</v>
      </c>
      <c r="SM3" t="s">
        <v>2078</v>
      </c>
      <c r="SN3" t="s">
        <v>8908</v>
      </c>
      <c r="SP3" t="s">
        <v>2074</v>
      </c>
      <c r="SQ3" t="s">
        <v>2071</v>
      </c>
      <c r="SS3" t="s">
        <v>2066</v>
      </c>
      <c r="ST3" t="s">
        <v>783</v>
      </c>
      <c r="SU3" t="s">
        <v>2041</v>
      </c>
      <c r="SV3" t="s">
        <v>2036</v>
      </c>
      <c r="SW3" t="s">
        <v>2022</v>
      </c>
      <c r="SX3" t="s">
        <v>2018</v>
      </c>
      <c r="SY3" t="s">
        <v>2016</v>
      </c>
      <c r="SZ3" t="s">
        <v>2012</v>
      </c>
      <c r="TA3" t="s">
        <v>1999</v>
      </c>
      <c r="TC3" t="s">
        <v>1991</v>
      </c>
      <c r="TD3" t="s">
        <v>1987</v>
      </c>
      <c r="TE3" t="s">
        <v>1981</v>
      </c>
      <c r="TF3" t="s">
        <v>1979</v>
      </c>
      <c r="TG3" t="s">
        <v>1961</v>
      </c>
      <c r="TH3" t="s">
        <v>1933</v>
      </c>
      <c r="TI3" t="s">
        <v>1926</v>
      </c>
      <c r="TJ3" t="s">
        <v>1921</v>
      </c>
      <c r="TL3" t="s">
        <v>1914</v>
      </c>
      <c r="TM3" t="s">
        <v>1912</v>
      </c>
    </row>
    <row r="4" spans="1:533" x14ac:dyDescent="0.25">
      <c r="B4" t="s">
        <v>1894</v>
      </c>
      <c r="D4" t="s">
        <v>5228</v>
      </c>
      <c r="E4" t="s">
        <v>5475</v>
      </c>
      <c r="F4" t="s">
        <v>7781</v>
      </c>
      <c r="G4" t="s">
        <v>7774</v>
      </c>
      <c r="J4" t="s">
        <v>3503</v>
      </c>
      <c r="K4" t="s">
        <v>1370</v>
      </c>
      <c r="L4" t="s">
        <v>7754</v>
      </c>
      <c r="N4" t="s">
        <v>7751</v>
      </c>
      <c r="O4" t="s">
        <v>7748</v>
      </c>
      <c r="P4" t="s">
        <v>2203</v>
      </c>
      <c r="R4" t="s">
        <v>7737</v>
      </c>
      <c r="S4" t="s">
        <v>7710</v>
      </c>
      <c r="T4" t="s">
        <v>7700</v>
      </c>
      <c r="U4" t="s">
        <v>7690</v>
      </c>
      <c r="V4" t="s">
        <v>7673</v>
      </c>
      <c r="X4" t="s">
        <v>2082</v>
      </c>
      <c r="Y4" t="s">
        <v>2032</v>
      </c>
      <c r="Z4" t="s">
        <v>7658</v>
      </c>
      <c r="AA4" t="s">
        <v>7617</v>
      </c>
      <c r="AB4" t="s">
        <v>3130</v>
      </c>
      <c r="AD4" t="s">
        <v>3483</v>
      </c>
      <c r="AE4" t="s">
        <v>755</v>
      </c>
      <c r="AF4" t="s">
        <v>5078</v>
      </c>
      <c r="AG4" t="s">
        <v>6507</v>
      </c>
      <c r="AH4" t="s">
        <v>7476</v>
      </c>
      <c r="AJ4" t="s">
        <v>7473</v>
      </c>
      <c r="AK4" t="s">
        <v>7444</v>
      </c>
      <c r="AL4" t="s">
        <v>7438</v>
      </c>
      <c r="AM4" t="s">
        <v>2751</v>
      </c>
      <c r="AN4" t="s">
        <v>8918</v>
      </c>
      <c r="AO4" t="s">
        <v>2803</v>
      </c>
      <c r="AS4" s="56" t="s">
        <v>7409</v>
      </c>
      <c r="AT4" t="s">
        <v>7403</v>
      </c>
      <c r="AU4" t="s">
        <v>4733</v>
      </c>
      <c r="AV4" t="s">
        <v>2007</v>
      </c>
      <c r="AW4" t="s">
        <v>7383</v>
      </c>
      <c r="AZ4" t="s">
        <v>7283</v>
      </c>
      <c r="BA4" t="s">
        <v>7281</v>
      </c>
      <c r="BB4" t="s">
        <v>2412</v>
      </c>
      <c r="BC4" t="s">
        <v>3346</v>
      </c>
      <c r="BE4" t="s">
        <v>7261</v>
      </c>
      <c r="BF4" t="s">
        <v>7230</v>
      </c>
      <c r="BG4" t="s">
        <v>7228</v>
      </c>
      <c r="BH4" t="s">
        <v>7207</v>
      </c>
      <c r="BI4" t="s">
        <v>7204</v>
      </c>
      <c r="BL4" t="s">
        <v>2030</v>
      </c>
      <c r="BO4" t="s">
        <v>7161</v>
      </c>
      <c r="BP4" t="s">
        <v>7156</v>
      </c>
      <c r="BQ4" t="s">
        <v>6891</v>
      </c>
      <c r="BR4" t="s">
        <v>6141</v>
      </c>
      <c r="BT4" t="s">
        <v>7147</v>
      </c>
      <c r="BU4" t="s">
        <v>7094</v>
      </c>
      <c r="BW4" t="s">
        <v>7067</v>
      </c>
      <c r="BY4" t="s">
        <v>7061</v>
      </c>
      <c r="BZ4" t="s">
        <v>7055</v>
      </c>
      <c r="CA4" t="s">
        <v>4013</v>
      </c>
      <c r="CC4" t="s">
        <v>2460</v>
      </c>
      <c r="CD4" t="s">
        <v>7045</v>
      </c>
      <c r="CE4" t="s">
        <v>7025</v>
      </c>
      <c r="CF4" t="s">
        <v>7022</v>
      </c>
      <c r="CH4" t="s">
        <v>2916</v>
      </c>
      <c r="CI4" t="s">
        <v>2141</v>
      </c>
      <c r="CJ4" t="s">
        <v>6979</v>
      </c>
      <c r="CK4" s="160" t="s">
        <v>6969</v>
      </c>
      <c r="CL4" t="s">
        <v>6969</v>
      </c>
      <c r="CM4" t="s">
        <v>6965</v>
      </c>
      <c r="CN4" t="s">
        <v>6962</v>
      </c>
      <c r="CO4" t="s">
        <v>6959</v>
      </c>
      <c r="CP4" t="s">
        <v>6956</v>
      </c>
      <c r="CS4" t="s">
        <v>6944</v>
      </c>
      <c r="CT4" t="s">
        <v>6732</v>
      </c>
      <c r="CU4" t="s">
        <v>6859</v>
      </c>
      <c r="CV4" t="s">
        <v>6288</v>
      </c>
      <c r="CW4" t="s">
        <v>6303</v>
      </c>
      <c r="CX4" t="s">
        <v>6834</v>
      </c>
      <c r="CY4" t="s">
        <v>6832</v>
      </c>
      <c r="CZ4" t="s">
        <v>6813</v>
      </c>
      <c r="DA4" t="s">
        <v>4286</v>
      </c>
      <c r="DB4" t="s">
        <v>6782</v>
      </c>
      <c r="DC4" t="s">
        <v>6778</v>
      </c>
      <c r="DE4" t="s">
        <v>2508</v>
      </c>
      <c r="DF4" t="s">
        <v>6725</v>
      </c>
      <c r="DG4" t="s">
        <v>6716</v>
      </c>
      <c r="DH4" t="s">
        <v>6680</v>
      </c>
      <c r="DI4" t="s">
        <v>2494</v>
      </c>
      <c r="DJ4" t="s">
        <v>6674</v>
      </c>
      <c r="DM4" t="s">
        <v>1632</v>
      </c>
      <c r="DN4" t="s">
        <v>6597</v>
      </c>
      <c r="DO4" t="s">
        <v>6424</v>
      </c>
      <c r="DQ4" t="s">
        <v>3704</v>
      </c>
      <c r="DR4" t="s">
        <v>2758</v>
      </c>
      <c r="DT4" t="s">
        <v>2412</v>
      </c>
      <c r="DU4" t="s">
        <v>787</v>
      </c>
      <c r="DV4" t="s">
        <v>6579</v>
      </c>
      <c r="DX4" t="s">
        <v>6574</v>
      </c>
      <c r="DZ4" t="s">
        <v>2744</v>
      </c>
      <c r="EA4" t="s">
        <v>6477</v>
      </c>
      <c r="EB4" t="s">
        <v>6463</v>
      </c>
      <c r="EC4" t="s">
        <v>6451</v>
      </c>
      <c r="ED4" t="s">
        <v>6419</v>
      </c>
      <c r="EE4" t="s">
        <v>3867</v>
      </c>
      <c r="EF4" t="s">
        <v>6412</v>
      </c>
      <c r="EG4" t="s">
        <v>6410</v>
      </c>
      <c r="EI4" t="s">
        <v>6342</v>
      </c>
      <c r="EL4" t="s">
        <v>6324</v>
      </c>
      <c r="EN4" t="s">
        <v>3658</v>
      </c>
      <c r="EO4" t="s">
        <v>2998</v>
      </c>
      <c r="EP4" t="s">
        <v>6298</v>
      </c>
      <c r="EQ4" t="s">
        <v>6207</v>
      </c>
      <c r="ES4" t="s">
        <v>6194</v>
      </c>
      <c r="EU4" t="s">
        <v>6129</v>
      </c>
      <c r="EX4" t="s">
        <v>3577</v>
      </c>
      <c r="EY4" t="s">
        <v>6095</v>
      </c>
      <c r="EZ4" t="s">
        <v>2498</v>
      </c>
      <c r="FA4" t="s">
        <v>3251</v>
      </c>
      <c r="FB4" t="s">
        <v>6083</v>
      </c>
      <c r="FF4" t="s">
        <v>6066</v>
      </c>
      <c r="FH4" t="s">
        <v>4631</v>
      </c>
      <c r="FI4" t="s">
        <v>6052</v>
      </c>
      <c r="FK4" t="s">
        <v>6048</v>
      </c>
      <c r="FM4" t="s">
        <v>6027</v>
      </c>
      <c r="FO4" t="s">
        <v>1149</v>
      </c>
      <c r="FP4" t="s">
        <v>2192</v>
      </c>
      <c r="FQ4" t="s">
        <v>6001</v>
      </c>
      <c r="FR4" t="s">
        <v>5997</v>
      </c>
      <c r="FS4" t="s">
        <v>5994</v>
      </c>
      <c r="FT4" t="s">
        <v>2517</v>
      </c>
      <c r="FU4" t="s">
        <v>5986</v>
      </c>
      <c r="FV4" t="s">
        <v>5958</v>
      </c>
      <c r="FX4" t="s">
        <v>5953</v>
      </c>
      <c r="FY4" t="s">
        <v>5951</v>
      </c>
      <c r="FZ4" t="s">
        <v>855</v>
      </c>
      <c r="GA4" t="s">
        <v>5934</v>
      </c>
      <c r="GB4" t="s">
        <v>5929</v>
      </c>
      <c r="GD4" t="s">
        <v>1810</v>
      </c>
      <c r="GE4" t="s">
        <v>5889</v>
      </c>
      <c r="GF4" t="s">
        <v>5882</v>
      </c>
      <c r="GG4" t="s">
        <v>2205</v>
      </c>
      <c r="GI4" t="s">
        <v>5848</v>
      </c>
      <c r="GJ4" t="s">
        <v>5841</v>
      </c>
      <c r="GL4" t="s">
        <v>2084</v>
      </c>
      <c r="GM4" t="s">
        <v>5835</v>
      </c>
      <c r="GO4" t="s">
        <v>5779</v>
      </c>
      <c r="GP4" t="s">
        <v>5750</v>
      </c>
      <c r="GU4" t="s">
        <v>5746</v>
      </c>
      <c r="GY4" t="s">
        <v>3167</v>
      </c>
      <c r="GZ4" t="s">
        <v>5731</v>
      </c>
      <c r="HB4" t="s">
        <v>5710</v>
      </c>
      <c r="HC4" t="s">
        <v>5600</v>
      </c>
      <c r="HD4" t="s">
        <v>5597</v>
      </c>
      <c r="HE4" t="s">
        <v>5594</v>
      </c>
      <c r="HF4" t="s">
        <v>5576</v>
      </c>
      <c r="HG4" t="s">
        <v>3528</v>
      </c>
      <c r="HI4" t="s">
        <v>5557</v>
      </c>
      <c r="HK4" t="s">
        <v>4794</v>
      </c>
      <c r="HL4" t="s">
        <v>5548</v>
      </c>
      <c r="HM4" t="s">
        <v>5534</v>
      </c>
      <c r="HN4" t="s">
        <v>5519</v>
      </c>
      <c r="HP4" t="s">
        <v>5514</v>
      </c>
      <c r="HS4" t="s">
        <v>4261</v>
      </c>
      <c r="HT4" t="s">
        <v>5503</v>
      </c>
      <c r="HV4" t="s">
        <v>5421</v>
      </c>
      <c r="HW4" t="s">
        <v>5392</v>
      </c>
      <c r="HX4" t="s">
        <v>5390</v>
      </c>
      <c r="HY4" t="s">
        <v>1632</v>
      </c>
      <c r="HZ4" t="s">
        <v>3248</v>
      </c>
      <c r="IA4" t="s">
        <v>2898</v>
      </c>
      <c r="IB4" t="s">
        <v>5334</v>
      </c>
      <c r="ID4" t="s">
        <v>5302</v>
      </c>
      <c r="IE4" t="s">
        <v>5295</v>
      </c>
      <c r="IF4" t="s">
        <v>5260</v>
      </c>
      <c r="IH4" t="s">
        <v>5245</v>
      </c>
      <c r="IJ4" t="s">
        <v>1648</v>
      </c>
      <c r="IK4" t="s">
        <v>5239</v>
      </c>
      <c r="IL4" t="s">
        <v>5235</v>
      </c>
      <c r="IM4" t="s">
        <v>5196</v>
      </c>
      <c r="IO4" t="s">
        <v>5191</v>
      </c>
      <c r="IP4" t="s">
        <v>1721</v>
      </c>
      <c r="IQ4" t="s">
        <v>5184</v>
      </c>
      <c r="IR4" t="s">
        <v>5182</v>
      </c>
      <c r="IS4" t="s">
        <v>5179</v>
      </c>
      <c r="IT4" t="s">
        <v>5075</v>
      </c>
      <c r="IV4" t="s">
        <v>5060</v>
      </c>
      <c r="IW4" t="s">
        <v>5048</v>
      </c>
      <c r="IX4" t="s">
        <v>4939</v>
      </c>
      <c r="IZ4" t="s">
        <v>1306</v>
      </c>
      <c r="JA4" t="s">
        <v>4933</v>
      </c>
      <c r="JD4" t="s">
        <v>4931</v>
      </c>
      <c r="JF4" t="s">
        <v>4854</v>
      </c>
      <c r="JH4" t="s">
        <v>4922</v>
      </c>
      <c r="JI4" t="s">
        <v>4906</v>
      </c>
      <c r="JJ4" t="s">
        <v>2306</v>
      </c>
      <c r="JL4" t="s">
        <v>4827</v>
      </c>
      <c r="JN4" t="s">
        <v>3905</v>
      </c>
      <c r="JO4" t="s">
        <v>4823</v>
      </c>
      <c r="JP4" t="s">
        <v>4819</v>
      </c>
      <c r="JQ4" t="s">
        <v>4813</v>
      </c>
      <c r="JR4" t="s">
        <v>4807</v>
      </c>
      <c r="JS4" t="s">
        <v>4797</v>
      </c>
      <c r="JT4" t="s">
        <v>754</v>
      </c>
      <c r="JU4" t="s">
        <v>4518</v>
      </c>
      <c r="JW4" t="s">
        <v>4785</v>
      </c>
      <c r="JX4" t="s">
        <v>4776</v>
      </c>
      <c r="JY4" t="s">
        <v>4773</v>
      </c>
      <c r="JZ4" t="s">
        <v>3335</v>
      </c>
      <c r="KA4" t="s">
        <v>2247</v>
      </c>
      <c r="KB4" t="s">
        <v>4712</v>
      </c>
      <c r="KC4" t="s">
        <v>2141</v>
      </c>
      <c r="KD4" t="s">
        <v>4691</v>
      </c>
      <c r="KE4" t="s">
        <v>4667</v>
      </c>
      <c r="KJ4" t="s">
        <v>4659</v>
      </c>
      <c r="KK4" t="s">
        <v>4609</v>
      </c>
      <c r="KL4" t="s">
        <v>3281</v>
      </c>
      <c r="KM4" t="s">
        <v>4594</v>
      </c>
      <c r="KN4" t="s">
        <v>4580</v>
      </c>
      <c r="KO4" t="s">
        <v>4575</v>
      </c>
      <c r="KP4" t="s">
        <v>4571</v>
      </c>
      <c r="KQ4" t="s">
        <v>2101</v>
      </c>
      <c r="KS4" t="s">
        <v>2194</v>
      </c>
      <c r="KT4" t="s">
        <v>3123</v>
      </c>
      <c r="KU4" t="s">
        <v>4468</v>
      </c>
      <c r="KV4" t="s">
        <v>2588</v>
      </c>
      <c r="KW4" t="s">
        <v>4451</v>
      </c>
      <c r="KX4" t="s">
        <v>4400</v>
      </c>
      <c r="KY4" t="s">
        <v>4398</v>
      </c>
      <c r="LA4" t="s">
        <v>2593</v>
      </c>
      <c r="LB4" t="s">
        <v>4393</v>
      </c>
      <c r="LC4" t="s">
        <v>4383</v>
      </c>
      <c r="LD4" t="s">
        <v>4375</v>
      </c>
      <c r="LE4" t="s">
        <v>4361</v>
      </c>
      <c r="LF4" t="s">
        <v>1588</v>
      </c>
      <c r="LG4" t="s">
        <v>2439</v>
      </c>
      <c r="LI4" t="s">
        <v>4351</v>
      </c>
      <c r="LJ4" t="s">
        <v>4285</v>
      </c>
      <c r="LK4" t="s">
        <v>4283</v>
      </c>
      <c r="LM4" t="s">
        <v>2799</v>
      </c>
      <c r="LN4" t="s">
        <v>4270</v>
      </c>
      <c r="LO4" t="s">
        <v>4266</v>
      </c>
      <c r="LP4" t="s">
        <v>1142</v>
      </c>
      <c r="LQ4" t="s">
        <v>4256</v>
      </c>
      <c r="LR4" t="s">
        <v>4251</v>
      </c>
      <c r="LS4" t="s">
        <v>2192</v>
      </c>
      <c r="LT4" t="s">
        <v>2581</v>
      </c>
      <c r="LU4" t="s">
        <v>4212</v>
      </c>
      <c r="LV4" t="s">
        <v>4206</v>
      </c>
      <c r="LW4" t="s">
        <v>4070</v>
      </c>
      <c r="LX4" t="s">
        <v>4189</v>
      </c>
      <c r="LY4" t="s">
        <v>4174</v>
      </c>
      <c r="LZ4" t="s">
        <v>4158</v>
      </c>
      <c r="MB4" t="s">
        <v>4116</v>
      </c>
      <c r="MC4" t="s">
        <v>4113</v>
      </c>
      <c r="MD4" t="s">
        <v>758</v>
      </c>
      <c r="MF4" t="s">
        <v>4108</v>
      </c>
      <c r="MH4" t="s">
        <v>4100</v>
      </c>
      <c r="MI4" t="s">
        <v>2036</v>
      </c>
      <c r="MJ4" t="s">
        <v>4068</v>
      </c>
      <c r="MK4" t="s">
        <v>2419</v>
      </c>
      <c r="ML4" t="s">
        <v>4063</v>
      </c>
      <c r="MM4" t="s">
        <v>2158</v>
      </c>
      <c r="MO4" t="s">
        <v>3985</v>
      </c>
      <c r="MS4" t="s">
        <v>3960</v>
      </c>
      <c r="MT4" t="s">
        <v>1844</v>
      </c>
      <c r="MU4" t="s">
        <v>3337</v>
      </c>
      <c r="MV4" t="s">
        <v>3895</v>
      </c>
      <c r="MW4" t="s">
        <v>3748</v>
      </c>
      <c r="MX4" t="s">
        <v>2773</v>
      </c>
      <c r="MY4" t="s">
        <v>5446</v>
      </c>
      <c r="MZ4" t="s">
        <v>3859</v>
      </c>
      <c r="NA4" t="s">
        <v>3844</v>
      </c>
      <c r="NB4" t="s">
        <v>1980</v>
      </c>
      <c r="ND4" t="s">
        <v>3818</v>
      </c>
      <c r="NF4" t="s">
        <v>3812</v>
      </c>
      <c r="NG4" t="s">
        <v>3794</v>
      </c>
      <c r="NH4" t="s">
        <v>3624</v>
      </c>
      <c r="NJ4" t="s">
        <v>3744</v>
      </c>
      <c r="NL4" t="s">
        <v>3731</v>
      </c>
      <c r="NM4" t="s">
        <v>3729</v>
      </c>
      <c r="NN4" t="s">
        <v>3725</v>
      </c>
      <c r="NO4" t="s">
        <v>3719</v>
      </c>
      <c r="NQ4" t="s">
        <v>3714</v>
      </c>
      <c r="NR4" t="s">
        <v>2907</v>
      </c>
      <c r="NV4" t="s">
        <v>3691</v>
      </c>
      <c r="NW4" t="s">
        <v>3672</v>
      </c>
      <c r="NX4" t="s">
        <v>2838</v>
      </c>
      <c r="NY4" t="s">
        <v>2259</v>
      </c>
      <c r="NZ4" t="s">
        <v>3647</v>
      </c>
      <c r="OA4" t="s">
        <v>3634</v>
      </c>
      <c r="OC4" t="s">
        <v>3626</v>
      </c>
      <c r="OE4" t="s">
        <v>2396</v>
      </c>
      <c r="OF4" t="s">
        <v>3613</v>
      </c>
      <c r="OG4" t="s">
        <v>3594</v>
      </c>
      <c r="OH4" t="s">
        <v>3589</v>
      </c>
      <c r="OK4" t="s">
        <v>3581</v>
      </c>
      <c r="OL4" t="s">
        <v>2844</v>
      </c>
      <c r="ON4" t="s">
        <v>3523</v>
      </c>
      <c r="OO4" t="s">
        <v>3239</v>
      </c>
      <c r="OP4" t="s">
        <v>3473</v>
      </c>
      <c r="OQ4" t="s">
        <v>2460</v>
      </c>
      <c r="OR4" t="s">
        <v>3466</v>
      </c>
      <c r="OT4" t="s">
        <v>3463</v>
      </c>
      <c r="OW4" t="s">
        <v>3455</v>
      </c>
      <c r="OX4" t="s">
        <v>3420</v>
      </c>
      <c r="OZ4" t="s">
        <v>2208</v>
      </c>
      <c r="PA4" t="s">
        <v>3398</v>
      </c>
      <c r="PB4" t="s">
        <v>3336</v>
      </c>
      <c r="PC4" t="s">
        <v>2004</v>
      </c>
      <c r="PD4" t="s">
        <v>3310</v>
      </c>
      <c r="PH4" t="s">
        <v>1675</v>
      </c>
      <c r="PI4" t="s">
        <v>3296</v>
      </c>
      <c r="PJ4" t="s">
        <v>1430</v>
      </c>
      <c r="PL4" t="s">
        <v>3290</v>
      </c>
      <c r="PM4" t="s">
        <v>3240</v>
      </c>
      <c r="PN4" t="s">
        <v>3235</v>
      </c>
      <c r="PO4" t="s">
        <v>3184</v>
      </c>
      <c r="PP4" t="s">
        <v>3175</v>
      </c>
      <c r="PQ4" t="s">
        <v>3169</v>
      </c>
      <c r="PR4" t="s">
        <v>3153</v>
      </c>
      <c r="PS4" t="s">
        <v>3149</v>
      </c>
      <c r="PT4" t="s">
        <v>3142</v>
      </c>
      <c r="PU4" t="s">
        <v>2838</v>
      </c>
      <c r="PW4" t="s">
        <v>3106</v>
      </c>
      <c r="PX4" t="s">
        <v>3099</v>
      </c>
      <c r="PZ4" t="s">
        <v>3096</v>
      </c>
      <c r="QA4" s="160" t="s">
        <v>4164</v>
      </c>
      <c r="QB4" s="163" t="s">
        <v>9002</v>
      </c>
      <c r="QC4" t="s">
        <v>2854</v>
      </c>
      <c r="QE4" t="s">
        <v>2838</v>
      </c>
      <c r="QF4" t="s">
        <v>2762</v>
      </c>
      <c r="QH4" t="s">
        <v>2753</v>
      </c>
      <c r="QI4" t="s">
        <v>2746</v>
      </c>
      <c r="QK4" t="s">
        <v>2691</v>
      </c>
      <c r="QL4" t="s">
        <v>2682</v>
      </c>
      <c r="QM4" t="s">
        <v>2494</v>
      </c>
      <c r="QN4" t="s">
        <v>2640</v>
      </c>
      <c r="QO4" t="s">
        <v>2632</v>
      </c>
      <c r="QP4" t="s">
        <v>2626</v>
      </c>
      <c r="QQ4" t="s">
        <v>2584</v>
      </c>
      <c r="QS4" t="s">
        <v>2579</v>
      </c>
      <c r="QT4" t="s">
        <v>2439</v>
      </c>
      <c r="QV4" t="s">
        <v>2366</v>
      </c>
      <c r="QW4" t="s">
        <v>2540</v>
      </c>
      <c r="QX4" t="s">
        <v>2311</v>
      </c>
      <c r="QZ4" t="s">
        <v>2511</v>
      </c>
      <c r="RB4" t="s">
        <v>2490</v>
      </c>
      <c r="RC4" t="s">
        <v>1982</v>
      </c>
      <c r="RD4" t="s">
        <v>2474</v>
      </c>
      <c r="RE4" t="s">
        <v>2463</v>
      </c>
      <c r="RG4" t="s">
        <v>2458</v>
      </c>
      <c r="RH4" t="s">
        <v>2438</v>
      </c>
      <c r="RI4" t="s">
        <v>2429</v>
      </c>
      <c r="RJ4" t="s">
        <v>2421</v>
      </c>
      <c r="RK4" t="s">
        <v>2419</v>
      </c>
      <c r="RL4" t="s">
        <v>2388</v>
      </c>
      <c r="RM4" t="s">
        <v>2379</v>
      </c>
      <c r="RN4" t="s">
        <v>2372</v>
      </c>
      <c r="RO4" t="s">
        <v>2363</v>
      </c>
      <c r="RP4" t="s">
        <v>2358</v>
      </c>
      <c r="RQ4" t="s">
        <v>2351</v>
      </c>
      <c r="RR4" t="s">
        <v>2348</v>
      </c>
      <c r="RS4" t="s">
        <v>2345</v>
      </c>
      <c r="RT4" t="s">
        <v>857</v>
      </c>
      <c r="RU4" t="s">
        <v>2303</v>
      </c>
      <c r="RV4" t="s">
        <v>2190</v>
      </c>
      <c r="RY4" t="s">
        <v>2185</v>
      </c>
      <c r="SA4" t="s">
        <v>2181</v>
      </c>
      <c r="SB4" t="s">
        <v>1700</v>
      </c>
      <c r="SC4" t="s">
        <v>2156</v>
      </c>
      <c r="SD4" t="s">
        <v>2036</v>
      </c>
      <c r="SE4" t="s">
        <v>2148</v>
      </c>
      <c r="SF4" t="s">
        <v>2140</v>
      </c>
      <c r="SG4" t="s">
        <v>2131</v>
      </c>
      <c r="SH4" t="s">
        <v>2106</v>
      </c>
      <c r="SI4" t="s">
        <v>2103</v>
      </c>
      <c r="SK4" t="s">
        <v>2093</v>
      </c>
      <c r="SL4" t="s">
        <v>2087</v>
      </c>
      <c r="SM4" t="s">
        <v>2079</v>
      </c>
      <c r="SN4" t="s">
        <v>8909</v>
      </c>
      <c r="SP4" t="s">
        <v>2075</v>
      </c>
      <c r="SQ4" t="s">
        <v>2072</v>
      </c>
      <c r="SS4" t="s">
        <v>2067</v>
      </c>
      <c r="ST4" t="s">
        <v>2058</v>
      </c>
      <c r="SU4" t="s">
        <v>2042</v>
      </c>
      <c r="SV4" t="s">
        <v>2037</v>
      </c>
      <c r="SW4" t="s">
        <v>1775</v>
      </c>
      <c r="SX4" t="s">
        <v>2019</v>
      </c>
      <c r="SZ4" t="s">
        <v>1944</v>
      </c>
      <c r="TA4" t="s">
        <v>2000</v>
      </c>
      <c r="TC4" t="s">
        <v>1718</v>
      </c>
      <c r="TD4" t="s">
        <v>1988</v>
      </c>
      <c r="TE4" t="s">
        <v>1982</v>
      </c>
      <c r="TG4" t="s">
        <v>1962</v>
      </c>
      <c r="TH4" t="s">
        <v>1934</v>
      </c>
      <c r="TI4" t="s">
        <v>1927</v>
      </c>
      <c r="TJ4" t="s">
        <v>1922</v>
      </c>
      <c r="TL4" t="s">
        <v>891</v>
      </c>
    </row>
    <row r="5" spans="1:533" x14ac:dyDescent="0.25">
      <c r="B5" t="s">
        <v>1895</v>
      </c>
      <c r="E5" t="s">
        <v>7802</v>
      </c>
      <c r="F5" t="s">
        <v>7782</v>
      </c>
      <c r="G5" t="s">
        <v>7775</v>
      </c>
      <c r="J5" t="s">
        <v>6989</v>
      </c>
      <c r="K5" t="s">
        <v>2132</v>
      </c>
      <c r="L5" t="s">
        <v>7755</v>
      </c>
      <c r="P5" t="s">
        <v>2588</v>
      </c>
      <c r="R5" t="s">
        <v>7738</v>
      </c>
      <c r="S5" t="s">
        <v>7711</v>
      </c>
      <c r="T5" t="s">
        <v>4624</v>
      </c>
      <c r="U5" t="s">
        <v>6735</v>
      </c>
      <c r="V5" t="s">
        <v>5991</v>
      </c>
      <c r="Y5" t="s">
        <v>7667</v>
      </c>
      <c r="Z5" t="s">
        <v>887</v>
      </c>
      <c r="AA5" t="s">
        <v>7618</v>
      </c>
      <c r="AB5" t="s">
        <v>7613</v>
      </c>
      <c r="AD5" t="s">
        <v>4261</v>
      </c>
      <c r="AE5" t="s">
        <v>3365</v>
      </c>
      <c r="AF5" t="s">
        <v>7605</v>
      </c>
      <c r="AG5" t="s">
        <v>7533</v>
      </c>
      <c r="AH5" t="s">
        <v>7477</v>
      </c>
      <c r="AJ5" t="s">
        <v>2132</v>
      </c>
      <c r="AK5" t="s">
        <v>4067</v>
      </c>
      <c r="AL5" t="s">
        <v>7439</v>
      </c>
      <c r="AM5" t="s">
        <v>7424</v>
      </c>
      <c r="AN5" t="s">
        <v>8919</v>
      </c>
      <c r="AO5" t="s">
        <v>7421</v>
      </c>
      <c r="AS5" s="56" t="s">
        <v>7410</v>
      </c>
      <c r="AT5" t="s">
        <v>7404</v>
      </c>
      <c r="AU5" t="s">
        <v>2142</v>
      </c>
      <c r="AW5" t="s">
        <v>7384</v>
      </c>
      <c r="AZ5" t="s">
        <v>7284</v>
      </c>
      <c r="BB5" t="s">
        <v>7278</v>
      </c>
      <c r="BC5" t="s">
        <v>7267</v>
      </c>
      <c r="BE5" t="s">
        <v>7262</v>
      </c>
      <c r="BF5" t="s">
        <v>7231</v>
      </c>
      <c r="BH5" t="s">
        <v>7208</v>
      </c>
      <c r="BI5" t="s">
        <v>7205</v>
      </c>
      <c r="BL5" t="s">
        <v>2412</v>
      </c>
      <c r="BO5" t="s">
        <v>7162</v>
      </c>
      <c r="BP5" t="s">
        <v>7157</v>
      </c>
      <c r="BQ5" t="s">
        <v>6892</v>
      </c>
      <c r="BR5" t="s">
        <v>7151</v>
      </c>
      <c r="BU5" t="s">
        <v>7095</v>
      </c>
      <c r="BW5" t="s">
        <v>5536</v>
      </c>
      <c r="BY5" t="s">
        <v>7062</v>
      </c>
      <c r="BZ5" t="s">
        <v>3701</v>
      </c>
      <c r="CA5" t="s">
        <v>4181</v>
      </c>
      <c r="CC5" t="s">
        <v>5588</v>
      </c>
      <c r="CD5" t="s">
        <v>3801</v>
      </c>
      <c r="CE5" t="s">
        <v>2393</v>
      </c>
      <c r="CF5" t="s">
        <v>8253</v>
      </c>
      <c r="CH5" t="s">
        <v>2199</v>
      </c>
      <c r="CI5" t="s">
        <v>6981</v>
      </c>
      <c r="CJ5" t="s">
        <v>3303</v>
      </c>
      <c r="CK5" s="9" t="s">
        <v>6970</v>
      </c>
      <c r="CL5" t="s">
        <v>6970</v>
      </c>
      <c r="CM5" t="s">
        <v>3795</v>
      </c>
      <c r="CN5" t="s">
        <v>6963</v>
      </c>
      <c r="CO5" t="s">
        <v>6960</v>
      </c>
      <c r="CS5" t="s">
        <v>4075</v>
      </c>
      <c r="CT5" t="s">
        <v>6918</v>
      </c>
      <c r="CU5" t="s">
        <v>6860</v>
      </c>
      <c r="CW5" t="s">
        <v>6854</v>
      </c>
      <c r="CX5" t="s">
        <v>6835</v>
      </c>
      <c r="CY5" t="s">
        <v>2009</v>
      </c>
      <c r="CZ5" t="s">
        <v>4286</v>
      </c>
      <c r="DA5" t="s">
        <v>6797</v>
      </c>
      <c r="DB5" t="s">
        <v>6783</v>
      </c>
      <c r="DC5" t="s">
        <v>6779</v>
      </c>
      <c r="DF5" t="s">
        <v>6726</v>
      </c>
      <c r="DG5" t="s">
        <v>6717</v>
      </c>
      <c r="DH5" t="s">
        <v>6681</v>
      </c>
      <c r="DI5" t="s">
        <v>4384</v>
      </c>
      <c r="DM5" t="s">
        <v>6649</v>
      </c>
      <c r="DN5" t="s">
        <v>6451</v>
      </c>
      <c r="DO5" t="s">
        <v>4961</v>
      </c>
      <c r="DT5" t="s">
        <v>6583</v>
      </c>
      <c r="DU5" t="s">
        <v>6475</v>
      </c>
      <c r="DV5" t="s">
        <v>1266</v>
      </c>
      <c r="DX5" t="s">
        <v>1891</v>
      </c>
      <c r="DZ5" t="s">
        <v>6503</v>
      </c>
      <c r="EA5" t="s">
        <v>5848</v>
      </c>
      <c r="EB5" t="s">
        <v>6464</v>
      </c>
      <c r="EC5" t="s">
        <v>6452</v>
      </c>
      <c r="ED5" t="s">
        <v>3811</v>
      </c>
      <c r="EE5" t="s">
        <v>2759</v>
      </c>
      <c r="EG5" t="s">
        <v>2529</v>
      </c>
      <c r="EI5" t="s">
        <v>6343</v>
      </c>
      <c r="EL5" t="s">
        <v>6325</v>
      </c>
      <c r="EN5" t="s">
        <v>2703</v>
      </c>
      <c r="EP5" t="s">
        <v>6299</v>
      </c>
      <c r="EQ5" t="s">
        <v>5778</v>
      </c>
      <c r="ES5" t="s">
        <v>6195</v>
      </c>
      <c r="EU5" t="s">
        <v>1353</v>
      </c>
      <c r="EX5" t="s">
        <v>6119</v>
      </c>
      <c r="EY5" t="s">
        <v>3351</v>
      </c>
      <c r="EZ5" t="s">
        <v>6092</v>
      </c>
      <c r="FA5" t="s">
        <v>2316</v>
      </c>
      <c r="FB5" t="s">
        <v>1490</v>
      </c>
      <c r="FF5" t="s">
        <v>6067</v>
      </c>
      <c r="FH5" t="s">
        <v>6053</v>
      </c>
      <c r="FK5" t="s">
        <v>2122</v>
      </c>
      <c r="FM5" t="s">
        <v>6028</v>
      </c>
      <c r="FO5" t="s">
        <v>1973</v>
      </c>
      <c r="FP5" t="s">
        <v>6006</v>
      </c>
      <c r="FQ5" t="s">
        <v>6002</v>
      </c>
      <c r="FR5" t="s">
        <v>1075</v>
      </c>
      <c r="FS5" t="s">
        <v>748</v>
      </c>
      <c r="FT5" t="s">
        <v>5992</v>
      </c>
      <c r="FU5" t="s">
        <v>5987</v>
      </c>
      <c r="FV5" t="s">
        <v>765</v>
      </c>
      <c r="FX5" t="s">
        <v>1944</v>
      </c>
      <c r="FY5" t="s">
        <v>746</v>
      </c>
      <c r="FZ5" t="s">
        <v>5948</v>
      </c>
      <c r="GA5" t="s">
        <v>5935</v>
      </c>
      <c r="GB5" t="s">
        <v>5930</v>
      </c>
      <c r="GD5" t="s">
        <v>3587</v>
      </c>
      <c r="GE5" t="s">
        <v>5890</v>
      </c>
      <c r="GF5" t="s">
        <v>5883</v>
      </c>
      <c r="GG5" t="s">
        <v>5863</v>
      </c>
      <c r="GI5" t="s">
        <v>5849</v>
      </c>
      <c r="GJ5" t="s">
        <v>5842</v>
      </c>
      <c r="GM5" t="s">
        <v>5836</v>
      </c>
      <c r="GO5" t="s">
        <v>5780</v>
      </c>
      <c r="GP5" t="s">
        <v>5751</v>
      </c>
      <c r="GY5" t="s">
        <v>1460</v>
      </c>
      <c r="HB5" t="s">
        <v>5711</v>
      </c>
      <c r="HC5" t="s">
        <v>5601</v>
      </c>
      <c r="HE5" t="s">
        <v>2806</v>
      </c>
      <c r="HF5" t="s">
        <v>5577</v>
      </c>
      <c r="HG5" t="s">
        <v>5086</v>
      </c>
      <c r="HI5" t="s">
        <v>5558</v>
      </c>
      <c r="HK5" t="s">
        <v>5552</v>
      </c>
      <c r="HL5" t="s">
        <v>5549</v>
      </c>
      <c r="HM5" t="s">
        <v>3122</v>
      </c>
      <c r="HN5" t="s">
        <v>5520</v>
      </c>
      <c r="HP5" t="s">
        <v>5515</v>
      </c>
      <c r="HS5" t="s">
        <v>4817</v>
      </c>
      <c r="HT5" t="s">
        <v>5504</v>
      </c>
      <c r="HV5" t="s">
        <v>2437</v>
      </c>
      <c r="HW5" t="s">
        <v>5393</v>
      </c>
      <c r="HY5" t="s">
        <v>3811</v>
      </c>
      <c r="HZ5" t="s">
        <v>4165</v>
      </c>
      <c r="IA5" t="s">
        <v>2899</v>
      </c>
      <c r="IB5" t="s">
        <v>2996</v>
      </c>
      <c r="ID5" t="s">
        <v>5303</v>
      </c>
      <c r="IE5" t="s">
        <v>1775</v>
      </c>
      <c r="IF5" t="s">
        <v>5261</v>
      </c>
      <c r="IH5" t="s">
        <v>5246</v>
      </c>
      <c r="IJ5" t="s">
        <v>5244</v>
      </c>
      <c r="IK5" t="s">
        <v>2023</v>
      </c>
      <c r="IL5" t="s">
        <v>1901</v>
      </c>
      <c r="IM5" t="s">
        <v>5197</v>
      </c>
      <c r="IO5" t="s">
        <v>5192</v>
      </c>
      <c r="IP5" t="s">
        <v>5187</v>
      </c>
      <c r="IS5" t="s">
        <v>3331</v>
      </c>
      <c r="IT5" t="s">
        <v>3310</v>
      </c>
      <c r="IV5" t="s">
        <v>5061</v>
      </c>
      <c r="IW5" t="s">
        <v>1261</v>
      </c>
      <c r="IX5" t="s">
        <v>4940</v>
      </c>
      <c r="IZ5" t="s">
        <v>2030</v>
      </c>
      <c r="JF5" t="s">
        <v>4925</v>
      </c>
      <c r="JH5" t="s">
        <v>3515</v>
      </c>
      <c r="JI5" t="s">
        <v>4907</v>
      </c>
      <c r="JJ5" t="s">
        <v>4836</v>
      </c>
      <c r="JL5" t="s">
        <v>4828</v>
      </c>
      <c r="JN5" t="s">
        <v>4824</v>
      </c>
      <c r="JP5" t="s">
        <v>4820</v>
      </c>
      <c r="JQ5" t="s">
        <v>4814</v>
      </c>
      <c r="JR5" t="s">
        <v>4808</v>
      </c>
      <c r="JS5" t="s">
        <v>4798</v>
      </c>
      <c r="JT5" t="s">
        <v>2052</v>
      </c>
      <c r="JU5" t="s">
        <v>1775</v>
      </c>
      <c r="JW5" t="s">
        <v>4786</v>
      </c>
      <c r="JX5" t="s">
        <v>4777</v>
      </c>
      <c r="JY5" t="s">
        <v>4774</v>
      </c>
      <c r="JZ5" t="s">
        <v>4722</v>
      </c>
      <c r="KA5" t="s">
        <v>4720</v>
      </c>
      <c r="KB5" t="s">
        <v>4713</v>
      </c>
      <c r="KC5" t="s">
        <v>2042</v>
      </c>
      <c r="KD5" t="s">
        <v>4692</v>
      </c>
      <c r="KE5" t="s">
        <v>1325</v>
      </c>
      <c r="KJ5" t="s">
        <v>4660</v>
      </c>
      <c r="KK5" t="s">
        <v>4610</v>
      </c>
      <c r="KL5" t="s">
        <v>1616</v>
      </c>
      <c r="KM5" t="s">
        <v>4595</v>
      </c>
      <c r="KN5" t="s">
        <v>2092</v>
      </c>
      <c r="KO5" t="s">
        <v>4576</v>
      </c>
      <c r="KP5" t="s">
        <v>2132</v>
      </c>
      <c r="KQ5" t="s">
        <v>4552</v>
      </c>
      <c r="KS5" t="s">
        <v>4513</v>
      </c>
      <c r="KT5" t="s">
        <v>4485</v>
      </c>
      <c r="KU5" t="s">
        <v>4469</v>
      </c>
      <c r="KV5" t="s">
        <v>945</v>
      </c>
      <c r="KW5" t="s">
        <v>4452</v>
      </c>
      <c r="KX5" t="s">
        <v>3184</v>
      </c>
      <c r="LA5" t="s">
        <v>4396</v>
      </c>
      <c r="LC5" t="s">
        <v>2494</v>
      </c>
      <c r="LD5" t="s">
        <v>4376</v>
      </c>
      <c r="LE5" t="s">
        <v>4362</v>
      </c>
      <c r="LG5" t="s">
        <v>4359</v>
      </c>
      <c r="LI5" t="s">
        <v>4352</v>
      </c>
      <c r="LJ5" t="s">
        <v>4286</v>
      </c>
      <c r="LM5" t="s">
        <v>4281</v>
      </c>
      <c r="LN5" t="s">
        <v>4271</v>
      </c>
      <c r="LO5" t="s">
        <v>4267</v>
      </c>
      <c r="LP5" t="s">
        <v>2444</v>
      </c>
      <c r="LR5" t="s">
        <v>3400</v>
      </c>
      <c r="LS5" t="s">
        <v>4219</v>
      </c>
      <c r="LU5" t="s">
        <v>4213</v>
      </c>
      <c r="LV5" t="s">
        <v>4207</v>
      </c>
      <c r="LW5" t="s">
        <v>3503</v>
      </c>
      <c r="LX5" t="s">
        <v>4190</v>
      </c>
      <c r="LY5" t="s">
        <v>3525</v>
      </c>
      <c r="LZ5" t="s">
        <v>4160</v>
      </c>
      <c r="MB5" t="s">
        <v>3960</v>
      </c>
      <c r="MC5" t="s">
        <v>3795</v>
      </c>
      <c r="MH5" t="s">
        <v>3215</v>
      </c>
      <c r="MI5" t="s">
        <v>4071</v>
      </c>
      <c r="MJ5" t="s">
        <v>2062</v>
      </c>
      <c r="ML5" t="s">
        <v>2265</v>
      </c>
      <c r="MM5" t="s">
        <v>4049</v>
      </c>
      <c r="MO5" t="s">
        <v>3986</v>
      </c>
      <c r="MS5" t="s">
        <v>2773</v>
      </c>
      <c r="MT5" t="s">
        <v>3286</v>
      </c>
      <c r="MU5" t="s">
        <v>1998</v>
      </c>
      <c r="MV5" t="s">
        <v>2158</v>
      </c>
      <c r="MW5" t="s">
        <v>1903</v>
      </c>
      <c r="MX5" t="s">
        <v>3868</v>
      </c>
      <c r="MY5" s="12" t="s">
        <v>10323</v>
      </c>
      <c r="MZ5" t="s">
        <v>3860</v>
      </c>
      <c r="NA5" t="s">
        <v>3845</v>
      </c>
      <c r="NB5" t="s">
        <v>3834</v>
      </c>
      <c r="ND5" t="s">
        <v>3819</v>
      </c>
      <c r="NF5" t="s">
        <v>3629</v>
      </c>
      <c r="NG5" t="s">
        <v>1775</v>
      </c>
      <c r="NH5" t="s">
        <v>3767</v>
      </c>
      <c r="NJ5" t="s">
        <v>3745</v>
      </c>
      <c r="NL5" t="s">
        <v>3732</v>
      </c>
      <c r="NN5" t="s">
        <v>3726</v>
      </c>
      <c r="NO5" t="s">
        <v>3720</v>
      </c>
      <c r="NQ5" t="s">
        <v>3715</v>
      </c>
      <c r="NR5" t="s">
        <v>3698</v>
      </c>
      <c r="NV5" t="s">
        <v>3692</v>
      </c>
      <c r="NW5" t="s">
        <v>3673</v>
      </c>
      <c r="NX5" t="s">
        <v>3655</v>
      </c>
      <c r="NZ5" t="s">
        <v>1075</v>
      </c>
      <c r="OA5" t="s">
        <v>3635</v>
      </c>
      <c r="OC5" t="s">
        <v>3627</v>
      </c>
      <c r="OE5" t="s">
        <v>3622</v>
      </c>
      <c r="OF5" t="s">
        <v>3614</v>
      </c>
      <c r="OG5" t="s">
        <v>3595</v>
      </c>
      <c r="OH5" t="s">
        <v>3130</v>
      </c>
      <c r="OK5" t="s">
        <v>1080</v>
      </c>
      <c r="ON5" t="s">
        <v>3524</v>
      </c>
      <c r="OO5" t="s">
        <v>3500</v>
      </c>
      <c r="OP5" t="s">
        <v>2919</v>
      </c>
      <c r="OQ5" t="s">
        <v>3470</v>
      </c>
      <c r="OR5" t="s">
        <v>3467</v>
      </c>
      <c r="OW5" t="s">
        <v>3456</v>
      </c>
      <c r="OX5" t="s">
        <v>3421</v>
      </c>
      <c r="OZ5" t="s">
        <v>3409</v>
      </c>
      <c r="PA5" t="s">
        <v>3355</v>
      </c>
      <c r="PB5" t="s">
        <v>3337</v>
      </c>
      <c r="PC5" t="s">
        <v>3306</v>
      </c>
      <c r="PD5" t="s">
        <v>3311</v>
      </c>
      <c r="PI5" t="s">
        <v>1827</v>
      </c>
      <c r="PJ5" t="s">
        <v>3294</v>
      </c>
      <c r="PL5" t="s">
        <v>2568</v>
      </c>
      <c r="PM5" t="s">
        <v>946</v>
      </c>
      <c r="PN5" t="s">
        <v>3236</v>
      </c>
      <c r="PO5" t="s">
        <v>1427</v>
      </c>
      <c r="PP5" t="s">
        <v>3176</v>
      </c>
      <c r="PQ5" t="s">
        <v>3170</v>
      </c>
      <c r="PR5" t="s">
        <v>1965</v>
      </c>
      <c r="PS5" t="s">
        <v>1075</v>
      </c>
      <c r="PT5" t="s">
        <v>3143</v>
      </c>
      <c r="PU5" t="s">
        <v>3124</v>
      </c>
      <c r="PW5" t="s">
        <v>3107</v>
      </c>
      <c r="PX5" t="s">
        <v>3100</v>
      </c>
      <c r="QA5" s="9" t="s">
        <v>5588</v>
      </c>
      <c r="QB5" s="163" t="s">
        <v>9002</v>
      </c>
      <c r="QC5" t="s">
        <v>2378</v>
      </c>
      <c r="QE5" t="s">
        <v>2839</v>
      </c>
      <c r="QF5" t="s">
        <v>2763</v>
      </c>
      <c r="QH5" t="s">
        <v>2754</v>
      </c>
      <c r="QI5" t="s">
        <v>2747</v>
      </c>
      <c r="QK5" t="s">
        <v>2692</v>
      </c>
      <c r="QL5" t="s">
        <v>2683</v>
      </c>
      <c r="QM5" t="s">
        <v>2226</v>
      </c>
      <c r="QN5" t="s">
        <v>2641</v>
      </c>
      <c r="QO5" t="s">
        <v>2633</v>
      </c>
      <c r="QP5" t="s">
        <v>2627</v>
      </c>
      <c r="QQ5" t="s">
        <v>2585</v>
      </c>
      <c r="QS5" t="s">
        <v>2580</v>
      </c>
      <c r="QT5" t="s">
        <v>2573</v>
      </c>
      <c r="QV5" t="s">
        <v>2566</v>
      </c>
      <c r="QW5" t="s">
        <v>2541</v>
      </c>
      <c r="QX5" t="s">
        <v>2519</v>
      </c>
      <c r="QZ5" t="s">
        <v>2512</v>
      </c>
      <c r="RB5" t="s">
        <v>2491</v>
      </c>
      <c r="RC5" t="s">
        <v>2486</v>
      </c>
      <c r="RD5" t="s">
        <v>2475</v>
      </c>
      <c r="RE5" t="s">
        <v>2464</v>
      </c>
      <c r="RG5" t="s">
        <v>2289</v>
      </c>
      <c r="RH5" t="s">
        <v>2439</v>
      </c>
      <c r="RI5" t="s">
        <v>2430</v>
      </c>
      <c r="RJ5" t="s">
        <v>2422</v>
      </c>
      <c r="RL5" t="s">
        <v>2389</v>
      </c>
      <c r="RM5" t="s">
        <v>2380</v>
      </c>
      <c r="RN5" t="s">
        <v>2373</v>
      </c>
      <c r="RO5" t="s">
        <v>2364</v>
      </c>
      <c r="RP5" t="s">
        <v>2359</v>
      </c>
      <c r="RQ5" t="s">
        <v>2352</v>
      </c>
      <c r="RT5" t="s">
        <v>2308</v>
      </c>
      <c r="RU5" t="s">
        <v>2304</v>
      </c>
      <c r="RV5" t="s">
        <v>2191</v>
      </c>
      <c r="SB5" t="s">
        <v>2166</v>
      </c>
      <c r="SC5" t="s">
        <v>2157</v>
      </c>
      <c r="SD5" t="s">
        <v>2151</v>
      </c>
      <c r="SF5" t="s">
        <v>2141</v>
      </c>
      <c r="SG5" t="s">
        <v>2132</v>
      </c>
      <c r="SH5" t="s">
        <v>2107</v>
      </c>
      <c r="SK5" t="s">
        <v>2094</v>
      </c>
      <c r="SL5" t="s">
        <v>2088</v>
      </c>
      <c r="SM5" t="s">
        <v>2080</v>
      </c>
      <c r="SN5" t="s">
        <v>8910</v>
      </c>
      <c r="SP5" t="s">
        <v>10276</v>
      </c>
      <c r="SS5" t="s">
        <v>2068</v>
      </c>
      <c r="ST5" t="s">
        <v>2059</v>
      </c>
      <c r="SU5" t="s">
        <v>2043</v>
      </c>
      <c r="SV5" t="s">
        <v>2038</v>
      </c>
      <c r="SW5" t="s">
        <v>2023</v>
      </c>
      <c r="SX5" t="s">
        <v>2020</v>
      </c>
      <c r="SZ5" t="s">
        <v>754</v>
      </c>
      <c r="TA5" t="s">
        <v>2001</v>
      </c>
      <c r="TC5" t="s">
        <v>1992</v>
      </c>
      <c r="TD5" t="s">
        <v>1944</v>
      </c>
      <c r="TE5" t="s">
        <v>1983</v>
      </c>
      <c r="TG5" t="s">
        <v>1963</v>
      </c>
      <c r="TH5" t="s">
        <v>1935</v>
      </c>
      <c r="TI5" t="s">
        <v>1928</v>
      </c>
      <c r="TJ5" t="s">
        <v>1923</v>
      </c>
      <c r="TL5" t="s">
        <v>1915</v>
      </c>
    </row>
    <row r="6" spans="1:533" x14ac:dyDescent="0.25">
      <c r="B6" t="s">
        <v>1896</v>
      </c>
      <c r="F6" t="s">
        <v>5393</v>
      </c>
      <c r="G6" t="s">
        <v>7776</v>
      </c>
      <c r="J6" t="s">
        <v>7766</v>
      </c>
      <c r="K6" t="s">
        <v>7762</v>
      </c>
      <c r="L6" t="s">
        <v>7756</v>
      </c>
      <c r="P6" t="s">
        <v>7741</v>
      </c>
      <c r="R6" t="s">
        <v>7739</v>
      </c>
      <c r="S6" t="s">
        <v>3867</v>
      </c>
      <c r="T6" t="s">
        <v>7701</v>
      </c>
      <c r="U6" t="s">
        <v>6238</v>
      </c>
      <c r="V6" t="s">
        <v>7674</v>
      </c>
      <c r="Z6" t="s">
        <v>7659</v>
      </c>
      <c r="AA6" t="s">
        <v>4949</v>
      </c>
      <c r="AB6" t="s">
        <v>3885</v>
      </c>
      <c r="AD6" t="s">
        <v>7610</v>
      </c>
      <c r="AE6" t="s">
        <v>1944</v>
      </c>
      <c r="AF6" t="s">
        <v>3578</v>
      </c>
      <c r="AG6" t="s">
        <v>2361</v>
      </c>
      <c r="AH6" t="s">
        <v>7478</v>
      </c>
      <c r="AJ6" t="s">
        <v>7474</v>
      </c>
      <c r="AK6" t="s">
        <v>5536</v>
      </c>
      <c r="AL6" t="s">
        <v>7440</v>
      </c>
      <c r="AM6" t="s">
        <v>3525</v>
      </c>
      <c r="AN6" t="s">
        <v>8920</v>
      </c>
      <c r="AS6" s="56" t="s">
        <v>7411</v>
      </c>
      <c r="AT6" t="s">
        <v>7405</v>
      </c>
      <c r="AU6" t="s">
        <v>7393</v>
      </c>
      <c r="AW6" t="s">
        <v>7385</v>
      </c>
      <c r="AZ6" t="s">
        <v>7285</v>
      </c>
      <c r="BC6" t="s">
        <v>6600</v>
      </c>
      <c r="BE6" t="s">
        <v>2807</v>
      </c>
      <c r="BF6" t="s">
        <v>7232</v>
      </c>
      <c r="BH6" t="s">
        <v>7209</v>
      </c>
      <c r="BL6" t="s">
        <v>2053</v>
      </c>
      <c r="BO6" t="s">
        <v>7163</v>
      </c>
      <c r="BP6" t="s">
        <v>7158</v>
      </c>
      <c r="BQ6" t="s">
        <v>6893</v>
      </c>
      <c r="BR6" t="s">
        <v>7152</v>
      </c>
      <c r="BU6" t="s">
        <v>7096</v>
      </c>
      <c r="BW6" t="s">
        <v>7068</v>
      </c>
      <c r="BY6" t="s">
        <v>7063</v>
      </c>
      <c r="BZ6" t="s">
        <v>7056</v>
      </c>
      <c r="CA6" t="s">
        <v>7052</v>
      </c>
      <c r="CC6" t="s">
        <v>7051</v>
      </c>
      <c r="CD6" t="s">
        <v>7046</v>
      </c>
      <c r="CE6" t="s">
        <v>7026</v>
      </c>
      <c r="CF6" t="s">
        <v>7023</v>
      </c>
      <c r="CH6" t="s">
        <v>2855</v>
      </c>
      <c r="CI6" t="s">
        <v>6982</v>
      </c>
      <c r="CJ6" t="s">
        <v>4242</v>
      </c>
      <c r="CK6" s="160" t="s">
        <v>6971</v>
      </c>
      <c r="CL6" t="s">
        <v>6971</v>
      </c>
      <c r="CM6" t="s">
        <v>6966</v>
      </c>
      <c r="CS6" t="s">
        <v>6945</v>
      </c>
      <c r="CT6" t="s">
        <v>6919</v>
      </c>
      <c r="CU6" t="s">
        <v>6861</v>
      </c>
      <c r="CW6" t="s">
        <v>6855</v>
      </c>
      <c r="CX6" t="s">
        <v>6836</v>
      </c>
      <c r="CZ6" t="s">
        <v>6814</v>
      </c>
      <c r="DA6" t="s">
        <v>6798</v>
      </c>
      <c r="DB6" t="s">
        <v>6784</v>
      </c>
      <c r="DF6" t="s">
        <v>6727</v>
      </c>
      <c r="DG6" t="s">
        <v>6718</v>
      </c>
      <c r="DH6" t="s">
        <v>6682</v>
      </c>
      <c r="DI6" t="s">
        <v>4266</v>
      </c>
      <c r="DM6" t="s">
        <v>6650</v>
      </c>
      <c r="DN6" t="s">
        <v>6598</v>
      </c>
      <c r="DO6" t="s">
        <v>4776</v>
      </c>
      <c r="DU6" t="s">
        <v>4933</v>
      </c>
      <c r="DV6" t="s">
        <v>2511</v>
      </c>
      <c r="DX6" t="s">
        <v>6575</v>
      </c>
      <c r="DZ6" t="s">
        <v>6504</v>
      </c>
      <c r="EA6" t="s">
        <v>3867</v>
      </c>
      <c r="EB6" t="s">
        <v>6465</v>
      </c>
      <c r="EC6" t="s">
        <v>6453</v>
      </c>
      <c r="ED6" t="s">
        <v>6420</v>
      </c>
      <c r="EE6" t="s">
        <v>6414</v>
      </c>
      <c r="EI6" t="s">
        <v>857</v>
      </c>
      <c r="EL6" t="s">
        <v>6326</v>
      </c>
      <c r="EN6" t="s">
        <v>2805</v>
      </c>
      <c r="EP6" t="s">
        <v>2106</v>
      </c>
      <c r="EQ6" t="s">
        <v>3335</v>
      </c>
      <c r="ES6" t="s">
        <v>6196</v>
      </c>
      <c r="EU6" t="s">
        <v>6130</v>
      </c>
      <c r="EX6" t="s">
        <v>6120</v>
      </c>
      <c r="EY6" t="s">
        <v>6096</v>
      </c>
      <c r="EZ6" t="s">
        <v>3889</v>
      </c>
      <c r="FA6" t="s">
        <v>2497</v>
      </c>
      <c r="FB6" t="s">
        <v>3400</v>
      </c>
      <c r="FF6" t="s">
        <v>6068</v>
      </c>
      <c r="FH6" t="s">
        <v>4632</v>
      </c>
      <c r="FK6" t="s">
        <v>2508</v>
      </c>
      <c r="FM6" t="s">
        <v>6029</v>
      </c>
      <c r="FO6" t="s">
        <v>6024</v>
      </c>
      <c r="FP6" t="s">
        <v>6007</v>
      </c>
      <c r="FQ6" t="s">
        <v>6003</v>
      </c>
      <c r="FR6" t="s">
        <v>5998</v>
      </c>
      <c r="FS6" t="s">
        <v>1571</v>
      </c>
      <c r="FT6" t="s">
        <v>1507</v>
      </c>
      <c r="FU6" t="s">
        <v>4669</v>
      </c>
      <c r="FV6" t="s">
        <v>5603</v>
      </c>
      <c r="FX6" t="s">
        <v>5954</v>
      </c>
      <c r="FZ6" t="s">
        <v>5949</v>
      </c>
      <c r="GA6" t="s">
        <v>5936</v>
      </c>
      <c r="GB6" t="s">
        <v>5931</v>
      </c>
      <c r="GD6" t="s">
        <v>5919</v>
      </c>
      <c r="GE6" t="s">
        <v>2350</v>
      </c>
      <c r="GF6" t="s">
        <v>5884</v>
      </c>
      <c r="GG6" t="s">
        <v>3357</v>
      </c>
      <c r="GI6" t="s">
        <v>5850</v>
      </c>
      <c r="GJ6" t="s">
        <v>5843</v>
      </c>
      <c r="GO6" t="s">
        <v>5781</v>
      </c>
      <c r="GP6" t="s">
        <v>5752</v>
      </c>
      <c r="GY6" t="s">
        <v>5734</v>
      </c>
      <c r="HB6" t="s">
        <v>5712</v>
      </c>
      <c r="HC6" t="s">
        <v>5602</v>
      </c>
      <c r="HE6" t="s">
        <v>5595</v>
      </c>
      <c r="HF6" t="s">
        <v>3525</v>
      </c>
      <c r="HG6" t="s">
        <v>2023</v>
      </c>
      <c r="HI6" t="s">
        <v>3400</v>
      </c>
      <c r="HL6" t="s">
        <v>5550</v>
      </c>
      <c r="HM6" t="s">
        <v>5535</v>
      </c>
      <c r="HN6" t="s">
        <v>5521</v>
      </c>
      <c r="HP6" t="s">
        <v>5516</v>
      </c>
      <c r="HT6" t="s">
        <v>5505</v>
      </c>
      <c r="HV6" t="s">
        <v>5422</v>
      </c>
      <c r="HW6" t="s">
        <v>5394</v>
      </c>
      <c r="HY6" t="s">
        <v>946</v>
      </c>
      <c r="HZ6" t="s">
        <v>5339</v>
      </c>
      <c r="IA6" t="s">
        <v>2900</v>
      </c>
      <c r="IB6" t="s">
        <v>1995</v>
      </c>
      <c r="ID6" t="s">
        <v>5304</v>
      </c>
      <c r="IE6" t="s">
        <v>5296</v>
      </c>
      <c r="IF6" t="s">
        <v>5262</v>
      </c>
      <c r="IH6" t="s">
        <v>1306</v>
      </c>
      <c r="IK6" t="s">
        <v>5240</v>
      </c>
      <c r="IL6" t="s">
        <v>5236</v>
      </c>
      <c r="IM6" t="s">
        <v>4288</v>
      </c>
      <c r="IO6" s="12" t="s">
        <v>10280</v>
      </c>
      <c r="IP6" t="s">
        <v>5188</v>
      </c>
      <c r="IT6" t="s">
        <v>5076</v>
      </c>
      <c r="IV6" t="s">
        <v>5062</v>
      </c>
      <c r="IW6" t="s">
        <v>5049</v>
      </c>
      <c r="IX6" t="s">
        <v>4941</v>
      </c>
      <c r="IZ6" t="s">
        <v>4936</v>
      </c>
      <c r="JF6" t="s">
        <v>4926</v>
      </c>
      <c r="JH6" t="s">
        <v>2032</v>
      </c>
      <c r="JI6" t="s">
        <v>4908</v>
      </c>
      <c r="JJ6" t="s">
        <v>1430</v>
      </c>
      <c r="JL6" t="s">
        <v>1719</v>
      </c>
      <c r="JN6" t="s">
        <v>3648</v>
      </c>
      <c r="JQ6" t="s">
        <v>4815</v>
      </c>
      <c r="JR6" t="s">
        <v>4809</v>
      </c>
      <c r="JS6" t="s">
        <v>2983</v>
      </c>
      <c r="JU6" t="s">
        <v>4788</v>
      </c>
      <c r="JX6" t="s">
        <v>1823</v>
      </c>
      <c r="JZ6" t="s">
        <v>4723</v>
      </c>
      <c r="KA6" t="s">
        <v>4721</v>
      </c>
      <c r="KB6" t="s">
        <v>1840</v>
      </c>
      <c r="KC6" t="s">
        <v>4075</v>
      </c>
      <c r="KD6" t="s">
        <v>4693</v>
      </c>
      <c r="KE6" t="s">
        <v>4668</v>
      </c>
      <c r="KJ6" t="s">
        <v>4661</v>
      </c>
      <c r="KK6" t="s">
        <v>4611</v>
      </c>
      <c r="KL6" t="s">
        <v>1910</v>
      </c>
      <c r="KM6" t="s">
        <v>4596</v>
      </c>
      <c r="KN6" t="s">
        <v>4581</v>
      </c>
      <c r="KO6" t="s">
        <v>4577</v>
      </c>
      <c r="KP6" t="s">
        <v>2419</v>
      </c>
      <c r="KQ6" t="s">
        <v>4553</v>
      </c>
      <c r="KS6" t="s">
        <v>742</v>
      </c>
      <c r="KT6" t="s">
        <v>4486</v>
      </c>
      <c r="KU6" t="s">
        <v>4470</v>
      </c>
      <c r="KV6" t="s">
        <v>4463</v>
      </c>
      <c r="KW6" t="s">
        <v>4453</v>
      </c>
      <c r="KX6" t="s">
        <v>4401</v>
      </c>
      <c r="LA6" t="s">
        <v>1827</v>
      </c>
      <c r="LC6" t="s">
        <v>4384</v>
      </c>
      <c r="LD6" t="s">
        <v>4377</v>
      </c>
      <c r="LE6" t="s">
        <v>1818</v>
      </c>
      <c r="LI6" t="s">
        <v>4353</v>
      </c>
      <c r="LJ6" t="s">
        <v>4287</v>
      </c>
      <c r="LN6" t="s">
        <v>4272</v>
      </c>
      <c r="LO6" t="s">
        <v>4268</v>
      </c>
      <c r="LP6" t="s">
        <v>4258</v>
      </c>
      <c r="LR6" t="s">
        <v>2524</v>
      </c>
      <c r="LS6" t="s">
        <v>742</v>
      </c>
      <c r="LU6" t="s">
        <v>2252</v>
      </c>
      <c r="LV6" t="s">
        <v>4208</v>
      </c>
      <c r="LW6" t="s">
        <v>4195</v>
      </c>
      <c r="LX6" t="s">
        <v>4092</v>
      </c>
      <c r="LY6" t="s">
        <v>4175</v>
      </c>
      <c r="LZ6" t="s">
        <v>4161</v>
      </c>
      <c r="MB6" t="s">
        <v>4117</v>
      </c>
      <c r="MH6" t="s">
        <v>4101</v>
      </c>
      <c r="MI6" t="s">
        <v>4072</v>
      </c>
      <c r="MJ6" t="s">
        <v>4069</v>
      </c>
      <c r="ML6" t="s">
        <v>4064</v>
      </c>
      <c r="MM6" t="s">
        <v>4050</v>
      </c>
      <c r="MO6" t="s">
        <v>3987</v>
      </c>
      <c r="MS6" t="s">
        <v>3961</v>
      </c>
      <c r="MU6" t="s">
        <v>3343</v>
      </c>
      <c r="MV6" t="s">
        <v>3896</v>
      </c>
      <c r="MX6" t="s">
        <v>3869</v>
      </c>
      <c r="MZ6" t="s">
        <v>3861</v>
      </c>
      <c r="NA6" t="s">
        <v>3846</v>
      </c>
      <c r="NB6" t="s">
        <v>2212</v>
      </c>
      <c r="ND6" t="s">
        <v>1408</v>
      </c>
      <c r="NF6" t="s">
        <v>3813</v>
      </c>
      <c r="NG6" t="s">
        <v>1719</v>
      </c>
      <c r="NH6" t="s">
        <v>3768</v>
      </c>
      <c r="NJ6" t="s">
        <v>3746</v>
      </c>
      <c r="NL6" t="s">
        <v>3733</v>
      </c>
      <c r="NN6" t="s">
        <v>3727</v>
      </c>
      <c r="NO6" t="s">
        <v>3721</v>
      </c>
      <c r="NQ6" t="s">
        <v>3549</v>
      </c>
      <c r="NR6" t="s">
        <v>3699</v>
      </c>
      <c r="NV6" t="s">
        <v>3693</v>
      </c>
      <c r="NW6" t="s">
        <v>3674</v>
      </c>
      <c r="NX6" t="s">
        <v>3656</v>
      </c>
      <c r="NZ6" t="s">
        <v>2687</v>
      </c>
      <c r="OA6" t="s">
        <v>1306</v>
      </c>
      <c r="OC6" t="s">
        <v>3628</v>
      </c>
      <c r="OE6" t="s">
        <v>2989</v>
      </c>
      <c r="OF6" t="s">
        <v>3615</v>
      </c>
      <c r="OG6" t="s">
        <v>3596</v>
      </c>
      <c r="OH6" t="s">
        <v>3590</v>
      </c>
      <c r="OK6" t="s">
        <v>3582</v>
      </c>
      <c r="ON6" t="s">
        <v>1166</v>
      </c>
      <c r="OO6" t="s">
        <v>2141</v>
      </c>
      <c r="OP6" t="s">
        <v>1684</v>
      </c>
      <c r="OQ6" t="s">
        <v>3471</v>
      </c>
      <c r="OW6" t="s">
        <v>2404</v>
      </c>
      <c r="OX6" t="s">
        <v>3422</v>
      </c>
      <c r="OZ6" t="s">
        <v>3410</v>
      </c>
      <c r="PA6" t="s">
        <v>3399</v>
      </c>
      <c r="PB6" t="s">
        <v>3338</v>
      </c>
      <c r="PD6" t="s">
        <v>3312</v>
      </c>
      <c r="PI6" t="s">
        <v>3297</v>
      </c>
      <c r="PL6" t="s">
        <v>3291</v>
      </c>
      <c r="PM6" t="s">
        <v>2855</v>
      </c>
      <c r="PN6" t="s">
        <v>2419</v>
      </c>
      <c r="PO6" t="s">
        <v>3185</v>
      </c>
      <c r="PP6" t="s">
        <v>1775</v>
      </c>
      <c r="PQ6" t="s">
        <v>2566</v>
      </c>
      <c r="PR6" t="s">
        <v>3154</v>
      </c>
      <c r="PS6" t="s">
        <v>3150</v>
      </c>
      <c r="PT6" t="s">
        <v>3144</v>
      </c>
      <c r="PU6" t="s">
        <v>3125</v>
      </c>
      <c r="PW6" t="s">
        <v>3108</v>
      </c>
      <c r="PX6" t="s">
        <v>3101</v>
      </c>
      <c r="QA6" s="160" t="s">
        <v>2412</v>
      </c>
      <c r="QB6" s="164" t="s">
        <v>6888</v>
      </c>
      <c r="QC6" t="s">
        <v>2855</v>
      </c>
      <c r="QE6" t="s">
        <v>1080</v>
      </c>
      <c r="QF6" t="s">
        <v>2764</v>
      </c>
      <c r="QH6" t="s">
        <v>2755</v>
      </c>
      <c r="QI6" t="s">
        <v>2748</v>
      </c>
      <c r="QK6" t="s">
        <v>2693</v>
      </c>
      <c r="QL6" t="s">
        <v>2684</v>
      </c>
      <c r="QM6" t="s">
        <v>2671</v>
      </c>
      <c r="QN6" t="s">
        <v>2642</v>
      </c>
      <c r="QO6" t="s">
        <v>2634</v>
      </c>
      <c r="QP6" t="s">
        <v>2628</v>
      </c>
      <c r="QQ6" t="s">
        <v>1383</v>
      </c>
      <c r="QT6" t="s">
        <v>1705</v>
      </c>
      <c r="QV6" t="s">
        <v>2567</v>
      </c>
      <c r="QW6" t="s">
        <v>2542</v>
      </c>
      <c r="QX6" t="s">
        <v>2520</v>
      </c>
      <c r="QZ6" t="s">
        <v>2513</v>
      </c>
      <c r="RB6" t="s">
        <v>2492</v>
      </c>
      <c r="RC6" t="s">
        <v>2487</v>
      </c>
      <c r="RD6" t="s">
        <v>2476</v>
      </c>
      <c r="RE6" t="s">
        <v>2465</v>
      </c>
      <c r="RH6" t="s">
        <v>2440</v>
      </c>
      <c r="RI6" t="s">
        <v>2431</v>
      </c>
      <c r="RJ6" t="s">
        <v>2423</v>
      </c>
      <c r="RL6" t="s">
        <v>2390</v>
      </c>
      <c r="RM6" t="s">
        <v>2381</v>
      </c>
      <c r="RN6" t="s">
        <v>2374</v>
      </c>
      <c r="RO6" t="s">
        <v>2365</v>
      </c>
      <c r="RP6" t="s">
        <v>2360</v>
      </c>
      <c r="RQ6" t="s">
        <v>2353</v>
      </c>
      <c r="RT6" t="s">
        <v>2309</v>
      </c>
      <c r="RU6" t="s">
        <v>2305</v>
      </c>
      <c r="RV6" t="s">
        <v>2192</v>
      </c>
      <c r="SB6" t="s">
        <v>2167</v>
      </c>
      <c r="SC6" t="s">
        <v>2158</v>
      </c>
      <c r="SD6" t="s">
        <v>2152</v>
      </c>
      <c r="SF6" t="s">
        <v>2142</v>
      </c>
      <c r="SG6" t="s">
        <v>2133</v>
      </c>
      <c r="SH6" t="s">
        <v>2108</v>
      </c>
      <c r="SK6" t="s">
        <v>2095</v>
      </c>
      <c r="SL6" t="s">
        <v>2089</v>
      </c>
      <c r="SM6" t="s">
        <v>2081</v>
      </c>
      <c r="SN6" t="s">
        <v>4856</v>
      </c>
      <c r="SP6" t="s">
        <v>2076</v>
      </c>
      <c r="ST6" t="s">
        <v>2060</v>
      </c>
      <c r="SU6" t="s">
        <v>2044</v>
      </c>
      <c r="SV6" t="s">
        <v>1997</v>
      </c>
      <c r="SW6" t="s">
        <v>2024</v>
      </c>
      <c r="SZ6" t="s">
        <v>2013</v>
      </c>
      <c r="TA6" t="s">
        <v>2002</v>
      </c>
      <c r="TC6" t="s">
        <v>1993</v>
      </c>
      <c r="TD6" t="s">
        <v>1989</v>
      </c>
      <c r="TE6" t="s">
        <v>1984</v>
      </c>
      <c r="TG6" t="s">
        <v>1964</v>
      </c>
      <c r="TH6" t="s">
        <v>1936</v>
      </c>
      <c r="TI6" t="s">
        <v>1929</v>
      </c>
      <c r="TJ6" t="s">
        <v>1644</v>
      </c>
      <c r="TL6" t="s">
        <v>1916</v>
      </c>
    </row>
    <row r="7" spans="1:533" x14ac:dyDescent="0.25">
      <c r="B7" t="s">
        <v>1897</v>
      </c>
      <c r="F7" t="s">
        <v>7783</v>
      </c>
      <c r="G7" t="s">
        <v>7777</v>
      </c>
      <c r="J7" t="s">
        <v>2314</v>
      </c>
      <c r="K7" t="s">
        <v>7763</v>
      </c>
      <c r="L7" t="s">
        <v>3548</v>
      </c>
      <c r="P7" t="s">
        <v>7742</v>
      </c>
      <c r="S7" t="s">
        <v>7712</v>
      </c>
      <c r="T7" t="s">
        <v>10281</v>
      </c>
      <c r="U7" t="s">
        <v>7691</v>
      </c>
      <c r="V7" t="s">
        <v>7675</v>
      </c>
      <c r="Z7" t="s">
        <v>7660</v>
      </c>
      <c r="AA7" t="s">
        <v>7619</v>
      </c>
      <c r="AB7" t="s">
        <v>4343</v>
      </c>
      <c r="AE7" t="s">
        <v>3003</v>
      </c>
      <c r="AF7" t="s">
        <v>4196</v>
      </c>
      <c r="AG7" t="s">
        <v>4287</v>
      </c>
      <c r="AH7" t="s">
        <v>7479</v>
      </c>
      <c r="AJ7" t="s">
        <v>2448</v>
      </c>
      <c r="AK7" t="s">
        <v>3960</v>
      </c>
      <c r="AL7" t="s">
        <v>3290</v>
      </c>
      <c r="AM7" t="s">
        <v>7425</v>
      </c>
      <c r="AN7" t="s">
        <v>8921</v>
      </c>
      <c r="AS7" s="56" t="s">
        <v>7412</v>
      </c>
      <c r="AT7" t="s">
        <v>755</v>
      </c>
      <c r="AU7" t="s">
        <v>7394</v>
      </c>
      <c r="AW7" t="s">
        <v>7386</v>
      </c>
      <c r="AZ7" t="s">
        <v>2904</v>
      </c>
      <c r="BC7" t="s">
        <v>5627</v>
      </c>
      <c r="BE7" t="s">
        <v>6592</v>
      </c>
      <c r="BF7" t="s">
        <v>5263</v>
      </c>
      <c r="BH7" t="s">
        <v>7210</v>
      </c>
      <c r="BL7" s="12" t="s">
        <v>10351</v>
      </c>
      <c r="BO7" t="s">
        <v>7164</v>
      </c>
      <c r="BQ7" t="s">
        <v>5788</v>
      </c>
      <c r="BR7" t="s">
        <v>3211</v>
      </c>
      <c r="BU7" t="s">
        <v>7097</v>
      </c>
      <c r="BW7" t="s">
        <v>6732</v>
      </c>
      <c r="BY7" t="s">
        <v>3828</v>
      </c>
      <c r="BZ7" t="s">
        <v>7057</v>
      </c>
      <c r="CD7" t="s">
        <v>4917</v>
      </c>
      <c r="CE7" t="s">
        <v>7027</v>
      </c>
      <c r="CF7" t="s">
        <v>3146</v>
      </c>
      <c r="CH7" t="s">
        <v>2838</v>
      </c>
      <c r="CI7" t="s">
        <v>946</v>
      </c>
      <c r="CJ7" t="s">
        <v>6576</v>
      </c>
      <c r="CK7" s="9" t="s">
        <v>6972</v>
      </c>
      <c r="CL7" t="s">
        <v>6972</v>
      </c>
      <c r="CM7" t="s">
        <v>1701</v>
      </c>
      <c r="CS7" t="s">
        <v>6946</v>
      </c>
      <c r="CT7" t="s">
        <v>1020</v>
      </c>
      <c r="CU7" t="s">
        <v>6862</v>
      </c>
      <c r="CW7" t="s">
        <v>6856</v>
      </c>
      <c r="CX7" t="s">
        <v>749</v>
      </c>
      <c r="CZ7" t="s">
        <v>946</v>
      </c>
      <c r="DA7" t="s">
        <v>3531</v>
      </c>
      <c r="DB7" t="s">
        <v>6785</v>
      </c>
      <c r="DF7" t="s">
        <v>6728</v>
      </c>
      <c r="DG7" t="s">
        <v>2589</v>
      </c>
      <c r="DH7" t="s">
        <v>6683</v>
      </c>
      <c r="DI7" t="s">
        <v>6676</v>
      </c>
      <c r="DM7" t="s">
        <v>6651</v>
      </c>
      <c r="DN7" t="s">
        <v>2101</v>
      </c>
      <c r="DO7" t="s">
        <v>6588</v>
      </c>
      <c r="DV7" t="s">
        <v>6580</v>
      </c>
      <c r="DX7" t="s">
        <v>808</v>
      </c>
      <c r="DZ7" t="s">
        <v>6505</v>
      </c>
      <c r="EA7" t="s">
        <v>6478</v>
      </c>
      <c r="EB7" t="s">
        <v>5903</v>
      </c>
      <c r="EC7" s="12" t="s">
        <v>3583</v>
      </c>
      <c r="ED7" t="s">
        <v>6421</v>
      </c>
      <c r="EE7" t="s">
        <v>6415</v>
      </c>
      <c r="EI7" t="s">
        <v>6344</v>
      </c>
      <c r="EL7" t="s">
        <v>2939</v>
      </c>
      <c r="EN7" t="s">
        <v>3548</v>
      </c>
      <c r="EP7" t="s">
        <v>6300</v>
      </c>
      <c r="EQ7" t="s">
        <v>2192</v>
      </c>
      <c r="ES7" t="s">
        <v>6197</v>
      </c>
      <c r="EU7" t="s">
        <v>6131</v>
      </c>
      <c r="EX7" t="s">
        <v>887</v>
      </c>
      <c r="EY7" t="s">
        <v>6097</v>
      </c>
      <c r="FA7" t="s">
        <v>3229</v>
      </c>
      <c r="FB7" t="s">
        <v>6084</v>
      </c>
      <c r="FF7" t="s">
        <v>6069</v>
      </c>
      <c r="FH7" t="s">
        <v>3540</v>
      </c>
      <c r="FM7" t="s">
        <v>6030</v>
      </c>
      <c r="FO7" t="s">
        <v>6025</v>
      </c>
      <c r="FP7" t="s">
        <v>6008</v>
      </c>
      <c r="FQ7" t="s">
        <v>2497</v>
      </c>
      <c r="FS7" t="s">
        <v>5995</v>
      </c>
      <c r="FT7" t="s">
        <v>5830</v>
      </c>
      <c r="FU7" t="s">
        <v>3550</v>
      </c>
      <c r="FV7" t="s">
        <v>752</v>
      </c>
      <c r="GA7" t="s">
        <v>5937</v>
      </c>
      <c r="GB7" t="s">
        <v>5932</v>
      </c>
      <c r="GD7" t="s">
        <v>5920</v>
      </c>
      <c r="GE7" t="s">
        <v>5891</v>
      </c>
      <c r="GF7" t="s">
        <v>5885</v>
      </c>
      <c r="GG7" t="s">
        <v>1939</v>
      </c>
      <c r="GI7" t="s">
        <v>5851</v>
      </c>
      <c r="GJ7" t="s">
        <v>5844</v>
      </c>
      <c r="GO7" t="s">
        <v>5782</v>
      </c>
      <c r="GP7" t="s">
        <v>4070</v>
      </c>
      <c r="GY7" t="s">
        <v>1306</v>
      </c>
      <c r="HB7" t="s">
        <v>5713</v>
      </c>
      <c r="HC7" t="s">
        <v>5603</v>
      </c>
      <c r="HE7" t="s">
        <v>5596</v>
      </c>
      <c r="HF7" t="s">
        <v>5578</v>
      </c>
      <c r="HG7" t="s">
        <v>3590</v>
      </c>
      <c r="HI7" t="s">
        <v>5559</v>
      </c>
      <c r="HM7" t="s">
        <v>5536</v>
      </c>
      <c r="HN7" t="s">
        <v>5522</v>
      </c>
      <c r="HT7" t="s">
        <v>2980</v>
      </c>
      <c r="HV7" t="s">
        <v>2438</v>
      </c>
      <c r="HW7" t="s">
        <v>5395</v>
      </c>
      <c r="HY7" t="s">
        <v>5343</v>
      </c>
      <c r="HZ7" t="s">
        <v>5340</v>
      </c>
      <c r="IA7" t="s">
        <v>2901</v>
      </c>
      <c r="IB7" t="s">
        <v>5335</v>
      </c>
      <c r="ID7" t="s">
        <v>5305</v>
      </c>
      <c r="IE7" t="s">
        <v>2494</v>
      </c>
      <c r="IF7" t="s">
        <v>5263</v>
      </c>
      <c r="IH7" t="s">
        <v>5247</v>
      </c>
      <c r="IK7" t="s">
        <v>3273</v>
      </c>
      <c r="IL7" t="s">
        <v>5237</v>
      </c>
      <c r="IM7" t="s">
        <v>5198</v>
      </c>
      <c r="IO7" t="s">
        <v>5193</v>
      </c>
      <c r="IP7" t="s">
        <v>5189</v>
      </c>
      <c r="IT7" t="s">
        <v>5077</v>
      </c>
      <c r="IV7" t="s">
        <v>4924</v>
      </c>
      <c r="IW7" t="s">
        <v>5050</v>
      </c>
      <c r="IX7" t="s">
        <v>4942</v>
      </c>
      <c r="IZ7" t="s">
        <v>4028</v>
      </c>
      <c r="JF7" t="s">
        <v>2132</v>
      </c>
      <c r="JH7" t="s">
        <v>4923</v>
      </c>
      <c r="JI7" t="s">
        <v>3997</v>
      </c>
      <c r="JJ7" t="s">
        <v>2194</v>
      </c>
      <c r="JL7" t="s">
        <v>3821</v>
      </c>
      <c r="JQ7" t="s">
        <v>4816</v>
      </c>
      <c r="JR7" t="s">
        <v>4810</v>
      </c>
      <c r="JS7" t="s">
        <v>4799</v>
      </c>
      <c r="JU7" t="s">
        <v>4789</v>
      </c>
      <c r="JX7" t="s">
        <v>4778</v>
      </c>
      <c r="JZ7" t="s">
        <v>771</v>
      </c>
      <c r="KB7" t="s">
        <v>1149</v>
      </c>
      <c r="KC7" t="s">
        <v>4079</v>
      </c>
      <c r="KD7" t="s">
        <v>4694</v>
      </c>
      <c r="KE7" t="s">
        <v>4669</v>
      </c>
      <c r="KK7" t="s">
        <v>4612</v>
      </c>
      <c r="KL7" t="s">
        <v>8903</v>
      </c>
      <c r="KM7" t="s">
        <v>4597</v>
      </c>
      <c r="KN7" t="s">
        <v>4582</v>
      </c>
      <c r="KO7" t="s">
        <v>2652</v>
      </c>
      <c r="KP7" t="s">
        <v>2083</v>
      </c>
      <c r="KQ7" t="s">
        <v>4554</v>
      </c>
      <c r="KS7" t="s">
        <v>4514</v>
      </c>
      <c r="KT7" t="s">
        <v>4487</v>
      </c>
      <c r="KU7" t="s">
        <v>4471</v>
      </c>
      <c r="KV7" t="s">
        <v>4464</v>
      </c>
      <c r="KW7" t="s">
        <v>4454</v>
      </c>
      <c r="KX7" t="s">
        <v>4402</v>
      </c>
      <c r="LA7" t="s">
        <v>4397</v>
      </c>
      <c r="LC7" t="s">
        <v>4385</v>
      </c>
      <c r="LD7" t="s">
        <v>4378</v>
      </c>
      <c r="LE7" t="s">
        <v>4363</v>
      </c>
      <c r="LI7" t="s">
        <v>2250</v>
      </c>
      <c r="LJ7" t="s">
        <v>4288</v>
      </c>
      <c r="LN7" t="s">
        <v>4273</v>
      </c>
      <c r="LO7" t="s">
        <v>4269</v>
      </c>
      <c r="LP7" t="s">
        <v>4259</v>
      </c>
      <c r="LR7" t="s">
        <v>2419</v>
      </c>
      <c r="LS7" t="s">
        <v>4220</v>
      </c>
      <c r="LU7" t="s">
        <v>4214</v>
      </c>
      <c r="LV7" t="s">
        <v>4209</v>
      </c>
      <c r="LW7" t="s">
        <v>1890</v>
      </c>
      <c r="LX7" t="s">
        <v>3415</v>
      </c>
      <c r="LY7" t="s">
        <v>1700</v>
      </c>
      <c r="LZ7" t="s">
        <v>887</v>
      </c>
      <c r="MB7" t="s">
        <v>4118</v>
      </c>
      <c r="MH7" t="s">
        <v>4102</v>
      </c>
      <c r="MI7" t="s">
        <v>4073</v>
      </c>
      <c r="MM7" t="s">
        <v>4051</v>
      </c>
      <c r="MO7" t="s">
        <v>3717</v>
      </c>
      <c r="MS7" t="s">
        <v>3962</v>
      </c>
      <c r="MU7" t="s">
        <v>3525</v>
      </c>
      <c r="MV7" t="s">
        <v>3897</v>
      </c>
      <c r="MX7" t="s">
        <v>3870</v>
      </c>
      <c r="MZ7" t="s">
        <v>3862</v>
      </c>
      <c r="NA7" t="s">
        <v>3847</v>
      </c>
      <c r="NB7" t="s">
        <v>3821</v>
      </c>
      <c r="ND7" t="s">
        <v>3820</v>
      </c>
      <c r="NF7" t="s">
        <v>3814</v>
      </c>
      <c r="NG7" t="s">
        <v>3795</v>
      </c>
      <c r="NH7" t="s">
        <v>3769</v>
      </c>
      <c r="NJ7" t="s">
        <v>3747</v>
      </c>
      <c r="NL7" t="s">
        <v>2939</v>
      </c>
      <c r="NO7" t="s">
        <v>3722</v>
      </c>
      <c r="NQ7" t="s">
        <v>3716</v>
      </c>
      <c r="NR7" t="s">
        <v>3700</v>
      </c>
      <c r="NV7" t="s">
        <v>3694</v>
      </c>
      <c r="NW7" t="s">
        <v>2217</v>
      </c>
      <c r="NX7" t="s">
        <v>3657</v>
      </c>
      <c r="NZ7" t="s">
        <v>3648</v>
      </c>
      <c r="OA7" t="s">
        <v>3636</v>
      </c>
      <c r="OC7" t="s">
        <v>3629</v>
      </c>
      <c r="OE7" t="s">
        <v>3493</v>
      </c>
      <c r="OF7" t="s">
        <v>2177</v>
      </c>
      <c r="OG7" t="s">
        <v>3597</v>
      </c>
      <c r="OH7" t="s">
        <v>2039</v>
      </c>
      <c r="OK7" t="s">
        <v>3583</v>
      </c>
      <c r="ON7" t="s">
        <v>3525</v>
      </c>
      <c r="OO7" t="s">
        <v>3501</v>
      </c>
      <c r="OP7" t="s">
        <v>3474</v>
      </c>
      <c r="OW7" t="s">
        <v>2132</v>
      </c>
      <c r="OX7" t="s">
        <v>3423</v>
      </c>
      <c r="OZ7" t="s">
        <v>3411</v>
      </c>
      <c r="PA7" t="s">
        <v>3400</v>
      </c>
      <c r="PB7" t="s">
        <v>3339</v>
      </c>
      <c r="PD7" t="s">
        <v>3313</v>
      </c>
      <c r="PI7" t="s">
        <v>3298</v>
      </c>
      <c r="PM7" t="s">
        <v>3241</v>
      </c>
      <c r="PN7" t="s">
        <v>3237</v>
      </c>
      <c r="PO7" t="s">
        <v>3186</v>
      </c>
      <c r="PP7" t="s">
        <v>3177</v>
      </c>
      <c r="PQ7" t="s">
        <v>3171</v>
      </c>
      <c r="PR7" t="s">
        <v>3155</v>
      </c>
      <c r="PT7" t="s">
        <v>2266</v>
      </c>
      <c r="PU7" t="s">
        <v>2939</v>
      </c>
      <c r="PW7" t="s">
        <v>3109</v>
      </c>
      <c r="PX7" t="s">
        <v>3102</v>
      </c>
      <c r="QA7" s="9" t="s">
        <v>8252</v>
      </c>
      <c r="QB7" s="163"/>
      <c r="QC7" t="s">
        <v>2856</v>
      </c>
      <c r="QE7" t="s">
        <v>2840</v>
      </c>
      <c r="QF7" t="s">
        <v>2765</v>
      </c>
      <c r="QH7" t="s">
        <v>2132</v>
      </c>
      <c r="QI7" t="s">
        <v>2749</v>
      </c>
      <c r="QK7" t="s">
        <v>2694</v>
      </c>
      <c r="QL7" t="s">
        <v>2685</v>
      </c>
      <c r="QM7" t="s">
        <v>2672</v>
      </c>
      <c r="QN7" t="s">
        <v>2643</v>
      </c>
      <c r="QO7" t="s">
        <v>2635</v>
      </c>
      <c r="QP7" t="s">
        <v>2629</v>
      </c>
      <c r="QQ7" t="s">
        <v>2586</v>
      </c>
      <c r="QT7" t="s">
        <v>2574</v>
      </c>
      <c r="QV7" t="s">
        <v>2568</v>
      </c>
      <c r="QW7" t="s">
        <v>2543</v>
      </c>
      <c r="QX7" t="s">
        <v>2226</v>
      </c>
      <c r="QZ7" t="s">
        <v>754</v>
      </c>
      <c r="RB7" t="s">
        <v>2493</v>
      </c>
      <c r="RD7" t="s">
        <v>2358</v>
      </c>
      <c r="RE7" t="s">
        <v>1408</v>
      </c>
      <c r="RH7" t="s">
        <v>2441</v>
      </c>
      <c r="RI7" t="s">
        <v>2432</v>
      </c>
      <c r="RJ7" t="s">
        <v>2424</v>
      </c>
      <c r="RL7" t="s">
        <v>2391</v>
      </c>
      <c r="RM7" t="s">
        <v>2382</v>
      </c>
      <c r="RN7" t="s">
        <v>2375</v>
      </c>
      <c r="RO7" t="s">
        <v>2366</v>
      </c>
      <c r="RQ7" t="s">
        <v>2354</v>
      </c>
      <c r="RT7" t="s">
        <v>2310</v>
      </c>
      <c r="RV7" t="s">
        <v>2193</v>
      </c>
      <c r="SB7" t="s">
        <v>2168</v>
      </c>
      <c r="SC7" s="12" t="s">
        <v>4551</v>
      </c>
      <c r="SD7" t="s">
        <v>2153</v>
      </c>
      <c r="SF7" t="s">
        <v>2143</v>
      </c>
      <c r="SG7" t="s">
        <v>2134</v>
      </c>
      <c r="SH7" t="s">
        <v>2109</v>
      </c>
      <c r="SK7" t="s">
        <v>2096</v>
      </c>
      <c r="SL7" t="s">
        <v>2090</v>
      </c>
      <c r="SM7" t="s">
        <v>2082</v>
      </c>
      <c r="SN7" t="s">
        <v>8911</v>
      </c>
      <c r="SP7" t="s">
        <v>1988</v>
      </c>
      <c r="ST7" t="s">
        <v>1944</v>
      </c>
      <c r="SU7" t="s">
        <v>2045</v>
      </c>
      <c r="SV7" t="s">
        <v>2039</v>
      </c>
      <c r="SW7" t="s">
        <v>2025</v>
      </c>
      <c r="SZ7" t="s">
        <v>2014</v>
      </c>
      <c r="TA7" t="s">
        <v>2003</v>
      </c>
      <c r="TC7" t="s">
        <v>1994</v>
      </c>
      <c r="TE7" t="s">
        <v>1985</v>
      </c>
      <c r="TG7" t="s">
        <v>1965</v>
      </c>
      <c r="TH7" t="s">
        <v>1937</v>
      </c>
      <c r="TI7" t="s">
        <v>1930</v>
      </c>
      <c r="TJ7" t="s">
        <v>1924</v>
      </c>
      <c r="TL7" t="s">
        <v>1917</v>
      </c>
    </row>
    <row r="8" spans="1:533" x14ac:dyDescent="0.25">
      <c r="B8" t="s">
        <v>1898</v>
      </c>
      <c r="F8" t="s">
        <v>3502</v>
      </c>
      <c r="G8" t="s">
        <v>6288</v>
      </c>
      <c r="J8" t="s">
        <v>7767</v>
      </c>
      <c r="K8" t="s">
        <v>7764</v>
      </c>
      <c r="L8" t="s">
        <v>3001</v>
      </c>
      <c r="P8" t="s">
        <v>7743</v>
      </c>
      <c r="S8" t="s">
        <v>7713</v>
      </c>
      <c r="T8" t="s">
        <v>5514</v>
      </c>
      <c r="U8" t="s">
        <v>7692</v>
      </c>
      <c r="V8" t="s">
        <v>7676</v>
      </c>
      <c r="Z8" t="s">
        <v>7661</v>
      </c>
      <c r="AA8" t="s">
        <v>5936</v>
      </c>
      <c r="AB8" t="s">
        <v>3281</v>
      </c>
      <c r="AE8" t="s">
        <v>2013</v>
      </c>
      <c r="AF8" t="s">
        <v>1306</v>
      </c>
      <c r="AG8" t="s">
        <v>7534</v>
      </c>
      <c r="AH8" t="s">
        <v>7480</v>
      </c>
      <c r="AJ8" t="s">
        <v>1707</v>
      </c>
      <c r="AK8" t="s">
        <v>5996</v>
      </c>
      <c r="AL8" t="s">
        <v>7441</v>
      </c>
      <c r="AM8" t="s">
        <v>7426</v>
      </c>
      <c r="AN8" t="s">
        <v>8922</v>
      </c>
      <c r="AS8" s="56" t="s">
        <v>3248</v>
      </c>
      <c r="AT8" t="s">
        <v>3859</v>
      </c>
      <c r="AU8" t="s">
        <v>5804</v>
      </c>
      <c r="AW8" t="s">
        <v>7387</v>
      </c>
      <c r="AZ8" t="s">
        <v>7286</v>
      </c>
      <c r="BC8" t="s">
        <v>7268</v>
      </c>
      <c r="BE8" t="s">
        <v>7263</v>
      </c>
      <c r="BF8" t="s">
        <v>2142</v>
      </c>
      <c r="BH8" t="s">
        <v>7211</v>
      </c>
      <c r="BL8" t="s">
        <v>2620</v>
      </c>
      <c r="BO8" t="s">
        <v>3960</v>
      </c>
      <c r="BQ8" t="s">
        <v>6894</v>
      </c>
      <c r="BR8" t="s">
        <v>7153</v>
      </c>
      <c r="BU8" t="s">
        <v>7098</v>
      </c>
      <c r="BW8" t="s">
        <v>7069</v>
      </c>
      <c r="BZ8" t="s">
        <v>7058</v>
      </c>
      <c r="CD8" t="s">
        <v>7047</v>
      </c>
      <c r="CE8" t="s">
        <v>6732</v>
      </c>
      <c r="CF8" t="s">
        <v>2833</v>
      </c>
      <c r="CH8" t="s">
        <v>7005</v>
      </c>
      <c r="CI8" t="s">
        <v>6983</v>
      </c>
      <c r="CJ8" t="s">
        <v>6288</v>
      </c>
      <c r="CK8" s="160" t="s">
        <v>3773</v>
      </c>
      <c r="CL8" t="s">
        <v>3773</v>
      </c>
      <c r="CS8" t="s">
        <v>6947</v>
      </c>
      <c r="CT8" t="s">
        <v>1462</v>
      </c>
      <c r="CU8" t="s">
        <v>6863</v>
      </c>
      <c r="CX8" t="s">
        <v>2773</v>
      </c>
      <c r="CZ8" t="s">
        <v>5612</v>
      </c>
      <c r="DA8" t="s">
        <v>1490</v>
      </c>
      <c r="DB8" t="s">
        <v>1408</v>
      </c>
      <c r="DF8" t="s">
        <v>6729</v>
      </c>
      <c r="DG8" t="s">
        <v>4407</v>
      </c>
      <c r="DH8" t="s">
        <v>6684</v>
      </c>
      <c r="DI8" t="s">
        <v>6677</v>
      </c>
      <c r="DM8" t="s">
        <v>2770</v>
      </c>
      <c r="DN8" t="s">
        <v>6599</v>
      </c>
      <c r="DO8" t="s">
        <v>6589</v>
      </c>
      <c r="DV8" t="s">
        <v>6581</v>
      </c>
      <c r="DZ8" t="s">
        <v>6506</v>
      </c>
      <c r="EA8" t="s">
        <v>6479</v>
      </c>
      <c r="EB8" t="s">
        <v>6466</v>
      </c>
      <c r="EC8" t="s">
        <v>6454</v>
      </c>
      <c r="ED8" t="s">
        <v>4733</v>
      </c>
      <c r="EE8" t="s">
        <v>6416</v>
      </c>
      <c r="EI8" t="s">
        <v>6345</v>
      </c>
      <c r="EL8" t="s">
        <v>5353</v>
      </c>
      <c r="EN8" t="s">
        <v>4752</v>
      </c>
      <c r="EP8" t="s">
        <v>6301</v>
      </c>
      <c r="EQ8" t="s">
        <v>6208</v>
      </c>
      <c r="ES8" t="s">
        <v>6198</v>
      </c>
      <c r="EU8" t="s">
        <v>3525</v>
      </c>
      <c r="EX8" t="s">
        <v>6121</v>
      </c>
      <c r="EY8" t="s">
        <v>2929</v>
      </c>
      <c r="FA8" t="s">
        <v>6088</v>
      </c>
      <c r="FB8" t="s">
        <v>6085</v>
      </c>
      <c r="FF8" t="s">
        <v>4681</v>
      </c>
      <c r="FH8" t="s">
        <v>6054</v>
      </c>
      <c r="FM8" t="s">
        <v>6031</v>
      </c>
      <c r="FP8" t="s">
        <v>6009</v>
      </c>
      <c r="FQ8" t="s">
        <v>3214</v>
      </c>
      <c r="FT8" t="s">
        <v>3120</v>
      </c>
      <c r="FU8" t="s">
        <v>1149</v>
      </c>
      <c r="FV8" t="s">
        <v>5604</v>
      </c>
      <c r="GA8" t="s">
        <v>5938</v>
      </c>
      <c r="GB8" t="s">
        <v>5933</v>
      </c>
      <c r="GD8" t="s">
        <v>5921</v>
      </c>
      <c r="GE8" t="s">
        <v>5892</v>
      </c>
      <c r="GF8" t="s">
        <v>2242</v>
      </c>
      <c r="GG8" t="s">
        <v>5864</v>
      </c>
      <c r="GI8" t="s">
        <v>5852</v>
      </c>
      <c r="GJ8" t="s">
        <v>1100</v>
      </c>
      <c r="GO8" t="s">
        <v>1428</v>
      </c>
      <c r="GP8" t="s">
        <v>5753</v>
      </c>
      <c r="GY8" t="s">
        <v>2754</v>
      </c>
      <c r="HB8" t="s">
        <v>1482</v>
      </c>
      <c r="HC8" t="s">
        <v>5604</v>
      </c>
      <c r="HF8" t="s">
        <v>5579</v>
      </c>
      <c r="HG8" t="s">
        <v>5567</v>
      </c>
      <c r="HI8" t="s">
        <v>5560</v>
      </c>
      <c r="HM8" t="s">
        <v>5537</v>
      </c>
      <c r="HN8" t="s">
        <v>5523</v>
      </c>
      <c r="HT8" t="s">
        <v>4419</v>
      </c>
      <c r="HV8" t="s">
        <v>5423</v>
      </c>
      <c r="HW8" t="s">
        <v>5396</v>
      </c>
      <c r="HY8" t="s">
        <v>2517</v>
      </c>
      <c r="HZ8" t="s">
        <v>5341</v>
      </c>
      <c r="IA8" t="s">
        <v>2902</v>
      </c>
      <c r="IB8" t="s">
        <v>1843</v>
      </c>
      <c r="ID8" t="s">
        <v>5306</v>
      </c>
      <c r="IE8" t="s">
        <v>5297</v>
      </c>
      <c r="IF8" t="s">
        <v>772</v>
      </c>
      <c r="IH8" t="s">
        <v>3859</v>
      </c>
      <c r="IK8" t="s">
        <v>5241</v>
      </c>
      <c r="IM8" t="s">
        <v>2517</v>
      </c>
      <c r="IO8" t="s">
        <v>5194</v>
      </c>
      <c r="IT8" t="s">
        <v>5078</v>
      </c>
      <c r="IV8" t="s">
        <v>5063</v>
      </c>
      <c r="IW8" t="s">
        <v>5051</v>
      </c>
      <c r="IX8" t="s">
        <v>1430</v>
      </c>
      <c r="IZ8" t="s">
        <v>3889</v>
      </c>
      <c r="JF8" t="s">
        <v>3860</v>
      </c>
      <c r="JI8" t="s">
        <v>4909</v>
      </c>
      <c r="JJ8" t="s">
        <v>4837</v>
      </c>
      <c r="JL8" t="s">
        <v>4829</v>
      </c>
      <c r="JQ8" t="s">
        <v>4817</v>
      </c>
      <c r="JS8" t="s">
        <v>4800</v>
      </c>
      <c r="JU8" t="s">
        <v>2442</v>
      </c>
      <c r="JX8" t="s">
        <v>2497</v>
      </c>
      <c r="JZ8" t="s">
        <v>4724</v>
      </c>
      <c r="KB8" t="s">
        <v>3032</v>
      </c>
      <c r="KC8" t="s">
        <v>4703</v>
      </c>
      <c r="KD8" t="s">
        <v>2002</v>
      </c>
      <c r="KE8" t="s">
        <v>1125</v>
      </c>
      <c r="KK8" t="s">
        <v>4613</v>
      </c>
      <c r="KM8" t="s">
        <v>2429</v>
      </c>
      <c r="KN8" t="s">
        <v>4583</v>
      </c>
      <c r="KO8" t="s">
        <v>3860</v>
      </c>
      <c r="KP8" t="s">
        <v>2062</v>
      </c>
      <c r="KQ8" t="s">
        <v>4555</v>
      </c>
      <c r="KS8" t="s">
        <v>4515</v>
      </c>
      <c r="KT8" t="s">
        <v>887</v>
      </c>
      <c r="KU8" t="s">
        <v>4472</v>
      </c>
      <c r="KV8" t="s">
        <v>901</v>
      </c>
      <c r="KW8" t="s">
        <v>4455</v>
      </c>
      <c r="KX8" t="s">
        <v>4403</v>
      </c>
      <c r="LC8" t="s">
        <v>4386</v>
      </c>
      <c r="LD8" t="s">
        <v>1948</v>
      </c>
      <c r="LE8" t="s">
        <v>4364</v>
      </c>
      <c r="LI8" t="s">
        <v>4354</v>
      </c>
      <c r="LJ8" t="s">
        <v>4289</v>
      </c>
      <c r="LN8" t="s">
        <v>4274</v>
      </c>
      <c r="LP8" t="s">
        <v>4260</v>
      </c>
      <c r="LR8" t="s">
        <v>4252</v>
      </c>
      <c r="LS8" t="s">
        <v>4221</v>
      </c>
      <c r="LU8" t="s">
        <v>4215</v>
      </c>
      <c r="LW8" t="s">
        <v>4196</v>
      </c>
      <c r="LX8" t="s">
        <v>4191</v>
      </c>
      <c r="LY8" t="s">
        <v>4176</v>
      </c>
      <c r="LZ8" t="s">
        <v>4162</v>
      </c>
      <c r="MB8" t="s">
        <v>4119</v>
      </c>
      <c r="MH8" t="s">
        <v>4103</v>
      </c>
      <c r="MI8" t="s">
        <v>4074</v>
      </c>
      <c r="MM8" t="s">
        <v>4052</v>
      </c>
      <c r="MO8" t="s">
        <v>3988</v>
      </c>
      <c r="MS8" t="s">
        <v>3963</v>
      </c>
      <c r="MU8" t="s">
        <v>3916</v>
      </c>
      <c r="MV8" t="s">
        <v>3898</v>
      </c>
      <c r="MX8" t="s">
        <v>3251</v>
      </c>
      <c r="MZ8" t="s">
        <v>3863</v>
      </c>
      <c r="NA8" t="s">
        <v>2705</v>
      </c>
      <c r="NB8" t="s">
        <v>3835</v>
      </c>
      <c r="ND8" t="s">
        <v>3821</v>
      </c>
      <c r="NF8" t="s">
        <v>3815</v>
      </c>
      <c r="NG8" t="s">
        <v>3796</v>
      </c>
      <c r="NH8" t="s">
        <v>3770</v>
      </c>
      <c r="NJ8" t="s">
        <v>2023</v>
      </c>
      <c r="NL8" t="s">
        <v>2217</v>
      </c>
      <c r="NR8" t="s">
        <v>3701</v>
      </c>
      <c r="NV8" t="s">
        <v>1704</v>
      </c>
      <c r="NW8" t="s">
        <v>3675</v>
      </c>
      <c r="NX8" t="s">
        <v>3658</v>
      </c>
      <c r="NZ8" t="s">
        <v>2054</v>
      </c>
      <c r="OA8" t="s">
        <v>3637</v>
      </c>
      <c r="OC8" t="s">
        <v>2007</v>
      </c>
      <c r="OE8" t="s">
        <v>2020</v>
      </c>
      <c r="OF8" t="s">
        <v>3616</v>
      </c>
      <c r="OG8" t="s">
        <v>3598</v>
      </c>
      <c r="OH8" t="s">
        <v>3591</v>
      </c>
      <c r="OK8" t="s">
        <v>1045</v>
      </c>
      <c r="ON8" t="s">
        <v>3152</v>
      </c>
      <c r="OO8" t="s">
        <v>3502</v>
      </c>
      <c r="OP8" t="s">
        <v>3475</v>
      </c>
      <c r="OW8" t="s">
        <v>3457</v>
      </c>
      <c r="OX8" t="s">
        <v>3424</v>
      </c>
      <c r="OZ8" t="s">
        <v>1972</v>
      </c>
      <c r="PA8" t="s">
        <v>3401</v>
      </c>
      <c r="PB8" t="s">
        <v>1998</v>
      </c>
      <c r="PD8" t="s">
        <v>3314</v>
      </c>
      <c r="PI8" t="s">
        <v>3299</v>
      </c>
      <c r="PM8" t="s">
        <v>3242</v>
      </c>
      <c r="PN8" t="s">
        <v>3238</v>
      </c>
      <c r="PO8" t="s">
        <v>3187</v>
      </c>
      <c r="PP8" t="s">
        <v>2494</v>
      </c>
      <c r="PQ8" t="s">
        <v>3172</v>
      </c>
      <c r="PR8" t="s">
        <v>3156</v>
      </c>
      <c r="PT8" t="s">
        <v>3145</v>
      </c>
      <c r="PU8" t="s">
        <v>3126</v>
      </c>
      <c r="PW8" t="s">
        <v>3110</v>
      </c>
      <c r="PX8" t="s">
        <v>3103</v>
      </c>
      <c r="QA8" s="161" t="s">
        <v>4348</v>
      </c>
      <c r="QB8" s="164"/>
      <c r="QC8" t="s">
        <v>2838</v>
      </c>
      <c r="QE8" t="s">
        <v>2841</v>
      </c>
      <c r="QF8" t="s">
        <v>2766</v>
      </c>
      <c r="QH8" t="s">
        <v>2756</v>
      </c>
      <c r="QI8" t="s">
        <v>2750</v>
      </c>
      <c r="QK8" t="s">
        <v>2695</v>
      </c>
      <c r="QL8" t="s">
        <v>2686</v>
      </c>
      <c r="QM8" t="s">
        <v>2673</v>
      </c>
      <c r="QN8" t="s">
        <v>2644</v>
      </c>
      <c r="QO8" t="s">
        <v>2636</v>
      </c>
      <c r="QP8" t="s">
        <v>2338</v>
      </c>
      <c r="QQ8" t="s">
        <v>1069</v>
      </c>
      <c r="QT8" t="s">
        <v>2575</v>
      </c>
      <c r="QW8" t="s">
        <v>2544</v>
      </c>
      <c r="QX8" t="s">
        <v>2521</v>
      </c>
      <c r="QZ8" t="s">
        <v>2514</v>
      </c>
      <c r="RB8" t="s">
        <v>2494</v>
      </c>
      <c r="RD8" t="s">
        <v>2477</v>
      </c>
      <c r="RE8" t="s">
        <v>2466</v>
      </c>
      <c r="RH8" t="s">
        <v>2442</v>
      </c>
      <c r="RI8" t="s">
        <v>2433</v>
      </c>
      <c r="RJ8" t="s">
        <v>2425</v>
      </c>
      <c r="RL8" t="s">
        <v>2092</v>
      </c>
      <c r="RM8" t="s">
        <v>2383</v>
      </c>
      <c r="RN8" t="s">
        <v>2376</v>
      </c>
      <c r="RO8" t="s">
        <v>2367</v>
      </c>
      <c r="RQ8" t="s">
        <v>2355</v>
      </c>
      <c r="RT8" t="s">
        <v>2311</v>
      </c>
      <c r="RV8" t="s">
        <v>1430</v>
      </c>
      <c r="SB8" t="s">
        <v>2169</v>
      </c>
      <c r="SC8" t="s">
        <v>2159</v>
      </c>
      <c r="SF8" t="s">
        <v>2144</v>
      </c>
      <c r="SG8" s="12" t="s">
        <v>10324</v>
      </c>
      <c r="SH8" t="s">
        <v>2110</v>
      </c>
      <c r="SK8" t="s">
        <v>2097</v>
      </c>
      <c r="SL8" t="s">
        <v>2091</v>
      </c>
      <c r="SM8" t="s">
        <v>2083</v>
      </c>
      <c r="SN8" t="s">
        <v>2422</v>
      </c>
      <c r="ST8" t="s">
        <v>2061</v>
      </c>
      <c r="SU8" t="s">
        <v>1775</v>
      </c>
      <c r="SW8" t="s">
        <v>2026</v>
      </c>
      <c r="TA8" t="s">
        <v>2004</v>
      </c>
      <c r="TC8" t="s">
        <v>1995</v>
      </c>
      <c r="TG8" t="s">
        <v>1966</v>
      </c>
      <c r="TH8" t="s">
        <v>1938</v>
      </c>
      <c r="TI8" t="s">
        <v>1931</v>
      </c>
      <c r="TJ8" t="s">
        <v>1869</v>
      </c>
      <c r="TL8" t="s">
        <v>1918</v>
      </c>
    </row>
    <row r="9" spans="1:533" x14ac:dyDescent="0.25">
      <c r="B9" t="s">
        <v>1899</v>
      </c>
      <c r="F9" t="s">
        <v>7784</v>
      </c>
      <c r="G9" t="s">
        <v>7778</v>
      </c>
      <c r="J9" t="s">
        <v>7768</v>
      </c>
      <c r="K9" t="s">
        <v>7765</v>
      </c>
      <c r="L9" t="s">
        <v>3021</v>
      </c>
      <c r="P9" t="s">
        <v>7744</v>
      </c>
      <c r="S9" t="s">
        <v>7714</v>
      </c>
      <c r="T9" t="s">
        <v>7702</v>
      </c>
      <c r="U9" t="s">
        <v>2980</v>
      </c>
      <c r="V9" t="s">
        <v>7677</v>
      </c>
      <c r="Z9" t="s">
        <v>2132</v>
      </c>
      <c r="AA9" t="s">
        <v>3147</v>
      </c>
      <c r="AB9" t="s">
        <v>7614</v>
      </c>
      <c r="AE9" t="s">
        <v>6591</v>
      </c>
      <c r="AF9" t="s">
        <v>4752</v>
      </c>
      <c r="AG9" t="s">
        <v>2199</v>
      </c>
      <c r="AH9" t="s">
        <v>5260</v>
      </c>
      <c r="AK9" t="s">
        <v>7445</v>
      </c>
      <c r="AL9" t="s">
        <v>7442</v>
      </c>
      <c r="AM9" t="s">
        <v>7427</v>
      </c>
      <c r="AN9" t="s">
        <v>8923</v>
      </c>
      <c r="AS9" s="56" t="s">
        <v>7413</v>
      </c>
      <c r="AT9" t="s">
        <v>7406</v>
      </c>
      <c r="AU9" t="s">
        <v>7395</v>
      </c>
      <c r="AW9" t="s">
        <v>7388</v>
      </c>
      <c r="AZ9" t="s">
        <v>7287</v>
      </c>
      <c r="BC9" t="s">
        <v>2046</v>
      </c>
      <c r="BF9" t="s">
        <v>7233</v>
      </c>
      <c r="BH9" t="s">
        <v>7212</v>
      </c>
      <c r="BL9" t="s">
        <v>7201</v>
      </c>
      <c r="BO9" t="s">
        <v>7165</v>
      </c>
      <c r="BQ9" t="s">
        <v>6895</v>
      </c>
      <c r="BR9" t="s">
        <v>7154</v>
      </c>
      <c r="BU9" t="s">
        <v>7099</v>
      </c>
      <c r="BW9" t="s">
        <v>2855</v>
      </c>
      <c r="BZ9" s="12" t="s">
        <v>4707</v>
      </c>
      <c r="CD9" t="s">
        <v>7048</v>
      </c>
      <c r="CE9" t="s">
        <v>7028</v>
      </c>
      <c r="CH9" t="s">
        <v>7006</v>
      </c>
      <c r="CI9" t="s">
        <v>6984</v>
      </c>
      <c r="CK9" s="9" t="s">
        <v>6973</v>
      </c>
      <c r="CL9" t="s">
        <v>6973</v>
      </c>
      <c r="CS9" t="s">
        <v>6948</v>
      </c>
      <c r="CT9" t="s">
        <v>6920</v>
      </c>
      <c r="CU9" t="s">
        <v>6864</v>
      </c>
      <c r="CX9" t="s">
        <v>6837</v>
      </c>
      <c r="CZ9" t="s">
        <v>5928</v>
      </c>
      <c r="DA9" t="s">
        <v>6799</v>
      </c>
      <c r="DB9" t="s">
        <v>6786</v>
      </c>
      <c r="DF9" t="s">
        <v>6730</v>
      </c>
      <c r="DG9" t="s">
        <v>5181</v>
      </c>
      <c r="DH9" t="s">
        <v>6685</v>
      </c>
      <c r="DI9" t="s">
        <v>3281</v>
      </c>
      <c r="DM9" t="s">
        <v>4904</v>
      </c>
      <c r="DN9" t="s">
        <v>4950</v>
      </c>
      <c r="DO9" t="s">
        <v>3704</v>
      </c>
      <c r="DV9" t="s">
        <v>5184</v>
      </c>
      <c r="DZ9" t="s">
        <v>1998</v>
      </c>
      <c r="EA9" t="s">
        <v>6480</v>
      </c>
      <c r="EB9" t="s">
        <v>6467</v>
      </c>
      <c r="EC9" t="s">
        <v>6455</v>
      </c>
      <c r="ED9" t="s">
        <v>6422</v>
      </c>
      <c r="EE9" t="s">
        <v>2007</v>
      </c>
      <c r="EI9" t="s">
        <v>5185</v>
      </c>
      <c r="EL9" t="s">
        <v>6327</v>
      </c>
      <c r="EN9" t="s">
        <v>3552</v>
      </c>
      <c r="EP9" t="s">
        <v>6302</v>
      </c>
      <c r="EQ9" t="s">
        <v>5076</v>
      </c>
      <c r="ES9" t="s">
        <v>6199</v>
      </c>
      <c r="EU9" t="s">
        <v>3503</v>
      </c>
      <c r="EX9" t="s">
        <v>6122</v>
      </c>
      <c r="EY9" t="s">
        <v>6098</v>
      </c>
      <c r="FA9" t="s">
        <v>6089</v>
      </c>
      <c r="FB9" t="s">
        <v>6086</v>
      </c>
      <c r="FF9" t="s">
        <v>6070</v>
      </c>
      <c r="FH9" t="s">
        <v>2061</v>
      </c>
      <c r="FM9" t="s">
        <v>6032</v>
      </c>
      <c r="FP9" t="s">
        <v>6010</v>
      </c>
      <c r="FQ9" t="s">
        <v>787</v>
      </c>
      <c r="FU9" t="s">
        <v>5988</v>
      </c>
      <c r="FV9" t="s">
        <v>5959</v>
      </c>
      <c r="GA9" t="s">
        <v>2396</v>
      </c>
      <c r="GD9" t="s">
        <v>5922</v>
      </c>
      <c r="GE9" t="s">
        <v>946</v>
      </c>
      <c r="GF9" t="s">
        <v>2096</v>
      </c>
      <c r="GG9" t="s">
        <v>5865</v>
      </c>
      <c r="GI9" t="s">
        <v>5853</v>
      </c>
      <c r="GJ9" t="s">
        <v>5845</v>
      </c>
      <c r="GO9" t="s">
        <v>5783</v>
      </c>
      <c r="GP9" t="s">
        <v>5754</v>
      </c>
      <c r="GY9" t="s">
        <v>2705</v>
      </c>
      <c r="HB9" t="s">
        <v>2217</v>
      </c>
      <c r="HC9" t="s">
        <v>5605</v>
      </c>
      <c r="HF9" t="s">
        <v>2933</v>
      </c>
      <c r="HG9" t="s">
        <v>5568</v>
      </c>
      <c r="HI9" t="s">
        <v>5561</v>
      </c>
      <c r="HM9" t="s">
        <v>3916</v>
      </c>
      <c r="HN9" t="s">
        <v>5524</v>
      </c>
      <c r="HT9" t="s">
        <v>5128</v>
      </c>
      <c r="HV9" t="s">
        <v>5424</v>
      </c>
      <c r="HW9" t="s">
        <v>5397</v>
      </c>
      <c r="HY9" t="s">
        <v>5344</v>
      </c>
      <c r="IA9" t="s">
        <v>2903</v>
      </c>
      <c r="IB9" t="s">
        <v>5336</v>
      </c>
      <c r="ID9" t="s">
        <v>5307</v>
      </c>
      <c r="IE9" t="s">
        <v>2226</v>
      </c>
      <c r="IF9" t="s">
        <v>3312</v>
      </c>
      <c r="IH9" t="s">
        <v>5248</v>
      </c>
      <c r="IK9" t="s">
        <v>5242</v>
      </c>
      <c r="IM9" t="s">
        <v>5199</v>
      </c>
      <c r="IO9" t="s">
        <v>747</v>
      </c>
      <c r="IT9" t="s">
        <v>5079</v>
      </c>
      <c r="IV9" t="s">
        <v>5064</v>
      </c>
      <c r="IW9" t="s">
        <v>5052</v>
      </c>
      <c r="IX9" t="s">
        <v>4943</v>
      </c>
      <c r="IZ9" t="s">
        <v>1958</v>
      </c>
      <c r="JF9" t="s">
        <v>4927</v>
      </c>
      <c r="JI9" t="s">
        <v>4910</v>
      </c>
      <c r="JJ9" t="s">
        <v>4838</v>
      </c>
      <c r="JL9" t="s">
        <v>2405</v>
      </c>
      <c r="JS9" t="s">
        <v>4801</v>
      </c>
      <c r="JU9" t="s">
        <v>4790</v>
      </c>
      <c r="JX9" t="s">
        <v>4779</v>
      </c>
      <c r="JZ9" t="s">
        <v>4725</v>
      </c>
      <c r="KB9" t="s">
        <v>4714</v>
      </c>
      <c r="KC9" t="s">
        <v>4704</v>
      </c>
      <c r="KD9" t="s">
        <v>4695</v>
      </c>
      <c r="KE9" t="s">
        <v>4670</v>
      </c>
      <c r="KK9" t="s">
        <v>4614</v>
      </c>
      <c r="KM9" t="s">
        <v>4598</v>
      </c>
      <c r="KN9" t="s">
        <v>2494</v>
      </c>
      <c r="KO9" t="s">
        <v>2325</v>
      </c>
      <c r="KP9" t="s">
        <v>4572</v>
      </c>
      <c r="KQ9" t="s">
        <v>4556</v>
      </c>
      <c r="KS9" t="s">
        <v>2036</v>
      </c>
      <c r="KT9" t="s">
        <v>4488</v>
      </c>
      <c r="KU9" t="s">
        <v>4473</v>
      </c>
      <c r="KV9" t="s">
        <v>4465</v>
      </c>
      <c r="KW9" t="s">
        <v>4456</v>
      </c>
      <c r="KX9" t="s">
        <v>1437</v>
      </c>
      <c r="LC9" t="s">
        <v>2004</v>
      </c>
      <c r="LD9" t="s">
        <v>4379</v>
      </c>
      <c r="LE9" t="s">
        <v>4365</v>
      </c>
      <c r="LI9" t="s">
        <v>4355</v>
      </c>
      <c r="LJ9" t="s">
        <v>3503</v>
      </c>
      <c r="LN9" t="s">
        <v>4275</v>
      </c>
      <c r="LP9" t="s">
        <v>3054</v>
      </c>
      <c r="LR9" t="s">
        <v>4253</v>
      </c>
      <c r="LS9" t="s">
        <v>2855</v>
      </c>
      <c r="LW9" t="s">
        <v>2065</v>
      </c>
      <c r="LX9" t="s">
        <v>4192</v>
      </c>
      <c r="LY9" t="s">
        <v>4177</v>
      </c>
      <c r="LZ9" t="s">
        <v>4163</v>
      </c>
      <c r="MB9" t="s">
        <v>4120</v>
      </c>
      <c r="MH9" t="s">
        <v>4104</v>
      </c>
      <c r="MI9" t="s">
        <v>4075</v>
      </c>
      <c r="MM9" t="s">
        <v>4053</v>
      </c>
      <c r="MO9" t="s">
        <v>3989</v>
      </c>
      <c r="MS9" t="s">
        <v>3964</v>
      </c>
      <c r="MU9" t="s">
        <v>3917</v>
      </c>
      <c r="MV9" t="s">
        <v>3899</v>
      </c>
      <c r="MX9" t="s">
        <v>1505</v>
      </c>
      <c r="MZ9" t="s">
        <v>1910</v>
      </c>
      <c r="NA9" t="s">
        <v>3848</v>
      </c>
      <c r="NB9" t="s">
        <v>3836</v>
      </c>
      <c r="ND9" t="s">
        <v>3822</v>
      </c>
      <c r="NG9" t="s">
        <v>1664</v>
      </c>
      <c r="NH9" t="s">
        <v>3771</v>
      </c>
      <c r="NJ9" t="s">
        <v>3748</v>
      </c>
      <c r="NL9" t="s">
        <v>3734</v>
      </c>
      <c r="NR9" t="s">
        <v>3702</v>
      </c>
      <c r="NW9" t="s">
        <v>3676</v>
      </c>
      <c r="NX9" t="s">
        <v>3659</v>
      </c>
      <c r="NZ9" t="s">
        <v>3649</v>
      </c>
      <c r="OA9" t="s">
        <v>3638</v>
      </c>
      <c r="OC9" t="s">
        <v>3630</v>
      </c>
      <c r="OE9" t="s">
        <v>2035</v>
      </c>
      <c r="OF9" t="s">
        <v>3617</v>
      </c>
      <c r="OG9" t="s">
        <v>3599</v>
      </c>
      <c r="OH9" t="s">
        <v>3281</v>
      </c>
      <c r="OK9" t="s">
        <v>3273</v>
      </c>
      <c r="ON9" t="s">
        <v>3526</v>
      </c>
      <c r="OO9" t="s">
        <v>2838</v>
      </c>
      <c r="OP9" t="s">
        <v>3476</v>
      </c>
      <c r="OW9" t="s">
        <v>3458</v>
      </c>
      <c r="OX9" t="s">
        <v>3425</v>
      </c>
      <c r="OZ9" t="s">
        <v>3412</v>
      </c>
      <c r="PA9" t="s">
        <v>3402</v>
      </c>
      <c r="PB9" t="s">
        <v>749</v>
      </c>
      <c r="PD9" t="s">
        <v>3315</v>
      </c>
      <c r="PI9" t="s">
        <v>2497</v>
      </c>
      <c r="PM9" t="s">
        <v>2203</v>
      </c>
      <c r="PO9" t="s">
        <v>2203</v>
      </c>
      <c r="PP9" t="s">
        <v>2566</v>
      </c>
      <c r="PR9" t="s">
        <v>3157</v>
      </c>
      <c r="PT9" t="s">
        <v>3146</v>
      </c>
      <c r="PU9" t="s">
        <v>1775</v>
      </c>
      <c r="PW9" t="s">
        <v>3111</v>
      </c>
      <c r="PX9" t="s">
        <v>1579</v>
      </c>
      <c r="QC9" t="s">
        <v>2857</v>
      </c>
      <c r="QE9" t="s">
        <v>2842</v>
      </c>
      <c r="QF9" t="s">
        <v>2767</v>
      </c>
      <c r="QH9" t="s">
        <v>754</v>
      </c>
      <c r="QK9" t="s">
        <v>2696</v>
      </c>
      <c r="QL9" t="s">
        <v>2687</v>
      </c>
      <c r="QM9" t="s">
        <v>2674</v>
      </c>
      <c r="QN9" t="s">
        <v>2645</v>
      </c>
      <c r="QO9" t="s">
        <v>2637</v>
      </c>
      <c r="QQ9" t="s">
        <v>2587</v>
      </c>
      <c r="QT9" t="s">
        <v>2576</v>
      </c>
      <c r="QW9" t="s">
        <v>2392</v>
      </c>
      <c r="QX9" t="s">
        <v>2522</v>
      </c>
      <c r="QZ9" t="s">
        <v>2515</v>
      </c>
      <c r="RB9" t="s">
        <v>2495</v>
      </c>
      <c r="RD9" t="s">
        <v>2478</v>
      </c>
      <c r="RE9" t="s">
        <v>2467</v>
      </c>
      <c r="RH9" t="s">
        <v>2443</v>
      </c>
      <c r="RI9" t="s">
        <v>2434</v>
      </c>
      <c r="RJ9" t="s">
        <v>2426</v>
      </c>
      <c r="RL9" t="s">
        <v>2392</v>
      </c>
      <c r="RM9" t="s">
        <v>2384</v>
      </c>
      <c r="RO9" t="s">
        <v>2368</v>
      </c>
      <c r="RQ9" t="s">
        <v>2356</v>
      </c>
      <c r="RT9" t="s">
        <v>2312</v>
      </c>
      <c r="RV9" t="s">
        <v>2194</v>
      </c>
      <c r="SB9" t="s">
        <v>2170</v>
      </c>
      <c r="SC9" t="s">
        <v>2160</v>
      </c>
      <c r="SF9" t="s">
        <v>2145</v>
      </c>
      <c r="SG9" t="s">
        <v>2135</v>
      </c>
      <c r="SH9" t="s">
        <v>2111</v>
      </c>
      <c r="SK9" t="s">
        <v>2098</v>
      </c>
      <c r="SN9" t="s">
        <v>3859</v>
      </c>
      <c r="ST9" t="s">
        <v>2062</v>
      </c>
      <c r="SU9" t="s">
        <v>2046</v>
      </c>
      <c r="SW9" t="s">
        <v>2027</v>
      </c>
      <c r="TA9" t="s">
        <v>2005</v>
      </c>
      <c r="TC9" t="s">
        <v>1996</v>
      </c>
      <c r="TG9" t="s">
        <v>1967</v>
      </c>
      <c r="TH9" t="s">
        <v>1939</v>
      </c>
    </row>
    <row r="10" spans="1:533" x14ac:dyDescent="0.25">
      <c r="B10" t="s">
        <v>1900</v>
      </c>
      <c r="F10" t="s">
        <v>7785</v>
      </c>
      <c r="J10" t="s">
        <v>4419</v>
      </c>
      <c r="K10" t="s">
        <v>4592</v>
      </c>
      <c r="L10" t="s">
        <v>7757</v>
      </c>
      <c r="P10" t="s">
        <v>7745</v>
      </c>
      <c r="S10" t="s">
        <v>7715</v>
      </c>
      <c r="T10" t="s">
        <v>7703</v>
      </c>
      <c r="U10" t="s">
        <v>7693</v>
      </c>
      <c r="V10" t="s">
        <v>7678</v>
      </c>
      <c r="Z10" t="s">
        <v>3214</v>
      </c>
      <c r="AA10" t="s">
        <v>5566</v>
      </c>
      <c r="AE10" t="s">
        <v>2052</v>
      </c>
      <c r="AF10" t="s">
        <v>5223</v>
      </c>
      <c r="AG10" t="s">
        <v>7535</v>
      </c>
      <c r="AH10" t="s">
        <v>7481</v>
      </c>
      <c r="AK10" t="s">
        <v>7446</v>
      </c>
      <c r="AL10" t="s">
        <v>2064</v>
      </c>
      <c r="AM10" t="s">
        <v>7428</v>
      </c>
      <c r="AN10" t="s">
        <v>8924</v>
      </c>
      <c r="AS10" s="56" t="s">
        <v>1719</v>
      </c>
      <c r="AT10" t="s">
        <v>2236</v>
      </c>
      <c r="AU10" t="s">
        <v>7396</v>
      </c>
      <c r="AW10" t="s">
        <v>7389</v>
      </c>
      <c r="AZ10" t="s">
        <v>7288</v>
      </c>
      <c r="BC10" t="s">
        <v>7269</v>
      </c>
      <c r="BF10" t="s">
        <v>7234</v>
      </c>
      <c r="BH10" t="s">
        <v>7213</v>
      </c>
      <c r="BO10" t="s">
        <v>3895</v>
      </c>
      <c r="BQ10" t="s">
        <v>6896</v>
      </c>
      <c r="BR10" t="s">
        <v>747</v>
      </c>
      <c r="BU10" t="s">
        <v>7100</v>
      </c>
      <c r="BW10" t="s">
        <v>7070</v>
      </c>
      <c r="BZ10" t="s">
        <v>6937</v>
      </c>
      <c r="CD10" t="s">
        <v>7049</v>
      </c>
      <c r="CE10" t="s">
        <v>4158</v>
      </c>
      <c r="CH10" t="s">
        <v>7007</v>
      </c>
      <c r="CI10" t="s">
        <v>6985</v>
      </c>
      <c r="CK10" s="160" t="s">
        <v>6974</v>
      </c>
      <c r="CL10" t="s">
        <v>6974</v>
      </c>
      <c r="CS10" t="s">
        <v>6949</v>
      </c>
      <c r="CT10" t="s">
        <v>6921</v>
      </c>
      <c r="CU10" t="s">
        <v>6865</v>
      </c>
      <c r="CX10" t="s">
        <v>6838</v>
      </c>
      <c r="CZ10" t="s">
        <v>6815</v>
      </c>
      <c r="DA10" t="s">
        <v>6800</v>
      </c>
      <c r="DB10" t="s">
        <v>6787</v>
      </c>
      <c r="DF10" t="s">
        <v>6731</v>
      </c>
      <c r="DG10" t="s">
        <v>6719</v>
      </c>
      <c r="DH10" t="s">
        <v>6686</v>
      </c>
      <c r="DM10" t="s">
        <v>6652</v>
      </c>
      <c r="DN10" t="s">
        <v>6600</v>
      </c>
      <c r="DO10" t="s">
        <v>3548</v>
      </c>
      <c r="DZ10" t="s">
        <v>6507</v>
      </c>
      <c r="EA10" t="s">
        <v>6481</v>
      </c>
      <c r="EB10" t="s">
        <v>2049</v>
      </c>
      <c r="EC10" t="s">
        <v>1288</v>
      </c>
      <c r="ED10" t="s">
        <v>6423</v>
      </c>
      <c r="EI10" t="s">
        <v>6346</v>
      </c>
      <c r="EL10" t="s">
        <v>6328</v>
      </c>
      <c r="EN10" t="s">
        <v>5173</v>
      </c>
      <c r="EP10" t="s">
        <v>2205</v>
      </c>
      <c r="EQ10" t="s">
        <v>6209</v>
      </c>
      <c r="ES10" t="s">
        <v>6200</v>
      </c>
      <c r="EU10" t="s">
        <v>6132</v>
      </c>
      <c r="EX10" t="s">
        <v>2715</v>
      </c>
      <c r="EY10" t="s">
        <v>3920</v>
      </c>
      <c r="FA10" t="s">
        <v>6090</v>
      </c>
      <c r="FB10" t="s">
        <v>1280</v>
      </c>
      <c r="FF10" t="s">
        <v>6071</v>
      </c>
      <c r="FH10" t="s">
        <v>2673</v>
      </c>
      <c r="FM10" t="s">
        <v>6033</v>
      </c>
      <c r="FP10" t="s">
        <v>6011</v>
      </c>
      <c r="FQ10" t="s">
        <v>6004</v>
      </c>
      <c r="FU10" t="s">
        <v>5989</v>
      </c>
      <c r="FV10" t="s">
        <v>5960</v>
      </c>
      <c r="GA10" t="s">
        <v>5939</v>
      </c>
      <c r="GD10" t="s">
        <v>5923</v>
      </c>
      <c r="GE10" t="s">
        <v>2855</v>
      </c>
      <c r="GF10" t="s">
        <v>2655</v>
      </c>
      <c r="GG10" t="s">
        <v>5866</v>
      </c>
      <c r="GI10" t="s">
        <v>5854</v>
      </c>
      <c r="GJ10" t="s">
        <v>5846</v>
      </c>
      <c r="GO10" t="s">
        <v>5784</v>
      </c>
      <c r="GP10" t="s">
        <v>5755</v>
      </c>
      <c r="GY10" t="s">
        <v>5735</v>
      </c>
      <c r="HB10" t="s">
        <v>5714</v>
      </c>
      <c r="HC10" t="s">
        <v>5606</v>
      </c>
      <c r="HF10" t="s">
        <v>5580</v>
      </c>
      <c r="HG10" t="s">
        <v>5569</v>
      </c>
      <c r="HI10" t="s">
        <v>5562</v>
      </c>
      <c r="HM10" t="s">
        <v>2670</v>
      </c>
      <c r="HN10" t="s">
        <v>5525</v>
      </c>
      <c r="HT10" t="s">
        <v>5506</v>
      </c>
      <c r="HV10" t="s">
        <v>5425</v>
      </c>
      <c r="HW10" t="s">
        <v>5398</v>
      </c>
      <c r="HY10" t="s">
        <v>3867</v>
      </c>
      <c r="IA10" t="s">
        <v>2904</v>
      </c>
      <c r="IB10" t="s">
        <v>5337</v>
      </c>
      <c r="ID10" t="s">
        <v>5308</v>
      </c>
      <c r="IE10" t="s">
        <v>1667</v>
      </c>
      <c r="IF10" t="s">
        <v>2838</v>
      </c>
      <c r="IH10" t="s">
        <v>5249</v>
      </c>
      <c r="IM10" t="s">
        <v>3152</v>
      </c>
      <c r="IT10" t="s">
        <v>5080</v>
      </c>
      <c r="IV10" t="s">
        <v>5065</v>
      </c>
      <c r="IW10" t="s">
        <v>5053</v>
      </c>
      <c r="IX10" t="s">
        <v>1632</v>
      </c>
      <c r="JF10" t="s">
        <v>4928</v>
      </c>
      <c r="JI10" t="s">
        <v>4911</v>
      </c>
      <c r="JJ10" t="s">
        <v>2130</v>
      </c>
      <c r="JL10" t="s">
        <v>1994</v>
      </c>
      <c r="JS10" t="s">
        <v>3860</v>
      </c>
      <c r="JU10" t="s">
        <v>4791</v>
      </c>
      <c r="JX10" t="s">
        <v>4780</v>
      </c>
      <c r="JZ10" t="s">
        <v>4726</v>
      </c>
      <c r="KB10" t="s">
        <v>1573</v>
      </c>
      <c r="KC10" t="s">
        <v>4705</v>
      </c>
      <c r="KD10" t="s">
        <v>4696</v>
      </c>
      <c r="KE10" t="s">
        <v>4671</v>
      </c>
      <c r="KK10" t="s">
        <v>4615</v>
      </c>
      <c r="KM10" t="s">
        <v>2401</v>
      </c>
      <c r="KN10" t="s">
        <v>2046</v>
      </c>
      <c r="KO10" t="s">
        <v>1041</v>
      </c>
      <c r="KP10" t="s">
        <v>4573</v>
      </c>
      <c r="KQ10" t="s">
        <v>4557</v>
      </c>
      <c r="KS10" t="s">
        <v>4516</v>
      </c>
      <c r="KT10" t="s">
        <v>4489</v>
      </c>
      <c r="KU10" t="s">
        <v>3197</v>
      </c>
      <c r="KV10" t="s">
        <v>3324</v>
      </c>
      <c r="KW10" t="s">
        <v>2247</v>
      </c>
      <c r="KX10" t="s">
        <v>857</v>
      </c>
      <c r="LC10" t="s">
        <v>4387</v>
      </c>
      <c r="LD10" t="s">
        <v>1100</v>
      </c>
      <c r="LE10" t="s">
        <v>4366</v>
      </c>
      <c r="LJ10" t="s">
        <v>4290</v>
      </c>
      <c r="LN10" t="s">
        <v>4276</v>
      </c>
      <c r="LP10" t="s">
        <v>3418</v>
      </c>
      <c r="LR10" t="s">
        <v>2013</v>
      </c>
      <c r="LS10" t="s">
        <v>3867</v>
      </c>
      <c r="LW10" t="s">
        <v>1098</v>
      </c>
      <c r="LY10" t="s">
        <v>4178</v>
      </c>
      <c r="LZ10" t="s">
        <v>4164</v>
      </c>
      <c r="MB10" t="s">
        <v>4121</v>
      </c>
      <c r="MH10" t="s">
        <v>4105</v>
      </c>
      <c r="MI10" t="s">
        <v>3918</v>
      </c>
      <c r="MM10" t="s">
        <v>4054</v>
      </c>
      <c r="MO10" t="s">
        <v>3990</v>
      </c>
      <c r="MS10" t="s">
        <v>3965</v>
      </c>
      <c r="MU10" t="s">
        <v>3918</v>
      </c>
      <c r="MV10" t="s">
        <v>3900</v>
      </c>
      <c r="MX10" t="s">
        <v>3871</v>
      </c>
      <c r="NA10" t="s">
        <v>3849</v>
      </c>
      <c r="NB10" t="s">
        <v>3837</v>
      </c>
      <c r="ND10" t="s">
        <v>3823</v>
      </c>
      <c r="NG10" t="s">
        <v>3797</v>
      </c>
      <c r="NH10" t="s">
        <v>2773</v>
      </c>
      <c r="NJ10" t="s">
        <v>3749</v>
      </c>
      <c r="NL10" t="s">
        <v>3735</v>
      </c>
      <c r="NR10" t="s">
        <v>3703</v>
      </c>
      <c r="NW10" t="s">
        <v>3677</v>
      </c>
      <c r="NX10" t="s">
        <v>3660</v>
      </c>
      <c r="NZ10" t="s">
        <v>3650</v>
      </c>
      <c r="OA10" t="s">
        <v>3133</v>
      </c>
      <c r="OF10" t="s">
        <v>3618</v>
      </c>
      <c r="OG10" t="s">
        <v>3600</v>
      </c>
      <c r="OH10" t="s">
        <v>3592</v>
      </c>
      <c r="OK10" t="s">
        <v>3584</v>
      </c>
      <c r="ON10" t="s">
        <v>3527</v>
      </c>
      <c r="OO10" t="s">
        <v>3503</v>
      </c>
      <c r="OP10" t="s">
        <v>3477</v>
      </c>
      <c r="OW10" t="s">
        <v>2570</v>
      </c>
      <c r="OX10" t="s">
        <v>887</v>
      </c>
      <c r="OZ10" t="s">
        <v>2039</v>
      </c>
      <c r="PA10" t="s">
        <v>3403</v>
      </c>
      <c r="PB10" t="s">
        <v>3340</v>
      </c>
      <c r="PD10" t="s">
        <v>3316</v>
      </c>
      <c r="PI10" t="s">
        <v>3273</v>
      </c>
      <c r="PM10" t="s">
        <v>3243</v>
      </c>
      <c r="PO10" t="s">
        <v>3188</v>
      </c>
      <c r="PP10" t="s">
        <v>3178</v>
      </c>
      <c r="PR10" t="s">
        <v>3158</v>
      </c>
      <c r="PU10" t="s">
        <v>3127</v>
      </c>
      <c r="PW10" t="s">
        <v>3112</v>
      </c>
      <c r="PX10" t="s">
        <v>2615</v>
      </c>
      <c r="QC10" t="s">
        <v>2858</v>
      </c>
      <c r="QE10" t="s">
        <v>2843</v>
      </c>
      <c r="QF10" t="s">
        <v>2768</v>
      </c>
      <c r="QH10" t="s">
        <v>2757</v>
      </c>
      <c r="QK10" t="s">
        <v>2697</v>
      </c>
      <c r="QL10" t="s">
        <v>2688</v>
      </c>
      <c r="QM10" t="s">
        <v>2675</v>
      </c>
      <c r="QN10" t="s">
        <v>2646</v>
      </c>
      <c r="QQ10" t="s">
        <v>2588</v>
      </c>
      <c r="QW10" t="s">
        <v>2545</v>
      </c>
      <c r="QX10" t="s">
        <v>2523</v>
      </c>
      <c r="QZ10" t="s">
        <v>2516</v>
      </c>
      <c r="RB10" t="s">
        <v>2496</v>
      </c>
      <c r="RD10" t="s">
        <v>2479</v>
      </c>
      <c r="RE10" t="s">
        <v>2468</v>
      </c>
      <c r="RH10" t="s">
        <v>2444</v>
      </c>
      <c r="RI10" t="s">
        <v>2435</v>
      </c>
      <c r="RJ10" t="s">
        <v>2427</v>
      </c>
      <c r="RL10" t="s">
        <v>2393</v>
      </c>
      <c r="RM10" t="s">
        <v>2385</v>
      </c>
      <c r="RO10" t="s">
        <v>2369</v>
      </c>
      <c r="RT10" t="s">
        <v>2313</v>
      </c>
      <c r="RV10" t="s">
        <v>2195</v>
      </c>
      <c r="SB10" t="s">
        <v>1828</v>
      </c>
      <c r="SC10" t="s">
        <v>2161</v>
      </c>
      <c r="SF10" t="s">
        <v>2054</v>
      </c>
      <c r="SG10" t="s">
        <v>2136</v>
      </c>
      <c r="SH10" t="s">
        <v>2112</v>
      </c>
      <c r="SN10" t="s">
        <v>1827</v>
      </c>
      <c r="ST10" t="s">
        <v>2063</v>
      </c>
      <c r="SU10" t="s">
        <v>2047</v>
      </c>
      <c r="SW10" t="s">
        <v>2028</v>
      </c>
      <c r="TA10" t="s">
        <v>768</v>
      </c>
      <c r="TG10" t="s">
        <v>1968</v>
      </c>
      <c r="TH10" t="s">
        <v>1940</v>
      </c>
    </row>
    <row r="11" spans="1:533" x14ac:dyDescent="0.25">
      <c r="B11" t="s">
        <v>1548</v>
      </c>
      <c r="F11" t="s">
        <v>1069</v>
      </c>
      <c r="J11" t="s">
        <v>2605</v>
      </c>
      <c r="L11" t="s">
        <v>7758</v>
      </c>
      <c r="P11" t="s">
        <v>7746</v>
      </c>
      <c r="S11" t="s">
        <v>7716</v>
      </c>
      <c r="T11" t="s">
        <v>7704</v>
      </c>
      <c r="U11" t="s">
        <v>4994</v>
      </c>
      <c r="V11" t="s">
        <v>3620</v>
      </c>
      <c r="Z11" t="s">
        <v>7662</v>
      </c>
      <c r="AA11" t="s">
        <v>7620</v>
      </c>
      <c r="AE11" t="s">
        <v>2007</v>
      </c>
      <c r="AF11" t="s">
        <v>7606</v>
      </c>
      <c r="AG11" t="s">
        <v>7536</v>
      </c>
      <c r="AH11" t="s">
        <v>3346</v>
      </c>
      <c r="AK11" t="s">
        <v>7447</v>
      </c>
      <c r="AM11" t="s">
        <v>7429</v>
      </c>
      <c r="AN11" t="s">
        <v>8925</v>
      </c>
      <c r="AS11" s="56" t="s">
        <v>8937</v>
      </c>
      <c r="AT11" t="s">
        <v>7407</v>
      </c>
      <c r="AU11" t="s">
        <v>3400</v>
      </c>
      <c r="AZ11" t="s">
        <v>7289</v>
      </c>
      <c r="BC11" t="s">
        <v>7270</v>
      </c>
      <c r="BF11" t="s">
        <v>2747</v>
      </c>
      <c r="BH11" t="s">
        <v>7214</v>
      </c>
      <c r="BO11" t="s">
        <v>7166</v>
      </c>
      <c r="BQ11" t="s">
        <v>10282</v>
      </c>
      <c r="BU11" t="s">
        <v>7101</v>
      </c>
      <c r="BW11" t="s">
        <v>7071</v>
      </c>
      <c r="BZ11" t="s">
        <v>1160</v>
      </c>
      <c r="CE11" t="s">
        <v>7029</v>
      </c>
      <c r="CH11" t="s">
        <v>7008</v>
      </c>
      <c r="CI11" t="s">
        <v>6986</v>
      </c>
      <c r="CK11" s="9" t="s">
        <v>4265</v>
      </c>
      <c r="CL11" t="s">
        <v>4265</v>
      </c>
      <c r="CS11" t="s">
        <v>6950</v>
      </c>
      <c r="CT11" t="s">
        <v>6922</v>
      </c>
      <c r="CU11" t="s">
        <v>6866</v>
      </c>
      <c r="CX11" t="s">
        <v>6839</v>
      </c>
      <c r="CZ11" t="s">
        <v>3357</v>
      </c>
      <c r="DA11" t="s">
        <v>6801</v>
      </c>
      <c r="DB11" t="s">
        <v>3550</v>
      </c>
      <c r="DF11" t="s">
        <v>6732</v>
      </c>
      <c r="DG11" t="s">
        <v>6720</v>
      </c>
      <c r="DH11" t="s">
        <v>6687</v>
      </c>
      <c r="DM11" t="s">
        <v>772</v>
      </c>
      <c r="DN11" t="s">
        <v>6601</v>
      </c>
      <c r="DO11" t="s">
        <v>3001</v>
      </c>
      <c r="DZ11" t="s">
        <v>1353</v>
      </c>
      <c r="EA11" t="s">
        <v>6482</v>
      </c>
      <c r="EB11" t="s">
        <v>6468</v>
      </c>
      <c r="EC11" t="s">
        <v>6456</v>
      </c>
      <c r="ED11" t="s">
        <v>6424</v>
      </c>
      <c r="EI11" t="s">
        <v>6347</v>
      </c>
      <c r="EL11" t="s">
        <v>6329</v>
      </c>
      <c r="EP11" t="s">
        <v>6303</v>
      </c>
      <c r="EQ11" t="s">
        <v>6210</v>
      </c>
      <c r="ES11" t="s">
        <v>6201</v>
      </c>
      <c r="EU11" t="s">
        <v>6133</v>
      </c>
      <c r="EX11" t="s">
        <v>6123</v>
      </c>
      <c r="EY11" t="s">
        <v>3192</v>
      </c>
      <c r="FF11" t="s">
        <v>6072</v>
      </c>
      <c r="FH11" t="s">
        <v>6055</v>
      </c>
      <c r="FM11" t="s">
        <v>6034</v>
      </c>
      <c r="FP11" t="s">
        <v>6012</v>
      </c>
      <c r="FQ11" t="s">
        <v>3290</v>
      </c>
      <c r="FU11" t="s">
        <v>2033</v>
      </c>
      <c r="FV11" t="s">
        <v>5961</v>
      </c>
      <c r="GA11" t="s">
        <v>5940</v>
      </c>
      <c r="GD11" t="s">
        <v>2288</v>
      </c>
      <c r="GE11" t="s">
        <v>5893</v>
      </c>
      <c r="GF11" t="s">
        <v>2177</v>
      </c>
      <c r="GG11" t="s">
        <v>5867</v>
      </c>
      <c r="GI11" t="s">
        <v>5855</v>
      </c>
      <c r="GJ11" t="s">
        <v>2013</v>
      </c>
      <c r="GO11" t="s">
        <v>5785</v>
      </c>
      <c r="GP11" t="s">
        <v>5756</v>
      </c>
      <c r="GY11" t="s">
        <v>5736</v>
      </c>
      <c r="HB11" t="s">
        <v>5715</v>
      </c>
      <c r="HC11" t="s">
        <v>5607</v>
      </c>
      <c r="HF11" t="s">
        <v>5581</v>
      </c>
      <c r="HG11" t="s">
        <v>5570</v>
      </c>
      <c r="HM11" t="s">
        <v>3233</v>
      </c>
      <c r="HN11" t="s">
        <v>5526</v>
      </c>
      <c r="HT11" t="s">
        <v>5507</v>
      </c>
      <c r="HV11" t="s">
        <v>5426</v>
      </c>
      <c r="HW11" t="s">
        <v>5399</v>
      </c>
      <c r="HY11" t="s">
        <v>3525</v>
      </c>
      <c r="IA11" t="s">
        <v>2905</v>
      </c>
      <c r="ID11" t="s">
        <v>5309</v>
      </c>
      <c r="IE11" t="s">
        <v>5298</v>
      </c>
      <c r="IF11" t="s">
        <v>1069</v>
      </c>
      <c r="IH11" t="s">
        <v>5120</v>
      </c>
      <c r="IM11" t="s">
        <v>2201</v>
      </c>
      <c r="IT11" t="s">
        <v>2350</v>
      </c>
      <c r="IV11" t="s">
        <v>5066</v>
      </c>
      <c r="IW11" t="s">
        <v>5054</v>
      </c>
      <c r="IX11" t="s">
        <v>4944</v>
      </c>
      <c r="JF11" t="s">
        <v>2529</v>
      </c>
      <c r="JI11" t="s">
        <v>4912</v>
      </c>
      <c r="JJ11" t="s">
        <v>4839</v>
      </c>
      <c r="JL11" t="s">
        <v>4830</v>
      </c>
      <c r="JS11" t="s">
        <v>4802</v>
      </c>
      <c r="JU11" t="s">
        <v>3906</v>
      </c>
      <c r="JX11" t="s">
        <v>4781</v>
      </c>
      <c r="JZ11" t="s">
        <v>4727</v>
      </c>
      <c r="KB11" t="s">
        <v>4715</v>
      </c>
      <c r="KC11" t="s">
        <v>3482</v>
      </c>
      <c r="KD11" t="s">
        <v>4697</v>
      </c>
      <c r="KE11" t="s">
        <v>4672</v>
      </c>
      <c r="KK11" t="s">
        <v>1893</v>
      </c>
      <c r="KM11" t="s">
        <v>4599</v>
      </c>
      <c r="KN11" t="s">
        <v>4584</v>
      </c>
      <c r="KO11" t="s">
        <v>3515</v>
      </c>
      <c r="KQ11" t="s">
        <v>1719</v>
      </c>
      <c r="KS11" t="s">
        <v>2208</v>
      </c>
      <c r="KT11" t="s">
        <v>4490</v>
      </c>
      <c r="KU11" t="s">
        <v>2863</v>
      </c>
      <c r="KW11" t="s">
        <v>4457</v>
      </c>
      <c r="KX11" t="s">
        <v>4404</v>
      </c>
      <c r="LC11" t="s">
        <v>1944</v>
      </c>
      <c r="LD11" t="s">
        <v>2259</v>
      </c>
      <c r="LE11" t="s">
        <v>1944</v>
      </c>
      <c r="LJ11" t="s">
        <v>4291</v>
      </c>
      <c r="LN11" t="s">
        <v>4277</v>
      </c>
      <c r="LP11" t="s">
        <v>4261</v>
      </c>
      <c r="LR11" t="s">
        <v>2563</v>
      </c>
      <c r="LS11" t="s">
        <v>3792</v>
      </c>
      <c r="LW11" t="s">
        <v>1505</v>
      </c>
      <c r="LY11" t="s">
        <v>4179</v>
      </c>
      <c r="LZ11" t="s">
        <v>4165</v>
      </c>
      <c r="MB11" t="s">
        <v>4122</v>
      </c>
      <c r="MI11" t="s">
        <v>4076</v>
      </c>
      <c r="MM11" t="s">
        <v>4055</v>
      </c>
      <c r="MO11" t="s">
        <v>3991</v>
      </c>
      <c r="MS11" t="s">
        <v>3966</v>
      </c>
      <c r="MU11" t="s">
        <v>3919</v>
      </c>
      <c r="MV11" t="s">
        <v>2792</v>
      </c>
      <c r="MX11" t="s">
        <v>2023</v>
      </c>
      <c r="NA11" t="s">
        <v>3850</v>
      </c>
      <c r="NB11" t="s">
        <v>3838</v>
      </c>
      <c r="ND11" t="s">
        <v>754</v>
      </c>
      <c r="NG11" t="s">
        <v>3798</v>
      </c>
      <c r="NH11" t="s">
        <v>3772</v>
      </c>
      <c r="NJ11" t="s">
        <v>3750</v>
      </c>
      <c r="NL11" t="s">
        <v>1983</v>
      </c>
      <c r="NR11" t="s">
        <v>3704</v>
      </c>
      <c r="NW11" t="s">
        <v>3678</v>
      </c>
      <c r="NX11" t="s">
        <v>764</v>
      </c>
      <c r="NZ11" t="s">
        <v>3281</v>
      </c>
      <c r="OA11" t="s">
        <v>3549</v>
      </c>
      <c r="OF11" t="s">
        <v>3619</v>
      </c>
      <c r="OG11" t="s">
        <v>3601</v>
      </c>
      <c r="ON11" t="s">
        <v>3528</v>
      </c>
      <c r="OO11" t="s">
        <v>3504</v>
      </c>
      <c r="OP11" t="s">
        <v>3478</v>
      </c>
      <c r="OX11" t="s">
        <v>1490</v>
      </c>
      <c r="OZ11" t="s">
        <v>3413</v>
      </c>
      <c r="PA11" t="s">
        <v>3404</v>
      </c>
      <c r="PB11" t="s">
        <v>2583</v>
      </c>
      <c r="PD11" t="s">
        <v>3317</v>
      </c>
      <c r="PI11" t="s">
        <v>1675</v>
      </c>
      <c r="PM11" t="s">
        <v>3244</v>
      </c>
      <c r="PO11" t="s">
        <v>3189</v>
      </c>
      <c r="PP11" t="s">
        <v>3179</v>
      </c>
      <c r="PR11" t="s">
        <v>3159</v>
      </c>
      <c r="PU11" t="s">
        <v>2956</v>
      </c>
      <c r="PW11" t="s">
        <v>3113</v>
      </c>
      <c r="PX11" t="s">
        <v>3069</v>
      </c>
      <c r="QC11" t="s">
        <v>2859</v>
      </c>
      <c r="QE11" t="s">
        <v>761</v>
      </c>
      <c r="QF11" t="s">
        <v>2769</v>
      </c>
      <c r="QH11" t="s">
        <v>2758</v>
      </c>
      <c r="QK11" t="s">
        <v>2698</v>
      </c>
      <c r="QL11" t="s">
        <v>2689</v>
      </c>
      <c r="QM11" t="s">
        <v>2676</v>
      </c>
      <c r="QN11" t="s">
        <v>2647</v>
      </c>
      <c r="QQ11" t="s">
        <v>2589</v>
      </c>
      <c r="QW11" t="s">
        <v>2546</v>
      </c>
      <c r="QX11" t="s">
        <v>2132</v>
      </c>
      <c r="RB11" t="s">
        <v>2497</v>
      </c>
      <c r="RD11" t="s">
        <v>839</v>
      </c>
      <c r="RE11" t="s">
        <v>2469</v>
      </c>
      <c r="RH11" t="s">
        <v>1944</v>
      </c>
      <c r="RL11" t="s">
        <v>2394</v>
      </c>
      <c r="RT11" t="s">
        <v>2314</v>
      </c>
      <c r="RV11" t="s">
        <v>2196</v>
      </c>
      <c r="SB11" t="s">
        <v>2171</v>
      </c>
      <c r="SC11" t="s">
        <v>2162</v>
      </c>
      <c r="SG11" s="12" t="s">
        <v>10349</v>
      </c>
      <c r="SH11" t="s">
        <v>2113</v>
      </c>
      <c r="SN11" t="s">
        <v>8912</v>
      </c>
      <c r="ST11" t="s">
        <v>2064</v>
      </c>
      <c r="SU11" t="s">
        <v>2048</v>
      </c>
      <c r="SW11" t="s">
        <v>2029</v>
      </c>
      <c r="TA11" t="s">
        <v>1566</v>
      </c>
      <c r="TG11" t="s">
        <v>1969</v>
      </c>
      <c r="TH11" t="s">
        <v>1941</v>
      </c>
    </row>
    <row r="12" spans="1:533" x14ac:dyDescent="0.25">
      <c r="B12" t="s">
        <v>1901</v>
      </c>
      <c r="F12" t="s">
        <v>4854</v>
      </c>
      <c r="J12" t="s">
        <v>2082</v>
      </c>
      <c r="L12" t="s">
        <v>7759</v>
      </c>
      <c r="S12" t="s">
        <v>7717</v>
      </c>
      <c r="T12" t="s">
        <v>4653</v>
      </c>
      <c r="U12" t="s">
        <v>4032</v>
      </c>
      <c r="V12" t="s">
        <v>2596</v>
      </c>
      <c r="Z12" t="s">
        <v>7663</v>
      </c>
      <c r="AA12" t="s">
        <v>3527</v>
      </c>
      <c r="AE12" t="s">
        <v>3229</v>
      </c>
      <c r="AF12" t="s">
        <v>7607</v>
      </c>
      <c r="AG12" t="s">
        <v>7537</v>
      </c>
      <c r="AH12" t="s">
        <v>4484</v>
      </c>
      <c r="AK12" t="s">
        <v>7448</v>
      </c>
      <c r="AM12" t="s">
        <v>7430</v>
      </c>
      <c r="AN12" t="s">
        <v>8926</v>
      </c>
      <c r="AS12" s="56" t="s">
        <v>8938</v>
      </c>
      <c r="AT12" t="s">
        <v>7408</v>
      </c>
      <c r="AU12" t="s">
        <v>7397</v>
      </c>
      <c r="AZ12" t="s">
        <v>2461</v>
      </c>
      <c r="BC12" t="s">
        <v>7271</v>
      </c>
      <c r="BF12" t="s">
        <v>2939</v>
      </c>
      <c r="BH12" t="s">
        <v>7215</v>
      </c>
      <c r="BO12" t="s">
        <v>7167</v>
      </c>
      <c r="BQ12" t="s">
        <v>6897</v>
      </c>
      <c r="BU12" t="s">
        <v>7102</v>
      </c>
      <c r="BW12" t="s">
        <v>7072</v>
      </c>
      <c r="BZ12" t="s">
        <v>7059</v>
      </c>
      <c r="CE12" t="s">
        <v>7030</v>
      </c>
      <c r="CH12" t="s">
        <v>7009</v>
      </c>
      <c r="CI12" t="s">
        <v>6987</v>
      </c>
      <c r="CK12" s="160" t="s">
        <v>6975</v>
      </c>
      <c r="CL12" t="s">
        <v>6975</v>
      </c>
      <c r="CS12" t="s">
        <v>6951</v>
      </c>
      <c r="CT12" t="s">
        <v>6923</v>
      </c>
      <c r="CU12" t="s">
        <v>6867</v>
      </c>
      <c r="CX12" t="s">
        <v>6840</v>
      </c>
      <c r="CZ12" t="s">
        <v>750</v>
      </c>
      <c r="DA12" t="s">
        <v>2236</v>
      </c>
      <c r="DB12" t="s">
        <v>6788</v>
      </c>
      <c r="DF12" t="s">
        <v>6733</v>
      </c>
      <c r="DG12" t="s">
        <v>2525</v>
      </c>
      <c r="DH12" t="s">
        <v>6688</v>
      </c>
      <c r="DM12" t="s">
        <v>5987</v>
      </c>
      <c r="DN12" t="s">
        <v>6602</v>
      </c>
      <c r="DO12" t="s">
        <v>2525</v>
      </c>
      <c r="DZ12" t="s">
        <v>749</v>
      </c>
      <c r="EA12" t="s">
        <v>6483</v>
      </c>
      <c r="EB12" t="s">
        <v>6469</v>
      </c>
      <c r="EC12" t="s">
        <v>6457</v>
      </c>
      <c r="ED12" t="s">
        <v>6425</v>
      </c>
      <c r="EI12" t="s">
        <v>6348</v>
      </c>
      <c r="EL12" t="s">
        <v>2401</v>
      </c>
      <c r="EP12" t="s">
        <v>6304</v>
      </c>
      <c r="EQ12" t="s">
        <v>6211</v>
      </c>
      <c r="ES12" t="s">
        <v>6202</v>
      </c>
      <c r="EU12" t="s">
        <v>6134</v>
      </c>
      <c r="EX12" t="s">
        <v>2655</v>
      </c>
      <c r="EY12" t="s">
        <v>6099</v>
      </c>
      <c r="FF12" t="s">
        <v>6073</v>
      </c>
      <c r="FH12" t="s">
        <v>6056</v>
      </c>
      <c r="FM12" t="s">
        <v>6035</v>
      </c>
      <c r="FP12" t="s">
        <v>6013</v>
      </c>
      <c r="FU12" t="s">
        <v>3163</v>
      </c>
      <c r="FV12" t="s">
        <v>4290</v>
      </c>
      <c r="GA12" t="s">
        <v>5941</v>
      </c>
      <c r="GD12" t="s">
        <v>5924</v>
      </c>
      <c r="GE12" t="s">
        <v>4669</v>
      </c>
      <c r="GF12" t="s">
        <v>2830</v>
      </c>
      <c r="GG12" t="s">
        <v>5868</v>
      </c>
      <c r="GI12" t="s">
        <v>5856</v>
      </c>
      <c r="GJ12" t="s">
        <v>1151</v>
      </c>
      <c r="GO12" t="s">
        <v>3867</v>
      </c>
      <c r="GP12" t="s">
        <v>2037</v>
      </c>
      <c r="GY12" t="s">
        <v>5737</v>
      </c>
      <c r="HB12" t="s">
        <v>5716</v>
      </c>
      <c r="HC12" t="s">
        <v>5608</v>
      </c>
      <c r="HF12" t="s">
        <v>5582</v>
      </c>
      <c r="HG12" t="s">
        <v>5571</v>
      </c>
      <c r="HM12" t="s">
        <v>5538</v>
      </c>
      <c r="HN12" t="s">
        <v>5527</v>
      </c>
      <c r="HT12" t="s">
        <v>5508</v>
      </c>
      <c r="HV12" t="s">
        <v>5427</v>
      </c>
      <c r="HW12" t="s">
        <v>5400</v>
      </c>
      <c r="HY12" t="s">
        <v>5345</v>
      </c>
      <c r="IA12" t="s">
        <v>2906</v>
      </c>
      <c r="ID12" t="s">
        <v>5310</v>
      </c>
      <c r="IE12" t="s">
        <v>5299</v>
      </c>
      <c r="IF12" t="s">
        <v>5264</v>
      </c>
      <c r="IH12" t="s">
        <v>2082</v>
      </c>
      <c r="IM12" t="s">
        <v>1418</v>
      </c>
      <c r="IT12" t="s">
        <v>5081</v>
      </c>
      <c r="IV12" t="s">
        <v>5067</v>
      </c>
      <c r="IW12" t="s">
        <v>5055</v>
      </c>
      <c r="IX12" t="s">
        <v>4945</v>
      </c>
      <c r="JF12" t="s">
        <v>3642</v>
      </c>
      <c r="JI12" t="s">
        <v>2988</v>
      </c>
      <c r="JJ12" t="s">
        <v>2199</v>
      </c>
      <c r="JL12" t="s">
        <v>4498</v>
      </c>
      <c r="JS12" t="s">
        <v>2419</v>
      </c>
      <c r="JU12" t="s">
        <v>4792</v>
      </c>
      <c r="JX12" t="s">
        <v>4782</v>
      </c>
      <c r="JZ12" t="s">
        <v>4728</v>
      </c>
      <c r="KB12" t="s">
        <v>4716</v>
      </c>
      <c r="KC12" t="s">
        <v>2004</v>
      </c>
      <c r="KD12" t="s">
        <v>3552</v>
      </c>
      <c r="KE12" t="s">
        <v>4673</v>
      </c>
      <c r="KK12" t="s">
        <v>4616</v>
      </c>
      <c r="KM12" t="s">
        <v>4198</v>
      </c>
      <c r="KN12" t="s">
        <v>4585</v>
      </c>
      <c r="KO12" t="s">
        <v>4578</v>
      </c>
      <c r="KQ12" t="s">
        <v>4558</v>
      </c>
      <c r="KS12" t="s">
        <v>3918</v>
      </c>
      <c r="KT12" t="s">
        <v>4491</v>
      </c>
      <c r="KU12" t="s">
        <v>4474</v>
      </c>
      <c r="KW12" t="s">
        <v>4458</v>
      </c>
      <c r="KX12" t="s">
        <v>3312</v>
      </c>
      <c r="LC12" t="s">
        <v>4388</v>
      </c>
      <c r="LD12" t="s">
        <v>4380</v>
      </c>
      <c r="LE12" t="s">
        <v>2718</v>
      </c>
      <c r="LJ12" t="s">
        <v>4292</v>
      </c>
      <c r="LN12" t="s">
        <v>4278</v>
      </c>
      <c r="LP12" t="s">
        <v>4262</v>
      </c>
      <c r="LR12" t="s">
        <v>4254</v>
      </c>
      <c r="LS12" t="s">
        <v>4222</v>
      </c>
      <c r="LW12" t="s">
        <v>4197</v>
      </c>
      <c r="LY12" t="s">
        <v>4180</v>
      </c>
      <c r="LZ12" t="s">
        <v>1944</v>
      </c>
      <c r="MB12" t="s">
        <v>2494</v>
      </c>
      <c r="MI12" t="s">
        <v>4077</v>
      </c>
      <c r="MM12" t="s">
        <v>3905</v>
      </c>
      <c r="MO12" t="s">
        <v>1775</v>
      </c>
      <c r="MS12" t="s">
        <v>3967</v>
      </c>
      <c r="MU12" t="s">
        <v>3920</v>
      </c>
      <c r="MV12" t="s">
        <v>1927</v>
      </c>
      <c r="MX12" t="s">
        <v>3872</v>
      </c>
      <c r="NA12" t="s">
        <v>3851</v>
      </c>
      <c r="NB12" t="s">
        <v>3839</v>
      </c>
      <c r="ND12" t="s">
        <v>3824</v>
      </c>
      <c r="NG12" t="s">
        <v>3799</v>
      </c>
      <c r="NH12" t="s">
        <v>3773</v>
      </c>
      <c r="NJ12" t="s">
        <v>2062</v>
      </c>
      <c r="NL12" t="s">
        <v>3736</v>
      </c>
      <c r="NR12" t="s">
        <v>3705</v>
      </c>
      <c r="NW12" t="s">
        <v>3679</v>
      </c>
      <c r="NX12" t="s">
        <v>3661</v>
      </c>
      <c r="OA12" t="s">
        <v>3639</v>
      </c>
      <c r="OG12" t="s">
        <v>3602</v>
      </c>
      <c r="ON12" t="s">
        <v>3529</v>
      </c>
      <c r="OO12" t="s">
        <v>3505</v>
      </c>
      <c r="OP12" t="s">
        <v>1775</v>
      </c>
      <c r="OX12" t="s">
        <v>3426</v>
      </c>
      <c r="OZ12" t="s">
        <v>3414</v>
      </c>
      <c r="PA12" t="s">
        <v>3405</v>
      </c>
      <c r="PB12" t="s">
        <v>3341</v>
      </c>
      <c r="PD12" t="s">
        <v>3318</v>
      </c>
      <c r="PI12" t="s">
        <v>3300</v>
      </c>
      <c r="PM12" t="s">
        <v>3245</v>
      </c>
      <c r="PO12" t="s">
        <v>3190</v>
      </c>
      <c r="PP12" t="s">
        <v>3180</v>
      </c>
      <c r="PR12" t="s">
        <v>3160</v>
      </c>
      <c r="PU12" t="s">
        <v>3128</v>
      </c>
      <c r="PW12" t="s">
        <v>2707</v>
      </c>
      <c r="PX12" t="s">
        <v>3104</v>
      </c>
      <c r="QC12" t="s">
        <v>10282</v>
      </c>
      <c r="QE12" t="s">
        <v>2844</v>
      </c>
      <c r="QF12" t="s">
        <v>2770</v>
      </c>
      <c r="QK12" t="s">
        <v>2699</v>
      </c>
      <c r="QM12" t="s">
        <v>2677</v>
      </c>
      <c r="QN12" t="s">
        <v>2648</v>
      </c>
      <c r="QQ12" t="s">
        <v>2590</v>
      </c>
      <c r="QW12" t="s">
        <v>2547</v>
      </c>
      <c r="QX12" t="s">
        <v>1899</v>
      </c>
      <c r="RB12" t="s">
        <v>2498</v>
      </c>
      <c r="RD12" t="s">
        <v>2480</v>
      </c>
      <c r="RE12" t="s">
        <v>2470</v>
      </c>
      <c r="RH12" t="s">
        <v>754</v>
      </c>
      <c r="RL12" t="s">
        <v>2395</v>
      </c>
      <c r="RT12" t="s">
        <v>2315</v>
      </c>
      <c r="RV12" t="s">
        <v>2197</v>
      </c>
      <c r="SB12" t="s">
        <v>2172</v>
      </c>
      <c r="SC12" t="s">
        <v>2163</v>
      </c>
      <c r="SG12" t="s">
        <v>2137</v>
      </c>
      <c r="SH12" t="s">
        <v>2114</v>
      </c>
      <c r="SN12" t="s">
        <v>4419</v>
      </c>
      <c r="SU12" t="s">
        <v>2049</v>
      </c>
      <c r="SW12" t="s">
        <v>2030</v>
      </c>
      <c r="TA12" t="s">
        <v>2006</v>
      </c>
      <c r="TG12" t="s">
        <v>1970</v>
      </c>
      <c r="TH12" t="s">
        <v>1942</v>
      </c>
    </row>
    <row r="13" spans="1:533" x14ac:dyDescent="0.25">
      <c r="B13" t="s">
        <v>1902</v>
      </c>
      <c r="F13" t="s">
        <v>1778</v>
      </c>
      <c r="J13" t="s">
        <v>4198</v>
      </c>
      <c r="L13" t="s">
        <v>6277</v>
      </c>
      <c r="S13" t="s">
        <v>2074</v>
      </c>
      <c r="T13" t="s">
        <v>7705</v>
      </c>
      <c r="U13" t="s">
        <v>7694</v>
      </c>
      <c r="V13" t="s">
        <v>7679</v>
      </c>
      <c r="Z13" t="s">
        <v>7664</v>
      </c>
      <c r="AA13" t="s">
        <v>7621</v>
      </c>
      <c r="AG13" t="s">
        <v>7538</v>
      </c>
      <c r="AH13" t="s">
        <v>7482</v>
      </c>
      <c r="AK13" t="s">
        <v>7449</v>
      </c>
      <c r="AM13" t="s">
        <v>7431</v>
      </c>
      <c r="AN13" t="s">
        <v>8927</v>
      </c>
      <c r="AS13" s="56" t="s">
        <v>8939</v>
      </c>
      <c r="AT13" t="s">
        <v>3860</v>
      </c>
      <c r="AU13" t="s">
        <v>6163</v>
      </c>
      <c r="AZ13" t="s">
        <v>7290</v>
      </c>
      <c r="BC13" t="s">
        <v>7272</v>
      </c>
      <c r="BF13" t="s">
        <v>7235</v>
      </c>
      <c r="BH13" t="s">
        <v>7216</v>
      </c>
      <c r="BO13" t="s">
        <v>1458</v>
      </c>
      <c r="BQ13" t="s">
        <v>6898</v>
      </c>
      <c r="BU13" t="s">
        <v>7103</v>
      </c>
      <c r="BW13" t="s">
        <v>7073</v>
      </c>
      <c r="CE13" t="s">
        <v>7031</v>
      </c>
      <c r="CH13" t="s">
        <v>788</v>
      </c>
      <c r="CI13" t="s">
        <v>2942</v>
      </c>
      <c r="CK13" s="9" t="s">
        <v>6976</v>
      </c>
      <c r="CL13" t="s">
        <v>6976</v>
      </c>
      <c r="CS13" t="s">
        <v>6952</v>
      </c>
      <c r="CT13" t="s">
        <v>6924</v>
      </c>
      <c r="CU13" t="s">
        <v>6868</v>
      </c>
      <c r="CX13" t="s">
        <v>5401</v>
      </c>
      <c r="CZ13" t="s">
        <v>6816</v>
      </c>
      <c r="DA13" t="s">
        <v>6802</v>
      </c>
      <c r="DB13" t="s">
        <v>4367</v>
      </c>
      <c r="DF13" t="s">
        <v>6220</v>
      </c>
      <c r="DG13" t="s">
        <v>6721</v>
      </c>
      <c r="DH13" t="s">
        <v>6689</v>
      </c>
      <c r="DM13" t="s">
        <v>6653</v>
      </c>
      <c r="DN13" t="s">
        <v>6603</v>
      </c>
      <c r="DO13" t="s">
        <v>6590</v>
      </c>
      <c r="DZ13" t="s">
        <v>4611</v>
      </c>
      <c r="EA13" t="s">
        <v>1965</v>
      </c>
      <c r="EB13" t="s">
        <v>6470</v>
      </c>
      <c r="EC13" t="s">
        <v>6458</v>
      </c>
      <c r="ED13" t="s">
        <v>6426</v>
      </c>
      <c r="EI13" t="s">
        <v>6349</v>
      </c>
      <c r="EL13" t="s">
        <v>6330</v>
      </c>
      <c r="EP13" t="s">
        <v>6305</v>
      </c>
      <c r="EQ13" t="s">
        <v>6212</v>
      </c>
      <c r="ES13" t="s">
        <v>6203</v>
      </c>
      <c r="EU13" t="s">
        <v>6135</v>
      </c>
      <c r="EX13" t="s">
        <v>6124</v>
      </c>
      <c r="EY13" t="s">
        <v>2494</v>
      </c>
      <c r="FF13" t="s">
        <v>6074</v>
      </c>
      <c r="FH13" t="s">
        <v>6057</v>
      </c>
      <c r="FM13" t="s">
        <v>6036</v>
      </c>
      <c r="FP13" t="s">
        <v>3992</v>
      </c>
      <c r="FU13" t="s">
        <v>2824</v>
      </c>
      <c r="FV13" t="s">
        <v>5962</v>
      </c>
      <c r="GA13" t="s">
        <v>5942</v>
      </c>
      <c r="GE13" t="s">
        <v>2942</v>
      </c>
      <c r="GF13" t="s">
        <v>5886</v>
      </c>
      <c r="GG13" t="s">
        <v>5869</v>
      </c>
      <c r="GI13" t="s">
        <v>5857</v>
      </c>
      <c r="GJ13" t="s">
        <v>5847</v>
      </c>
      <c r="GO13" t="s">
        <v>5786</v>
      </c>
      <c r="GP13" t="s">
        <v>5757</v>
      </c>
      <c r="GY13" t="s">
        <v>4265</v>
      </c>
      <c r="HB13" t="s">
        <v>5717</v>
      </c>
      <c r="HC13" t="s">
        <v>5609</v>
      </c>
      <c r="HF13" t="s">
        <v>5583</v>
      </c>
      <c r="HG13" t="s">
        <v>5572</v>
      </c>
      <c r="HM13" t="s">
        <v>4630</v>
      </c>
      <c r="HN13" t="s">
        <v>5528</v>
      </c>
      <c r="HV13" t="s">
        <v>3811</v>
      </c>
      <c r="HW13" t="s">
        <v>5401</v>
      </c>
      <c r="HY13" t="s">
        <v>5346</v>
      </c>
      <c r="IA13" t="s">
        <v>2907</v>
      </c>
      <c r="ID13" t="s">
        <v>5311</v>
      </c>
      <c r="IE13" t="s">
        <v>5300</v>
      </c>
      <c r="IF13" t="s">
        <v>4076</v>
      </c>
      <c r="IH13" t="s">
        <v>5250</v>
      </c>
      <c r="IM13" t="s">
        <v>5200</v>
      </c>
      <c r="IT13" t="s">
        <v>5082</v>
      </c>
      <c r="IV13" t="s">
        <v>5068</v>
      </c>
      <c r="IW13" t="s">
        <v>5056</v>
      </c>
      <c r="IX13" t="s">
        <v>4946</v>
      </c>
      <c r="JF13" t="s">
        <v>2282</v>
      </c>
      <c r="JI13" t="s">
        <v>1343</v>
      </c>
      <c r="JJ13" t="s">
        <v>4840</v>
      </c>
      <c r="JL13" t="s">
        <v>2029</v>
      </c>
      <c r="JS13" t="s">
        <v>1972</v>
      </c>
      <c r="JX13" t="s">
        <v>2412</v>
      </c>
      <c r="JZ13" t="s">
        <v>4729</v>
      </c>
      <c r="KB13" t="s">
        <v>4717</v>
      </c>
      <c r="KC13" t="s">
        <v>4706</v>
      </c>
      <c r="KD13" t="s">
        <v>808</v>
      </c>
      <c r="KE13" t="s">
        <v>3141</v>
      </c>
      <c r="KK13" t="s">
        <v>3187</v>
      </c>
      <c r="KM13" t="s">
        <v>4600</v>
      </c>
      <c r="KN13" t="s">
        <v>1944</v>
      </c>
      <c r="KO13" t="s">
        <v>4579</v>
      </c>
      <c r="KQ13" t="s">
        <v>2792</v>
      </c>
      <c r="KS13" t="s">
        <v>4517</v>
      </c>
      <c r="KT13" t="s">
        <v>4492</v>
      </c>
      <c r="KU13" t="s">
        <v>4475</v>
      </c>
      <c r="KW13" t="s">
        <v>3161</v>
      </c>
      <c r="KX13" t="s">
        <v>4405</v>
      </c>
      <c r="LC13" t="s">
        <v>2049</v>
      </c>
      <c r="LD13" t="s">
        <v>4381</v>
      </c>
      <c r="LE13" t="s">
        <v>3133</v>
      </c>
      <c r="LJ13" t="s">
        <v>4293</v>
      </c>
      <c r="LN13" t="s">
        <v>3365</v>
      </c>
      <c r="LP13" t="s">
        <v>4263</v>
      </c>
      <c r="LS13" t="s">
        <v>4223</v>
      </c>
      <c r="LW13" t="s">
        <v>2497</v>
      </c>
      <c r="LY13" t="s">
        <v>4181</v>
      </c>
      <c r="LZ13" t="s">
        <v>4166</v>
      </c>
      <c r="MB13" t="s">
        <v>2046</v>
      </c>
      <c r="MI13" t="s">
        <v>4078</v>
      </c>
      <c r="MM13" t="s">
        <v>3379</v>
      </c>
      <c r="MO13" t="s">
        <v>2494</v>
      </c>
      <c r="MS13" t="s">
        <v>3968</v>
      </c>
      <c r="MU13" t="s">
        <v>3921</v>
      </c>
      <c r="MV13" t="s">
        <v>1521</v>
      </c>
      <c r="MX13" t="s">
        <v>3873</v>
      </c>
      <c r="NA13" t="s">
        <v>1334</v>
      </c>
      <c r="NB13" t="s">
        <v>3840</v>
      </c>
      <c r="ND13" t="s">
        <v>3825</v>
      </c>
      <c r="NG13" t="s">
        <v>3800</v>
      </c>
      <c r="NH13" t="s">
        <v>1080</v>
      </c>
      <c r="NJ13" t="s">
        <v>1630</v>
      </c>
      <c r="NL13" t="s">
        <v>3737</v>
      </c>
      <c r="NR13" t="s">
        <v>3706</v>
      </c>
      <c r="NW13" t="s">
        <v>3680</v>
      </c>
      <c r="NX13" t="s">
        <v>3662</v>
      </c>
      <c r="OA13" t="s">
        <v>3640</v>
      </c>
      <c r="OG13" t="s">
        <v>3603</v>
      </c>
      <c r="ON13" t="s">
        <v>1406</v>
      </c>
      <c r="OO13" t="s">
        <v>3506</v>
      </c>
      <c r="OP13" t="s">
        <v>2398</v>
      </c>
      <c r="OX13" t="s">
        <v>3427</v>
      </c>
      <c r="OZ13" t="s">
        <v>3415</v>
      </c>
      <c r="PA13" t="s">
        <v>3406</v>
      </c>
      <c r="PB13" t="s">
        <v>3342</v>
      </c>
      <c r="PD13" t="s">
        <v>855</v>
      </c>
      <c r="PI13" t="s">
        <v>2888</v>
      </c>
      <c r="PM13" t="s">
        <v>3246</v>
      </c>
      <c r="PO13" t="s">
        <v>3191</v>
      </c>
      <c r="PP13" t="s">
        <v>2807</v>
      </c>
      <c r="PR13" t="s">
        <v>2807</v>
      </c>
      <c r="PU13" t="s">
        <v>2398</v>
      </c>
      <c r="PW13" t="s">
        <v>3114</v>
      </c>
      <c r="QC13" t="s">
        <v>2860</v>
      </c>
      <c r="QE13" t="s">
        <v>2845</v>
      </c>
      <c r="QF13" t="s">
        <v>2301</v>
      </c>
      <c r="QK13" t="s">
        <v>2381</v>
      </c>
      <c r="QM13" t="s">
        <v>2678</v>
      </c>
      <c r="QN13" t="s">
        <v>2649</v>
      </c>
      <c r="QQ13" t="s">
        <v>2591</v>
      </c>
      <c r="QW13" t="s">
        <v>2548</v>
      </c>
      <c r="QX13" t="s">
        <v>2524</v>
      </c>
      <c r="RB13" t="s">
        <v>2499</v>
      </c>
      <c r="RD13" t="s">
        <v>2481</v>
      </c>
      <c r="RE13" t="s">
        <v>2471</v>
      </c>
      <c r="RH13" t="s">
        <v>2445</v>
      </c>
      <c r="RL13" t="s">
        <v>2396</v>
      </c>
      <c r="RT13" t="s">
        <v>2316</v>
      </c>
      <c r="RV13" t="s">
        <v>2198</v>
      </c>
      <c r="SB13" t="s">
        <v>2173</v>
      </c>
      <c r="SH13" t="s">
        <v>2115</v>
      </c>
      <c r="SN13" t="s">
        <v>2235</v>
      </c>
      <c r="SU13" t="s">
        <v>2050</v>
      </c>
      <c r="SW13" t="s">
        <v>2031</v>
      </c>
      <c r="TA13" t="s">
        <v>2007</v>
      </c>
      <c r="TG13" t="s">
        <v>1971</v>
      </c>
      <c r="TH13" t="s">
        <v>1943</v>
      </c>
    </row>
    <row r="14" spans="1:533" x14ac:dyDescent="0.25">
      <c r="B14" t="s">
        <v>1903</v>
      </c>
      <c r="F14" t="s">
        <v>7786</v>
      </c>
      <c r="J14" t="s">
        <v>3803</v>
      </c>
      <c r="L14" s="12" t="s">
        <v>1075</v>
      </c>
      <c r="S14" t="s">
        <v>7718</v>
      </c>
      <c r="T14" t="s">
        <v>7706</v>
      </c>
      <c r="U14" t="s">
        <v>7695</v>
      </c>
      <c r="V14" t="s">
        <v>7680</v>
      </c>
      <c r="AA14" t="s">
        <v>7622</v>
      </c>
      <c r="AG14" t="s">
        <v>7539</v>
      </c>
      <c r="AH14" t="s">
        <v>4950</v>
      </c>
      <c r="AK14" t="s">
        <v>7450</v>
      </c>
      <c r="AM14" t="s">
        <v>6787</v>
      </c>
      <c r="AN14" t="s">
        <v>8928</v>
      </c>
      <c r="AS14" s="56" t="s">
        <v>7414</v>
      </c>
      <c r="AT14" t="s">
        <v>1952</v>
      </c>
      <c r="AU14" t="s">
        <v>7398</v>
      </c>
      <c r="AZ14" t="s">
        <v>7291</v>
      </c>
      <c r="BC14" t="s">
        <v>3481</v>
      </c>
      <c r="BF14" t="s">
        <v>1775</v>
      </c>
      <c r="BH14" t="s">
        <v>7217</v>
      </c>
      <c r="BO14" t="s">
        <v>7168</v>
      </c>
      <c r="BQ14" t="s">
        <v>6899</v>
      </c>
      <c r="BU14" t="s">
        <v>3869</v>
      </c>
      <c r="BW14" t="s">
        <v>2944</v>
      </c>
      <c r="CE14" t="s">
        <v>7032</v>
      </c>
      <c r="CH14" t="s">
        <v>7010</v>
      </c>
      <c r="CI14" t="s">
        <v>6988</v>
      </c>
      <c r="CK14" s="161" t="s">
        <v>2750</v>
      </c>
      <c r="CL14" t="s">
        <v>2750</v>
      </c>
      <c r="CS14" t="s">
        <v>6953</v>
      </c>
      <c r="CT14" t="s">
        <v>6925</v>
      </c>
      <c r="CU14" t="s">
        <v>6869</v>
      </c>
      <c r="CX14" t="s">
        <v>4854</v>
      </c>
      <c r="CZ14" t="s">
        <v>6817</v>
      </c>
      <c r="DA14" t="s">
        <v>6803</v>
      </c>
      <c r="DB14" t="s">
        <v>6789</v>
      </c>
      <c r="DF14" t="s">
        <v>6734</v>
      </c>
      <c r="DG14" t="s">
        <v>6722</v>
      </c>
      <c r="DH14" t="s">
        <v>6690</v>
      </c>
      <c r="DM14" t="s">
        <v>6654</v>
      </c>
      <c r="DN14" t="s">
        <v>6604</v>
      </c>
      <c r="DO14" t="s">
        <v>6591</v>
      </c>
      <c r="DZ14" t="s">
        <v>6508</v>
      </c>
      <c r="EA14" t="s">
        <v>6484</v>
      </c>
      <c r="EB14" t="s">
        <v>6471</v>
      </c>
      <c r="EC14" t="s">
        <v>1223</v>
      </c>
      <c r="ED14" t="s">
        <v>6427</v>
      </c>
      <c r="EI14" t="s">
        <v>4959</v>
      </c>
      <c r="EL14" t="s">
        <v>6331</v>
      </c>
      <c r="EP14" t="s">
        <v>6306</v>
      </c>
      <c r="EQ14" t="s">
        <v>6213</v>
      </c>
      <c r="ES14" t="s">
        <v>5572</v>
      </c>
      <c r="EU14" t="s">
        <v>5950</v>
      </c>
      <c r="EX14" t="s">
        <v>6125</v>
      </c>
      <c r="EY14" t="s">
        <v>2956</v>
      </c>
      <c r="FF14" t="s">
        <v>3032</v>
      </c>
      <c r="FH14" t="s">
        <v>6058</v>
      </c>
      <c r="FM14" t="s">
        <v>4130</v>
      </c>
      <c r="FP14" t="s">
        <v>6014</v>
      </c>
      <c r="FU14" t="s">
        <v>5990</v>
      </c>
      <c r="FV14" t="s">
        <v>5963</v>
      </c>
      <c r="GA14" t="s">
        <v>1944</v>
      </c>
      <c r="GE14" t="s">
        <v>5894</v>
      </c>
      <c r="GF14" t="s">
        <v>5887</v>
      </c>
      <c r="GG14" t="s">
        <v>3262</v>
      </c>
      <c r="GI14" t="s">
        <v>5858</v>
      </c>
      <c r="GO14" t="s">
        <v>5787</v>
      </c>
      <c r="GP14" t="s">
        <v>5758</v>
      </c>
      <c r="GY14" t="s">
        <v>5738</v>
      </c>
      <c r="HB14" t="s">
        <v>5718</v>
      </c>
      <c r="HC14" t="s">
        <v>5610</v>
      </c>
      <c r="HF14" t="s">
        <v>5584</v>
      </c>
      <c r="HG14" t="s">
        <v>5573</v>
      </c>
      <c r="HM14" t="s">
        <v>5539</v>
      </c>
      <c r="HN14" t="s">
        <v>1764</v>
      </c>
      <c r="HV14" t="s">
        <v>5428</v>
      </c>
      <c r="HW14" t="s">
        <v>5402</v>
      </c>
      <c r="HY14" t="s">
        <v>2203</v>
      </c>
      <c r="IA14" t="s">
        <v>2908</v>
      </c>
      <c r="ID14" t="s">
        <v>5312</v>
      </c>
      <c r="IF14" t="s">
        <v>5265</v>
      </c>
      <c r="IH14" t="s">
        <v>5251</v>
      </c>
      <c r="IM14" t="s">
        <v>1458</v>
      </c>
      <c r="IT14" t="s">
        <v>4070</v>
      </c>
      <c r="IV14" t="s">
        <v>1100</v>
      </c>
      <c r="IW14" t="s">
        <v>2282</v>
      </c>
      <c r="IX14" t="s">
        <v>4947</v>
      </c>
      <c r="JF14" t="s">
        <v>2288</v>
      </c>
      <c r="JI14" t="s">
        <v>4913</v>
      </c>
      <c r="JJ14" t="s">
        <v>4841</v>
      </c>
      <c r="JL14" t="s">
        <v>3021</v>
      </c>
      <c r="JS14" t="s">
        <v>2054</v>
      </c>
      <c r="JX14" t="s">
        <v>4783</v>
      </c>
      <c r="JZ14" t="s">
        <v>4730</v>
      </c>
      <c r="KB14" t="s">
        <v>4718</v>
      </c>
      <c r="KC14" t="s">
        <v>4707</v>
      </c>
      <c r="KD14" t="s">
        <v>4698</v>
      </c>
      <c r="KE14" t="s">
        <v>4674</v>
      </c>
      <c r="KK14" t="s">
        <v>4617</v>
      </c>
      <c r="KM14" t="s">
        <v>4601</v>
      </c>
      <c r="KN14" t="s">
        <v>3971</v>
      </c>
      <c r="KQ14" t="s">
        <v>4559</v>
      </c>
      <c r="KS14" t="s">
        <v>4518</v>
      </c>
      <c r="KT14" t="s">
        <v>4493</v>
      </c>
      <c r="KU14" t="s">
        <v>4476</v>
      </c>
      <c r="KW14" t="s">
        <v>3729</v>
      </c>
      <c r="KX14" t="s">
        <v>4406</v>
      </c>
      <c r="LC14" t="s">
        <v>4389</v>
      </c>
      <c r="LE14" t="s">
        <v>3006</v>
      </c>
      <c r="LJ14" t="s">
        <v>4294</v>
      </c>
      <c r="LN14" t="s">
        <v>4279</v>
      </c>
      <c r="LP14" t="s">
        <v>4264</v>
      </c>
      <c r="LS14" t="s">
        <v>4224</v>
      </c>
      <c r="LW14" t="s">
        <v>2843</v>
      </c>
      <c r="LY14" t="s">
        <v>2875</v>
      </c>
      <c r="LZ14" t="s">
        <v>1343</v>
      </c>
      <c r="MB14" t="s">
        <v>4123</v>
      </c>
      <c r="MI14" t="s">
        <v>2494</v>
      </c>
      <c r="MM14" t="s">
        <v>4056</v>
      </c>
      <c r="MO14" t="s">
        <v>3992</v>
      </c>
      <c r="MS14" t="s">
        <v>3969</v>
      </c>
      <c r="MU14" t="s">
        <v>2212</v>
      </c>
      <c r="MV14" t="s">
        <v>3264</v>
      </c>
      <c r="MX14" t="s">
        <v>3874</v>
      </c>
      <c r="NA14" t="s">
        <v>3852</v>
      </c>
      <c r="NB14" t="s">
        <v>2892</v>
      </c>
      <c r="ND14" t="s">
        <v>3826</v>
      </c>
      <c r="NG14" t="s">
        <v>3159</v>
      </c>
      <c r="NH14" t="s">
        <v>3774</v>
      </c>
      <c r="NJ14" t="s">
        <v>3751</v>
      </c>
      <c r="NL14" t="s">
        <v>3237</v>
      </c>
      <c r="NR14" t="s">
        <v>995</v>
      </c>
      <c r="NW14" t="s">
        <v>3681</v>
      </c>
      <c r="NX14" t="s">
        <v>3663</v>
      </c>
      <c r="OA14" t="s">
        <v>3641</v>
      </c>
      <c r="OG14" t="s">
        <v>3604</v>
      </c>
      <c r="ON14" t="s">
        <v>3530</v>
      </c>
      <c r="OO14" t="s">
        <v>3507</v>
      </c>
      <c r="OP14" t="s">
        <v>3479</v>
      </c>
      <c r="OX14" t="s">
        <v>3428</v>
      </c>
      <c r="OZ14" t="s">
        <v>3416</v>
      </c>
      <c r="PA14" t="s">
        <v>3407</v>
      </c>
      <c r="PB14" t="s">
        <v>3343</v>
      </c>
      <c r="PD14" t="s">
        <v>3319</v>
      </c>
      <c r="PI14" t="s">
        <v>3301</v>
      </c>
      <c r="PM14" t="s">
        <v>3247</v>
      </c>
      <c r="PO14" t="s">
        <v>3192</v>
      </c>
      <c r="PP14" t="s">
        <v>3181</v>
      </c>
      <c r="PR14" t="s">
        <v>3161</v>
      </c>
      <c r="PU14" t="s">
        <v>3129</v>
      </c>
      <c r="PW14" t="s">
        <v>3115</v>
      </c>
      <c r="QC14" t="s">
        <v>2861</v>
      </c>
      <c r="QE14" t="s">
        <v>2846</v>
      </c>
      <c r="QF14" t="s">
        <v>2771</v>
      </c>
      <c r="QK14" t="s">
        <v>2700</v>
      </c>
      <c r="QM14" t="s">
        <v>2679</v>
      </c>
      <c r="QN14" t="s">
        <v>2650</v>
      </c>
      <c r="QQ14" t="s">
        <v>2592</v>
      </c>
      <c r="QW14" t="s">
        <v>2549</v>
      </c>
      <c r="QX14" t="s">
        <v>2525</v>
      </c>
      <c r="RB14" t="s">
        <v>2256</v>
      </c>
      <c r="RD14" t="s">
        <v>2482</v>
      </c>
      <c r="RH14" t="s">
        <v>2446</v>
      </c>
      <c r="RL14" t="s">
        <v>2397</v>
      </c>
      <c r="RT14" t="s">
        <v>2317</v>
      </c>
      <c r="RV14" t="s">
        <v>2199</v>
      </c>
      <c r="SB14" t="s">
        <v>2174</v>
      </c>
      <c r="SH14" t="s">
        <v>2116</v>
      </c>
      <c r="SN14" t="s">
        <v>6160</v>
      </c>
      <c r="SU14" t="s">
        <v>2051</v>
      </c>
      <c r="SW14" t="s">
        <v>1075</v>
      </c>
      <c r="TA14" t="s">
        <v>2008</v>
      </c>
      <c r="TG14" t="s">
        <v>1972</v>
      </c>
      <c r="TH14" t="s">
        <v>1944</v>
      </c>
    </row>
    <row r="15" spans="1:533" x14ac:dyDescent="0.25">
      <c r="B15" t="s">
        <v>1904</v>
      </c>
      <c r="F15" t="s">
        <v>7787</v>
      </c>
      <c r="J15" t="s">
        <v>3517</v>
      </c>
      <c r="L15" s="12" t="s">
        <v>2529</v>
      </c>
      <c r="S15" t="s">
        <v>6321</v>
      </c>
      <c r="T15" t="s">
        <v>7707</v>
      </c>
      <c r="U15" t="s">
        <v>785</v>
      </c>
      <c r="V15" t="s">
        <v>2984</v>
      </c>
      <c r="AA15" t="s">
        <v>7623</v>
      </c>
      <c r="AG15" t="s">
        <v>7540</v>
      </c>
      <c r="AH15" t="s">
        <v>2838</v>
      </c>
      <c r="AK15" t="s">
        <v>7451</v>
      </c>
      <c r="AM15" t="s">
        <v>7432</v>
      </c>
      <c r="AN15" t="s">
        <v>8929</v>
      </c>
      <c r="AS15" s="56" t="s">
        <v>7415</v>
      </c>
      <c r="AT15" t="s">
        <v>5002</v>
      </c>
      <c r="AU15" t="s">
        <v>6591</v>
      </c>
      <c r="AZ15" t="s">
        <v>4070</v>
      </c>
      <c r="BC15" t="s">
        <v>7273</v>
      </c>
      <c r="BF15" t="s">
        <v>7236</v>
      </c>
      <c r="BH15" t="s">
        <v>7218</v>
      </c>
      <c r="BO15" t="s">
        <v>7169</v>
      </c>
      <c r="BQ15" t="s">
        <v>6900</v>
      </c>
      <c r="BU15" t="s">
        <v>7104</v>
      </c>
      <c r="BW15" t="s">
        <v>7074</v>
      </c>
      <c r="CE15" t="s">
        <v>7033</v>
      </c>
      <c r="CH15" t="s">
        <v>4311</v>
      </c>
      <c r="CI15" t="s">
        <v>6989</v>
      </c>
      <c r="CS15" t="s">
        <v>6954</v>
      </c>
      <c r="CT15" t="s">
        <v>6926</v>
      </c>
      <c r="CU15" t="s">
        <v>6870</v>
      </c>
      <c r="CX15" t="s">
        <v>4280</v>
      </c>
      <c r="CZ15" t="s">
        <v>6818</v>
      </c>
      <c r="DA15" t="s">
        <v>6804</v>
      </c>
      <c r="DB15" t="s">
        <v>6790</v>
      </c>
      <c r="DF15" t="s">
        <v>6735</v>
      </c>
      <c r="DG15" t="s">
        <v>2822</v>
      </c>
      <c r="DH15" t="s">
        <v>1485</v>
      </c>
      <c r="DM15" t="s">
        <v>6655</v>
      </c>
      <c r="DN15" t="s">
        <v>6605</v>
      </c>
      <c r="DO15" t="s">
        <v>6592</v>
      </c>
      <c r="DZ15" t="s">
        <v>6509</v>
      </c>
      <c r="EA15" t="s">
        <v>6485</v>
      </c>
      <c r="EB15" t="s">
        <v>6472</v>
      </c>
      <c r="EC15" t="s">
        <v>6459</v>
      </c>
      <c r="ED15" t="s">
        <v>2217</v>
      </c>
      <c r="EI15" t="s">
        <v>6350</v>
      </c>
      <c r="EL15" t="s">
        <v>4498</v>
      </c>
      <c r="EP15" t="s">
        <v>1490</v>
      </c>
      <c r="EQ15" t="s">
        <v>3397</v>
      </c>
      <c r="EU15" t="s">
        <v>4957</v>
      </c>
      <c r="EX15" t="s">
        <v>2673</v>
      </c>
      <c r="EY15" t="s">
        <v>6100</v>
      </c>
      <c r="FF15" t="s">
        <v>6075</v>
      </c>
      <c r="FH15" t="s">
        <v>6059</v>
      </c>
      <c r="FM15" t="s">
        <v>6037</v>
      </c>
      <c r="FP15" t="s">
        <v>4932</v>
      </c>
      <c r="FV15" t="s">
        <v>5964</v>
      </c>
      <c r="GA15" t="s">
        <v>4477</v>
      </c>
      <c r="GE15" t="s">
        <v>5895</v>
      </c>
      <c r="GG15" t="s">
        <v>5870</v>
      </c>
      <c r="GI15" t="s">
        <v>5859</v>
      </c>
      <c r="GO15" t="s">
        <v>5788</v>
      </c>
      <c r="GP15" t="s">
        <v>2396</v>
      </c>
      <c r="GY15" t="s">
        <v>2995</v>
      </c>
      <c r="HB15" t="s">
        <v>4419</v>
      </c>
      <c r="HC15" t="s">
        <v>5611</v>
      </c>
      <c r="HF15" t="s">
        <v>5585</v>
      </c>
      <c r="HM15" t="s">
        <v>5540</v>
      </c>
      <c r="HN15" t="s">
        <v>3150</v>
      </c>
      <c r="HV15" t="s">
        <v>5429</v>
      </c>
      <c r="HW15" t="s">
        <v>5403</v>
      </c>
      <c r="HY15" t="s">
        <v>5347</v>
      </c>
      <c r="IA15" t="s">
        <v>2909</v>
      </c>
      <c r="ID15" t="s">
        <v>1306</v>
      </c>
      <c r="IF15" t="s">
        <v>5266</v>
      </c>
      <c r="IH15" t="s">
        <v>5252</v>
      </c>
      <c r="IM15" t="s">
        <v>5201</v>
      </c>
      <c r="IT15" t="s">
        <v>1684</v>
      </c>
      <c r="IV15" t="s">
        <v>5069</v>
      </c>
      <c r="IW15" t="s">
        <v>5057</v>
      </c>
      <c r="IX15" t="s">
        <v>4948</v>
      </c>
      <c r="JF15" t="s">
        <v>3120</v>
      </c>
      <c r="JI15" t="s">
        <v>4914</v>
      </c>
      <c r="JJ15" t="s">
        <v>4842</v>
      </c>
      <c r="JL15" t="s">
        <v>4542</v>
      </c>
      <c r="JS15" t="s">
        <v>3839</v>
      </c>
      <c r="JZ15" t="s">
        <v>2855</v>
      </c>
      <c r="KC15" t="s">
        <v>4708</v>
      </c>
      <c r="KD15" t="s">
        <v>4699</v>
      </c>
      <c r="KE15" t="s">
        <v>4675</v>
      </c>
      <c r="KK15" t="s">
        <v>4618</v>
      </c>
      <c r="KM15" t="s">
        <v>4602</v>
      </c>
      <c r="KN15" t="s">
        <v>4586</v>
      </c>
      <c r="KQ15" t="s">
        <v>4560</v>
      </c>
      <c r="KS15" t="s">
        <v>3701</v>
      </c>
      <c r="KT15" t="s">
        <v>4494</v>
      </c>
      <c r="KU15" t="s">
        <v>2404</v>
      </c>
      <c r="KW15" t="s">
        <v>4459</v>
      </c>
      <c r="KX15" t="s">
        <v>1358</v>
      </c>
      <c r="LC15" t="s">
        <v>4390</v>
      </c>
      <c r="LE15" t="s">
        <v>4367</v>
      </c>
      <c r="LJ15" t="s">
        <v>4295</v>
      </c>
      <c r="LN15" t="s">
        <v>1956</v>
      </c>
      <c r="LS15" t="s">
        <v>4225</v>
      </c>
      <c r="LW15" t="s">
        <v>4198</v>
      </c>
      <c r="LY15" t="s">
        <v>4182</v>
      </c>
      <c r="LZ15" t="s">
        <v>787</v>
      </c>
      <c r="MB15" t="s">
        <v>4124</v>
      </c>
      <c r="MI15" t="s">
        <v>4079</v>
      </c>
      <c r="MM15" t="s">
        <v>4057</v>
      </c>
      <c r="MO15" t="s">
        <v>3993</v>
      </c>
      <c r="MS15" t="s">
        <v>3970</v>
      </c>
      <c r="MU15" t="s">
        <v>3922</v>
      </c>
      <c r="MV15" t="s">
        <v>754</v>
      </c>
      <c r="MX15" t="s">
        <v>3875</v>
      </c>
      <c r="NA15" t="s">
        <v>3853</v>
      </c>
      <c r="NB15" t="s">
        <v>3841</v>
      </c>
      <c r="ND15" t="s">
        <v>3163</v>
      </c>
      <c r="NG15" t="s">
        <v>3801</v>
      </c>
      <c r="NH15" t="s">
        <v>1491</v>
      </c>
      <c r="NJ15" t="s">
        <v>3752</v>
      </c>
      <c r="NL15" t="s">
        <v>3738</v>
      </c>
      <c r="NR15" t="s">
        <v>3163</v>
      </c>
      <c r="NW15" t="s">
        <v>3682</v>
      </c>
      <c r="NX15" t="s">
        <v>3664</v>
      </c>
      <c r="OA15" t="s">
        <v>3642</v>
      </c>
      <c r="OG15" t="s">
        <v>3605</v>
      </c>
      <c r="ON15" t="s">
        <v>3531</v>
      </c>
      <c r="OO15" t="s">
        <v>3508</v>
      </c>
      <c r="OP15" t="s">
        <v>2023</v>
      </c>
      <c r="OX15" t="s">
        <v>3429</v>
      </c>
      <c r="PB15" t="s">
        <v>3344</v>
      </c>
      <c r="PD15" t="s">
        <v>3095</v>
      </c>
      <c r="PI15" t="s">
        <v>3302</v>
      </c>
      <c r="PM15" t="s">
        <v>3248</v>
      </c>
      <c r="PO15" t="s">
        <v>3193</v>
      </c>
      <c r="PR15" t="s">
        <v>3162</v>
      </c>
      <c r="PU15" t="s">
        <v>3130</v>
      </c>
      <c r="PW15" t="s">
        <v>3116</v>
      </c>
      <c r="QC15" t="s">
        <v>10245</v>
      </c>
      <c r="QE15" t="s">
        <v>2847</v>
      </c>
      <c r="QF15" t="s">
        <v>2772</v>
      </c>
      <c r="QK15" t="s">
        <v>2701</v>
      </c>
      <c r="QN15" t="s">
        <v>2651</v>
      </c>
      <c r="QQ15" t="s">
        <v>2593</v>
      </c>
      <c r="QW15" t="s">
        <v>2550</v>
      </c>
      <c r="QX15" t="s">
        <v>2526</v>
      </c>
      <c r="RB15" t="s">
        <v>2419</v>
      </c>
      <c r="RD15" t="s">
        <v>2483</v>
      </c>
      <c r="RH15" t="s">
        <v>2447</v>
      </c>
      <c r="RL15" t="s">
        <v>2398</v>
      </c>
      <c r="RT15" t="s">
        <v>2318</v>
      </c>
      <c r="RV15" t="s">
        <v>2036</v>
      </c>
      <c r="SB15" t="s">
        <v>2175</v>
      </c>
      <c r="SH15" t="s">
        <v>2117</v>
      </c>
      <c r="SN15" t="s">
        <v>8913</v>
      </c>
      <c r="SU15" t="s">
        <v>2052</v>
      </c>
      <c r="SW15" t="s">
        <v>2032</v>
      </c>
      <c r="TA15" t="s">
        <v>2009</v>
      </c>
      <c r="TG15" t="s">
        <v>1973</v>
      </c>
      <c r="TH15" t="s">
        <v>1945</v>
      </c>
    </row>
    <row r="16" spans="1:533" x14ac:dyDescent="0.25">
      <c r="B16" t="s">
        <v>1905</v>
      </c>
      <c r="F16" t="s">
        <v>2226</v>
      </c>
      <c r="L16" t="s">
        <v>5019</v>
      </c>
      <c r="S16" t="s">
        <v>7719</v>
      </c>
      <c r="T16" t="s">
        <v>7708</v>
      </c>
      <c r="U16" t="s">
        <v>7696</v>
      </c>
      <c r="V16" t="s">
        <v>7681</v>
      </c>
      <c r="AA16" t="s">
        <v>7624</v>
      </c>
      <c r="AG16" t="s">
        <v>7541</v>
      </c>
      <c r="AH16" t="s">
        <v>7483</v>
      </c>
      <c r="AK16" t="s">
        <v>7452</v>
      </c>
      <c r="AM16" t="s">
        <v>7433</v>
      </c>
      <c r="AN16" t="s">
        <v>8930</v>
      </c>
      <c r="AS16" s="56" t="s">
        <v>4707</v>
      </c>
      <c r="AT16" t="s">
        <v>5486</v>
      </c>
      <c r="AU16" t="s">
        <v>4371</v>
      </c>
      <c r="AZ16" t="s">
        <v>2855</v>
      </c>
      <c r="BC16" t="s">
        <v>3435</v>
      </c>
      <c r="BF16" t="s">
        <v>7237</v>
      </c>
      <c r="BH16" t="s">
        <v>7219</v>
      </c>
      <c r="BO16" t="s">
        <v>7170</v>
      </c>
      <c r="BQ16" t="s">
        <v>6901</v>
      </c>
      <c r="BU16" t="s">
        <v>7105</v>
      </c>
      <c r="BW16" t="s">
        <v>7075</v>
      </c>
      <c r="CE16" t="s">
        <v>7034</v>
      </c>
      <c r="CH16" t="s">
        <v>1823</v>
      </c>
      <c r="CI16" t="s">
        <v>788</v>
      </c>
      <c r="CS16" t="s">
        <v>6955</v>
      </c>
      <c r="CT16" t="s">
        <v>6927</v>
      </c>
      <c r="CU16" t="s">
        <v>6871</v>
      </c>
      <c r="CX16" t="s">
        <v>6841</v>
      </c>
      <c r="CZ16" t="s">
        <v>4856</v>
      </c>
      <c r="DA16" t="s">
        <v>3006</v>
      </c>
      <c r="DB16" t="s">
        <v>6791</v>
      </c>
      <c r="DF16" t="s">
        <v>6736</v>
      </c>
      <c r="DG16" t="s">
        <v>6723</v>
      </c>
      <c r="DH16" t="s">
        <v>6691</v>
      </c>
      <c r="DM16" t="s">
        <v>6656</v>
      </c>
      <c r="DN16" t="s">
        <v>6606</v>
      </c>
      <c r="DO16" t="s">
        <v>6593</v>
      </c>
      <c r="DZ16" t="s">
        <v>6510</v>
      </c>
      <c r="EA16" t="s">
        <v>1709</v>
      </c>
      <c r="EB16" t="s">
        <v>6473</v>
      </c>
      <c r="EC16" t="s">
        <v>4209</v>
      </c>
      <c r="ED16" t="s">
        <v>6428</v>
      </c>
      <c r="EI16" t="s">
        <v>6351</v>
      </c>
      <c r="EL16" t="s">
        <v>3215</v>
      </c>
      <c r="EP16" t="s">
        <v>6307</v>
      </c>
      <c r="EQ16" t="s">
        <v>6214</v>
      </c>
      <c r="EU16" t="s">
        <v>6136</v>
      </c>
      <c r="EX16" t="s">
        <v>4139</v>
      </c>
      <c r="EY16" t="s">
        <v>6101</v>
      </c>
      <c r="FF16" t="s">
        <v>6076</v>
      </c>
      <c r="FH16" t="s">
        <v>6060</v>
      </c>
      <c r="FM16" t="s">
        <v>6038</v>
      </c>
      <c r="FP16" t="s">
        <v>6015</v>
      </c>
      <c r="FV16" t="s">
        <v>5965</v>
      </c>
      <c r="GA16" t="s">
        <v>5943</v>
      </c>
      <c r="GE16" t="s">
        <v>5896</v>
      </c>
      <c r="GG16" t="s">
        <v>5871</v>
      </c>
      <c r="GI16" t="s">
        <v>4656</v>
      </c>
      <c r="GO16" t="s">
        <v>5789</v>
      </c>
      <c r="GP16" t="s">
        <v>5759</v>
      </c>
      <c r="GY16" t="s">
        <v>4752</v>
      </c>
      <c r="HB16" t="s">
        <v>5719</v>
      </c>
      <c r="HC16" t="s">
        <v>5612</v>
      </c>
      <c r="HF16" t="s">
        <v>3540</v>
      </c>
      <c r="HM16" t="s">
        <v>5195</v>
      </c>
      <c r="HN16" t="s">
        <v>5529</v>
      </c>
      <c r="HV16" t="s">
        <v>5430</v>
      </c>
      <c r="HW16" t="s">
        <v>4076</v>
      </c>
      <c r="HY16" t="s">
        <v>5348</v>
      </c>
      <c r="IA16" t="s">
        <v>2141</v>
      </c>
      <c r="ID16" t="s">
        <v>2226</v>
      </c>
      <c r="IF16" t="s">
        <v>887</v>
      </c>
      <c r="IH16" t="s">
        <v>5253</v>
      </c>
      <c r="IM16" t="s">
        <v>5202</v>
      </c>
      <c r="IT16" t="s">
        <v>1962</v>
      </c>
      <c r="IV16" t="s">
        <v>5070</v>
      </c>
      <c r="IW16" t="s">
        <v>5058</v>
      </c>
      <c r="IX16" t="s">
        <v>4949</v>
      </c>
      <c r="JI16" t="s">
        <v>4915</v>
      </c>
      <c r="JJ16" t="s">
        <v>1962</v>
      </c>
      <c r="JL16" t="s">
        <v>746</v>
      </c>
      <c r="JS16" t="s">
        <v>4803</v>
      </c>
      <c r="JZ16" t="s">
        <v>4731</v>
      </c>
      <c r="KC16" t="s">
        <v>2241</v>
      </c>
      <c r="KD16" t="s">
        <v>4700</v>
      </c>
      <c r="KE16" t="s">
        <v>4676</v>
      </c>
      <c r="KK16" t="s">
        <v>4619</v>
      </c>
      <c r="KM16" t="s">
        <v>4603</v>
      </c>
      <c r="KN16" t="s">
        <v>2871</v>
      </c>
      <c r="KQ16" t="s">
        <v>3942</v>
      </c>
      <c r="KS16" t="s">
        <v>4519</v>
      </c>
      <c r="KT16" t="s">
        <v>4495</v>
      </c>
      <c r="KU16" t="s">
        <v>2132</v>
      </c>
      <c r="KW16" t="s">
        <v>4460</v>
      </c>
      <c r="KX16" t="s">
        <v>4407</v>
      </c>
      <c r="LE16" t="s">
        <v>4368</v>
      </c>
      <c r="LJ16" t="s">
        <v>4296</v>
      </c>
      <c r="LS16" t="s">
        <v>4226</v>
      </c>
      <c r="LW16" t="s">
        <v>4199</v>
      </c>
      <c r="LY16" t="s">
        <v>808</v>
      </c>
      <c r="LZ16" t="s">
        <v>4167</v>
      </c>
      <c r="MB16" t="s">
        <v>4125</v>
      </c>
      <c r="MI16" t="s">
        <v>1306</v>
      </c>
      <c r="MM16" t="s">
        <v>3324</v>
      </c>
      <c r="MO16" t="s">
        <v>3994</v>
      </c>
      <c r="MS16" t="s">
        <v>3158</v>
      </c>
      <c r="MU16" t="s">
        <v>3923</v>
      </c>
      <c r="MV16" t="s">
        <v>3901</v>
      </c>
      <c r="MX16" t="s">
        <v>3876</v>
      </c>
      <c r="NA16" t="s">
        <v>3854</v>
      </c>
      <c r="ND16" t="s">
        <v>3827</v>
      </c>
      <c r="NG16" t="s">
        <v>3802</v>
      </c>
      <c r="NH16" t="s">
        <v>3775</v>
      </c>
      <c r="NJ16" t="s">
        <v>2425</v>
      </c>
      <c r="NL16" t="s">
        <v>3739</v>
      </c>
      <c r="NR16" t="s">
        <v>3707</v>
      </c>
      <c r="NW16" t="s">
        <v>3683</v>
      </c>
      <c r="NX16" t="s">
        <v>3665</v>
      </c>
      <c r="OA16" t="s">
        <v>3643</v>
      </c>
      <c r="OG16" t="s">
        <v>3606</v>
      </c>
      <c r="ON16" t="s">
        <v>3532</v>
      </c>
      <c r="OO16" t="s">
        <v>3509</v>
      </c>
      <c r="OP16" t="s">
        <v>3480</v>
      </c>
      <c r="OX16" t="s">
        <v>3430</v>
      </c>
      <c r="PB16" t="s">
        <v>857</v>
      </c>
      <c r="PD16" t="s">
        <v>3320</v>
      </c>
      <c r="PI16" t="s">
        <v>2535</v>
      </c>
      <c r="PM16" t="s">
        <v>1775</v>
      </c>
      <c r="PO16" t="s">
        <v>3194</v>
      </c>
      <c r="PR16" t="s">
        <v>3163</v>
      </c>
      <c r="PU16" t="s">
        <v>3131</v>
      </c>
      <c r="PW16" t="s">
        <v>2082</v>
      </c>
      <c r="QC16" t="s">
        <v>2862</v>
      </c>
      <c r="QE16" t="s">
        <v>2848</v>
      </c>
      <c r="QF16" t="s">
        <v>2773</v>
      </c>
      <c r="QK16" t="s">
        <v>2702</v>
      </c>
      <c r="QN16" t="s">
        <v>2652</v>
      </c>
      <c r="QQ16" t="s">
        <v>2594</v>
      </c>
      <c r="QW16" t="s">
        <v>2551</v>
      </c>
      <c r="QX16" t="s">
        <v>2527</v>
      </c>
      <c r="RB16" t="s">
        <v>2500</v>
      </c>
      <c r="RD16" t="s">
        <v>2484</v>
      </c>
      <c r="RH16" t="s">
        <v>2448</v>
      </c>
      <c r="RL16" t="s">
        <v>2399</v>
      </c>
      <c r="RT16" t="s">
        <v>2319</v>
      </c>
      <c r="RV16" t="s">
        <v>2200</v>
      </c>
      <c r="SB16" t="s">
        <v>2176</v>
      </c>
      <c r="SH16" t="s">
        <v>2118</v>
      </c>
      <c r="SN16" t="s">
        <v>3161</v>
      </c>
      <c r="SU16" t="s">
        <v>2053</v>
      </c>
      <c r="SW16" t="s">
        <v>2033</v>
      </c>
      <c r="TA16" t="s">
        <v>2010</v>
      </c>
      <c r="TG16" t="s">
        <v>1974</v>
      </c>
      <c r="TH16" t="s">
        <v>1946</v>
      </c>
    </row>
    <row r="17" spans="2:528" x14ac:dyDescent="0.25">
      <c r="B17" t="s">
        <v>1906</v>
      </c>
      <c r="F17" t="s">
        <v>3456</v>
      </c>
      <c r="L17" t="s">
        <v>3522</v>
      </c>
      <c r="S17" t="s">
        <v>7720</v>
      </c>
      <c r="U17" t="s">
        <v>7697</v>
      </c>
      <c r="V17" t="s">
        <v>7682</v>
      </c>
      <c r="AA17" t="s">
        <v>7625</v>
      </c>
      <c r="AG17" t="s">
        <v>7542</v>
      </c>
      <c r="AH17" t="s">
        <v>7484</v>
      </c>
      <c r="AK17" t="s">
        <v>3723</v>
      </c>
      <c r="AM17" t="s">
        <v>3704</v>
      </c>
      <c r="AN17" t="s">
        <v>8931</v>
      </c>
      <c r="AS17" s="56" t="s">
        <v>8940</v>
      </c>
      <c r="AT17" t="s">
        <v>2100</v>
      </c>
      <c r="AU17" t="s">
        <v>7399</v>
      </c>
      <c r="AZ17" t="s">
        <v>7292</v>
      </c>
      <c r="BC17" t="s">
        <v>7274</v>
      </c>
      <c r="BF17" t="s">
        <v>7238</v>
      </c>
      <c r="BH17" t="s">
        <v>7220</v>
      </c>
      <c r="BO17" t="s">
        <v>2787</v>
      </c>
      <c r="BQ17" t="s">
        <v>6902</v>
      </c>
      <c r="BU17" t="s">
        <v>7106</v>
      </c>
      <c r="BW17" t="s">
        <v>1965</v>
      </c>
      <c r="CE17" t="s">
        <v>7035</v>
      </c>
      <c r="CH17" t="s">
        <v>7011</v>
      </c>
      <c r="CI17" t="s">
        <v>1778</v>
      </c>
      <c r="CT17" t="s">
        <v>6928</v>
      </c>
      <c r="CU17" t="s">
        <v>6872</v>
      </c>
      <c r="CX17" t="s">
        <v>3928</v>
      </c>
      <c r="CZ17" t="s">
        <v>2594</v>
      </c>
      <c r="DA17" t="s">
        <v>6805</v>
      </c>
      <c r="DB17" t="s">
        <v>4760</v>
      </c>
      <c r="DF17" t="s">
        <v>6737</v>
      </c>
      <c r="DH17" t="s">
        <v>6692</v>
      </c>
      <c r="DM17" t="s">
        <v>6657</v>
      </c>
      <c r="DN17" t="s">
        <v>5758</v>
      </c>
      <c r="DO17" t="s">
        <v>6594</v>
      </c>
      <c r="DZ17" t="s">
        <v>6511</v>
      </c>
      <c r="EA17" t="s">
        <v>6486</v>
      </c>
      <c r="EC17" t="s">
        <v>6460</v>
      </c>
      <c r="ED17" t="s">
        <v>6429</v>
      </c>
      <c r="EI17" t="s">
        <v>2945</v>
      </c>
      <c r="EL17" t="s">
        <v>6332</v>
      </c>
      <c r="EP17" t="s">
        <v>6308</v>
      </c>
      <c r="EQ17" t="s">
        <v>742</v>
      </c>
      <c r="EU17" t="s">
        <v>6137</v>
      </c>
      <c r="EX17" t="s">
        <v>6126</v>
      </c>
      <c r="EY17" t="s">
        <v>6102</v>
      </c>
      <c r="FF17" t="s">
        <v>6077</v>
      </c>
      <c r="FH17" t="s">
        <v>6061</v>
      </c>
      <c r="FM17" t="s">
        <v>6039</v>
      </c>
      <c r="FP17" t="s">
        <v>2496</v>
      </c>
      <c r="FV17" t="s">
        <v>5966</v>
      </c>
      <c r="GA17" t="s">
        <v>5944</v>
      </c>
      <c r="GE17" t="s">
        <v>5897</v>
      </c>
      <c r="GG17" t="s">
        <v>1045</v>
      </c>
      <c r="GI17" t="s">
        <v>770</v>
      </c>
      <c r="GO17" t="s">
        <v>5348</v>
      </c>
      <c r="GP17" t="s">
        <v>5760</v>
      </c>
      <c r="GY17" t="s">
        <v>5739</v>
      </c>
      <c r="HB17" t="s">
        <v>754</v>
      </c>
      <c r="HC17" t="s">
        <v>5613</v>
      </c>
      <c r="HF17" t="s">
        <v>5586</v>
      </c>
      <c r="HM17" t="s">
        <v>805</v>
      </c>
      <c r="HN17" t="s">
        <v>5530</v>
      </c>
      <c r="HV17" t="s">
        <v>4224</v>
      </c>
      <c r="HW17" t="s">
        <v>5404</v>
      </c>
      <c r="HY17" t="s">
        <v>5349</v>
      </c>
      <c r="IA17" t="s">
        <v>2910</v>
      </c>
      <c r="ID17" t="s">
        <v>5313</v>
      </c>
      <c r="IF17" t="s">
        <v>5267</v>
      </c>
      <c r="IH17" t="s">
        <v>5254</v>
      </c>
      <c r="IM17" t="s">
        <v>5203</v>
      </c>
      <c r="IT17" t="s">
        <v>5083</v>
      </c>
      <c r="IV17" t="s">
        <v>5071</v>
      </c>
      <c r="IX17" t="s">
        <v>4950</v>
      </c>
      <c r="JI17" t="s">
        <v>4916</v>
      </c>
      <c r="JJ17" t="s">
        <v>4843</v>
      </c>
      <c r="JL17" t="s">
        <v>4831</v>
      </c>
      <c r="JS17" t="s">
        <v>4038</v>
      </c>
      <c r="JZ17" t="s">
        <v>772</v>
      </c>
      <c r="KC17" t="s">
        <v>2497</v>
      </c>
      <c r="KD17" t="s">
        <v>4701</v>
      </c>
      <c r="KE17" t="s">
        <v>4677</v>
      </c>
      <c r="KK17" t="s">
        <v>4620</v>
      </c>
      <c r="KM17" t="s">
        <v>817</v>
      </c>
      <c r="KN17" t="s">
        <v>2673</v>
      </c>
      <c r="KQ17" t="s">
        <v>4561</v>
      </c>
      <c r="KS17" t="s">
        <v>4273</v>
      </c>
      <c r="KT17" t="s">
        <v>4063</v>
      </c>
      <c r="KU17" t="s">
        <v>2986</v>
      </c>
      <c r="KX17" t="s">
        <v>4408</v>
      </c>
      <c r="LE17" t="s">
        <v>4369</v>
      </c>
      <c r="LJ17" t="s">
        <v>4297</v>
      </c>
      <c r="LS17" t="s">
        <v>1383</v>
      </c>
      <c r="LW17" t="s">
        <v>4200</v>
      </c>
      <c r="LY17" t="s">
        <v>4183</v>
      </c>
      <c r="LZ17" t="s">
        <v>4168</v>
      </c>
      <c r="MB17" t="s">
        <v>4126</v>
      </c>
      <c r="MI17" t="s">
        <v>851</v>
      </c>
      <c r="MM17" t="s">
        <v>4058</v>
      </c>
      <c r="MO17" t="s">
        <v>3995</v>
      </c>
      <c r="MS17" t="s">
        <v>3971</v>
      </c>
      <c r="MU17" t="s">
        <v>3924</v>
      </c>
      <c r="MV17" t="s">
        <v>3801</v>
      </c>
      <c r="MX17" t="s">
        <v>3877</v>
      </c>
      <c r="NA17" t="s">
        <v>3855</v>
      </c>
      <c r="ND17" t="s">
        <v>3828</v>
      </c>
      <c r="NG17" t="s">
        <v>3803</v>
      </c>
      <c r="NH17" t="s">
        <v>3776</v>
      </c>
      <c r="NJ17" t="s">
        <v>3753</v>
      </c>
      <c r="NL17" t="s">
        <v>3740</v>
      </c>
      <c r="NR17" t="s">
        <v>3708</v>
      </c>
      <c r="NW17" t="s">
        <v>3684</v>
      </c>
      <c r="NX17" t="s">
        <v>3666</v>
      </c>
      <c r="OA17" t="s">
        <v>1682</v>
      </c>
      <c r="OG17" t="s">
        <v>3607</v>
      </c>
      <c r="ON17" t="s">
        <v>2703</v>
      </c>
      <c r="OO17" t="s">
        <v>3510</v>
      </c>
      <c r="OP17" t="s">
        <v>3481</v>
      </c>
      <c r="OX17" t="s">
        <v>3431</v>
      </c>
      <c r="PB17" t="s">
        <v>3345</v>
      </c>
      <c r="PD17" t="s">
        <v>2047</v>
      </c>
      <c r="PM17" t="s">
        <v>3249</v>
      </c>
      <c r="PO17" t="s">
        <v>3195</v>
      </c>
      <c r="PR17" t="s">
        <v>3164</v>
      </c>
      <c r="PU17" t="s">
        <v>3132</v>
      </c>
      <c r="PW17" t="s">
        <v>3117</v>
      </c>
      <c r="QC17" t="s">
        <v>2439</v>
      </c>
      <c r="QE17" t="s">
        <v>2849</v>
      </c>
      <c r="QF17" t="s">
        <v>2774</v>
      </c>
      <c r="QK17" t="s">
        <v>2703</v>
      </c>
      <c r="QN17" t="s">
        <v>2653</v>
      </c>
      <c r="QQ17" t="s">
        <v>2595</v>
      </c>
      <c r="QW17" t="s">
        <v>2552</v>
      </c>
      <c r="QX17" t="s">
        <v>2528</v>
      </c>
      <c r="RB17" t="s">
        <v>2501</v>
      </c>
      <c r="RH17" t="s">
        <v>2449</v>
      </c>
      <c r="RL17" t="s">
        <v>2400</v>
      </c>
      <c r="RT17" t="s">
        <v>2320</v>
      </c>
      <c r="RV17" t="s">
        <v>2201</v>
      </c>
      <c r="SB17" t="s">
        <v>2177</v>
      </c>
      <c r="SH17" t="s">
        <v>992</v>
      </c>
      <c r="SN17" t="s">
        <v>7002</v>
      </c>
      <c r="SU17" t="s">
        <v>2054</v>
      </c>
      <c r="SW17" t="s">
        <v>2034</v>
      </c>
      <c r="TG17" t="s">
        <v>1975</v>
      </c>
      <c r="TH17" t="s">
        <v>1947</v>
      </c>
    </row>
    <row r="18" spans="2:528" x14ac:dyDescent="0.25">
      <c r="B18" t="s">
        <v>1907</v>
      </c>
      <c r="F18" t="s">
        <v>7788</v>
      </c>
      <c r="L18" t="s">
        <v>7760</v>
      </c>
      <c r="S18" t="s">
        <v>745</v>
      </c>
      <c r="V18" t="s">
        <v>2998</v>
      </c>
      <c r="AA18" t="s">
        <v>7626</v>
      </c>
      <c r="AG18" t="s">
        <v>7543</v>
      </c>
      <c r="AH18" t="s">
        <v>7485</v>
      </c>
      <c r="AK18" t="s">
        <v>7453</v>
      </c>
      <c r="AM18" t="s">
        <v>7434</v>
      </c>
      <c r="AN18" t="s">
        <v>8932</v>
      </c>
      <c r="AS18" s="56" t="s">
        <v>1944</v>
      </c>
      <c r="AU18" t="s">
        <v>7400</v>
      </c>
      <c r="AZ18" t="s">
        <v>7293</v>
      </c>
      <c r="BC18" t="s">
        <v>1915</v>
      </c>
      <c r="BF18" t="s">
        <v>7239</v>
      </c>
      <c r="BH18" t="s">
        <v>7221</v>
      </c>
      <c r="BO18" t="s">
        <v>7171</v>
      </c>
      <c r="BQ18" t="s">
        <v>6903</v>
      </c>
      <c r="BU18" t="s">
        <v>7107</v>
      </c>
      <c r="BW18" t="s">
        <v>7076</v>
      </c>
      <c r="CE18" t="s">
        <v>7036</v>
      </c>
      <c r="CH18" t="s">
        <v>2023</v>
      </c>
      <c r="CI18" t="s">
        <v>6990</v>
      </c>
      <c r="CT18" t="s">
        <v>6929</v>
      </c>
      <c r="CU18" t="s">
        <v>6873</v>
      </c>
      <c r="CX18" t="s">
        <v>6842</v>
      </c>
      <c r="CZ18" t="s">
        <v>6819</v>
      </c>
      <c r="DA18" t="s">
        <v>1045</v>
      </c>
      <c r="DB18" t="s">
        <v>4339</v>
      </c>
      <c r="DF18" t="s">
        <v>6738</v>
      </c>
      <c r="DH18" t="s">
        <v>6153</v>
      </c>
      <c r="DM18" t="s">
        <v>6658</v>
      </c>
      <c r="DN18" t="s">
        <v>3141</v>
      </c>
      <c r="DO18" t="s">
        <v>2533</v>
      </c>
      <c r="DZ18" t="s">
        <v>5536</v>
      </c>
      <c r="EA18" t="s">
        <v>4577</v>
      </c>
      <c r="EC18" t="s">
        <v>6461</v>
      </c>
      <c r="ED18" t="s">
        <v>6430</v>
      </c>
      <c r="EI18" t="s">
        <v>6352</v>
      </c>
      <c r="EL18" t="s">
        <v>6333</v>
      </c>
      <c r="EP18" t="s">
        <v>6309</v>
      </c>
      <c r="EQ18" t="s">
        <v>6215</v>
      </c>
      <c r="EU18" t="s">
        <v>6138</v>
      </c>
      <c r="EX18" t="s">
        <v>787</v>
      </c>
      <c r="EY18" t="s">
        <v>6054</v>
      </c>
      <c r="FF18" t="s">
        <v>3416</v>
      </c>
      <c r="FH18" t="s">
        <v>6062</v>
      </c>
      <c r="FM18" t="s">
        <v>6040</v>
      </c>
      <c r="FP18" t="s">
        <v>6016</v>
      </c>
      <c r="FV18" t="s">
        <v>2863</v>
      </c>
      <c r="GA18" t="s">
        <v>2553</v>
      </c>
      <c r="GE18" t="s">
        <v>1499</v>
      </c>
      <c r="GG18" t="s">
        <v>4824</v>
      </c>
      <c r="GO18" t="s">
        <v>5790</v>
      </c>
      <c r="GP18" t="s">
        <v>5761</v>
      </c>
      <c r="GY18" t="s">
        <v>5740</v>
      </c>
      <c r="HB18" t="s">
        <v>1540</v>
      </c>
      <c r="HC18" t="s">
        <v>2773</v>
      </c>
      <c r="HF18" t="s">
        <v>1540</v>
      </c>
      <c r="HM18" t="s">
        <v>5541</v>
      </c>
      <c r="HN18" t="s">
        <v>5531</v>
      </c>
      <c r="HV18" t="s">
        <v>5431</v>
      </c>
      <c r="HW18" t="s">
        <v>5405</v>
      </c>
      <c r="HY18" t="s">
        <v>5350</v>
      </c>
      <c r="IA18" t="s">
        <v>2911</v>
      </c>
      <c r="ID18" t="s">
        <v>4719</v>
      </c>
      <c r="IF18" t="s">
        <v>5268</v>
      </c>
      <c r="IH18" t="s">
        <v>4261</v>
      </c>
      <c r="IM18" t="s">
        <v>750</v>
      </c>
      <c r="IT18" t="s">
        <v>5084</v>
      </c>
      <c r="IV18" t="s">
        <v>2288</v>
      </c>
      <c r="IX18" t="s">
        <v>1962</v>
      </c>
      <c r="JI18" t="s">
        <v>4917</v>
      </c>
      <c r="JJ18" t="s">
        <v>3352</v>
      </c>
      <c r="JL18" t="s">
        <v>4832</v>
      </c>
      <c r="JS18" t="s">
        <v>3415</v>
      </c>
      <c r="JZ18" t="s">
        <v>2101</v>
      </c>
      <c r="KC18" t="s">
        <v>4709</v>
      </c>
      <c r="KD18" t="s">
        <v>3080</v>
      </c>
      <c r="KE18" t="s">
        <v>4678</v>
      </c>
      <c r="KK18" t="s">
        <v>4621</v>
      </c>
      <c r="KM18" t="s">
        <v>4604</v>
      </c>
      <c r="KN18" t="s">
        <v>4587</v>
      </c>
      <c r="KQ18" t="s">
        <v>4562</v>
      </c>
      <c r="KS18" t="s">
        <v>4520</v>
      </c>
      <c r="KT18" t="s">
        <v>4496</v>
      </c>
      <c r="KU18" t="s">
        <v>4477</v>
      </c>
      <c r="KX18" t="s">
        <v>1819</v>
      </c>
      <c r="LE18" t="s">
        <v>4370</v>
      </c>
      <c r="LJ18" t="s">
        <v>4298</v>
      </c>
      <c r="LS18" t="s">
        <v>4227</v>
      </c>
      <c r="LW18" t="s">
        <v>2446</v>
      </c>
      <c r="LY18" t="s">
        <v>4184</v>
      </c>
      <c r="LZ18" t="s">
        <v>4169</v>
      </c>
      <c r="MB18" t="s">
        <v>4127</v>
      </c>
      <c r="MI18" t="s">
        <v>4080</v>
      </c>
      <c r="MM18" t="s">
        <v>4059</v>
      </c>
      <c r="MO18" t="s">
        <v>3996</v>
      </c>
      <c r="MS18" t="s">
        <v>3972</v>
      </c>
      <c r="MU18" t="s">
        <v>1028</v>
      </c>
      <c r="MV18" t="s">
        <v>3902</v>
      </c>
      <c r="MX18" t="s">
        <v>3878</v>
      </c>
      <c r="NA18" t="s">
        <v>2153</v>
      </c>
      <c r="ND18" t="s">
        <v>3829</v>
      </c>
      <c r="NG18" t="s">
        <v>3804</v>
      </c>
      <c r="NH18" t="s">
        <v>3777</v>
      </c>
      <c r="NJ18" t="s">
        <v>3754</v>
      </c>
      <c r="NL18" t="s">
        <v>3741</v>
      </c>
      <c r="NR18" t="s">
        <v>3709</v>
      </c>
      <c r="NW18" t="s">
        <v>3685</v>
      </c>
      <c r="NX18" t="s">
        <v>3667</v>
      </c>
      <c r="OA18" t="s">
        <v>3644</v>
      </c>
      <c r="OG18" t="s">
        <v>3608</v>
      </c>
      <c r="ON18" t="s">
        <v>3533</v>
      </c>
      <c r="OO18" t="s">
        <v>3511</v>
      </c>
      <c r="OP18" t="s">
        <v>2132</v>
      </c>
      <c r="OX18" t="s">
        <v>3432</v>
      </c>
      <c r="PB18" t="s">
        <v>3346</v>
      </c>
      <c r="PD18" t="s">
        <v>3321</v>
      </c>
      <c r="PM18" t="s">
        <v>3250</v>
      </c>
      <c r="PO18" t="s">
        <v>3196</v>
      </c>
      <c r="PR18" t="s">
        <v>3165</v>
      </c>
      <c r="PU18" t="s">
        <v>2756</v>
      </c>
      <c r="PW18" t="s">
        <v>2007</v>
      </c>
      <c r="QC18" t="s">
        <v>2863</v>
      </c>
      <c r="QE18" t="s">
        <v>2072</v>
      </c>
      <c r="QF18" t="s">
        <v>2775</v>
      </c>
      <c r="QK18" t="s">
        <v>1482</v>
      </c>
      <c r="QN18" t="s">
        <v>2654</v>
      </c>
      <c r="QQ18" t="s">
        <v>2596</v>
      </c>
      <c r="QW18" t="s">
        <v>2553</v>
      </c>
      <c r="QX18" t="s">
        <v>2412</v>
      </c>
      <c r="RB18" t="s">
        <v>2267</v>
      </c>
      <c r="RH18" t="s">
        <v>2450</v>
      </c>
      <c r="RL18" t="s">
        <v>2401</v>
      </c>
      <c r="RT18" t="s">
        <v>2026</v>
      </c>
      <c r="RV18" t="s">
        <v>2202</v>
      </c>
      <c r="SB18" t="s">
        <v>2009</v>
      </c>
      <c r="SH18" t="s">
        <v>2119</v>
      </c>
      <c r="SN18" t="s">
        <v>8914</v>
      </c>
      <c r="SU18" t="s">
        <v>2055</v>
      </c>
      <c r="SW18" t="s">
        <v>2035</v>
      </c>
      <c r="TG18" t="s">
        <v>1976</v>
      </c>
      <c r="TH18" t="s">
        <v>1948</v>
      </c>
    </row>
    <row r="19" spans="2:528" x14ac:dyDescent="0.25">
      <c r="B19" t="s">
        <v>1908</v>
      </c>
      <c r="F19" t="s">
        <v>7789</v>
      </c>
      <c r="L19" t="s">
        <v>785</v>
      </c>
      <c r="S19" t="s">
        <v>6310</v>
      </c>
      <c r="V19" t="s">
        <v>1550</v>
      </c>
      <c r="AA19" t="s">
        <v>2862</v>
      </c>
      <c r="AG19" t="s">
        <v>7544</v>
      </c>
      <c r="AH19" t="s">
        <v>7486</v>
      </c>
      <c r="AK19" t="s">
        <v>7454</v>
      </c>
      <c r="AM19" t="s">
        <v>7435</v>
      </c>
      <c r="AN19" t="s">
        <v>8933</v>
      </c>
      <c r="AS19" s="56" t="s">
        <v>3971</v>
      </c>
      <c r="AU19" t="s">
        <v>7401</v>
      </c>
      <c r="AZ19" t="s">
        <v>7294</v>
      </c>
      <c r="BC19" t="s">
        <v>3137</v>
      </c>
      <c r="BF19" t="s">
        <v>7240</v>
      </c>
      <c r="BH19" t="s">
        <v>3753</v>
      </c>
      <c r="BO19" t="s">
        <v>7172</v>
      </c>
      <c r="BQ19" t="s">
        <v>6904</v>
      </c>
      <c r="BU19" t="s">
        <v>7108</v>
      </c>
      <c r="BW19" t="s">
        <v>2401</v>
      </c>
      <c r="CE19" t="s">
        <v>7037</v>
      </c>
      <c r="CH19" t="s">
        <v>7012</v>
      </c>
      <c r="CI19" t="s">
        <v>6991</v>
      </c>
      <c r="CT19" t="s">
        <v>6930</v>
      </c>
      <c r="CU19" t="s">
        <v>1491</v>
      </c>
      <c r="CX19" t="s">
        <v>6843</v>
      </c>
      <c r="CZ19" t="s">
        <v>6820</v>
      </c>
      <c r="DA19" t="s">
        <v>3696</v>
      </c>
      <c r="DB19" t="s">
        <v>6792</v>
      </c>
      <c r="DF19" t="s">
        <v>4624</v>
      </c>
      <c r="DH19" t="s">
        <v>6693</v>
      </c>
      <c r="DM19" t="s">
        <v>4013</v>
      </c>
      <c r="DN19" t="s">
        <v>4741</v>
      </c>
      <c r="DZ19" t="s">
        <v>6512</v>
      </c>
      <c r="EA19" t="s">
        <v>2525</v>
      </c>
      <c r="ED19" t="s">
        <v>6431</v>
      </c>
      <c r="EI19" t="s">
        <v>6353</v>
      </c>
      <c r="EL19" t="s">
        <v>2448</v>
      </c>
      <c r="EP19" t="s">
        <v>6310</v>
      </c>
      <c r="EQ19" t="s">
        <v>6216</v>
      </c>
      <c r="EU19" t="s">
        <v>6139</v>
      </c>
      <c r="EX19" t="s">
        <v>3163</v>
      </c>
      <c r="EY19" t="s">
        <v>2403</v>
      </c>
      <c r="FH19" t="s">
        <v>5152</v>
      </c>
      <c r="FM19" t="s">
        <v>6041</v>
      </c>
      <c r="FP19" t="s">
        <v>6017</v>
      </c>
      <c r="FV19" t="s">
        <v>5967</v>
      </c>
      <c r="GA19" t="s">
        <v>5552</v>
      </c>
      <c r="GE19" t="s">
        <v>5898</v>
      </c>
      <c r="GG19" t="s">
        <v>5872</v>
      </c>
      <c r="GO19" t="s">
        <v>5791</v>
      </c>
      <c r="GP19" t="s">
        <v>5762</v>
      </c>
      <c r="GY19" t="s">
        <v>3306</v>
      </c>
      <c r="HB19" t="s">
        <v>5720</v>
      </c>
      <c r="HC19" t="s">
        <v>5614</v>
      </c>
      <c r="HF19" t="s">
        <v>5587</v>
      </c>
      <c r="HM19" t="s">
        <v>1952</v>
      </c>
      <c r="HN19" t="s">
        <v>5532</v>
      </c>
      <c r="HV19" t="s">
        <v>5432</v>
      </c>
      <c r="HW19" t="s">
        <v>5233</v>
      </c>
      <c r="HY19" t="s">
        <v>5351</v>
      </c>
      <c r="IA19" t="s">
        <v>2912</v>
      </c>
      <c r="ID19" t="s">
        <v>5314</v>
      </c>
      <c r="IF19" t="s">
        <v>2217</v>
      </c>
      <c r="IH19" t="s">
        <v>5255</v>
      </c>
      <c r="IM19" t="s">
        <v>5204</v>
      </c>
      <c r="IT19" t="s">
        <v>5085</v>
      </c>
      <c r="IX19" t="s">
        <v>4951</v>
      </c>
      <c r="JI19" t="s">
        <v>4918</v>
      </c>
      <c r="JJ19" t="s">
        <v>4844</v>
      </c>
      <c r="JL19" t="s">
        <v>4833</v>
      </c>
      <c r="JS19" t="s">
        <v>4804</v>
      </c>
      <c r="JZ19" t="s">
        <v>4732</v>
      </c>
      <c r="KC19" t="s">
        <v>2028</v>
      </c>
      <c r="KD19" t="s">
        <v>4565</v>
      </c>
      <c r="KE19" t="s">
        <v>4679</v>
      </c>
      <c r="KK19" t="s">
        <v>4622</v>
      </c>
      <c r="KM19" t="s">
        <v>4605</v>
      </c>
      <c r="KN19" t="s">
        <v>2122</v>
      </c>
      <c r="KQ19" t="s">
        <v>4563</v>
      </c>
      <c r="KS19" t="s">
        <v>4521</v>
      </c>
      <c r="KT19" t="s">
        <v>4497</v>
      </c>
      <c r="KU19" t="s">
        <v>4478</v>
      </c>
      <c r="KX19" t="s">
        <v>4409</v>
      </c>
      <c r="LE19" t="s">
        <v>4371</v>
      </c>
      <c r="LJ19" t="s">
        <v>4299</v>
      </c>
      <c r="LS19" t="s">
        <v>4228</v>
      </c>
      <c r="LW19" t="s">
        <v>4201</v>
      </c>
      <c r="LY19" t="s">
        <v>4185</v>
      </c>
      <c r="LZ19" t="s">
        <v>4170</v>
      </c>
      <c r="MB19" t="s">
        <v>4128</v>
      </c>
      <c r="MI19" t="s">
        <v>4081</v>
      </c>
      <c r="MM19" t="s">
        <v>4060</v>
      </c>
      <c r="MO19" t="s">
        <v>3997</v>
      </c>
      <c r="MS19" t="s">
        <v>3973</v>
      </c>
      <c r="MU19" t="s">
        <v>3925</v>
      </c>
      <c r="MV19" t="s">
        <v>3903</v>
      </c>
      <c r="MX19" t="s">
        <v>1923</v>
      </c>
      <c r="NA19" t="s">
        <v>3856</v>
      </c>
      <c r="ND19" t="s">
        <v>3830</v>
      </c>
      <c r="NG19" t="s">
        <v>3805</v>
      </c>
      <c r="NH19" t="s">
        <v>3778</v>
      </c>
      <c r="NJ19" t="s">
        <v>3755</v>
      </c>
      <c r="NL19" t="s">
        <v>3742</v>
      </c>
      <c r="NR19" t="s">
        <v>3710</v>
      </c>
      <c r="NW19" t="s">
        <v>3686</v>
      </c>
      <c r="NX19" t="s">
        <v>3668</v>
      </c>
      <c r="OA19" t="s">
        <v>3645</v>
      </c>
      <c r="OG19" t="s">
        <v>3609</v>
      </c>
      <c r="ON19" t="s">
        <v>1080</v>
      </c>
      <c r="OO19" t="s">
        <v>1944</v>
      </c>
      <c r="OP19" t="s">
        <v>3482</v>
      </c>
      <c r="OX19" t="s">
        <v>3433</v>
      </c>
      <c r="PB19" t="s">
        <v>2770</v>
      </c>
      <c r="PD19" t="s">
        <v>3322</v>
      </c>
      <c r="PM19" t="s">
        <v>2494</v>
      </c>
      <c r="PO19" t="s">
        <v>1775</v>
      </c>
      <c r="PR19" t="s">
        <v>3166</v>
      </c>
      <c r="PU19" t="s">
        <v>3133</v>
      </c>
      <c r="PW19" t="s">
        <v>3118</v>
      </c>
      <c r="QC19" t="s">
        <v>2864</v>
      </c>
      <c r="QE19" t="s">
        <v>2850</v>
      </c>
      <c r="QF19" t="s">
        <v>2776</v>
      </c>
      <c r="QK19" t="s">
        <v>2704</v>
      </c>
      <c r="QN19" t="s">
        <v>2655</v>
      </c>
      <c r="QQ19" t="s">
        <v>2597</v>
      </c>
      <c r="QW19" t="s">
        <v>2554</v>
      </c>
      <c r="QX19" t="s">
        <v>2007</v>
      </c>
      <c r="RB19" t="s">
        <v>2502</v>
      </c>
      <c r="RH19" t="s">
        <v>2451</v>
      </c>
      <c r="RL19" t="s">
        <v>2402</v>
      </c>
      <c r="RT19" t="s">
        <v>2321</v>
      </c>
      <c r="RV19" t="s">
        <v>2203</v>
      </c>
      <c r="SH19" t="s">
        <v>2120</v>
      </c>
      <c r="SU19" t="s">
        <v>2056</v>
      </c>
      <c r="SW19" t="s">
        <v>1682</v>
      </c>
      <c r="TG19" t="s">
        <v>1977</v>
      </c>
      <c r="TH19" t="s">
        <v>1949</v>
      </c>
    </row>
    <row r="20" spans="2:528" x14ac:dyDescent="0.25">
      <c r="B20" t="s">
        <v>1909</v>
      </c>
      <c r="F20" t="s">
        <v>7790</v>
      </c>
      <c r="S20" t="s">
        <v>3800</v>
      </c>
      <c r="V20" t="s">
        <v>6467</v>
      </c>
      <c r="AA20" t="s">
        <v>2590</v>
      </c>
      <c r="AG20" t="s">
        <v>7545</v>
      </c>
      <c r="AH20" t="s">
        <v>7487</v>
      </c>
      <c r="AK20" t="s">
        <v>7455</v>
      </c>
      <c r="AM20" t="s">
        <v>7436</v>
      </c>
      <c r="AN20" t="s">
        <v>8934</v>
      </c>
      <c r="AS20" s="56" t="s">
        <v>7416</v>
      </c>
      <c r="AU20" t="s">
        <v>3642</v>
      </c>
      <c r="AZ20" t="s">
        <v>7295</v>
      </c>
      <c r="BC20" t="s">
        <v>7275</v>
      </c>
      <c r="BF20" t="s">
        <v>7241</v>
      </c>
      <c r="BH20" t="s">
        <v>3163</v>
      </c>
      <c r="BO20" t="s">
        <v>4391</v>
      </c>
      <c r="BQ20" t="s">
        <v>6905</v>
      </c>
      <c r="BU20" t="s">
        <v>6521</v>
      </c>
      <c r="BW20" t="s">
        <v>7077</v>
      </c>
      <c r="CE20" t="s">
        <v>7038</v>
      </c>
      <c r="CH20" t="s">
        <v>6069</v>
      </c>
      <c r="CI20" t="s">
        <v>5233</v>
      </c>
      <c r="CT20" t="s">
        <v>4179</v>
      </c>
      <c r="CU20" t="s">
        <v>1306</v>
      </c>
      <c r="CX20" t="s">
        <v>6844</v>
      </c>
      <c r="CZ20" t="s">
        <v>6821</v>
      </c>
      <c r="DA20" t="s">
        <v>6806</v>
      </c>
      <c r="DB20" t="s">
        <v>6793</v>
      </c>
      <c r="DF20" t="s">
        <v>6739</v>
      </c>
      <c r="DH20" t="s">
        <v>6253</v>
      </c>
      <c r="DM20" t="s">
        <v>4181</v>
      </c>
      <c r="DN20" t="s">
        <v>6607</v>
      </c>
      <c r="DZ20" t="s">
        <v>4158</v>
      </c>
      <c r="EA20" t="s">
        <v>6487</v>
      </c>
      <c r="ED20" t="s">
        <v>6432</v>
      </c>
      <c r="EI20" t="s">
        <v>1080</v>
      </c>
      <c r="EL20" t="s">
        <v>6334</v>
      </c>
      <c r="EP20" t="s">
        <v>6311</v>
      </c>
      <c r="EQ20" t="s">
        <v>2350</v>
      </c>
      <c r="EU20" t="s">
        <v>6140</v>
      </c>
      <c r="EY20" t="s">
        <v>6103</v>
      </c>
      <c r="FH20" t="s">
        <v>6063</v>
      </c>
      <c r="FM20" t="s">
        <v>3032</v>
      </c>
      <c r="FP20" t="s">
        <v>3652</v>
      </c>
      <c r="FV20" t="s">
        <v>4232</v>
      </c>
      <c r="GA20" t="s">
        <v>2758</v>
      </c>
      <c r="GE20" t="s">
        <v>5899</v>
      </c>
      <c r="GG20" t="s">
        <v>5873</v>
      </c>
      <c r="GO20" t="s">
        <v>5792</v>
      </c>
      <c r="GP20" t="s">
        <v>5763</v>
      </c>
      <c r="GY20" t="s">
        <v>5741</v>
      </c>
      <c r="HB20" t="s">
        <v>5721</v>
      </c>
      <c r="HC20" t="s">
        <v>5615</v>
      </c>
      <c r="HF20" t="s">
        <v>2673</v>
      </c>
      <c r="HM20" t="s">
        <v>5542</v>
      </c>
      <c r="HV20" t="s">
        <v>5433</v>
      </c>
      <c r="HW20" t="s">
        <v>5406</v>
      </c>
      <c r="HY20" t="s">
        <v>5352</v>
      </c>
      <c r="IA20" t="s">
        <v>2913</v>
      </c>
      <c r="ID20" t="s">
        <v>5315</v>
      </c>
      <c r="IF20" t="s">
        <v>4935</v>
      </c>
      <c r="IH20" t="s">
        <v>5256</v>
      </c>
      <c r="IM20" t="s">
        <v>5205</v>
      </c>
      <c r="IT20" t="s">
        <v>5086</v>
      </c>
      <c r="IX20" t="s">
        <v>2838</v>
      </c>
      <c r="JI20" t="s">
        <v>4919</v>
      </c>
      <c r="JJ20" t="s">
        <v>4845</v>
      </c>
      <c r="JS20" t="s">
        <v>4805</v>
      </c>
      <c r="JZ20" t="s">
        <v>3503</v>
      </c>
      <c r="KC20" t="s">
        <v>2655</v>
      </c>
      <c r="KD20" t="s">
        <v>2072</v>
      </c>
      <c r="KE20" t="s">
        <v>4680</v>
      </c>
      <c r="KK20" t="s">
        <v>4623</v>
      </c>
      <c r="KM20" t="s">
        <v>4606</v>
      </c>
      <c r="KN20" t="s">
        <v>4588</v>
      </c>
      <c r="KQ20" t="s">
        <v>4564</v>
      </c>
      <c r="KS20" t="s">
        <v>1392</v>
      </c>
      <c r="KT20" t="s">
        <v>4498</v>
      </c>
      <c r="KU20" t="s">
        <v>3629</v>
      </c>
      <c r="KX20" t="s">
        <v>783</v>
      </c>
      <c r="LE20" t="s">
        <v>3161</v>
      </c>
      <c r="LJ20" t="s">
        <v>4300</v>
      </c>
      <c r="LS20" t="s">
        <v>4229</v>
      </c>
      <c r="LW20" t="s">
        <v>4202</v>
      </c>
      <c r="LY20" t="s">
        <v>4186</v>
      </c>
      <c r="LZ20" t="s">
        <v>4171</v>
      </c>
      <c r="MB20" t="s">
        <v>4129</v>
      </c>
      <c r="MI20" t="s">
        <v>4082</v>
      </c>
      <c r="MM20" t="s">
        <v>4061</v>
      </c>
      <c r="MO20" t="s">
        <v>2046</v>
      </c>
      <c r="MS20" t="s">
        <v>3974</v>
      </c>
      <c r="MU20" t="s">
        <v>3926</v>
      </c>
      <c r="MV20" t="s">
        <v>2252</v>
      </c>
      <c r="MX20" t="s">
        <v>3879</v>
      </c>
      <c r="NG20" t="s">
        <v>3806</v>
      </c>
      <c r="NH20" t="s">
        <v>3482</v>
      </c>
      <c r="NJ20" t="s">
        <v>3756</v>
      </c>
      <c r="NR20" t="s">
        <v>3711</v>
      </c>
      <c r="NW20" t="s">
        <v>3687</v>
      </c>
      <c r="NX20" t="s">
        <v>3669</v>
      </c>
      <c r="OA20" t="s">
        <v>1617</v>
      </c>
      <c r="OG20" t="s">
        <v>3610</v>
      </c>
      <c r="ON20" t="s">
        <v>3534</v>
      </c>
      <c r="OO20" t="s">
        <v>2655</v>
      </c>
      <c r="OP20" t="s">
        <v>2238</v>
      </c>
      <c r="OX20" t="s">
        <v>3434</v>
      </c>
      <c r="PB20" t="s">
        <v>3347</v>
      </c>
      <c r="PD20" t="s">
        <v>1721</v>
      </c>
      <c r="PM20" t="s">
        <v>3251</v>
      </c>
      <c r="PO20" t="s">
        <v>3197</v>
      </c>
      <c r="PR20" t="s">
        <v>2289</v>
      </c>
      <c r="PU20" t="s">
        <v>3134</v>
      </c>
      <c r="PW20" t="s">
        <v>3119</v>
      </c>
      <c r="QC20" t="s">
        <v>2865</v>
      </c>
      <c r="QF20" t="s">
        <v>2777</v>
      </c>
      <c r="QK20" t="s">
        <v>1490</v>
      </c>
      <c r="QN20" t="s">
        <v>2656</v>
      </c>
      <c r="QQ20" t="s">
        <v>2598</v>
      </c>
      <c r="QW20" t="s">
        <v>2555</v>
      </c>
      <c r="QX20" t="s">
        <v>2529</v>
      </c>
      <c r="RB20" t="s">
        <v>2503</v>
      </c>
      <c r="RH20" t="s">
        <v>2452</v>
      </c>
      <c r="RL20" t="s">
        <v>2403</v>
      </c>
      <c r="RT20" t="s">
        <v>754</v>
      </c>
      <c r="RV20" t="s">
        <v>2204</v>
      </c>
      <c r="SH20" t="s">
        <v>2121</v>
      </c>
      <c r="TH20" t="s">
        <v>1950</v>
      </c>
    </row>
    <row r="21" spans="2:528" x14ac:dyDescent="0.25">
      <c r="B21" t="s">
        <v>1910</v>
      </c>
      <c r="F21" t="s">
        <v>2132</v>
      </c>
      <c r="S21" t="s">
        <v>7721</v>
      </c>
      <c r="V21" t="s">
        <v>1698</v>
      </c>
      <c r="AA21" t="s">
        <v>7627</v>
      </c>
      <c r="AG21" t="s">
        <v>7546</v>
      </c>
      <c r="AH21" t="s">
        <v>7488</v>
      </c>
      <c r="AK21" t="s">
        <v>989</v>
      </c>
      <c r="AM21" t="s">
        <v>1334</v>
      </c>
      <c r="AN21" t="s">
        <v>8935</v>
      </c>
      <c r="AS21" s="56" t="s">
        <v>2806</v>
      </c>
      <c r="AU21" t="s">
        <v>1907</v>
      </c>
      <c r="AZ21" t="s">
        <v>7296</v>
      </c>
      <c r="BC21" t="s">
        <v>7276</v>
      </c>
      <c r="BF21" t="s">
        <v>7242</v>
      </c>
      <c r="BH21" t="s">
        <v>7222</v>
      </c>
      <c r="BO21" t="s">
        <v>7173</v>
      </c>
      <c r="BQ21" t="s">
        <v>5128</v>
      </c>
      <c r="BU21" t="s">
        <v>7109</v>
      </c>
      <c r="BW21" t="s">
        <v>7078</v>
      </c>
      <c r="CE21" t="s">
        <v>6163</v>
      </c>
      <c r="CH21" t="s">
        <v>2026</v>
      </c>
      <c r="CI21" t="s">
        <v>6992</v>
      </c>
      <c r="CT21" t="s">
        <v>6931</v>
      </c>
      <c r="CU21" t="s">
        <v>6874</v>
      </c>
      <c r="CX21" t="s">
        <v>6845</v>
      </c>
      <c r="CZ21" t="s">
        <v>6822</v>
      </c>
      <c r="DA21" t="s">
        <v>6807</v>
      </c>
      <c r="DB21" t="s">
        <v>6794</v>
      </c>
      <c r="DF21" t="s">
        <v>6740</v>
      </c>
      <c r="DH21" t="s">
        <v>6694</v>
      </c>
      <c r="DM21" t="s">
        <v>6659</v>
      </c>
      <c r="DN21" t="s">
        <v>2705</v>
      </c>
      <c r="DZ21" t="s">
        <v>753</v>
      </c>
      <c r="EA21" t="s">
        <v>6488</v>
      </c>
      <c r="ED21" t="s">
        <v>5453</v>
      </c>
      <c r="EI21" t="s">
        <v>6354</v>
      </c>
      <c r="EL21" t="s">
        <v>6335</v>
      </c>
      <c r="EP21" t="s">
        <v>6312</v>
      </c>
      <c r="EQ21" t="s">
        <v>6217</v>
      </c>
      <c r="EU21" t="s">
        <v>6141</v>
      </c>
      <c r="EY21" t="s">
        <v>6104</v>
      </c>
      <c r="FM21" t="s">
        <v>6042</v>
      </c>
      <c r="FP21" t="s">
        <v>6018</v>
      </c>
      <c r="FV21" t="s">
        <v>3130</v>
      </c>
      <c r="GA21" t="s">
        <v>2274</v>
      </c>
      <c r="GE21" t="s">
        <v>2132</v>
      </c>
      <c r="GG21" t="s">
        <v>5874</v>
      </c>
      <c r="GO21" t="s">
        <v>5793</v>
      </c>
      <c r="GP21" t="s">
        <v>5764</v>
      </c>
      <c r="GY21" t="s">
        <v>1582</v>
      </c>
      <c r="HB21" t="s">
        <v>5722</v>
      </c>
      <c r="HC21" t="s">
        <v>5616</v>
      </c>
      <c r="HF21" t="s">
        <v>5588</v>
      </c>
      <c r="HM21" t="s">
        <v>5543</v>
      </c>
      <c r="HV21" t="s">
        <v>5434</v>
      </c>
      <c r="HW21" t="s">
        <v>3130</v>
      </c>
      <c r="HY21" t="s">
        <v>5353</v>
      </c>
      <c r="IA21" t="s">
        <v>2914</v>
      </c>
      <c r="ID21" t="s">
        <v>5316</v>
      </c>
      <c r="IF21" t="s">
        <v>1306</v>
      </c>
      <c r="IH21" t="s">
        <v>2533</v>
      </c>
      <c r="IM21" t="s">
        <v>4856</v>
      </c>
      <c r="IT21" t="s">
        <v>5087</v>
      </c>
      <c r="IX21" t="s">
        <v>4952</v>
      </c>
      <c r="JJ21" t="s">
        <v>1418</v>
      </c>
      <c r="JS21" t="s">
        <v>1707</v>
      </c>
      <c r="JZ21" t="s">
        <v>4733</v>
      </c>
      <c r="KC21" t="s">
        <v>2029</v>
      </c>
      <c r="KD21" t="s">
        <v>4702</v>
      </c>
      <c r="KE21" t="s">
        <v>4681</v>
      </c>
      <c r="KK21" t="s">
        <v>4472</v>
      </c>
      <c r="KM21" t="s">
        <v>3120</v>
      </c>
      <c r="KN21" t="s">
        <v>4589</v>
      </c>
      <c r="KQ21" t="s">
        <v>4565</v>
      </c>
      <c r="KS21" t="s">
        <v>4522</v>
      </c>
      <c r="KT21" t="s">
        <v>4499</v>
      </c>
      <c r="KU21" t="s">
        <v>4479</v>
      </c>
      <c r="KX21" t="s">
        <v>4410</v>
      </c>
      <c r="LE21" t="s">
        <v>4372</v>
      </c>
      <c r="LJ21" t="s">
        <v>4301</v>
      </c>
      <c r="LS21" t="s">
        <v>4230</v>
      </c>
      <c r="LW21" t="s">
        <v>4203</v>
      </c>
      <c r="LY21" t="s">
        <v>2292</v>
      </c>
      <c r="LZ21" t="s">
        <v>4172</v>
      </c>
      <c r="MB21" t="s">
        <v>4130</v>
      </c>
      <c r="MI21" t="s">
        <v>2756</v>
      </c>
      <c r="MM21" t="s">
        <v>3449</v>
      </c>
      <c r="MO21" t="s">
        <v>3998</v>
      </c>
      <c r="MS21" t="s">
        <v>3470</v>
      </c>
      <c r="MU21" t="s">
        <v>3927</v>
      </c>
      <c r="MV21" t="s">
        <v>3904</v>
      </c>
      <c r="MX21" t="s">
        <v>2806</v>
      </c>
      <c r="NG21" t="s">
        <v>3807</v>
      </c>
      <c r="NH21" t="s">
        <v>2004</v>
      </c>
      <c r="NJ21" t="s">
        <v>3757</v>
      </c>
      <c r="NW21" t="s">
        <v>3688</v>
      </c>
      <c r="NX21" t="s">
        <v>2072</v>
      </c>
      <c r="OG21" t="s">
        <v>3611</v>
      </c>
      <c r="ON21" t="s">
        <v>2954</v>
      </c>
      <c r="OO21" t="s">
        <v>3512</v>
      </c>
      <c r="OP21" t="s">
        <v>3483</v>
      </c>
      <c r="OX21" t="s">
        <v>3435</v>
      </c>
      <c r="PB21" t="s">
        <v>3348</v>
      </c>
      <c r="PD21" t="s">
        <v>3323</v>
      </c>
      <c r="PM21" t="s">
        <v>3252</v>
      </c>
      <c r="PO21" t="s">
        <v>3198</v>
      </c>
      <c r="PU21" t="s">
        <v>3135</v>
      </c>
      <c r="PW21" t="s">
        <v>3120</v>
      </c>
      <c r="QC21" t="s">
        <v>2866</v>
      </c>
      <c r="QF21" t="s">
        <v>2778</v>
      </c>
      <c r="QK21" t="s">
        <v>2705</v>
      </c>
      <c r="QN21" t="s">
        <v>2657</v>
      </c>
      <c r="QQ21" t="s">
        <v>2599</v>
      </c>
      <c r="QW21" t="s">
        <v>2556</v>
      </c>
      <c r="QX21" t="s">
        <v>2530</v>
      </c>
      <c r="RB21" t="s">
        <v>2504</v>
      </c>
      <c r="RH21" t="s">
        <v>2453</v>
      </c>
      <c r="RL21" t="s">
        <v>2404</v>
      </c>
      <c r="RT21" t="s">
        <v>2322</v>
      </c>
      <c r="RV21" t="s">
        <v>2205</v>
      </c>
      <c r="SH21" t="s">
        <v>2122</v>
      </c>
      <c r="TH21" t="s">
        <v>1951</v>
      </c>
    </row>
    <row r="22" spans="2:528" x14ac:dyDescent="0.25">
      <c r="F22" t="s">
        <v>2018</v>
      </c>
      <c r="S22" t="s">
        <v>7722</v>
      </c>
      <c r="V22" t="s">
        <v>816</v>
      </c>
      <c r="AA22" t="s">
        <v>7628</v>
      </c>
      <c r="AG22" t="s">
        <v>7547</v>
      </c>
      <c r="AH22" t="s">
        <v>2944</v>
      </c>
      <c r="AK22" t="s">
        <v>5642</v>
      </c>
      <c r="AM22" t="s">
        <v>6700</v>
      </c>
      <c r="AN22" t="s">
        <v>8936</v>
      </c>
      <c r="AS22" s="56" t="s">
        <v>7417</v>
      </c>
      <c r="AU22" t="s">
        <v>7402</v>
      </c>
      <c r="AZ22" t="s">
        <v>7297</v>
      </c>
      <c r="BC22" t="s">
        <v>4931</v>
      </c>
      <c r="BF22" t="s">
        <v>6164</v>
      </c>
      <c r="BH22" t="s">
        <v>7223</v>
      </c>
      <c r="BO22" t="s">
        <v>7174</v>
      </c>
      <c r="BQ22" t="s">
        <v>5464</v>
      </c>
      <c r="BU22" t="s">
        <v>7110</v>
      </c>
      <c r="BW22" t="s">
        <v>6254</v>
      </c>
      <c r="CE22" t="s">
        <v>5003</v>
      </c>
      <c r="CH22" t="s">
        <v>7013</v>
      </c>
      <c r="CI22" t="s">
        <v>1827</v>
      </c>
      <c r="CT22" t="s">
        <v>6311</v>
      </c>
      <c r="CU22" t="s">
        <v>6875</v>
      </c>
      <c r="CX22" t="s">
        <v>6846</v>
      </c>
      <c r="CZ22" t="s">
        <v>6823</v>
      </c>
      <c r="DA22" t="s">
        <v>6808</v>
      </c>
      <c r="DB22" t="s">
        <v>6795</v>
      </c>
      <c r="DF22" t="s">
        <v>3620</v>
      </c>
      <c r="DH22" t="s">
        <v>6695</v>
      </c>
      <c r="DM22" t="s">
        <v>6660</v>
      </c>
      <c r="DN22" t="s">
        <v>6608</v>
      </c>
      <c r="DZ22" t="s">
        <v>2203</v>
      </c>
      <c r="EA22" t="s">
        <v>6489</v>
      </c>
      <c r="ED22" t="s">
        <v>4636</v>
      </c>
      <c r="EI22" t="s">
        <v>6355</v>
      </c>
      <c r="EL22" t="s">
        <v>5252</v>
      </c>
      <c r="EP22" t="s">
        <v>6313</v>
      </c>
      <c r="EQ22" t="s">
        <v>946</v>
      </c>
      <c r="EU22" t="s">
        <v>6142</v>
      </c>
      <c r="EY22" t="s">
        <v>6105</v>
      </c>
      <c r="FM22" t="s">
        <v>6043</v>
      </c>
      <c r="FP22" t="s">
        <v>6019</v>
      </c>
      <c r="FV22" t="s">
        <v>5968</v>
      </c>
      <c r="GA22" t="s">
        <v>5945</v>
      </c>
      <c r="GE22" t="s">
        <v>5900</v>
      </c>
      <c r="GG22" t="s">
        <v>2007</v>
      </c>
      <c r="GO22" t="s">
        <v>5794</v>
      </c>
      <c r="GP22" t="s">
        <v>5765</v>
      </c>
      <c r="GY22" t="s">
        <v>5742</v>
      </c>
      <c r="HB22" t="s">
        <v>5723</v>
      </c>
      <c r="HC22" t="s">
        <v>3963</v>
      </c>
      <c r="HF22" t="s">
        <v>3032</v>
      </c>
      <c r="HM22" t="s">
        <v>4215</v>
      </c>
      <c r="HV22" t="s">
        <v>5435</v>
      </c>
      <c r="HW22" t="s">
        <v>5407</v>
      </c>
      <c r="HY22" t="s">
        <v>2589</v>
      </c>
      <c r="IA22" t="s">
        <v>2915</v>
      </c>
      <c r="ID22" t="s">
        <v>5317</v>
      </c>
      <c r="IF22" t="s">
        <v>5269</v>
      </c>
      <c r="IH22" t="s">
        <v>5257</v>
      </c>
      <c r="IM22" t="s">
        <v>2398</v>
      </c>
      <c r="IT22" t="s">
        <v>2586</v>
      </c>
      <c r="IX22" t="s">
        <v>4953</v>
      </c>
      <c r="JJ22" t="s">
        <v>4846</v>
      </c>
      <c r="JZ22" t="s">
        <v>4734</v>
      </c>
      <c r="KC22" t="s">
        <v>4242</v>
      </c>
      <c r="KD22" t="s">
        <v>1996</v>
      </c>
      <c r="KE22" t="s">
        <v>4682</v>
      </c>
      <c r="KK22" t="s">
        <v>4624</v>
      </c>
      <c r="KN22" t="s">
        <v>3163</v>
      </c>
      <c r="KQ22" t="s">
        <v>4566</v>
      </c>
      <c r="KS22" t="s">
        <v>2596</v>
      </c>
      <c r="KT22" t="s">
        <v>4500</v>
      </c>
      <c r="KU22" t="s">
        <v>4480</v>
      </c>
      <c r="KX22" t="s">
        <v>4411</v>
      </c>
      <c r="LE22" t="s">
        <v>786</v>
      </c>
      <c r="LJ22" t="s">
        <v>4302</v>
      </c>
      <c r="LS22" t="s">
        <v>4231</v>
      </c>
      <c r="LY22" t="s">
        <v>4187</v>
      </c>
      <c r="MB22" t="s">
        <v>2004</v>
      </c>
      <c r="MI22" t="s">
        <v>4083</v>
      </c>
      <c r="MM22" t="s">
        <v>1617</v>
      </c>
      <c r="MO22" t="s">
        <v>3999</v>
      </c>
      <c r="MS22" t="s">
        <v>3975</v>
      </c>
      <c r="MU22" t="s">
        <v>3928</v>
      </c>
      <c r="MV22" t="s">
        <v>3493</v>
      </c>
      <c r="MX22" t="s">
        <v>3880</v>
      </c>
      <c r="NG22" t="s">
        <v>3808</v>
      </c>
      <c r="NH22" t="s">
        <v>3779</v>
      </c>
      <c r="NJ22" t="s">
        <v>3758</v>
      </c>
      <c r="ON22" t="s">
        <v>3535</v>
      </c>
      <c r="OO22" t="s">
        <v>3513</v>
      </c>
      <c r="OP22" t="s">
        <v>3484</v>
      </c>
      <c r="OX22" t="s">
        <v>3436</v>
      </c>
      <c r="PB22" t="s">
        <v>3349</v>
      </c>
      <c r="PD22" t="s">
        <v>2050</v>
      </c>
      <c r="PM22" t="s">
        <v>3253</v>
      </c>
      <c r="PO22" t="s">
        <v>3199</v>
      </c>
      <c r="PU22" t="s">
        <v>3136</v>
      </c>
      <c r="QC22" t="s">
        <v>2867</v>
      </c>
      <c r="QF22" t="s">
        <v>2779</v>
      </c>
      <c r="QK22" t="s">
        <v>2706</v>
      </c>
      <c r="QN22" t="s">
        <v>2658</v>
      </c>
      <c r="QQ22" t="s">
        <v>2600</v>
      </c>
      <c r="QW22" t="s">
        <v>1075</v>
      </c>
      <c r="QX22" t="s">
        <v>2100</v>
      </c>
      <c r="RB22" t="s">
        <v>1675</v>
      </c>
      <c r="RH22" t="s">
        <v>2454</v>
      </c>
      <c r="RL22" t="s">
        <v>2405</v>
      </c>
      <c r="RT22" t="s">
        <v>2323</v>
      </c>
      <c r="RV22" t="s">
        <v>2206</v>
      </c>
      <c r="SH22" t="s">
        <v>970</v>
      </c>
      <c r="TH22" t="s">
        <v>1952</v>
      </c>
    </row>
    <row r="23" spans="2:528" x14ac:dyDescent="0.25">
      <c r="F23" t="s">
        <v>7791</v>
      </c>
      <c r="S23" t="s">
        <v>7723</v>
      </c>
      <c r="V23" t="s">
        <v>7683</v>
      </c>
      <c r="AA23" t="s">
        <v>7629</v>
      </c>
      <c r="AG23" t="s">
        <v>4075</v>
      </c>
      <c r="AH23" t="s">
        <v>7489</v>
      </c>
      <c r="AK23" t="s">
        <v>3365</v>
      </c>
      <c r="AM23" t="s">
        <v>2758</v>
      </c>
      <c r="AS23" s="56" t="s">
        <v>8941</v>
      </c>
      <c r="AU23" t="s">
        <v>2507</v>
      </c>
      <c r="AZ23" t="s">
        <v>5566</v>
      </c>
      <c r="BC23" t="s">
        <v>7277</v>
      </c>
      <c r="BF23" t="s">
        <v>7243</v>
      </c>
      <c r="BH23" t="s">
        <v>7224</v>
      </c>
      <c r="BO23" t="s">
        <v>7175</v>
      </c>
      <c r="BQ23" t="s">
        <v>6906</v>
      </c>
      <c r="BU23" t="s">
        <v>7111</v>
      </c>
      <c r="BW23" t="s">
        <v>7079</v>
      </c>
      <c r="CE23" t="s">
        <v>7039</v>
      </c>
      <c r="CH23" t="s">
        <v>2004</v>
      </c>
      <c r="CI23" t="s">
        <v>2980</v>
      </c>
      <c r="CT23" t="s">
        <v>1548</v>
      </c>
      <c r="CU23" t="s">
        <v>6876</v>
      </c>
      <c r="CX23" t="s">
        <v>2404</v>
      </c>
      <c r="CZ23" t="s">
        <v>6824</v>
      </c>
      <c r="DA23" t="s">
        <v>6809</v>
      </c>
      <c r="DF23" t="s">
        <v>6741</v>
      </c>
      <c r="DH23" t="s">
        <v>6696</v>
      </c>
      <c r="DM23" t="s">
        <v>6661</v>
      </c>
      <c r="DN23" t="s">
        <v>6609</v>
      </c>
      <c r="DZ23" t="s">
        <v>6513</v>
      </c>
      <c r="EA23" t="s">
        <v>6490</v>
      </c>
      <c r="ED23" t="s">
        <v>6433</v>
      </c>
      <c r="EI23" t="s">
        <v>6356</v>
      </c>
      <c r="EL23" t="s">
        <v>2035</v>
      </c>
      <c r="EP23" t="s">
        <v>748</v>
      </c>
      <c r="EQ23" t="s">
        <v>4070</v>
      </c>
      <c r="EU23" t="s">
        <v>6143</v>
      </c>
      <c r="EY23" t="s">
        <v>2998</v>
      </c>
      <c r="FM23" t="s">
        <v>6044</v>
      </c>
      <c r="FP23" t="s">
        <v>6020</v>
      </c>
      <c r="FV23" t="s">
        <v>5969</v>
      </c>
      <c r="GA23" t="s">
        <v>1904</v>
      </c>
      <c r="GE23" t="s">
        <v>2406</v>
      </c>
      <c r="GG23" t="s">
        <v>5875</v>
      </c>
      <c r="GO23" t="s">
        <v>5795</v>
      </c>
      <c r="GP23" t="s">
        <v>5766</v>
      </c>
      <c r="GY23" t="s">
        <v>5743</v>
      </c>
      <c r="HB23" t="s">
        <v>5724</v>
      </c>
      <c r="HC23" t="s">
        <v>5617</v>
      </c>
      <c r="HF23" t="s">
        <v>5589</v>
      </c>
      <c r="HM23" t="s">
        <v>5544</v>
      </c>
      <c r="HV23" t="s">
        <v>5436</v>
      </c>
      <c r="HW23" t="s">
        <v>5408</v>
      </c>
      <c r="HY23" t="s">
        <v>5354</v>
      </c>
      <c r="IA23" t="s">
        <v>2916</v>
      </c>
      <c r="ID23" t="s">
        <v>5318</v>
      </c>
      <c r="IF23" t="s">
        <v>5270</v>
      </c>
      <c r="IM23" t="s">
        <v>5206</v>
      </c>
      <c r="IT23" t="s">
        <v>5088</v>
      </c>
      <c r="IX23" t="s">
        <v>2142</v>
      </c>
      <c r="JJ23" t="s">
        <v>4847</v>
      </c>
      <c r="JZ23" t="s">
        <v>4735</v>
      </c>
      <c r="KC23" t="s">
        <v>3030</v>
      </c>
      <c r="KE23" t="s">
        <v>4600</v>
      </c>
      <c r="KK23" t="s">
        <v>3578</v>
      </c>
      <c r="KN23" t="s">
        <v>4590</v>
      </c>
      <c r="KQ23" t="s">
        <v>4567</v>
      </c>
      <c r="KS23" t="s">
        <v>2225</v>
      </c>
      <c r="KT23" t="s">
        <v>1841</v>
      </c>
      <c r="KU23" t="s">
        <v>4481</v>
      </c>
      <c r="KX23" t="s">
        <v>4412</v>
      </c>
      <c r="LE23" t="s">
        <v>4373</v>
      </c>
      <c r="LJ23" t="s">
        <v>4303</v>
      </c>
      <c r="LS23" t="s">
        <v>4232</v>
      </c>
      <c r="MB23" t="s">
        <v>4131</v>
      </c>
      <c r="MI23" t="s">
        <v>3549</v>
      </c>
      <c r="MO23" t="s">
        <v>3130</v>
      </c>
      <c r="MS23" t="s">
        <v>3976</v>
      </c>
      <c r="MU23" t="s">
        <v>2429</v>
      </c>
      <c r="MV23" t="s">
        <v>3905</v>
      </c>
      <c r="MX23" t="s">
        <v>3881</v>
      </c>
      <c r="NG23" t="s">
        <v>3809</v>
      </c>
      <c r="NH23" t="s">
        <v>3780</v>
      </c>
      <c r="NJ23" t="s">
        <v>3759</v>
      </c>
      <c r="ON23" t="s">
        <v>3536</v>
      </c>
      <c r="OO23" t="s">
        <v>3514</v>
      </c>
      <c r="OP23" t="s">
        <v>3485</v>
      </c>
      <c r="OX23" t="s">
        <v>779</v>
      </c>
      <c r="PB23" t="s">
        <v>3350</v>
      </c>
      <c r="PD23" t="s">
        <v>3324</v>
      </c>
      <c r="PM23" t="s">
        <v>3254</v>
      </c>
      <c r="PO23" t="s">
        <v>3200</v>
      </c>
      <c r="PU23" t="s">
        <v>3137</v>
      </c>
      <c r="QC23" t="s">
        <v>2868</v>
      </c>
      <c r="QF23" t="s">
        <v>2780</v>
      </c>
      <c r="QK23" t="s">
        <v>2707</v>
      </c>
      <c r="QN23" t="s">
        <v>1272</v>
      </c>
      <c r="QQ23" t="s">
        <v>1306</v>
      </c>
      <c r="QW23" t="s">
        <v>2126</v>
      </c>
      <c r="QX23" t="s">
        <v>2531</v>
      </c>
      <c r="RB23" t="s">
        <v>2100</v>
      </c>
      <c r="RH23" t="s">
        <v>2455</v>
      </c>
      <c r="RL23" t="s">
        <v>2406</v>
      </c>
      <c r="RT23" t="s">
        <v>2324</v>
      </c>
      <c r="RV23" t="s">
        <v>2207</v>
      </c>
      <c r="SH23" t="s">
        <v>2123</v>
      </c>
      <c r="TH23" t="s">
        <v>1953</v>
      </c>
    </row>
    <row r="24" spans="2:528" x14ac:dyDescent="0.25">
      <c r="F24" t="s">
        <v>7792</v>
      </c>
      <c r="S24" t="s">
        <v>7724</v>
      </c>
      <c r="V24" t="s">
        <v>7684</v>
      </c>
      <c r="AA24" t="s">
        <v>7630</v>
      </c>
      <c r="AG24" t="s">
        <v>7548</v>
      </c>
      <c r="AH24" t="s">
        <v>7490</v>
      </c>
      <c r="AK24" t="s">
        <v>7456</v>
      </c>
      <c r="AM24" t="s">
        <v>7437</v>
      </c>
      <c r="AS24" s="56" t="s">
        <v>8942</v>
      </c>
      <c r="AZ24" t="s">
        <v>3528</v>
      </c>
      <c r="BF24" t="s">
        <v>7244</v>
      </c>
      <c r="BH24" t="s">
        <v>7225</v>
      </c>
      <c r="BO24" t="s">
        <v>7176</v>
      </c>
      <c r="BQ24" t="s">
        <v>2083</v>
      </c>
      <c r="BU24" t="s">
        <v>788</v>
      </c>
      <c r="BW24" t="s">
        <v>7080</v>
      </c>
      <c r="CE24" t="s">
        <v>7040</v>
      </c>
      <c r="CH24" t="s">
        <v>2986</v>
      </c>
      <c r="CI24" t="s">
        <v>6993</v>
      </c>
      <c r="CT24" t="s">
        <v>6932</v>
      </c>
      <c r="CU24" t="s">
        <v>6877</v>
      </c>
      <c r="CX24" t="s">
        <v>3482</v>
      </c>
      <c r="CZ24" t="s">
        <v>6825</v>
      </c>
      <c r="DA24" t="s">
        <v>4716</v>
      </c>
      <c r="DF24" t="s">
        <v>2494</v>
      </c>
      <c r="DH24" t="s">
        <v>6697</v>
      </c>
      <c r="DM24" t="s">
        <v>1701</v>
      </c>
      <c r="DN24" t="s">
        <v>6610</v>
      </c>
      <c r="DZ24" t="s">
        <v>6514</v>
      </c>
      <c r="EA24" t="s">
        <v>6491</v>
      </c>
      <c r="ED24" t="s">
        <v>6434</v>
      </c>
      <c r="EI24" t="s">
        <v>6357</v>
      </c>
      <c r="EL24" t="s">
        <v>3290</v>
      </c>
      <c r="EP24" t="s">
        <v>6314</v>
      </c>
      <c r="EQ24" t="s">
        <v>5537</v>
      </c>
      <c r="EU24" t="s">
        <v>6144</v>
      </c>
      <c r="EY24" t="s">
        <v>6106</v>
      </c>
      <c r="FM24" t="s">
        <v>6045</v>
      </c>
      <c r="FP24" t="s">
        <v>5152</v>
      </c>
      <c r="FV24" t="s">
        <v>5970</v>
      </c>
      <c r="GA24" t="s">
        <v>3415</v>
      </c>
      <c r="GE24" t="s">
        <v>2994</v>
      </c>
      <c r="GG24" t="s">
        <v>5876</v>
      </c>
      <c r="GO24" t="s">
        <v>4299</v>
      </c>
      <c r="GP24" t="s">
        <v>5767</v>
      </c>
      <c r="GY24" t="s">
        <v>3387</v>
      </c>
      <c r="HB24" t="s">
        <v>2124</v>
      </c>
      <c r="HC24" t="s">
        <v>2588</v>
      </c>
      <c r="HF24" t="s">
        <v>2282</v>
      </c>
      <c r="HM24" t="s">
        <v>787</v>
      </c>
      <c r="HV24" t="s">
        <v>5437</v>
      </c>
      <c r="HW24" t="s">
        <v>3400</v>
      </c>
      <c r="HY24" t="s">
        <v>3234</v>
      </c>
      <c r="IA24" t="s">
        <v>2917</v>
      </c>
      <c r="ID24" t="s">
        <v>5319</v>
      </c>
      <c r="IF24" t="s">
        <v>5271</v>
      </c>
      <c r="IM24" t="s">
        <v>5207</v>
      </c>
      <c r="IT24" t="s">
        <v>2588</v>
      </c>
      <c r="IX24" t="s">
        <v>4954</v>
      </c>
      <c r="JJ24" t="s">
        <v>4848</v>
      </c>
      <c r="JZ24" t="s">
        <v>4736</v>
      </c>
      <c r="KC24" t="s">
        <v>4710</v>
      </c>
      <c r="KE24" t="s">
        <v>4683</v>
      </c>
      <c r="KK24" t="s">
        <v>4625</v>
      </c>
      <c r="KN24" t="s">
        <v>4591</v>
      </c>
      <c r="KQ24" t="s">
        <v>4568</v>
      </c>
      <c r="KS24" t="s">
        <v>4523</v>
      </c>
      <c r="KT24" t="s">
        <v>4501</v>
      </c>
      <c r="KU24" t="s">
        <v>787</v>
      </c>
      <c r="KX24" t="s">
        <v>1306</v>
      </c>
      <c r="LE24" t="s">
        <v>2508</v>
      </c>
      <c r="LJ24" t="s">
        <v>4304</v>
      </c>
      <c r="LS24" t="s">
        <v>4233</v>
      </c>
      <c r="MB24" t="s">
        <v>4132</v>
      </c>
      <c r="MI24" t="s">
        <v>4084</v>
      </c>
      <c r="MO24" t="s">
        <v>4000</v>
      </c>
      <c r="MS24" t="s">
        <v>3977</v>
      </c>
      <c r="MU24" t="s">
        <v>3929</v>
      </c>
      <c r="MV24" t="s">
        <v>3906</v>
      </c>
      <c r="MX24" t="s">
        <v>3882</v>
      </c>
      <c r="NH24" t="s">
        <v>3781</v>
      </c>
      <c r="NJ24" t="s">
        <v>3760</v>
      </c>
      <c r="ON24" t="s">
        <v>1306</v>
      </c>
      <c r="OO24" t="s">
        <v>3515</v>
      </c>
      <c r="OP24" t="s">
        <v>2989</v>
      </c>
      <c r="OX24" t="s">
        <v>3437</v>
      </c>
      <c r="PB24" t="s">
        <v>3351</v>
      </c>
      <c r="PD24" t="s">
        <v>3325</v>
      </c>
      <c r="PM24" t="s">
        <v>2316</v>
      </c>
      <c r="PO24" t="s">
        <v>1778</v>
      </c>
      <c r="PU24" t="s">
        <v>2098</v>
      </c>
      <c r="QC24" t="s">
        <v>2869</v>
      </c>
      <c r="QF24" t="s">
        <v>2781</v>
      </c>
      <c r="QK24" t="s">
        <v>2708</v>
      </c>
      <c r="QN24" t="s">
        <v>2659</v>
      </c>
      <c r="QQ24" t="s">
        <v>2601</v>
      </c>
      <c r="QW24" t="s">
        <v>2557</v>
      </c>
      <c r="QX24" t="s">
        <v>2532</v>
      </c>
      <c r="RB24" t="s">
        <v>2505</v>
      </c>
      <c r="RL24" t="s">
        <v>1100</v>
      </c>
      <c r="RT24" t="s">
        <v>2325</v>
      </c>
      <c r="RV24" t="s">
        <v>2208</v>
      </c>
      <c r="SH24" t="s">
        <v>2124</v>
      </c>
      <c r="TH24" t="s">
        <v>1954</v>
      </c>
    </row>
    <row r="25" spans="2:528" x14ac:dyDescent="0.25">
      <c r="F25" t="s">
        <v>1100</v>
      </c>
      <c r="S25" t="s">
        <v>1779</v>
      </c>
      <c r="V25" t="s">
        <v>7685</v>
      </c>
      <c r="AA25" t="s">
        <v>4630</v>
      </c>
      <c r="AG25" t="s">
        <v>7549</v>
      </c>
      <c r="AH25" t="s">
        <v>7491</v>
      </c>
      <c r="AK25" t="s">
        <v>7457</v>
      </c>
      <c r="AS25" s="56" t="s">
        <v>8943</v>
      </c>
      <c r="AZ25" t="s">
        <v>7298</v>
      </c>
      <c r="BF25" t="s">
        <v>3006</v>
      </c>
      <c r="BO25" t="s">
        <v>7177</v>
      </c>
      <c r="BQ25" t="s">
        <v>9325</v>
      </c>
      <c r="BU25" t="s">
        <v>3994</v>
      </c>
      <c r="BW25" t="s">
        <v>7081</v>
      </c>
      <c r="CE25" t="s">
        <v>7041</v>
      </c>
      <c r="CH25" t="s">
        <v>6676</v>
      </c>
      <c r="CI25" t="s">
        <v>2096</v>
      </c>
      <c r="CT25" t="s">
        <v>6933</v>
      </c>
      <c r="CU25" t="s">
        <v>6878</v>
      </c>
      <c r="CX25" t="s">
        <v>6847</v>
      </c>
      <c r="CZ25" t="s">
        <v>3664</v>
      </c>
      <c r="DA25" t="s">
        <v>6810</v>
      </c>
      <c r="DF25" t="s">
        <v>6742</v>
      </c>
      <c r="DH25" t="s">
        <v>6698</v>
      </c>
      <c r="DM25" t="s">
        <v>6662</v>
      </c>
      <c r="DN25" t="s">
        <v>6611</v>
      </c>
      <c r="DZ25" t="s">
        <v>6515</v>
      </c>
      <c r="EA25" t="s">
        <v>3324</v>
      </c>
      <c r="ED25" t="s">
        <v>6435</v>
      </c>
      <c r="EI25" t="s">
        <v>6358</v>
      </c>
      <c r="EL25" t="s">
        <v>6336</v>
      </c>
      <c r="EP25" t="s">
        <v>6315</v>
      </c>
      <c r="EQ25" t="s">
        <v>6218</v>
      </c>
      <c r="EU25" t="s">
        <v>6145</v>
      </c>
      <c r="EY25" t="s">
        <v>6107</v>
      </c>
      <c r="FM25" t="s">
        <v>4903</v>
      </c>
      <c r="FP25" t="s">
        <v>6021</v>
      </c>
      <c r="FV25" t="s">
        <v>5971</v>
      </c>
      <c r="GE25" t="s">
        <v>5901</v>
      </c>
      <c r="GG25" t="s">
        <v>5877</v>
      </c>
      <c r="GO25" t="s">
        <v>5796</v>
      </c>
      <c r="GP25" t="s">
        <v>5768</v>
      </c>
      <c r="GY25" t="s">
        <v>5030</v>
      </c>
      <c r="HB25" t="s">
        <v>5725</v>
      </c>
      <c r="HC25" t="s">
        <v>4796</v>
      </c>
      <c r="HF25" t="s">
        <v>4343</v>
      </c>
      <c r="HM25" t="s">
        <v>2529</v>
      </c>
      <c r="HV25" t="s">
        <v>2439</v>
      </c>
      <c r="HW25" t="s">
        <v>5409</v>
      </c>
      <c r="HY25" t="s">
        <v>3197</v>
      </c>
      <c r="IA25" t="s">
        <v>2918</v>
      </c>
      <c r="ID25" t="s">
        <v>5320</v>
      </c>
      <c r="IF25" t="s">
        <v>2648</v>
      </c>
      <c r="IM25" t="s">
        <v>5208</v>
      </c>
      <c r="IT25" t="s">
        <v>5089</v>
      </c>
      <c r="IX25" t="s">
        <v>3812</v>
      </c>
      <c r="JJ25" t="s">
        <v>4849</v>
      </c>
      <c r="JZ25" t="s">
        <v>4737</v>
      </c>
      <c r="KC25" t="s">
        <v>1703</v>
      </c>
      <c r="KE25" t="s">
        <v>4684</v>
      </c>
      <c r="KK25" t="s">
        <v>4626</v>
      </c>
      <c r="KN25" t="s">
        <v>4592</v>
      </c>
      <c r="KS25" t="s">
        <v>4524</v>
      </c>
      <c r="KT25" t="s">
        <v>4502</v>
      </c>
      <c r="KU25" t="s">
        <v>3387</v>
      </c>
      <c r="KX25" t="s">
        <v>4413</v>
      </c>
      <c r="LJ25" t="s">
        <v>4305</v>
      </c>
      <c r="LS25" t="s">
        <v>3365</v>
      </c>
      <c r="MB25" t="s">
        <v>4133</v>
      </c>
      <c r="MI25" t="s">
        <v>4085</v>
      </c>
      <c r="MO25" t="s">
        <v>4001</v>
      </c>
      <c r="MS25" t="s">
        <v>3978</v>
      </c>
      <c r="MU25" t="s">
        <v>3930</v>
      </c>
      <c r="MV25" t="s">
        <v>3907</v>
      </c>
      <c r="MX25" t="s">
        <v>3883</v>
      </c>
      <c r="NH25" t="s">
        <v>3782</v>
      </c>
      <c r="NJ25" t="s">
        <v>3761</v>
      </c>
      <c r="ON25" t="s">
        <v>895</v>
      </c>
      <c r="OO25" t="s">
        <v>3516</v>
      </c>
      <c r="OP25" t="s">
        <v>3486</v>
      </c>
      <c r="OX25" t="s">
        <v>2159</v>
      </c>
      <c r="PB25" t="s">
        <v>3352</v>
      </c>
      <c r="PD25" t="s">
        <v>3326</v>
      </c>
      <c r="PM25" t="s">
        <v>3255</v>
      </c>
      <c r="PO25" t="s">
        <v>3201</v>
      </c>
      <c r="PU25" t="s">
        <v>3138</v>
      </c>
      <c r="QC25" t="s">
        <v>2870</v>
      </c>
      <c r="QF25" t="s">
        <v>2782</v>
      </c>
      <c r="QK25" t="s">
        <v>2709</v>
      </c>
      <c r="QN25" t="s">
        <v>2660</v>
      </c>
      <c r="QQ25" t="s">
        <v>1897</v>
      </c>
      <c r="QW25" t="s">
        <v>2558</v>
      </c>
      <c r="QX25" t="s">
        <v>2533</v>
      </c>
      <c r="RB25" t="s">
        <v>2506</v>
      </c>
      <c r="RL25" t="s">
        <v>2407</v>
      </c>
      <c r="RT25" t="s">
        <v>2326</v>
      </c>
      <c r="RV25" t="s">
        <v>2209</v>
      </c>
      <c r="SH25" t="s">
        <v>2125</v>
      </c>
      <c r="TH25" t="s">
        <v>1955</v>
      </c>
    </row>
    <row r="26" spans="2:528" x14ac:dyDescent="0.25">
      <c r="F26" t="s">
        <v>2725</v>
      </c>
      <c r="S26" t="s">
        <v>4019</v>
      </c>
      <c r="V26" t="s">
        <v>7686</v>
      </c>
      <c r="AA26" t="s">
        <v>7631</v>
      </c>
      <c r="AG26" t="s">
        <v>7550</v>
      </c>
      <c r="AH26" t="s">
        <v>7492</v>
      </c>
      <c r="AK26" t="s">
        <v>7458</v>
      </c>
      <c r="AS26" s="56" t="s">
        <v>8944</v>
      </c>
      <c r="AZ26" t="s">
        <v>7299</v>
      </c>
      <c r="BF26" t="s">
        <v>3652</v>
      </c>
      <c r="BO26" t="s">
        <v>3541</v>
      </c>
      <c r="BQ26" t="s">
        <v>6907</v>
      </c>
      <c r="BU26" t="s">
        <v>1491</v>
      </c>
      <c r="BW26" t="s">
        <v>7082</v>
      </c>
      <c r="CE26" t="s">
        <v>2032</v>
      </c>
      <c r="CH26" t="s">
        <v>3133</v>
      </c>
      <c r="CI26" t="s">
        <v>2247</v>
      </c>
      <c r="CT26" t="s">
        <v>5552</v>
      </c>
      <c r="CU26" t="s">
        <v>6879</v>
      </c>
      <c r="CX26" t="s">
        <v>2242</v>
      </c>
      <c r="CZ26" t="s">
        <v>6439</v>
      </c>
      <c r="DF26" t="s">
        <v>6743</v>
      </c>
      <c r="DH26" t="s">
        <v>6699</v>
      </c>
      <c r="DM26" t="s">
        <v>6663</v>
      </c>
      <c r="DN26" t="s">
        <v>6612</v>
      </c>
      <c r="DZ26" t="s">
        <v>6516</v>
      </c>
      <c r="EA26" t="s">
        <v>6492</v>
      </c>
      <c r="ED26" t="s">
        <v>4052</v>
      </c>
      <c r="EI26" t="s">
        <v>6359</v>
      </c>
      <c r="EL26" t="s">
        <v>6337</v>
      </c>
      <c r="EP26" t="s">
        <v>6316</v>
      </c>
      <c r="EQ26" t="s">
        <v>2101</v>
      </c>
      <c r="EU26" t="s">
        <v>6146</v>
      </c>
      <c r="EY26" t="s">
        <v>6108</v>
      </c>
      <c r="FP26" t="s">
        <v>4547</v>
      </c>
      <c r="FV26" t="s">
        <v>5972</v>
      </c>
      <c r="GE26" t="s">
        <v>5902</v>
      </c>
      <c r="GG26" t="s">
        <v>5878</v>
      </c>
      <c r="GO26" t="s">
        <v>5797</v>
      </c>
      <c r="GP26" t="s">
        <v>4085</v>
      </c>
      <c r="GY26" t="s">
        <v>2056</v>
      </c>
      <c r="HB26" t="s">
        <v>5726</v>
      </c>
      <c r="HC26" t="s">
        <v>5618</v>
      </c>
      <c r="HF26" t="s">
        <v>5590</v>
      </c>
      <c r="HM26" t="s">
        <v>5545</v>
      </c>
      <c r="HV26" t="s">
        <v>3723</v>
      </c>
      <c r="HW26" t="s">
        <v>4748</v>
      </c>
      <c r="HY26" t="s">
        <v>5355</v>
      </c>
      <c r="IA26" t="s">
        <v>946</v>
      </c>
      <c r="ID26" t="s">
        <v>2061</v>
      </c>
      <c r="IF26" t="s">
        <v>1142</v>
      </c>
      <c r="IM26" t="s">
        <v>5209</v>
      </c>
      <c r="IT26" t="s">
        <v>5090</v>
      </c>
      <c r="IX26" t="s">
        <v>4955</v>
      </c>
      <c r="JJ26" t="s">
        <v>4850</v>
      </c>
      <c r="JZ26" t="s">
        <v>4738</v>
      </c>
      <c r="KE26" t="s">
        <v>963</v>
      </c>
      <c r="KK26" t="s">
        <v>4627</v>
      </c>
      <c r="KS26" t="s">
        <v>4525</v>
      </c>
      <c r="KT26" t="s">
        <v>4503</v>
      </c>
      <c r="KU26" t="s">
        <v>1280</v>
      </c>
      <c r="KX26" t="s">
        <v>4414</v>
      </c>
      <c r="LJ26" t="s">
        <v>4306</v>
      </c>
      <c r="LS26" t="s">
        <v>4234</v>
      </c>
      <c r="MB26" t="s">
        <v>4134</v>
      </c>
      <c r="MI26" t="s">
        <v>4086</v>
      </c>
      <c r="MO26" t="s">
        <v>4002</v>
      </c>
      <c r="MS26" t="s">
        <v>3979</v>
      </c>
      <c r="MU26" t="s">
        <v>3157</v>
      </c>
      <c r="MV26" t="s">
        <v>2162</v>
      </c>
      <c r="MX26" t="s">
        <v>3884</v>
      </c>
      <c r="NH26" t="s">
        <v>2807</v>
      </c>
      <c r="NJ26" t="s">
        <v>3762</v>
      </c>
      <c r="ON26" t="s">
        <v>1136</v>
      </c>
      <c r="OO26" t="s">
        <v>3517</v>
      </c>
      <c r="OP26" t="s">
        <v>3487</v>
      </c>
      <c r="OX26" t="s">
        <v>3438</v>
      </c>
      <c r="PB26" t="s">
        <v>3353</v>
      </c>
      <c r="PD26" t="s">
        <v>3327</v>
      </c>
      <c r="PM26" t="s">
        <v>3256</v>
      </c>
      <c r="PO26" t="s">
        <v>3202</v>
      </c>
      <c r="PU26" t="s">
        <v>3139</v>
      </c>
      <c r="QC26" t="s">
        <v>1701</v>
      </c>
      <c r="QF26" t="s">
        <v>2783</v>
      </c>
      <c r="QK26" t="s">
        <v>2710</v>
      </c>
      <c r="QN26" t="s">
        <v>2661</v>
      </c>
      <c r="QQ26" t="s">
        <v>2602</v>
      </c>
      <c r="QW26" t="s">
        <v>2559</v>
      </c>
      <c r="QX26" t="s">
        <v>2534</v>
      </c>
      <c r="RB26" t="s">
        <v>2507</v>
      </c>
      <c r="RL26" t="s">
        <v>2408</v>
      </c>
      <c r="RT26" t="s">
        <v>1149</v>
      </c>
      <c r="RV26" t="s">
        <v>2210</v>
      </c>
      <c r="SH26" t="s">
        <v>2126</v>
      </c>
      <c r="TH26" t="s">
        <v>1956</v>
      </c>
    </row>
    <row r="27" spans="2:528" x14ac:dyDescent="0.25">
      <c r="F27" t="s">
        <v>7793</v>
      </c>
      <c r="S27" t="s">
        <v>2326</v>
      </c>
      <c r="V27" t="s">
        <v>4507</v>
      </c>
      <c r="AA27" t="s">
        <v>7632</v>
      </c>
      <c r="AG27" t="s">
        <v>4374</v>
      </c>
      <c r="AH27" t="s">
        <v>7493</v>
      </c>
      <c r="AK27" t="s">
        <v>4266</v>
      </c>
      <c r="AS27" s="56" t="s">
        <v>7418</v>
      </c>
      <c r="AZ27" t="s">
        <v>7300</v>
      </c>
      <c r="BF27" t="s">
        <v>7245</v>
      </c>
      <c r="BO27" t="s">
        <v>7178</v>
      </c>
      <c r="BQ27" t="s">
        <v>6908</v>
      </c>
      <c r="BU27" t="s">
        <v>7112</v>
      </c>
      <c r="BW27" t="s">
        <v>7083</v>
      </c>
      <c r="CE27" t="s">
        <v>7042</v>
      </c>
      <c r="CH27" t="s">
        <v>2725</v>
      </c>
      <c r="CI27" t="s">
        <v>3217</v>
      </c>
      <c r="CT27" t="s">
        <v>1573</v>
      </c>
      <c r="CU27" t="s">
        <v>6880</v>
      </c>
      <c r="CX27" t="s">
        <v>2247</v>
      </c>
      <c r="CZ27" t="s">
        <v>6826</v>
      </c>
      <c r="DF27" t="s">
        <v>6744</v>
      </c>
      <c r="DH27" t="s">
        <v>6700</v>
      </c>
      <c r="DM27" t="s">
        <v>6664</v>
      </c>
      <c r="DN27" t="s">
        <v>6613</v>
      </c>
      <c r="DZ27" t="s">
        <v>6517</v>
      </c>
      <c r="EA27" t="s">
        <v>6493</v>
      </c>
      <c r="ED27" t="s">
        <v>2132</v>
      </c>
      <c r="EI27" t="s">
        <v>6321</v>
      </c>
      <c r="EP27" t="s">
        <v>6317</v>
      </c>
      <c r="EQ27" t="s">
        <v>3312</v>
      </c>
      <c r="EU27" t="s">
        <v>6147</v>
      </c>
      <c r="EY27" t="s">
        <v>4755</v>
      </c>
      <c r="FP27" t="s">
        <v>6022</v>
      </c>
      <c r="FV27" t="s">
        <v>3971</v>
      </c>
      <c r="GE27" t="s">
        <v>3133</v>
      </c>
      <c r="GG27" t="s">
        <v>5879</v>
      </c>
      <c r="GO27" t="s">
        <v>5798</v>
      </c>
      <c r="GP27" t="s">
        <v>4019</v>
      </c>
      <c r="GY27" t="s">
        <v>2072</v>
      </c>
      <c r="HB27" t="s">
        <v>5727</v>
      </c>
      <c r="HC27" t="s">
        <v>5619</v>
      </c>
      <c r="HF27" t="s">
        <v>5591</v>
      </c>
      <c r="HM27" t="s">
        <v>2288</v>
      </c>
      <c r="HV27" t="s">
        <v>887</v>
      </c>
      <c r="HW27" t="s">
        <v>2673</v>
      </c>
      <c r="HY27" t="s">
        <v>5356</v>
      </c>
      <c r="IA27" t="s">
        <v>2919</v>
      </c>
      <c r="ID27" t="s">
        <v>5321</v>
      </c>
      <c r="IF27" t="s">
        <v>5272</v>
      </c>
      <c r="IM27" t="s">
        <v>5210</v>
      </c>
      <c r="IT27" t="s">
        <v>3192</v>
      </c>
      <c r="IX27" t="s">
        <v>4956</v>
      </c>
      <c r="JJ27" t="s">
        <v>4851</v>
      </c>
      <c r="JZ27" t="s">
        <v>1775</v>
      </c>
      <c r="KE27" t="s">
        <v>2007</v>
      </c>
      <c r="KK27" t="s">
        <v>4570</v>
      </c>
      <c r="KS27" t="s">
        <v>4526</v>
      </c>
      <c r="KT27" t="s">
        <v>4504</v>
      </c>
      <c r="KU27" t="s">
        <v>4482</v>
      </c>
      <c r="KX27" t="s">
        <v>2973</v>
      </c>
      <c r="LJ27" t="s">
        <v>4307</v>
      </c>
      <c r="LS27" t="s">
        <v>4235</v>
      </c>
      <c r="MB27" t="s">
        <v>4135</v>
      </c>
      <c r="MI27" t="s">
        <v>2525</v>
      </c>
      <c r="MO27" t="s">
        <v>4003</v>
      </c>
      <c r="MS27" t="s">
        <v>3980</v>
      </c>
      <c r="MU27" t="s">
        <v>3931</v>
      </c>
      <c r="MV27" t="s">
        <v>3908</v>
      </c>
      <c r="MX27" t="s">
        <v>2820</v>
      </c>
      <c r="NH27" t="s">
        <v>3783</v>
      </c>
      <c r="NJ27" t="s">
        <v>3763</v>
      </c>
      <c r="ON27" t="s">
        <v>3537</v>
      </c>
      <c r="OO27" t="s">
        <v>3518</v>
      </c>
      <c r="OP27" t="s">
        <v>1343</v>
      </c>
      <c r="OX27" t="s">
        <v>3439</v>
      </c>
      <c r="PB27" t="s">
        <v>3354</v>
      </c>
      <c r="PD27" t="s">
        <v>3328</v>
      </c>
      <c r="PM27" t="s">
        <v>3257</v>
      </c>
      <c r="PO27" t="s">
        <v>2398</v>
      </c>
      <c r="QC27" t="s">
        <v>2871</v>
      </c>
      <c r="QF27" t="s">
        <v>2784</v>
      </c>
      <c r="QK27" t="s">
        <v>2711</v>
      </c>
      <c r="QN27" t="s">
        <v>2662</v>
      </c>
      <c r="QQ27" t="s">
        <v>2603</v>
      </c>
      <c r="QW27" t="s">
        <v>2560</v>
      </c>
      <c r="QX27" t="s">
        <v>2292</v>
      </c>
      <c r="RB27" t="s">
        <v>2508</v>
      </c>
      <c r="RL27" t="s">
        <v>2409</v>
      </c>
      <c r="RT27" t="s">
        <v>2327</v>
      </c>
      <c r="RV27" t="s">
        <v>2211</v>
      </c>
      <c r="SH27" t="s">
        <v>2127</v>
      </c>
      <c r="TH27" t="s">
        <v>1957</v>
      </c>
    </row>
    <row r="28" spans="2:528" x14ac:dyDescent="0.25">
      <c r="F28" t="s">
        <v>4102</v>
      </c>
      <c r="S28" t="s">
        <v>7725</v>
      </c>
      <c r="V28" t="s">
        <v>4281</v>
      </c>
      <c r="AA28" t="s">
        <v>4971</v>
      </c>
      <c r="AG28" t="s">
        <v>7551</v>
      </c>
      <c r="AH28" t="s">
        <v>7494</v>
      </c>
      <c r="AK28" t="s">
        <v>7459</v>
      </c>
      <c r="AS28" s="56" t="s">
        <v>3687</v>
      </c>
      <c r="AZ28" t="s">
        <v>7301</v>
      </c>
      <c r="BF28" t="s">
        <v>7246</v>
      </c>
      <c r="BO28" t="s">
        <v>7179</v>
      </c>
      <c r="BQ28" t="s">
        <v>6909</v>
      </c>
      <c r="BU28" t="s">
        <v>7113</v>
      </c>
      <c r="BW28" t="s">
        <v>7084</v>
      </c>
      <c r="CE28" t="s">
        <v>7043</v>
      </c>
      <c r="CH28" t="s">
        <v>7014</v>
      </c>
      <c r="CI28" t="s">
        <v>4752</v>
      </c>
      <c r="CT28" t="s">
        <v>6934</v>
      </c>
      <c r="CU28" t="s">
        <v>6881</v>
      </c>
      <c r="CX28" t="s">
        <v>2673</v>
      </c>
      <c r="CZ28" t="s">
        <v>6827</v>
      </c>
      <c r="DF28" t="s">
        <v>1493</v>
      </c>
      <c r="DH28" t="s">
        <v>6701</v>
      </c>
      <c r="DM28" t="s">
        <v>6665</v>
      </c>
      <c r="DN28" t="s">
        <v>6614</v>
      </c>
      <c r="DZ28" t="s">
        <v>6482</v>
      </c>
      <c r="EA28" t="s">
        <v>6494</v>
      </c>
      <c r="ED28" t="s">
        <v>2406</v>
      </c>
      <c r="EI28" t="s">
        <v>6360</v>
      </c>
      <c r="EP28" t="s">
        <v>6318</v>
      </c>
      <c r="EQ28" t="s">
        <v>5509</v>
      </c>
      <c r="EU28" t="s">
        <v>1000</v>
      </c>
      <c r="EY28" t="s">
        <v>6109</v>
      </c>
      <c r="FV28" t="s">
        <v>5661</v>
      </c>
      <c r="GE28" t="s">
        <v>5903</v>
      </c>
      <c r="GO28" t="s">
        <v>2851</v>
      </c>
      <c r="GP28" t="s">
        <v>5769</v>
      </c>
      <c r="GY28" t="s">
        <v>5744</v>
      </c>
      <c r="HB28" t="s">
        <v>5728</v>
      </c>
      <c r="HC28" t="s">
        <v>5620</v>
      </c>
      <c r="HF28" t="s">
        <v>5592</v>
      </c>
      <c r="HM28" t="s">
        <v>3291</v>
      </c>
      <c r="HV28" t="s">
        <v>5438</v>
      </c>
      <c r="HW28" t="s">
        <v>5410</v>
      </c>
      <c r="HY28" t="s">
        <v>5357</v>
      </c>
      <c r="IA28" t="s">
        <v>2920</v>
      </c>
      <c r="ID28" t="s">
        <v>5322</v>
      </c>
      <c r="IF28" t="s">
        <v>4870</v>
      </c>
      <c r="IM28" t="s">
        <v>5211</v>
      </c>
      <c r="IT28" t="s">
        <v>5091</v>
      </c>
      <c r="IX28" t="s">
        <v>4957</v>
      </c>
      <c r="JJ28" t="s">
        <v>4852</v>
      </c>
      <c r="JZ28" t="s">
        <v>2591</v>
      </c>
      <c r="KE28" t="s">
        <v>4685</v>
      </c>
      <c r="KK28" t="s">
        <v>4628</v>
      </c>
      <c r="KS28" t="s">
        <v>4527</v>
      </c>
      <c r="KT28" t="s">
        <v>4505</v>
      </c>
      <c r="KU28" t="s">
        <v>4483</v>
      </c>
      <c r="KX28" t="s">
        <v>4415</v>
      </c>
      <c r="LJ28" t="s">
        <v>2703</v>
      </c>
      <c r="LS28" t="s">
        <v>4236</v>
      </c>
      <c r="MB28" t="s">
        <v>4136</v>
      </c>
      <c r="MI28" t="s">
        <v>2255</v>
      </c>
      <c r="MO28" t="s">
        <v>4004</v>
      </c>
      <c r="MS28" t="s">
        <v>3981</v>
      </c>
      <c r="MU28" t="s">
        <v>3932</v>
      </c>
      <c r="MV28" t="s">
        <v>1377</v>
      </c>
      <c r="MX28" t="s">
        <v>3885</v>
      </c>
      <c r="NH28" t="s">
        <v>3784</v>
      </c>
      <c r="ON28" t="s">
        <v>3538</v>
      </c>
      <c r="OO28" t="s">
        <v>2052</v>
      </c>
      <c r="OP28" t="s">
        <v>3133</v>
      </c>
      <c r="OX28" t="s">
        <v>3440</v>
      </c>
      <c r="PB28" t="s">
        <v>3355</v>
      </c>
      <c r="PD28" t="s">
        <v>3329</v>
      </c>
      <c r="PM28" t="s">
        <v>3258</v>
      </c>
      <c r="PO28" t="s">
        <v>3203</v>
      </c>
      <c r="QC28" t="s">
        <v>2872</v>
      </c>
      <c r="QF28" t="s">
        <v>2785</v>
      </c>
      <c r="QK28" t="s">
        <v>2712</v>
      </c>
      <c r="QN28" t="s">
        <v>2663</v>
      </c>
      <c r="QQ28" t="s">
        <v>2604</v>
      </c>
      <c r="QW28" t="s">
        <v>2561</v>
      </c>
      <c r="QX28" t="s">
        <v>2535</v>
      </c>
      <c r="RL28" t="s">
        <v>2410</v>
      </c>
      <c r="RT28" t="s">
        <v>2328</v>
      </c>
      <c r="RV28" t="s">
        <v>2212</v>
      </c>
      <c r="SH28" t="s">
        <v>2128</v>
      </c>
      <c r="TH28" t="s">
        <v>1958</v>
      </c>
    </row>
    <row r="29" spans="2:528" x14ac:dyDescent="0.25">
      <c r="F29" t="s">
        <v>3009</v>
      </c>
      <c r="S29" t="s">
        <v>7726</v>
      </c>
      <c r="V29" t="s">
        <v>7687</v>
      </c>
      <c r="AA29" t="s">
        <v>7633</v>
      </c>
      <c r="AG29" t="s">
        <v>7552</v>
      </c>
      <c r="AH29" t="s">
        <v>4935</v>
      </c>
      <c r="AK29" t="s">
        <v>1944</v>
      </c>
      <c r="AS29" s="56" t="s">
        <v>7419</v>
      </c>
      <c r="AZ29" t="s">
        <v>7302</v>
      </c>
      <c r="BF29" t="s">
        <v>3518</v>
      </c>
      <c r="BO29" t="s">
        <v>7180</v>
      </c>
      <c r="BQ29" t="s">
        <v>6910</v>
      </c>
      <c r="BU29" t="s">
        <v>7114</v>
      </c>
      <c r="BW29" t="s">
        <v>2062</v>
      </c>
      <c r="CE29" t="s">
        <v>4096</v>
      </c>
      <c r="CH29" t="s">
        <v>7015</v>
      </c>
      <c r="CI29" t="s">
        <v>2673</v>
      </c>
      <c r="CT29" t="s">
        <v>4434</v>
      </c>
      <c r="CU29" t="s">
        <v>6882</v>
      </c>
      <c r="CX29" t="s">
        <v>6848</v>
      </c>
      <c r="CZ29" t="s">
        <v>6665</v>
      </c>
      <c r="DF29" t="s">
        <v>2046</v>
      </c>
      <c r="DH29" t="s">
        <v>6702</v>
      </c>
      <c r="DM29" t="s">
        <v>1149</v>
      </c>
      <c r="DN29" t="s">
        <v>6615</v>
      </c>
      <c r="DZ29" t="s">
        <v>6518</v>
      </c>
      <c r="EA29" t="s">
        <v>2338</v>
      </c>
      <c r="ED29" t="s">
        <v>4870</v>
      </c>
      <c r="EI29" t="s">
        <v>6361</v>
      </c>
      <c r="EQ29" t="s">
        <v>6219</v>
      </c>
      <c r="EU29" t="s">
        <v>6148</v>
      </c>
      <c r="EY29" t="s">
        <v>6110</v>
      </c>
      <c r="FV29" t="s">
        <v>5669</v>
      </c>
      <c r="GE29" t="s">
        <v>5904</v>
      </c>
      <c r="GO29" t="s">
        <v>5799</v>
      </c>
      <c r="GP29" t="s">
        <v>5770</v>
      </c>
      <c r="HB29" t="s">
        <v>5729</v>
      </c>
      <c r="HC29" t="s">
        <v>5621</v>
      </c>
      <c r="HV29" t="s">
        <v>5439</v>
      </c>
      <c r="HW29" t="s">
        <v>5411</v>
      </c>
      <c r="HY29" t="s">
        <v>5358</v>
      </c>
      <c r="IA29" t="s">
        <v>2921</v>
      </c>
      <c r="ID29" t="s">
        <v>5323</v>
      </c>
      <c r="IF29" t="s">
        <v>5053</v>
      </c>
      <c r="IM29" t="s">
        <v>5212</v>
      </c>
      <c r="IT29" t="s">
        <v>5092</v>
      </c>
      <c r="IX29" t="s">
        <v>4958</v>
      </c>
      <c r="JJ29" t="s">
        <v>4853</v>
      </c>
      <c r="JZ29" t="s">
        <v>2494</v>
      </c>
      <c r="KE29" t="s">
        <v>4686</v>
      </c>
      <c r="KK29" t="s">
        <v>4629</v>
      </c>
      <c r="KS29" t="s">
        <v>4528</v>
      </c>
      <c r="KT29" t="s">
        <v>4506</v>
      </c>
      <c r="KU29" t="s">
        <v>2153</v>
      </c>
      <c r="KX29" t="s">
        <v>4416</v>
      </c>
      <c r="LJ29" t="s">
        <v>4308</v>
      </c>
      <c r="LS29" t="s">
        <v>3971</v>
      </c>
      <c r="MB29" t="s">
        <v>3016</v>
      </c>
      <c r="MI29" t="s">
        <v>2673</v>
      </c>
      <c r="MO29" t="s">
        <v>4005</v>
      </c>
      <c r="MS29" t="s">
        <v>1617</v>
      </c>
      <c r="MU29" t="s">
        <v>3933</v>
      </c>
      <c r="MV29" t="s">
        <v>3909</v>
      </c>
      <c r="MX29" t="s">
        <v>3886</v>
      </c>
      <c r="NH29" t="s">
        <v>3785</v>
      </c>
      <c r="ON29" t="s">
        <v>2705</v>
      </c>
      <c r="OO29" t="s">
        <v>3519</v>
      </c>
      <c r="OP29" t="s">
        <v>3488</v>
      </c>
      <c r="OX29" t="s">
        <v>1582</v>
      </c>
      <c r="PB29" t="s">
        <v>3356</v>
      </c>
      <c r="PD29" t="s">
        <v>3330</v>
      </c>
      <c r="PM29" t="s">
        <v>3259</v>
      </c>
      <c r="PO29" t="s">
        <v>3204</v>
      </c>
      <c r="QC29" t="s">
        <v>2873</v>
      </c>
      <c r="QF29" t="s">
        <v>887</v>
      </c>
      <c r="QK29" t="s">
        <v>2713</v>
      </c>
      <c r="QN29" t="s">
        <v>2664</v>
      </c>
      <c r="QQ29" t="s">
        <v>2004</v>
      </c>
      <c r="QW29" t="s">
        <v>2562</v>
      </c>
      <c r="QX29" t="s">
        <v>2536</v>
      </c>
      <c r="RL29" t="s">
        <v>2052</v>
      </c>
      <c r="RT29" t="s">
        <v>2329</v>
      </c>
      <c r="RV29" t="s">
        <v>2213</v>
      </c>
      <c r="SH29" t="s">
        <v>2129</v>
      </c>
      <c r="TH29" t="s">
        <v>1959</v>
      </c>
    </row>
    <row r="30" spans="2:528" x14ac:dyDescent="0.25">
      <c r="F30" t="s">
        <v>3016</v>
      </c>
      <c r="S30" t="s">
        <v>2007</v>
      </c>
      <c r="V30" t="s">
        <v>6769</v>
      </c>
      <c r="AA30" t="s">
        <v>7634</v>
      </c>
      <c r="AG30" t="s">
        <v>4519</v>
      </c>
      <c r="AH30" t="s">
        <v>7495</v>
      </c>
      <c r="AK30" t="s">
        <v>6311</v>
      </c>
      <c r="AZ30" t="s">
        <v>7303</v>
      </c>
      <c r="BF30" t="s">
        <v>7247</v>
      </c>
      <c r="BO30" t="s">
        <v>7181</v>
      </c>
      <c r="BQ30" t="s">
        <v>6911</v>
      </c>
      <c r="BU30" t="s">
        <v>7115</v>
      </c>
      <c r="BW30" t="s">
        <v>6416</v>
      </c>
      <c r="CH30" t="s">
        <v>7016</v>
      </c>
      <c r="CI30" t="s">
        <v>2083</v>
      </c>
      <c r="CT30" t="s">
        <v>6935</v>
      </c>
      <c r="CU30" t="s">
        <v>6883</v>
      </c>
      <c r="CX30" t="s">
        <v>6849</v>
      </c>
      <c r="CZ30" t="s">
        <v>6828</v>
      </c>
      <c r="DF30" t="s">
        <v>6745</v>
      </c>
      <c r="DH30" t="s">
        <v>6703</v>
      </c>
      <c r="DM30" t="s">
        <v>1972</v>
      </c>
      <c r="DN30" t="s">
        <v>6616</v>
      </c>
      <c r="DZ30" t="s">
        <v>6519</v>
      </c>
      <c r="EA30" t="s">
        <v>6495</v>
      </c>
      <c r="ED30" t="s">
        <v>6436</v>
      </c>
      <c r="EI30" t="s">
        <v>6362</v>
      </c>
      <c r="EQ30" t="s">
        <v>4158</v>
      </c>
      <c r="EU30" t="s">
        <v>6149</v>
      </c>
      <c r="EY30" t="s">
        <v>6111</v>
      </c>
      <c r="FV30" t="s">
        <v>5973</v>
      </c>
      <c r="GE30" t="s">
        <v>5905</v>
      </c>
      <c r="GO30" t="s">
        <v>5800</v>
      </c>
      <c r="GP30" t="s">
        <v>5771</v>
      </c>
      <c r="HB30" t="s">
        <v>770</v>
      </c>
      <c r="HC30" t="s">
        <v>5622</v>
      </c>
      <c r="HV30" t="s">
        <v>5440</v>
      </c>
      <c r="HW30" t="s">
        <v>1045</v>
      </c>
      <c r="HY30" t="s">
        <v>2401</v>
      </c>
      <c r="IA30" t="s">
        <v>2922</v>
      </c>
      <c r="ID30" t="s">
        <v>5324</v>
      </c>
      <c r="IF30" t="s">
        <v>5273</v>
      </c>
      <c r="IM30" t="s">
        <v>5213</v>
      </c>
      <c r="IT30" t="s">
        <v>2439</v>
      </c>
      <c r="IX30" t="s">
        <v>4959</v>
      </c>
      <c r="JJ30" t="s">
        <v>4076</v>
      </c>
      <c r="JZ30" t="s">
        <v>4739</v>
      </c>
      <c r="KE30" t="s">
        <v>4687</v>
      </c>
      <c r="KK30" t="s">
        <v>4630</v>
      </c>
      <c r="KS30" t="s">
        <v>4529</v>
      </c>
      <c r="KT30" t="s">
        <v>4507</v>
      </c>
      <c r="KX30" t="s">
        <v>4417</v>
      </c>
      <c r="LJ30" t="s">
        <v>4309</v>
      </c>
      <c r="LS30" t="s">
        <v>4135</v>
      </c>
      <c r="MB30" t="s">
        <v>3515</v>
      </c>
      <c r="MI30" t="s">
        <v>4087</v>
      </c>
      <c r="MO30" t="s">
        <v>4006</v>
      </c>
      <c r="MU30" t="s">
        <v>3934</v>
      </c>
      <c r="MV30" t="s">
        <v>3910</v>
      </c>
      <c r="MX30" t="s">
        <v>3887</v>
      </c>
      <c r="NH30" t="s">
        <v>3786</v>
      </c>
      <c r="ON30" t="s">
        <v>2969</v>
      </c>
      <c r="OO30" t="s">
        <v>3520</v>
      </c>
      <c r="OP30" t="s">
        <v>3489</v>
      </c>
      <c r="OX30" t="s">
        <v>3441</v>
      </c>
      <c r="PB30" t="s">
        <v>3357</v>
      </c>
      <c r="PD30" t="s">
        <v>3331</v>
      </c>
      <c r="PM30" t="s">
        <v>3260</v>
      </c>
      <c r="PO30" t="s">
        <v>3205</v>
      </c>
      <c r="QC30" t="s">
        <v>2874</v>
      </c>
      <c r="QF30" t="s">
        <v>2786</v>
      </c>
      <c r="QK30" t="s">
        <v>2714</v>
      </c>
      <c r="QN30" t="s">
        <v>2665</v>
      </c>
      <c r="QQ30" t="s">
        <v>2605</v>
      </c>
      <c r="QW30" t="s">
        <v>2563</v>
      </c>
      <c r="QX30" t="s">
        <v>2537</v>
      </c>
      <c r="RL30" t="s">
        <v>2411</v>
      </c>
      <c r="RT30" t="s">
        <v>2330</v>
      </c>
      <c r="RV30" t="s">
        <v>2214</v>
      </c>
    </row>
    <row r="31" spans="2:528" x14ac:dyDescent="0.25">
      <c r="F31" t="s">
        <v>5922</v>
      </c>
      <c r="S31" t="s">
        <v>7727</v>
      </c>
      <c r="AA31" t="s">
        <v>7635</v>
      </c>
      <c r="AG31" t="s">
        <v>7553</v>
      </c>
      <c r="AH31" t="s">
        <v>2421</v>
      </c>
      <c r="AK31" t="s">
        <v>7460</v>
      </c>
      <c r="AZ31" t="s">
        <v>7304</v>
      </c>
      <c r="BF31" t="s">
        <v>7248</v>
      </c>
      <c r="BO31" t="s">
        <v>6699</v>
      </c>
      <c r="BQ31" t="s">
        <v>2269</v>
      </c>
      <c r="BU31" t="s">
        <v>7116</v>
      </c>
      <c r="BW31" t="s">
        <v>7085</v>
      </c>
      <c r="CH31" t="s">
        <v>7017</v>
      </c>
      <c r="CI31" t="s">
        <v>6994</v>
      </c>
      <c r="CT31" t="s">
        <v>6936</v>
      </c>
      <c r="CU31" s="15" t="s">
        <v>6888</v>
      </c>
      <c r="CX31" t="s">
        <v>6061</v>
      </c>
      <c r="CZ31" t="s">
        <v>6829</v>
      </c>
      <c r="DF31" t="s">
        <v>1897</v>
      </c>
      <c r="DH31" t="s">
        <v>4110</v>
      </c>
      <c r="DM31" t="s">
        <v>6666</v>
      </c>
      <c r="DN31" t="s">
        <v>6617</v>
      </c>
      <c r="DZ31" t="s">
        <v>6520</v>
      </c>
      <c r="EA31" t="s">
        <v>6496</v>
      </c>
      <c r="ED31" t="s">
        <v>6437</v>
      </c>
      <c r="EI31" t="s">
        <v>6363</v>
      </c>
      <c r="EQ31" t="s">
        <v>3503</v>
      </c>
      <c r="EU31" t="s">
        <v>6150</v>
      </c>
      <c r="EY31" t="s">
        <v>6112</v>
      </c>
      <c r="FV31" t="s">
        <v>5974</v>
      </c>
      <c r="GE31" t="s">
        <v>5906</v>
      </c>
      <c r="GO31" t="s">
        <v>4196</v>
      </c>
      <c r="GP31" t="s">
        <v>2687</v>
      </c>
      <c r="HC31" t="s">
        <v>5623</v>
      </c>
      <c r="HV31" t="s">
        <v>5441</v>
      </c>
      <c r="HW31" t="s">
        <v>5412</v>
      </c>
      <c r="HY31" t="s">
        <v>5359</v>
      </c>
      <c r="IA31" t="s">
        <v>2923</v>
      </c>
      <c r="ID31" t="s">
        <v>3976</v>
      </c>
      <c r="IF31" t="s">
        <v>2497</v>
      </c>
      <c r="IM31" t="s">
        <v>5214</v>
      </c>
      <c r="IT31" t="s">
        <v>5093</v>
      </c>
      <c r="IX31" t="s">
        <v>4960</v>
      </c>
      <c r="JJ31" t="s">
        <v>2941</v>
      </c>
      <c r="JZ31" t="s">
        <v>4740</v>
      </c>
      <c r="KE31" t="s">
        <v>4688</v>
      </c>
      <c r="KK31" t="s">
        <v>2520</v>
      </c>
      <c r="KS31" t="s">
        <v>1997</v>
      </c>
      <c r="KT31" t="s">
        <v>4508</v>
      </c>
      <c r="KX31" t="s">
        <v>4418</v>
      </c>
      <c r="LJ31" t="s">
        <v>3623</v>
      </c>
      <c r="LS31" t="s">
        <v>4237</v>
      </c>
      <c r="MB31" t="s">
        <v>4137</v>
      </c>
      <c r="MI31" t="s">
        <v>3905</v>
      </c>
      <c r="MO31" t="s">
        <v>4007</v>
      </c>
      <c r="MU31" t="s">
        <v>3935</v>
      </c>
      <c r="MV31" t="s">
        <v>3911</v>
      </c>
      <c r="MX31" t="s">
        <v>3888</v>
      </c>
      <c r="NH31" t="s">
        <v>3787</v>
      </c>
      <c r="ON31" t="s">
        <v>3539</v>
      </c>
      <c r="OO31" t="s">
        <v>3521</v>
      </c>
      <c r="OP31" t="s">
        <v>3490</v>
      </c>
      <c r="OX31" t="s">
        <v>3442</v>
      </c>
      <c r="PB31" t="s">
        <v>3358</v>
      </c>
      <c r="PD31" t="s">
        <v>3332</v>
      </c>
      <c r="PM31" t="s">
        <v>3261</v>
      </c>
      <c r="PO31" t="s">
        <v>3206</v>
      </c>
      <c r="QC31" t="s">
        <v>2875</v>
      </c>
      <c r="QF31" t="s">
        <v>2787</v>
      </c>
      <c r="QK31" t="s">
        <v>2715</v>
      </c>
      <c r="QN31" t="s">
        <v>2666</v>
      </c>
      <c r="QQ31" t="s">
        <v>2525</v>
      </c>
      <c r="QW31" t="s">
        <v>2564</v>
      </c>
      <c r="RL31" t="s">
        <v>2412</v>
      </c>
      <c r="RT31" t="s">
        <v>2331</v>
      </c>
      <c r="RV31" t="s">
        <v>2151</v>
      </c>
    </row>
    <row r="32" spans="2:528" x14ac:dyDescent="0.25">
      <c r="F32" t="s">
        <v>7794</v>
      </c>
      <c r="S32" t="s">
        <v>7728</v>
      </c>
      <c r="AA32" t="s">
        <v>7636</v>
      </c>
      <c r="AG32" t="s">
        <v>7554</v>
      </c>
      <c r="AH32" t="s">
        <v>4703</v>
      </c>
      <c r="AK32" t="s">
        <v>2446</v>
      </c>
      <c r="AZ32" t="s">
        <v>7305</v>
      </c>
      <c r="BF32" t="s">
        <v>7249</v>
      </c>
      <c r="BO32" t="s">
        <v>7182</v>
      </c>
      <c r="BQ32" s="12" t="s">
        <v>10319</v>
      </c>
      <c r="BU32" t="s">
        <v>7117</v>
      </c>
      <c r="BW32" t="s">
        <v>7086</v>
      </c>
      <c r="CH32" t="s">
        <v>7018</v>
      </c>
      <c r="CI32" t="s">
        <v>6995</v>
      </c>
      <c r="CT32" t="s">
        <v>6937</v>
      </c>
      <c r="CU32" t="s">
        <v>6884</v>
      </c>
      <c r="CX32" t="s">
        <v>2885</v>
      </c>
      <c r="CZ32" t="s">
        <v>6830</v>
      </c>
      <c r="DF32" t="s">
        <v>3795</v>
      </c>
      <c r="DH32" t="s">
        <v>6704</v>
      </c>
      <c r="DM32" t="s">
        <v>2013</v>
      </c>
      <c r="DN32" t="s">
        <v>6618</v>
      </c>
      <c r="DZ32" t="s">
        <v>6521</v>
      </c>
      <c r="EA32" t="s">
        <v>6497</v>
      </c>
      <c r="ED32" t="s">
        <v>6438</v>
      </c>
      <c r="EI32" t="s">
        <v>6364</v>
      </c>
      <c r="EQ32" t="s">
        <v>6220</v>
      </c>
      <c r="EU32" t="s">
        <v>6151</v>
      </c>
      <c r="EY32" t="s">
        <v>6113</v>
      </c>
      <c r="FV32" t="s">
        <v>5975</v>
      </c>
      <c r="GE32" t="s">
        <v>4242</v>
      </c>
      <c r="GO32" t="s">
        <v>5801</v>
      </c>
      <c r="GP32" t="s">
        <v>5772</v>
      </c>
      <c r="HC32" t="s">
        <v>5624</v>
      </c>
      <c r="HV32" t="s">
        <v>5442</v>
      </c>
      <c r="HW32" t="s">
        <v>2757</v>
      </c>
      <c r="HY32" t="s">
        <v>5360</v>
      </c>
      <c r="IA32" t="s">
        <v>2924</v>
      </c>
      <c r="ID32" t="s">
        <v>2412</v>
      </c>
      <c r="IF32" t="s">
        <v>5274</v>
      </c>
      <c r="IM32" t="s">
        <v>5215</v>
      </c>
      <c r="IT32" t="s">
        <v>4738</v>
      </c>
      <c r="IX32" t="s">
        <v>4961</v>
      </c>
      <c r="JJ32" t="s">
        <v>2151</v>
      </c>
      <c r="JZ32" t="s">
        <v>4741</v>
      </c>
      <c r="KE32" t="s">
        <v>4689</v>
      </c>
      <c r="KK32" t="s">
        <v>4631</v>
      </c>
      <c r="KS32" t="s">
        <v>2525</v>
      </c>
      <c r="KT32" t="s">
        <v>4509</v>
      </c>
      <c r="KX32" t="s">
        <v>4419</v>
      </c>
      <c r="LJ32" t="s">
        <v>4310</v>
      </c>
      <c r="LS32" t="s">
        <v>2498</v>
      </c>
      <c r="MB32" t="s">
        <v>3021</v>
      </c>
      <c r="MI32" t="s">
        <v>2263</v>
      </c>
      <c r="MO32" t="s">
        <v>4008</v>
      </c>
      <c r="MU32" t="s">
        <v>3936</v>
      </c>
      <c r="MV32" t="s">
        <v>3912</v>
      </c>
      <c r="MX32" t="s">
        <v>3889</v>
      </c>
      <c r="NH32" t="s">
        <v>3788</v>
      </c>
      <c r="ON32" t="s">
        <v>3540</v>
      </c>
      <c r="OO32" t="s">
        <v>2412</v>
      </c>
      <c r="OP32" t="s">
        <v>3491</v>
      </c>
      <c r="OX32" t="s">
        <v>3443</v>
      </c>
      <c r="PB32" t="s">
        <v>3359</v>
      </c>
      <c r="PM32" t="s">
        <v>3262</v>
      </c>
      <c r="PO32" t="s">
        <v>3207</v>
      </c>
      <c r="QC32" s="12" t="s">
        <v>3652</v>
      </c>
      <c r="QF32" t="s">
        <v>2788</v>
      </c>
      <c r="QK32" t="s">
        <v>2716</v>
      </c>
      <c r="QN32" t="s">
        <v>1695</v>
      </c>
      <c r="QQ32" t="s">
        <v>2606</v>
      </c>
      <c r="RL32" t="s">
        <v>2413</v>
      </c>
      <c r="RT32" t="s">
        <v>2007</v>
      </c>
      <c r="RV32" t="s">
        <v>2215</v>
      </c>
    </row>
    <row r="33" spans="6:490" x14ac:dyDescent="0.25">
      <c r="F33" t="s">
        <v>2007</v>
      </c>
      <c r="S33" t="s">
        <v>7729</v>
      </c>
      <c r="AA33" t="s">
        <v>4987</v>
      </c>
      <c r="AG33" t="s">
        <v>7555</v>
      </c>
      <c r="AH33" t="s">
        <v>6321</v>
      </c>
      <c r="AK33" t="s">
        <v>816</v>
      </c>
      <c r="AZ33" t="s">
        <v>7306</v>
      </c>
      <c r="BF33" t="s">
        <v>3046</v>
      </c>
      <c r="BO33" t="s">
        <v>3837</v>
      </c>
      <c r="BQ33" t="s">
        <v>6912</v>
      </c>
      <c r="BU33" t="s">
        <v>7118</v>
      </c>
      <c r="BW33" t="s">
        <v>3046</v>
      </c>
      <c r="CH33" t="s">
        <v>7019</v>
      </c>
      <c r="CI33" t="s">
        <v>6996</v>
      </c>
      <c r="CT33" t="s">
        <v>2126</v>
      </c>
      <c r="CU33" t="s">
        <v>6885</v>
      </c>
      <c r="CX33" t="s">
        <v>2054</v>
      </c>
      <c r="CZ33" t="s">
        <v>744</v>
      </c>
      <c r="DF33" t="s">
        <v>3130</v>
      </c>
      <c r="DH33" t="s">
        <v>4533</v>
      </c>
      <c r="DM33" t="s">
        <v>6667</v>
      </c>
      <c r="DN33" t="s">
        <v>6619</v>
      </c>
      <c r="DZ33" t="s">
        <v>3234</v>
      </c>
      <c r="EA33" t="s">
        <v>6498</v>
      </c>
      <c r="ED33" t="s">
        <v>2324</v>
      </c>
      <c r="EI33" t="s">
        <v>6365</v>
      </c>
      <c r="EQ33" t="s">
        <v>4360</v>
      </c>
      <c r="EU33" t="s">
        <v>4979</v>
      </c>
      <c r="EY33" t="s">
        <v>6114</v>
      </c>
      <c r="FV33" t="s">
        <v>5976</v>
      </c>
      <c r="GE33" t="s">
        <v>5907</v>
      </c>
      <c r="GO33" t="s">
        <v>2494</v>
      </c>
      <c r="GP33" t="s">
        <v>5773</v>
      </c>
      <c r="HC33" t="s">
        <v>5625</v>
      </c>
      <c r="HV33" t="s">
        <v>5443</v>
      </c>
      <c r="HW33" t="s">
        <v>5413</v>
      </c>
      <c r="HY33" t="s">
        <v>5361</v>
      </c>
      <c r="IA33" t="s">
        <v>2925</v>
      </c>
      <c r="ID33" t="s">
        <v>4917</v>
      </c>
      <c r="IF33" t="s">
        <v>5275</v>
      </c>
      <c r="IM33" t="s">
        <v>5216</v>
      </c>
      <c r="IT33" t="s">
        <v>5094</v>
      </c>
      <c r="IX33" t="s">
        <v>2144</v>
      </c>
      <c r="JJ33" t="s">
        <v>4854</v>
      </c>
      <c r="JZ33" t="s">
        <v>4703</v>
      </c>
      <c r="KK33" t="s">
        <v>4412</v>
      </c>
      <c r="KS33" t="s">
        <v>3377</v>
      </c>
      <c r="KT33" t="s">
        <v>4510</v>
      </c>
      <c r="KX33" t="s">
        <v>4420</v>
      </c>
      <c r="LJ33" t="s">
        <v>4311</v>
      </c>
      <c r="LS33" t="s">
        <v>4238</v>
      </c>
      <c r="MB33" t="s">
        <v>4138</v>
      </c>
      <c r="MI33" t="s">
        <v>4088</v>
      </c>
      <c r="MO33" t="s">
        <v>4009</v>
      </c>
      <c r="MU33" t="s">
        <v>3937</v>
      </c>
      <c r="MV33" t="s">
        <v>3913</v>
      </c>
      <c r="MX33" t="s">
        <v>3229</v>
      </c>
      <c r="NH33" t="s">
        <v>3789</v>
      </c>
      <c r="ON33" t="s">
        <v>2713</v>
      </c>
      <c r="OO33" t="s">
        <v>2736</v>
      </c>
      <c r="OP33" t="s">
        <v>2673</v>
      </c>
      <c r="OX33" t="s">
        <v>3444</v>
      </c>
      <c r="PB33" t="s">
        <v>3360</v>
      </c>
      <c r="PM33" t="s">
        <v>3263</v>
      </c>
      <c r="PO33" t="s">
        <v>3208</v>
      </c>
      <c r="QC33" t="s">
        <v>2876</v>
      </c>
      <c r="QF33" t="s">
        <v>2789</v>
      </c>
      <c r="QK33" t="s">
        <v>1982</v>
      </c>
      <c r="QN33" t="s">
        <v>2667</v>
      </c>
      <c r="QQ33" t="s">
        <v>2607</v>
      </c>
      <c r="RL33" t="s">
        <v>2414</v>
      </c>
      <c r="RT33" t="s">
        <v>2332</v>
      </c>
      <c r="RV33" t="s">
        <v>2216</v>
      </c>
    </row>
    <row r="34" spans="6:490" x14ac:dyDescent="0.25">
      <c r="F34" t="s">
        <v>7795</v>
      </c>
      <c r="S34" t="s">
        <v>7730</v>
      </c>
      <c r="AA34" t="s">
        <v>2403</v>
      </c>
      <c r="AG34" t="s">
        <v>887</v>
      </c>
      <c r="AH34" t="s">
        <v>7496</v>
      </c>
      <c r="AK34" t="s">
        <v>7461</v>
      </c>
      <c r="AZ34" t="s">
        <v>7307</v>
      </c>
      <c r="BF34" t="s">
        <v>7250</v>
      </c>
      <c r="BO34" t="s">
        <v>7183</v>
      </c>
      <c r="BQ34" t="s">
        <v>6397</v>
      </c>
      <c r="BU34" t="s">
        <v>7119</v>
      </c>
      <c r="BW34" t="s">
        <v>817</v>
      </c>
      <c r="CH34" t="s">
        <v>2136</v>
      </c>
      <c r="CI34" t="s">
        <v>6997</v>
      </c>
      <c r="CT34" t="s">
        <v>6938</v>
      </c>
      <c r="CU34" t="s">
        <v>6886</v>
      </c>
      <c r="CX34" t="s">
        <v>6850</v>
      </c>
      <c r="CZ34" t="s">
        <v>6318</v>
      </c>
      <c r="DF34" t="s">
        <v>6746</v>
      </c>
      <c r="DH34" t="s">
        <v>6705</v>
      </c>
      <c r="DM34" t="s">
        <v>6668</v>
      </c>
      <c r="DN34" t="s">
        <v>6620</v>
      </c>
      <c r="DZ34" t="s">
        <v>6522</v>
      </c>
      <c r="EA34" t="s">
        <v>6499</v>
      </c>
      <c r="ED34" t="s">
        <v>6439</v>
      </c>
      <c r="EI34" t="s">
        <v>6366</v>
      </c>
      <c r="EQ34" t="s">
        <v>6221</v>
      </c>
      <c r="EU34" t="s">
        <v>6152</v>
      </c>
      <c r="EY34" t="s">
        <v>6115</v>
      </c>
      <c r="FV34" t="s">
        <v>5977</v>
      </c>
      <c r="GE34" t="s">
        <v>5908</v>
      </c>
      <c r="GO34" t="s">
        <v>5802</v>
      </c>
      <c r="GP34" t="s">
        <v>1904</v>
      </c>
      <c r="HC34" t="s">
        <v>5626</v>
      </c>
      <c r="HV34" t="s">
        <v>2057</v>
      </c>
      <c r="HW34" t="s">
        <v>5414</v>
      </c>
      <c r="HY34" t="s">
        <v>5362</v>
      </c>
      <c r="IA34" t="s">
        <v>2926</v>
      </c>
      <c r="ID34" t="s">
        <v>5325</v>
      </c>
      <c r="IF34" t="s">
        <v>5276</v>
      </c>
      <c r="IM34" t="s">
        <v>5217</v>
      </c>
      <c r="IT34" t="s">
        <v>5095</v>
      </c>
      <c r="IX34" t="s">
        <v>4962</v>
      </c>
      <c r="JJ34" t="s">
        <v>4855</v>
      </c>
      <c r="JZ34" t="s">
        <v>2962</v>
      </c>
      <c r="KK34" t="s">
        <v>3746</v>
      </c>
      <c r="KS34" t="s">
        <v>4530</v>
      </c>
      <c r="KT34" t="s">
        <v>4511</v>
      </c>
      <c r="KX34" t="s">
        <v>4421</v>
      </c>
      <c r="LJ34" t="s">
        <v>2705</v>
      </c>
      <c r="LS34" t="s">
        <v>4239</v>
      </c>
      <c r="MB34" t="s">
        <v>2878</v>
      </c>
      <c r="MI34" t="s">
        <v>4089</v>
      </c>
      <c r="MO34" t="s">
        <v>4010</v>
      </c>
      <c r="MU34" t="s">
        <v>2989</v>
      </c>
      <c r="MV34" t="s">
        <v>3914</v>
      </c>
      <c r="MX34" t="s">
        <v>3890</v>
      </c>
      <c r="NH34" t="s">
        <v>3790</v>
      </c>
      <c r="ON34" t="s">
        <v>3541</v>
      </c>
      <c r="OO34" t="s">
        <v>3522</v>
      </c>
      <c r="OP34" t="s">
        <v>3492</v>
      </c>
      <c r="OX34" t="s">
        <v>3445</v>
      </c>
      <c r="PB34" t="s">
        <v>3361</v>
      </c>
      <c r="PM34" t="s">
        <v>3264</v>
      </c>
      <c r="PO34" t="s">
        <v>3209</v>
      </c>
      <c r="QC34" t="s">
        <v>2877</v>
      </c>
      <c r="QF34" t="s">
        <v>2067</v>
      </c>
      <c r="QK34" t="s">
        <v>767</v>
      </c>
      <c r="QN34" t="s">
        <v>2668</v>
      </c>
      <c r="QQ34" t="s">
        <v>2608</v>
      </c>
      <c r="RL34" t="s">
        <v>2415</v>
      </c>
      <c r="RT34" t="s">
        <v>2333</v>
      </c>
      <c r="RV34" t="s">
        <v>2217</v>
      </c>
    </row>
    <row r="35" spans="6:490" x14ac:dyDescent="0.25">
      <c r="F35" t="s">
        <v>7796</v>
      </c>
      <c r="S35" t="s">
        <v>7731</v>
      </c>
      <c r="AA35" t="s">
        <v>2321</v>
      </c>
      <c r="AG35" t="s">
        <v>7556</v>
      </c>
      <c r="AH35" t="s">
        <v>7497</v>
      </c>
      <c r="AK35" t="s">
        <v>7462</v>
      </c>
      <c r="AZ35" t="s">
        <v>7308</v>
      </c>
      <c r="BF35" t="s">
        <v>7251</v>
      </c>
      <c r="BO35" t="s">
        <v>7184</v>
      </c>
      <c r="BQ35" t="s">
        <v>6913</v>
      </c>
      <c r="BU35" t="s">
        <v>7120</v>
      </c>
      <c r="BW35" t="s">
        <v>7087</v>
      </c>
      <c r="CH35" t="s">
        <v>2567</v>
      </c>
      <c r="CI35" t="s">
        <v>6998</v>
      </c>
      <c r="CT35" t="s">
        <v>6939</v>
      </c>
      <c r="CU35" t="s">
        <v>6887</v>
      </c>
      <c r="CX35" t="s">
        <v>6851</v>
      </c>
      <c r="CZ35" t="s">
        <v>5385</v>
      </c>
      <c r="DF35" t="s">
        <v>6747</v>
      </c>
      <c r="DH35" t="s">
        <v>5161</v>
      </c>
      <c r="DM35" t="s">
        <v>1571</v>
      </c>
      <c r="DN35" t="s">
        <v>6621</v>
      </c>
      <c r="DZ35" t="s">
        <v>6523</v>
      </c>
      <c r="EA35" t="s">
        <v>6500</v>
      </c>
      <c r="ED35" t="s">
        <v>6440</v>
      </c>
      <c r="EI35" t="s">
        <v>6367</v>
      </c>
      <c r="EQ35" t="s">
        <v>6222</v>
      </c>
      <c r="EU35" t="s">
        <v>6153</v>
      </c>
      <c r="EY35" t="s">
        <v>6116</v>
      </c>
      <c r="FV35" t="s">
        <v>5978</v>
      </c>
      <c r="GE35" t="s">
        <v>5909</v>
      </c>
      <c r="GO35" t="s">
        <v>5803</v>
      </c>
      <c r="GP35" t="s">
        <v>5774</v>
      </c>
      <c r="HC35" t="s">
        <v>887</v>
      </c>
      <c r="HV35" t="s">
        <v>5444</v>
      </c>
      <c r="HW35" t="s">
        <v>5415</v>
      </c>
      <c r="HY35" t="s">
        <v>5363</v>
      </c>
      <c r="IA35" t="s">
        <v>2927</v>
      </c>
      <c r="ID35" t="s">
        <v>5326</v>
      </c>
      <c r="IF35" t="s">
        <v>5129</v>
      </c>
      <c r="IM35" t="s">
        <v>5218</v>
      </c>
      <c r="IT35" t="s">
        <v>5096</v>
      </c>
      <c r="IX35" t="s">
        <v>4963</v>
      </c>
      <c r="JJ35" t="s">
        <v>4570</v>
      </c>
      <c r="JZ35" t="s">
        <v>2226</v>
      </c>
      <c r="KK35" t="s">
        <v>4632</v>
      </c>
      <c r="KS35" t="s">
        <v>4531</v>
      </c>
      <c r="KT35" t="s">
        <v>3619</v>
      </c>
      <c r="KX35" t="s">
        <v>4422</v>
      </c>
      <c r="LJ35" t="s">
        <v>4312</v>
      </c>
      <c r="LS35" t="s">
        <v>4240</v>
      </c>
      <c r="MB35" t="s">
        <v>4139</v>
      </c>
      <c r="MI35" t="s">
        <v>1075</v>
      </c>
      <c r="MO35" t="s">
        <v>4011</v>
      </c>
      <c r="MU35" t="s">
        <v>3704</v>
      </c>
      <c r="MX35" t="s">
        <v>2153</v>
      </c>
      <c r="NH35" t="s">
        <v>3791</v>
      </c>
      <c r="ON35" t="s">
        <v>2566</v>
      </c>
      <c r="OP35" t="s">
        <v>3493</v>
      </c>
      <c r="OX35" t="s">
        <v>3446</v>
      </c>
      <c r="PB35" t="s">
        <v>3362</v>
      </c>
      <c r="PM35" t="s">
        <v>3265</v>
      </c>
      <c r="PO35" t="s">
        <v>3210</v>
      </c>
      <c r="QC35" t="s">
        <v>2878</v>
      </c>
      <c r="QF35" t="s">
        <v>2790</v>
      </c>
      <c r="QK35" t="s">
        <v>2717</v>
      </c>
      <c r="QQ35" t="s">
        <v>2609</v>
      </c>
      <c r="RL35" t="s">
        <v>2126</v>
      </c>
      <c r="RT35" t="s">
        <v>2334</v>
      </c>
      <c r="RV35" t="s">
        <v>2218</v>
      </c>
    </row>
    <row r="36" spans="6:490" x14ac:dyDescent="0.25">
      <c r="F36" t="s">
        <v>7797</v>
      </c>
      <c r="S36" t="s">
        <v>7732</v>
      </c>
      <c r="AA36" t="s">
        <v>7637</v>
      </c>
      <c r="AG36" t="s">
        <v>7557</v>
      </c>
      <c r="AH36" t="s">
        <v>7498</v>
      </c>
      <c r="AK36" t="s">
        <v>2411</v>
      </c>
      <c r="AZ36" t="s">
        <v>7309</v>
      </c>
      <c r="BF36" t="s">
        <v>3161</v>
      </c>
      <c r="BO36" t="s">
        <v>7185</v>
      </c>
      <c r="BQ36" t="s">
        <v>6914</v>
      </c>
      <c r="BU36" t="s">
        <v>7121</v>
      </c>
      <c r="BW36" t="s">
        <v>2503</v>
      </c>
      <c r="CH36" t="s">
        <v>2284</v>
      </c>
      <c r="CI36" t="s">
        <v>2030</v>
      </c>
      <c r="CT36" t="s">
        <v>6940</v>
      </c>
      <c r="CX36" t="s">
        <v>6852</v>
      </c>
      <c r="CZ36" t="s">
        <v>6831</v>
      </c>
      <c r="DF36" t="s">
        <v>6748</v>
      </c>
      <c r="DH36" t="s">
        <v>6706</v>
      </c>
      <c r="DM36" t="s">
        <v>1573</v>
      </c>
      <c r="DN36" t="s">
        <v>6622</v>
      </c>
      <c r="DZ36" t="s">
        <v>6524</v>
      </c>
      <c r="ED36" t="s">
        <v>2412</v>
      </c>
      <c r="EI36" t="s">
        <v>5970</v>
      </c>
      <c r="EQ36" t="s">
        <v>6223</v>
      </c>
      <c r="EU36" t="s">
        <v>6154</v>
      </c>
      <c r="EY36" t="s">
        <v>6117</v>
      </c>
      <c r="FV36" t="s">
        <v>5979</v>
      </c>
      <c r="GE36" t="s">
        <v>3946</v>
      </c>
      <c r="GO36" t="s">
        <v>5804</v>
      </c>
      <c r="GP36" t="s">
        <v>5775</v>
      </c>
      <c r="HC36" t="s">
        <v>1080</v>
      </c>
      <c r="HV36" t="s">
        <v>5445</v>
      </c>
      <c r="HW36" t="s">
        <v>5416</v>
      </c>
      <c r="HY36" t="s">
        <v>5364</v>
      </c>
      <c r="IA36" t="s">
        <v>2928</v>
      </c>
      <c r="ID36" t="s">
        <v>2888</v>
      </c>
      <c r="IF36" t="s">
        <v>4997</v>
      </c>
      <c r="IM36" t="s">
        <v>5219</v>
      </c>
      <c r="IT36" t="s">
        <v>1921</v>
      </c>
      <c r="IX36" t="s">
        <v>4964</v>
      </c>
      <c r="JJ36" t="s">
        <v>2591</v>
      </c>
      <c r="JZ36" t="s">
        <v>4742</v>
      </c>
      <c r="KK36" t="s">
        <v>4633</v>
      </c>
      <c r="KS36" t="s">
        <v>4532</v>
      </c>
      <c r="KT36" t="s">
        <v>3120</v>
      </c>
      <c r="KX36" t="s">
        <v>3435</v>
      </c>
      <c r="LJ36" t="s">
        <v>4313</v>
      </c>
      <c r="LS36" t="s">
        <v>4241</v>
      </c>
      <c r="MB36" t="s">
        <v>4140</v>
      </c>
      <c r="MI36" t="s">
        <v>4090</v>
      </c>
      <c r="MO36" t="s">
        <v>4012</v>
      </c>
      <c r="MU36" t="s">
        <v>3938</v>
      </c>
      <c r="MX36" t="s">
        <v>2137</v>
      </c>
      <c r="ON36" t="s">
        <v>3542</v>
      </c>
      <c r="OP36" t="s">
        <v>3021</v>
      </c>
      <c r="OX36" t="s">
        <v>3447</v>
      </c>
      <c r="PB36" t="s">
        <v>3363</v>
      </c>
      <c r="PM36" t="s">
        <v>3266</v>
      </c>
      <c r="PO36" t="s">
        <v>2842</v>
      </c>
      <c r="QC36" t="s">
        <v>2879</v>
      </c>
      <c r="QF36" t="s">
        <v>2791</v>
      </c>
      <c r="QK36" t="s">
        <v>2047</v>
      </c>
      <c r="QQ36" t="s">
        <v>2610</v>
      </c>
      <c r="RL36" t="s">
        <v>2416</v>
      </c>
      <c r="RT36" t="s">
        <v>2335</v>
      </c>
      <c r="RV36" t="s">
        <v>2219</v>
      </c>
    </row>
    <row r="37" spans="6:490" x14ac:dyDescent="0.25">
      <c r="F37" t="s">
        <v>1648</v>
      </c>
      <c r="S37" t="s">
        <v>7733</v>
      </c>
      <c r="AA37" t="s">
        <v>2241</v>
      </c>
      <c r="AG37" t="s">
        <v>7558</v>
      </c>
      <c r="AH37" t="s">
        <v>7499</v>
      </c>
      <c r="AK37" t="s">
        <v>7463</v>
      </c>
      <c r="AZ37" t="s">
        <v>7310</v>
      </c>
      <c r="BF37" t="s">
        <v>7252</v>
      </c>
      <c r="BO37" t="s">
        <v>4535</v>
      </c>
      <c r="BQ37" t="s">
        <v>6915</v>
      </c>
      <c r="BU37" t="s">
        <v>2017</v>
      </c>
      <c r="BW37" t="s">
        <v>2515</v>
      </c>
      <c r="CH37" t="s">
        <v>7020</v>
      </c>
      <c r="CI37" t="s">
        <v>6999</v>
      </c>
      <c r="CT37" t="s">
        <v>2454</v>
      </c>
      <c r="DF37" t="s">
        <v>2321</v>
      </c>
      <c r="DH37" t="s">
        <v>6707</v>
      </c>
      <c r="DM37" t="s">
        <v>6669</v>
      </c>
      <c r="DN37" t="s">
        <v>1843</v>
      </c>
      <c r="DZ37" t="s">
        <v>6525</v>
      </c>
      <c r="ED37" t="s">
        <v>3222</v>
      </c>
      <c r="EI37" t="s">
        <v>6368</v>
      </c>
      <c r="EQ37" t="s">
        <v>1894</v>
      </c>
      <c r="EU37" t="s">
        <v>6155</v>
      </c>
      <c r="FV37" t="s">
        <v>3888</v>
      </c>
      <c r="GE37" t="s">
        <v>5910</v>
      </c>
      <c r="GO37" t="s">
        <v>5805</v>
      </c>
      <c r="GP37" t="s">
        <v>5776</v>
      </c>
      <c r="HC37" t="s">
        <v>2626</v>
      </c>
      <c r="HV37" t="s">
        <v>5446</v>
      </c>
      <c r="HW37" t="s">
        <v>5417</v>
      </c>
      <c r="HY37" t="s">
        <v>2605</v>
      </c>
      <c r="IA37" t="s">
        <v>2929</v>
      </c>
      <c r="ID37" t="s">
        <v>5327</v>
      </c>
      <c r="IF37" t="s">
        <v>5277</v>
      </c>
      <c r="IM37" t="s">
        <v>5220</v>
      </c>
      <c r="IT37" t="s">
        <v>5097</v>
      </c>
      <c r="IX37" t="s">
        <v>4965</v>
      </c>
      <c r="JJ37" t="s">
        <v>2057</v>
      </c>
      <c r="JZ37" t="s">
        <v>3205</v>
      </c>
      <c r="KK37" t="s">
        <v>2226</v>
      </c>
      <c r="KS37" t="s">
        <v>2757</v>
      </c>
      <c r="KX37" t="s">
        <v>4423</v>
      </c>
      <c r="LJ37" t="s">
        <v>4314</v>
      </c>
      <c r="LS37" t="s">
        <v>4242</v>
      </c>
      <c r="MB37" t="s">
        <v>4141</v>
      </c>
      <c r="MI37" t="s">
        <v>4091</v>
      </c>
      <c r="MO37" t="s">
        <v>4013</v>
      </c>
      <c r="MU37" t="s">
        <v>3939</v>
      </c>
      <c r="ON37" t="s">
        <v>2803</v>
      </c>
      <c r="OP37" t="s">
        <v>3494</v>
      </c>
      <c r="OX37" t="s">
        <v>3448</v>
      </c>
      <c r="PB37" t="s">
        <v>3364</v>
      </c>
      <c r="PM37" t="s">
        <v>3267</v>
      </c>
      <c r="PO37" t="s">
        <v>2986</v>
      </c>
      <c r="QC37" t="s">
        <v>2880</v>
      </c>
      <c r="QF37" t="s">
        <v>2792</v>
      </c>
      <c r="QK37" t="s">
        <v>2718</v>
      </c>
      <c r="QQ37" t="s">
        <v>2611</v>
      </c>
      <c r="RL37" t="s">
        <v>2417</v>
      </c>
      <c r="RT37" t="s">
        <v>2336</v>
      </c>
      <c r="RV37" t="s">
        <v>2220</v>
      </c>
    </row>
    <row r="38" spans="6:490" x14ac:dyDescent="0.25">
      <c r="F38" t="s">
        <v>7798</v>
      </c>
      <c r="S38" t="s">
        <v>7734</v>
      </c>
      <c r="AA38" t="s">
        <v>1944</v>
      </c>
      <c r="AG38" t="s">
        <v>7559</v>
      </c>
      <c r="AH38" t="s">
        <v>7500</v>
      </c>
      <c r="AK38" t="s">
        <v>7464</v>
      </c>
      <c r="AZ38" t="s">
        <v>3533</v>
      </c>
      <c r="BF38" t="s">
        <v>7253</v>
      </c>
      <c r="BO38" t="s">
        <v>2030</v>
      </c>
      <c r="BQ38" t="s">
        <v>6916</v>
      </c>
      <c r="BU38" t="s">
        <v>7122</v>
      </c>
      <c r="BW38" t="s">
        <v>7088</v>
      </c>
      <c r="CI38" t="s">
        <v>7000</v>
      </c>
      <c r="CT38" t="s">
        <v>6941</v>
      </c>
      <c r="DF38" t="s">
        <v>3210</v>
      </c>
      <c r="DH38" t="s">
        <v>6708</v>
      </c>
      <c r="DM38" t="s">
        <v>6670</v>
      </c>
      <c r="DN38" t="s">
        <v>6623</v>
      </c>
      <c r="DZ38" t="s">
        <v>6526</v>
      </c>
      <c r="ED38" t="s">
        <v>2007</v>
      </c>
      <c r="EI38" t="s">
        <v>6369</v>
      </c>
      <c r="EQ38" t="s">
        <v>6224</v>
      </c>
      <c r="EU38" t="s">
        <v>6156</v>
      </c>
      <c r="FV38" t="s">
        <v>4933</v>
      </c>
      <c r="GE38" t="s">
        <v>2052</v>
      </c>
      <c r="GO38" t="s">
        <v>3746</v>
      </c>
      <c r="HC38" t="s">
        <v>5627</v>
      </c>
      <c r="HV38" t="s">
        <v>3155</v>
      </c>
      <c r="HW38" t="s">
        <v>5418</v>
      </c>
      <c r="HY38" t="s">
        <v>5365</v>
      </c>
      <c r="IA38" t="s">
        <v>2747</v>
      </c>
      <c r="ID38" t="s">
        <v>786</v>
      </c>
      <c r="IF38" t="s">
        <v>5278</v>
      </c>
      <c r="IM38" t="s">
        <v>3025</v>
      </c>
      <c r="IT38" t="s">
        <v>1890</v>
      </c>
      <c r="IX38" t="s">
        <v>4966</v>
      </c>
      <c r="JJ38" t="s">
        <v>4856</v>
      </c>
      <c r="JZ38" t="s">
        <v>4743</v>
      </c>
      <c r="KK38" t="s">
        <v>3365</v>
      </c>
      <c r="KS38" t="s">
        <v>4533</v>
      </c>
      <c r="KX38" t="s">
        <v>4424</v>
      </c>
      <c r="LJ38" t="s">
        <v>4315</v>
      </c>
      <c r="LS38" t="s">
        <v>4243</v>
      </c>
      <c r="MB38" t="s">
        <v>4142</v>
      </c>
      <c r="MI38" t="s">
        <v>1904</v>
      </c>
      <c r="MO38" t="s">
        <v>4014</v>
      </c>
      <c r="MU38" t="s">
        <v>3940</v>
      </c>
      <c r="ON38" t="s">
        <v>3543</v>
      </c>
      <c r="OP38" t="s">
        <v>3495</v>
      </c>
      <c r="OX38" t="s">
        <v>3449</v>
      </c>
      <c r="PB38" t="s">
        <v>3365</v>
      </c>
      <c r="PM38" t="s">
        <v>3268</v>
      </c>
      <c r="PO38" t="s">
        <v>3211</v>
      </c>
      <c r="QC38" t="s">
        <v>2881</v>
      </c>
      <c r="QF38" t="s">
        <v>2793</v>
      </c>
      <c r="QK38" t="s">
        <v>2719</v>
      </c>
      <c r="QQ38" t="s">
        <v>2612</v>
      </c>
      <c r="RL38" t="s">
        <v>1682</v>
      </c>
      <c r="RT38" t="s">
        <v>2337</v>
      </c>
      <c r="RV38" t="s">
        <v>2221</v>
      </c>
    </row>
    <row r="39" spans="6:490" x14ac:dyDescent="0.25">
      <c r="F39" t="s">
        <v>7799</v>
      </c>
      <c r="S39" t="s">
        <v>7735</v>
      </c>
      <c r="AA39" t="s">
        <v>7638</v>
      </c>
      <c r="AG39" t="s">
        <v>7560</v>
      </c>
      <c r="AH39" t="s">
        <v>7501</v>
      </c>
      <c r="AK39" t="s">
        <v>7465</v>
      </c>
      <c r="AZ39" t="s">
        <v>7311</v>
      </c>
      <c r="BF39" t="s">
        <v>7254</v>
      </c>
      <c r="BO39" t="s">
        <v>7186</v>
      </c>
      <c r="BU39" t="s">
        <v>7123</v>
      </c>
      <c r="BW39" t="s">
        <v>7089</v>
      </c>
      <c r="CI39" t="s">
        <v>5569</v>
      </c>
      <c r="DF39" t="s">
        <v>2748</v>
      </c>
      <c r="DH39" t="s">
        <v>6709</v>
      </c>
      <c r="DM39" t="s">
        <v>1160</v>
      </c>
      <c r="DN39" t="s">
        <v>6624</v>
      </c>
      <c r="DZ39" t="s">
        <v>6527</v>
      </c>
      <c r="ED39" t="s">
        <v>4260</v>
      </c>
      <c r="EI39" t="s">
        <v>6370</v>
      </c>
      <c r="EQ39" t="s">
        <v>4297</v>
      </c>
      <c r="EU39" t="s">
        <v>6157</v>
      </c>
      <c r="FV39" t="s">
        <v>5980</v>
      </c>
      <c r="GE39" t="s">
        <v>4390</v>
      </c>
      <c r="GO39" t="s">
        <v>2226</v>
      </c>
      <c r="HC39" t="s">
        <v>5628</v>
      </c>
      <c r="HV39" t="s">
        <v>5447</v>
      </c>
      <c r="HW39" t="s">
        <v>5419</v>
      </c>
      <c r="HY39" t="s">
        <v>5366</v>
      </c>
      <c r="IA39" t="s">
        <v>2930</v>
      </c>
      <c r="ID39" t="s">
        <v>5328</v>
      </c>
      <c r="IF39" t="s">
        <v>5279</v>
      </c>
      <c r="IM39" t="s">
        <v>5221</v>
      </c>
      <c r="IT39" t="s">
        <v>5098</v>
      </c>
      <c r="IX39" t="s">
        <v>4967</v>
      </c>
      <c r="JJ39" t="s">
        <v>4857</v>
      </c>
      <c r="JZ39" t="s">
        <v>4744</v>
      </c>
      <c r="KK39" t="s">
        <v>1513</v>
      </c>
      <c r="KS39" t="s">
        <v>4534</v>
      </c>
      <c r="KX39" t="s">
        <v>4425</v>
      </c>
      <c r="LJ39" t="s">
        <v>4316</v>
      </c>
      <c r="LS39" t="s">
        <v>1075</v>
      </c>
      <c r="MB39" t="s">
        <v>817</v>
      </c>
      <c r="MI39" t="s">
        <v>1675</v>
      </c>
      <c r="MO39" t="s">
        <v>4015</v>
      </c>
      <c r="MU39" t="s">
        <v>3941</v>
      </c>
      <c r="ON39" t="s">
        <v>2004</v>
      </c>
      <c r="OP39" t="s">
        <v>2039</v>
      </c>
      <c r="OX39" t="s">
        <v>3450</v>
      </c>
      <c r="PB39" t="s">
        <v>1927</v>
      </c>
      <c r="PM39" t="s">
        <v>1845</v>
      </c>
      <c r="PO39" t="s">
        <v>2524</v>
      </c>
      <c r="QC39" t="s">
        <v>2882</v>
      </c>
      <c r="QF39" t="s">
        <v>2794</v>
      </c>
      <c r="QK39" t="s">
        <v>2720</v>
      </c>
      <c r="QQ39" t="s">
        <v>2613</v>
      </c>
      <c r="RL39" t="s">
        <v>2064</v>
      </c>
      <c r="RT39" t="s">
        <v>2338</v>
      </c>
      <c r="RV39" t="s">
        <v>2222</v>
      </c>
    </row>
    <row r="40" spans="6:490" x14ac:dyDescent="0.25">
      <c r="F40" t="s">
        <v>7800</v>
      </c>
      <c r="AA40" t="s">
        <v>7639</v>
      </c>
      <c r="AG40" t="s">
        <v>7561</v>
      </c>
      <c r="AH40" t="s">
        <v>7502</v>
      </c>
      <c r="AK40" t="s">
        <v>7466</v>
      </c>
      <c r="AZ40" t="s">
        <v>7312</v>
      </c>
      <c r="BF40" t="s">
        <v>7255</v>
      </c>
      <c r="BO40" t="s">
        <v>7187</v>
      </c>
      <c r="BU40" t="s">
        <v>5902</v>
      </c>
      <c r="BW40" t="s">
        <v>7090</v>
      </c>
      <c r="CI40" t="s">
        <v>7001</v>
      </c>
      <c r="DF40" t="s">
        <v>3263</v>
      </c>
      <c r="DH40" t="s">
        <v>6710</v>
      </c>
      <c r="DN40" t="s">
        <v>6625</v>
      </c>
      <c r="DZ40" t="s">
        <v>6528</v>
      </c>
      <c r="ED40" t="s">
        <v>6441</v>
      </c>
      <c r="EI40" t="s">
        <v>6371</v>
      </c>
      <c r="EQ40" t="s">
        <v>4957</v>
      </c>
      <c r="EU40" t="s">
        <v>4419</v>
      </c>
      <c r="FV40" t="s">
        <v>5981</v>
      </c>
      <c r="GE40" t="s">
        <v>5911</v>
      </c>
      <c r="GO40" t="s">
        <v>5806</v>
      </c>
      <c r="HC40" t="s">
        <v>5629</v>
      </c>
      <c r="HV40" t="s">
        <v>5448</v>
      </c>
      <c r="HW40" t="s">
        <v>5420</v>
      </c>
      <c r="HY40" t="s">
        <v>2497</v>
      </c>
      <c r="IA40" t="s">
        <v>2931</v>
      </c>
      <c r="ID40" t="s">
        <v>5329</v>
      </c>
      <c r="IF40" t="s">
        <v>2259</v>
      </c>
      <c r="IM40" t="s">
        <v>5222</v>
      </c>
      <c r="IT40" t="s">
        <v>5099</v>
      </c>
      <c r="IX40" t="s">
        <v>783</v>
      </c>
      <c r="JJ40" t="s">
        <v>2220</v>
      </c>
      <c r="JZ40" t="s">
        <v>4419</v>
      </c>
      <c r="KK40" t="s">
        <v>4634</v>
      </c>
      <c r="KS40" t="s">
        <v>4535</v>
      </c>
      <c r="KX40" t="s">
        <v>4426</v>
      </c>
      <c r="LJ40" t="s">
        <v>1828</v>
      </c>
      <c r="LS40" t="s">
        <v>2266</v>
      </c>
      <c r="MB40" t="s">
        <v>4143</v>
      </c>
      <c r="MI40" t="s">
        <v>4092</v>
      </c>
      <c r="MO40" t="s">
        <v>4016</v>
      </c>
      <c r="MU40" t="s">
        <v>3942</v>
      </c>
      <c r="ON40" t="s">
        <v>3544</v>
      </c>
      <c r="OP40" t="s">
        <v>3496</v>
      </c>
      <c r="OX40" t="s">
        <v>3451</v>
      </c>
      <c r="PB40" t="s">
        <v>3366</v>
      </c>
      <c r="PM40" t="s">
        <v>3016</v>
      </c>
      <c r="PO40" t="s">
        <v>3212</v>
      </c>
      <c r="QC40" s="12" t="s">
        <v>10319</v>
      </c>
      <c r="QF40" t="s">
        <v>2795</v>
      </c>
      <c r="QK40" t="s">
        <v>2721</v>
      </c>
      <c r="QQ40" t="s">
        <v>2529</v>
      </c>
      <c r="RT40" t="s">
        <v>2100</v>
      </c>
      <c r="RV40" t="s">
        <v>2223</v>
      </c>
    </row>
    <row r="41" spans="6:490" x14ac:dyDescent="0.25">
      <c r="AA41" t="s">
        <v>7640</v>
      </c>
      <c r="AG41" t="s">
        <v>7562</v>
      </c>
      <c r="AH41" t="s">
        <v>7503</v>
      </c>
      <c r="AK41" t="s">
        <v>7467</v>
      </c>
      <c r="AZ41" t="s">
        <v>7313</v>
      </c>
      <c r="BF41" t="s">
        <v>7256</v>
      </c>
      <c r="BO41" t="s">
        <v>7188</v>
      </c>
      <c r="BU41" t="s">
        <v>7124</v>
      </c>
      <c r="BW41" t="s">
        <v>3839</v>
      </c>
      <c r="CI41" t="s">
        <v>7002</v>
      </c>
      <c r="DF41" t="s">
        <v>6749</v>
      </c>
      <c r="DH41" t="s">
        <v>1605</v>
      </c>
      <c r="DN41" t="s">
        <v>1288</v>
      </c>
      <c r="DZ41" t="s">
        <v>6529</v>
      </c>
      <c r="ED41" t="s">
        <v>6442</v>
      </c>
      <c r="EI41" t="s">
        <v>6103</v>
      </c>
      <c r="EQ41" t="s">
        <v>6225</v>
      </c>
      <c r="EU41" t="s">
        <v>6158</v>
      </c>
      <c r="FV41" t="s">
        <v>5982</v>
      </c>
      <c r="GE41" t="s">
        <v>5912</v>
      </c>
      <c r="GO41" t="s">
        <v>5807</v>
      </c>
      <c r="HC41" t="s">
        <v>5630</v>
      </c>
      <c r="HV41" t="s">
        <v>4632</v>
      </c>
      <c r="HY41" t="s">
        <v>3372</v>
      </c>
      <c r="IA41" t="s">
        <v>2932</v>
      </c>
      <c r="ID41" t="s">
        <v>5330</v>
      </c>
      <c r="IF41" t="s">
        <v>5280</v>
      </c>
      <c r="IM41" t="s">
        <v>5147</v>
      </c>
      <c r="IT41" t="s">
        <v>5100</v>
      </c>
      <c r="IX41" t="s">
        <v>4968</v>
      </c>
      <c r="JJ41" t="s">
        <v>4858</v>
      </c>
      <c r="JZ41" t="s">
        <v>4745</v>
      </c>
      <c r="KK41" t="s">
        <v>4635</v>
      </c>
      <c r="KS41" t="s">
        <v>2039</v>
      </c>
      <c r="KX41" t="s">
        <v>4427</v>
      </c>
      <c r="LJ41" t="s">
        <v>3205</v>
      </c>
      <c r="LS41" t="s">
        <v>4244</v>
      </c>
      <c r="MB41" t="s">
        <v>4144</v>
      </c>
      <c r="MI41" t="s">
        <v>2581</v>
      </c>
      <c r="MO41" t="s">
        <v>4017</v>
      </c>
      <c r="MU41" t="s">
        <v>3943</v>
      </c>
      <c r="ON41" t="s">
        <v>3545</v>
      </c>
      <c r="OP41" t="s">
        <v>3497</v>
      </c>
      <c r="OX41" t="s">
        <v>3452</v>
      </c>
      <c r="PB41" t="s">
        <v>3367</v>
      </c>
      <c r="PM41" t="s">
        <v>3269</v>
      </c>
      <c r="PO41" t="s">
        <v>3213</v>
      </c>
      <c r="QC41" t="s">
        <v>2883</v>
      </c>
      <c r="QF41" t="s">
        <v>2796</v>
      </c>
      <c r="QK41" t="s">
        <v>2722</v>
      </c>
      <c r="QQ41" t="s">
        <v>2614</v>
      </c>
      <c r="RT41" t="s">
        <v>2339</v>
      </c>
      <c r="RV41" t="s">
        <v>2224</v>
      </c>
    </row>
    <row r="42" spans="6:490" x14ac:dyDescent="0.25">
      <c r="AA42" t="s">
        <v>2995</v>
      </c>
      <c r="AG42" t="s">
        <v>4628</v>
      </c>
      <c r="AH42" t="s">
        <v>1828</v>
      </c>
      <c r="AK42" t="s">
        <v>3949</v>
      </c>
      <c r="AZ42" t="s">
        <v>7314</v>
      </c>
      <c r="BF42" t="s">
        <v>7257</v>
      </c>
      <c r="BO42" t="s">
        <v>7189</v>
      </c>
      <c r="BU42" t="s">
        <v>2159</v>
      </c>
      <c r="BW42" t="s">
        <v>7091</v>
      </c>
      <c r="CI42" t="s">
        <v>2288</v>
      </c>
      <c r="DF42" t="s">
        <v>6750</v>
      </c>
      <c r="DH42" t="s">
        <v>6711</v>
      </c>
      <c r="DN42" t="s">
        <v>6626</v>
      </c>
      <c r="DZ42" t="s">
        <v>3251</v>
      </c>
      <c r="ED42" t="s">
        <v>3054</v>
      </c>
      <c r="EI42" t="s">
        <v>2244</v>
      </c>
      <c r="EQ42" t="s">
        <v>6226</v>
      </c>
      <c r="EU42" t="s">
        <v>6159</v>
      </c>
      <c r="FV42" t="s">
        <v>5983</v>
      </c>
      <c r="GE42" t="s">
        <v>1075</v>
      </c>
      <c r="GO42" t="s">
        <v>5808</v>
      </c>
      <c r="HC42" t="s">
        <v>4856</v>
      </c>
      <c r="HV42" t="s">
        <v>5449</v>
      </c>
      <c r="HY42" t="s">
        <v>5367</v>
      </c>
      <c r="IA42" t="s">
        <v>2933</v>
      </c>
      <c r="ID42" t="s">
        <v>5331</v>
      </c>
      <c r="IF42" t="s">
        <v>5281</v>
      </c>
      <c r="IM42" t="s">
        <v>5223</v>
      </c>
      <c r="IT42" t="s">
        <v>5101</v>
      </c>
      <c r="IX42" t="s">
        <v>4969</v>
      </c>
      <c r="JJ42" t="s">
        <v>4859</v>
      </c>
      <c r="JZ42" t="s">
        <v>4746</v>
      </c>
      <c r="KK42" t="s">
        <v>4636</v>
      </c>
      <c r="KS42" t="s">
        <v>4536</v>
      </c>
      <c r="KX42" t="s">
        <v>4428</v>
      </c>
      <c r="LJ42" t="s">
        <v>4317</v>
      </c>
      <c r="LS42" t="s">
        <v>4245</v>
      </c>
      <c r="MB42" t="s">
        <v>4145</v>
      </c>
      <c r="MI42" t="s">
        <v>4093</v>
      </c>
      <c r="MO42" t="s">
        <v>2082</v>
      </c>
      <c r="MU42" t="s">
        <v>3377</v>
      </c>
      <c r="ON42" t="s">
        <v>3546</v>
      </c>
      <c r="OP42" t="s">
        <v>2035</v>
      </c>
      <c r="PB42" t="s">
        <v>3368</v>
      </c>
      <c r="PM42" t="s">
        <v>3270</v>
      </c>
      <c r="PO42" t="s">
        <v>3214</v>
      </c>
      <c r="QC42" t="s">
        <v>2884</v>
      </c>
      <c r="QF42" t="s">
        <v>2797</v>
      </c>
      <c r="QK42" t="s">
        <v>2723</v>
      </c>
      <c r="QQ42" t="s">
        <v>2615</v>
      </c>
      <c r="RT42" t="s">
        <v>2340</v>
      </c>
      <c r="RV42" t="s">
        <v>2225</v>
      </c>
    </row>
    <row r="43" spans="6:490" x14ac:dyDescent="0.25">
      <c r="AA43" t="s">
        <v>7641</v>
      </c>
      <c r="AG43" t="s">
        <v>7563</v>
      </c>
      <c r="AH43" t="s">
        <v>7504</v>
      </c>
      <c r="AK43" t="s">
        <v>2356</v>
      </c>
      <c r="AZ43" t="s">
        <v>4570</v>
      </c>
      <c r="BF43" t="s">
        <v>7258</v>
      </c>
      <c r="BO43" t="s">
        <v>7190</v>
      </c>
      <c r="BU43" t="s">
        <v>1721</v>
      </c>
      <c r="BW43" t="s">
        <v>4105</v>
      </c>
      <c r="CI43" t="s">
        <v>7003</v>
      </c>
      <c r="DF43" t="s">
        <v>6751</v>
      </c>
      <c r="DH43" t="s">
        <v>6712</v>
      </c>
      <c r="DN43" t="s">
        <v>6627</v>
      </c>
      <c r="DZ43" t="s">
        <v>2594</v>
      </c>
      <c r="ED43" t="s">
        <v>6443</v>
      </c>
      <c r="EI43" t="s">
        <v>6372</v>
      </c>
      <c r="EQ43" t="s">
        <v>6227</v>
      </c>
      <c r="EU43" t="s">
        <v>6160</v>
      </c>
      <c r="GE43" t="s">
        <v>2007</v>
      </c>
      <c r="GO43" t="s">
        <v>5809</v>
      </c>
      <c r="HC43" t="s">
        <v>5631</v>
      </c>
      <c r="HV43" t="s">
        <v>5450</v>
      </c>
      <c r="HY43" t="s">
        <v>3214</v>
      </c>
      <c r="IA43" t="s">
        <v>2934</v>
      </c>
      <c r="IF43" t="s">
        <v>5282</v>
      </c>
      <c r="IM43" t="s">
        <v>5224</v>
      </c>
      <c r="IT43" t="s">
        <v>5102</v>
      </c>
      <c r="IX43" t="s">
        <v>3316</v>
      </c>
      <c r="JJ43" t="s">
        <v>4860</v>
      </c>
      <c r="JZ43" t="s">
        <v>2988</v>
      </c>
      <c r="KK43" t="s">
        <v>4637</v>
      </c>
      <c r="KS43" t="s">
        <v>4537</v>
      </c>
      <c r="KX43" t="s">
        <v>4429</v>
      </c>
      <c r="LJ43" t="s">
        <v>1091</v>
      </c>
      <c r="LS43" t="s">
        <v>4246</v>
      </c>
      <c r="MB43" t="s">
        <v>4146</v>
      </c>
      <c r="MI43" t="s">
        <v>4094</v>
      </c>
      <c r="MO43" t="s">
        <v>4018</v>
      </c>
      <c r="MU43" t="s">
        <v>3944</v>
      </c>
      <c r="ON43" t="s">
        <v>2096</v>
      </c>
      <c r="OP43" t="s">
        <v>1703</v>
      </c>
      <c r="PB43" t="s">
        <v>3369</v>
      </c>
      <c r="PM43" t="s">
        <v>3271</v>
      </c>
      <c r="PO43" t="s">
        <v>3215</v>
      </c>
      <c r="QC43" t="s">
        <v>2885</v>
      </c>
      <c r="QF43" t="s">
        <v>2798</v>
      </c>
      <c r="QK43" t="s">
        <v>2724</v>
      </c>
      <c r="QQ43" t="s">
        <v>2616</v>
      </c>
      <c r="RT43" t="s">
        <v>2341</v>
      </c>
      <c r="RV43" t="s">
        <v>2226</v>
      </c>
    </row>
    <row r="44" spans="6:490" x14ac:dyDescent="0.25">
      <c r="AA44" t="s">
        <v>7642</v>
      </c>
      <c r="AG44" t="s">
        <v>5714</v>
      </c>
      <c r="AH44" t="s">
        <v>7334</v>
      </c>
      <c r="AK44" t="s">
        <v>7468</v>
      </c>
      <c r="AZ44" t="s">
        <v>2494</v>
      </c>
      <c r="BO44" t="s">
        <v>7191</v>
      </c>
      <c r="BU44" t="s">
        <v>1399</v>
      </c>
      <c r="BW44" t="s">
        <v>2506</v>
      </c>
      <c r="CI44" t="s">
        <v>4108</v>
      </c>
      <c r="DF44" t="s">
        <v>6752</v>
      </c>
      <c r="DH44" t="s">
        <v>6713</v>
      </c>
      <c r="DN44" t="s">
        <v>6628</v>
      </c>
      <c r="DZ44" t="s">
        <v>6530</v>
      </c>
      <c r="ED44" t="s">
        <v>6444</v>
      </c>
      <c r="EI44" t="s">
        <v>6373</v>
      </c>
      <c r="EQ44" t="s">
        <v>6228</v>
      </c>
      <c r="EU44" t="s">
        <v>4013</v>
      </c>
      <c r="GE44" t="s">
        <v>3325</v>
      </c>
      <c r="GO44" t="s">
        <v>5810</v>
      </c>
      <c r="HC44" t="s">
        <v>5632</v>
      </c>
      <c r="HV44" t="s">
        <v>4391</v>
      </c>
      <c r="HY44" t="s">
        <v>3215</v>
      </c>
      <c r="IA44" t="s">
        <v>2935</v>
      </c>
      <c r="IF44" t="s">
        <v>5283</v>
      </c>
      <c r="IM44" t="s">
        <v>3383</v>
      </c>
      <c r="IT44" t="s">
        <v>5103</v>
      </c>
      <c r="IX44" t="s">
        <v>4970</v>
      </c>
      <c r="JJ44" t="s">
        <v>4861</v>
      </c>
      <c r="JZ44" t="s">
        <v>1944</v>
      </c>
      <c r="KK44" t="s">
        <v>4638</v>
      </c>
      <c r="KS44" t="s">
        <v>2033</v>
      </c>
      <c r="KX44" t="s">
        <v>4430</v>
      </c>
      <c r="LJ44" t="s">
        <v>1666</v>
      </c>
      <c r="LS44" t="s">
        <v>4247</v>
      </c>
      <c r="MB44" t="s">
        <v>4147</v>
      </c>
      <c r="MI44" t="s">
        <v>4095</v>
      </c>
      <c r="MO44" t="s">
        <v>4019</v>
      </c>
      <c r="MU44" t="s">
        <v>3945</v>
      </c>
      <c r="ON44" t="s">
        <v>2653</v>
      </c>
      <c r="OP44" t="s">
        <v>760</v>
      </c>
      <c r="PB44" t="s">
        <v>3370</v>
      </c>
      <c r="PM44" t="s">
        <v>3272</v>
      </c>
      <c r="PO44" t="s">
        <v>3216</v>
      </c>
      <c r="QC44" t="s">
        <v>2886</v>
      </c>
      <c r="QF44" t="s">
        <v>2799</v>
      </c>
      <c r="QK44" t="s">
        <v>2725</v>
      </c>
      <c r="QQ44" t="s">
        <v>2617</v>
      </c>
      <c r="RT44" t="s">
        <v>2342</v>
      </c>
      <c r="RV44" t="s">
        <v>2227</v>
      </c>
    </row>
    <row r="45" spans="6:490" x14ac:dyDescent="0.25">
      <c r="AA45" t="s">
        <v>3133</v>
      </c>
      <c r="AG45" t="s">
        <v>3623</v>
      </c>
      <c r="AH45" t="s">
        <v>1668</v>
      </c>
      <c r="AK45" t="s">
        <v>7469</v>
      </c>
      <c r="AZ45" t="s">
        <v>7315</v>
      </c>
      <c r="BO45" t="s">
        <v>746</v>
      </c>
      <c r="BU45" t="s">
        <v>7125</v>
      </c>
      <c r="BW45" t="s">
        <v>2533</v>
      </c>
      <c r="DF45" t="s">
        <v>852</v>
      </c>
      <c r="DH45" t="s">
        <v>5572</v>
      </c>
      <c r="DN45" t="s">
        <v>6629</v>
      </c>
      <c r="DZ45" t="s">
        <v>6531</v>
      </c>
      <c r="ED45" t="s">
        <v>2515</v>
      </c>
      <c r="EI45" t="s">
        <v>6374</v>
      </c>
      <c r="EQ45" t="s">
        <v>6229</v>
      </c>
      <c r="EU45" t="s">
        <v>2842</v>
      </c>
      <c r="GE45" t="s">
        <v>5913</v>
      </c>
      <c r="GO45" t="s">
        <v>5811</v>
      </c>
      <c r="HC45" t="s">
        <v>5633</v>
      </c>
      <c r="HV45" t="s">
        <v>2792</v>
      </c>
      <c r="HY45" t="s">
        <v>5368</v>
      </c>
      <c r="IA45" t="s">
        <v>2936</v>
      </c>
      <c r="IF45" t="s">
        <v>1075</v>
      </c>
      <c r="IM45" t="s">
        <v>5225</v>
      </c>
      <c r="IT45" t="s">
        <v>2961</v>
      </c>
      <c r="IX45" t="s">
        <v>4971</v>
      </c>
      <c r="JJ45" t="s">
        <v>4862</v>
      </c>
      <c r="JZ45" t="s">
        <v>4747</v>
      </c>
      <c r="KK45" t="s">
        <v>3263</v>
      </c>
      <c r="KS45" t="s">
        <v>4538</v>
      </c>
      <c r="KX45" t="s">
        <v>768</v>
      </c>
      <c r="LJ45" t="s">
        <v>4318</v>
      </c>
      <c r="LS45" t="s">
        <v>4248</v>
      </c>
      <c r="MB45" t="s">
        <v>4148</v>
      </c>
      <c r="MI45" t="s">
        <v>3286</v>
      </c>
      <c r="MO45" t="s">
        <v>4020</v>
      </c>
      <c r="MU45" t="s">
        <v>2570</v>
      </c>
      <c r="ON45" t="s">
        <v>3547</v>
      </c>
      <c r="PB45" t="s">
        <v>3371</v>
      </c>
      <c r="PM45" t="s">
        <v>3273</v>
      </c>
      <c r="PO45" t="s">
        <v>3217</v>
      </c>
      <c r="QC45" t="s">
        <v>2887</v>
      </c>
      <c r="QF45" t="s">
        <v>2075</v>
      </c>
      <c r="QK45" t="s">
        <v>2726</v>
      </c>
      <c r="QQ45" t="s">
        <v>2530</v>
      </c>
      <c r="RV45" t="s">
        <v>2228</v>
      </c>
    </row>
    <row r="46" spans="6:490" x14ac:dyDescent="0.25">
      <c r="AA46" t="s">
        <v>4237</v>
      </c>
      <c r="AG46" t="s">
        <v>7564</v>
      </c>
      <c r="AH46" t="s">
        <v>3677</v>
      </c>
      <c r="AK46" t="s">
        <v>7470</v>
      </c>
      <c r="AZ46" t="s">
        <v>3583</v>
      </c>
      <c r="BO46" t="s">
        <v>7192</v>
      </c>
      <c r="BU46" t="s">
        <v>7126</v>
      </c>
      <c r="BW46" t="s">
        <v>2536</v>
      </c>
      <c r="DF46" t="s">
        <v>6753</v>
      </c>
      <c r="DH46" t="s">
        <v>6714</v>
      </c>
      <c r="DN46" t="s">
        <v>6630</v>
      </c>
      <c r="DZ46" t="s">
        <v>6532</v>
      </c>
      <c r="ED46" t="s">
        <v>6445</v>
      </c>
      <c r="EI46" t="s">
        <v>6375</v>
      </c>
      <c r="EQ46" t="s">
        <v>6230</v>
      </c>
      <c r="EU46" t="s">
        <v>6161</v>
      </c>
      <c r="GE46" t="s">
        <v>5914</v>
      </c>
      <c r="GO46" t="s">
        <v>2981</v>
      </c>
      <c r="HC46" t="s">
        <v>5634</v>
      </c>
      <c r="HV46" t="s">
        <v>5451</v>
      </c>
      <c r="HY46" t="s">
        <v>4781</v>
      </c>
      <c r="IA46" t="s">
        <v>2937</v>
      </c>
      <c r="IF46" t="s">
        <v>5284</v>
      </c>
      <c r="IM46" t="s">
        <v>5226</v>
      </c>
      <c r="IT46" t="s">
        <v>5104</v>
      </c>
      <c r="IX46" t="s">
        <v>4972</v>
      </c>
      <c r="JJ46" t="s">
        <v>4863</v>
      </c>
      <c r="JZ46" t="s">
        <v>4748</v>
      </c>
      <c r="KK46" t="s">
        <v>4639</v>
      </c>
      <c r="KS46" t="s">
        <v>4539</v>
      </c>
      <c r="KX46" t="s">
        <v>4431</v>
      </c>
      <c r="LJ46" t="s">
        <v>4319</v>
      </c>
      <c r="LS46" t="s">
        <v>2291</v>
      </c>
      <c r="MB46" t="s">
        <v>4149</v>
      </c>
      <c r="MI46" t="s">
        <v>4096</v>
      </c>
      <c r="MO46" t="s">
        <v>4021</v>
      </c>
      <c r="MU46" t="s">
        <v>3946</v>
      </c>
      <c r="ON46" t="s">
        <v>3548</v>
      </c>
      <c r="PB46" t="s">
        <v>3372</v>
      </c>
      <c r="PM46" t="s">
        <v>3274</v>
      </c>
      <c r="PO46" t="s">
        <v>1548</v>
      </c>
      <c r="QC46" t="s">
        <v>2888</v>
      </c>
      <c r="QF46" t="s">
        <v>2800</v>
      </c>
      <c r="QK46" t="s">
        <v>2727</v>
      </c>
      <c r="QQ46" t="s">
        <v>2618</v>
      </c>
      <c r="RV46" t="s">
        <v>2182</v>
      </c>
    </row>
    <row r="47" spans="6:490" x14ac:dyDescent="0.25">
      <c r="AA47" t="s">
        <v>7643</v>
      </c>
      <c r="AG47" t="s">
        <v>7565</v>
      </c>
      <c r="AH47" t="s">
        <v>5272</v>
      </c>
      <c r="AK47" t="s">
        <v>7471</v>
      </c>
      <c r="AZ47" t="s">
        <v>7316</v>
      </c>
      <c r="BO47" t="s">
        <v>7193</v>
      </c>
      <c r="BU47" t="s">
        <v>4431</v>
      </c>
      <c r="DF47" t="s">
        <v>1947</v>
      </c>
      <c r="DN47" t="s">
        <v>6631</v>
      </c>
      <c r="DZ47" t="s">
        <v>3203</v>
      </c>
      <c r="ED47" t="s">
        <v>3862</v>
      </c>
      <c r="EI47" t="s">
        <v>2174</v>
      </c>
      <c r="EQ47" t="s">
        <v>6231</v>
      </c>
      <c r="EU47" t="s">
        <v>4181</v>
      </c>
      <c r="GE47" t="s">
        <v>5290</v>
      </c>
      <c r="GO47" t="s">
        <v>4052</v>
      </c>
      <c r="HC47" t="s">
        <v>5635</v>
      </c>
      <c r="HV47" t="s">
        <v>5452</v>
      </c>
      <c r="HY47" t="s">
        <v>2252</v>
      </c>
      <c r="IA47" t="s">
        <v>2938</v>
      </c>
      <c r="IF47" t="s">
        <v>5285</v>
      </c>
      <c r="IM47" t="s">
        <v>5227</v>
      </c>
      <c r="IT47" t="s">
        <v>5105</v>
      </c>
      <c r="IX47" t="s">
        <v>4973</v>
      </c>
      <c r="JJ47" t="s">
        <v>4864</v>
      </c>
      <c r="JZ47" t="s">
        <v>4749</v>
      </c>
      <c r="KK47" t="s">
        <v>4640</v>
      </c>
      <c r="KS47" t="s">
        <v>4540</v>
      </c>
      <c r="KX47" t="s">
        <v>748</v>
      </c>
      <c r="LJ47" t="s">
        <v>4320</v>
      </c>
      <c r="LS47" t="s">
        <v>2153</v>
      </c>
      <c r="MB47" t="s">
        <v>4150</v>
      </c>
      <c r="MI47" t="s">
        <v>4097</v>
      </c>
      <c r="MO47" t="s">
        <v>4022</v>
      </c>
      <c r="MU47" t="s">
        <v>2412</v>
      </c>
      <c r="ON47" t="s">
        <v>3549</v>
      </c>
      <c r="PB47" t="s">
        <v>3373</v>
      </c>
      <c r="PM47" t="s">
        <v>3275</v>
      </c>
      <c r="PO47" t="s">
        <v>3218</v>
      </c>
      <c r="QC47" t="s">
        <v>2889</v>
      </c>
      <c r="QF47" t="s">
        <v>2801</v>
      </c>
      <c r="QK47" t="s">
        <v>768</v>
      </c>
      <c r="QQ47" t="s">
        <v>747</v>
      </c>
      <c r="RV47" t="s">
        <v>2229</v>
      </c>
    </row>
    <row r="48" spans="6:490" x14ac:dyDescent="0.25">
      <c r="AA48" t="s">
        <v>3664</v>
      </c>
      <c r="AG48" t="s">
        <v>7566</v>
      </c>
      <c r="AH48" t="s">
        <v>7505</v>
      </c>
      <c r="AK48" t="s">
        <v>6496</v>
      </c>
      <c r="AZ48" t="s">
        <v>7317</v>
      </c>
      <c r="BO48" t="s">
        <v>7194</v>
      </c>
      <c r="BU48" t="s">
        <v>7127</v>
      </c>
      <c r="DF48" t="s">
        <v>5464</v>
      </c>
      <c r="DN48" t="s">
        <v>4028</v>
      </c>
      <c r="DZ48" t="s">
        <v>6533</v>
      </c>
      <c r="ED48" t="s">
        <v>6446</v>
      </c>
      <c r="EI48" t="s">
        <v>5128</v>
      </c>
      <c r="EQ48" t="s">
        <v>6232</v>
      </c>
      <c r="EU48" t="s">
        <v>6162</v>
      </c>
      <c r="GE48" t="s">
        <v>3591</v>
      </c>
      <c r="GO48" t="s">
        <v>2984</v>
      </c>
      <c r="HC48" t="s">
        <v>1306</v>
      </c>
      <c r="HV48" t="s">
        <v>1927</v>
      </c>
      <c r="HY48" t="s">
        <v>3437</v>
      </c>
      <c r="IA48" t="s">
        <v>2939</v>
      </c>
      <c r="IF48" t="s">
        <v>5286</v>
      </c>
      <c r="IM48" t="s">
        <v>5228</v>
      </c>
      <c r="IT48" t="s">
        <v>5106</v>
      </c>
      <c r="IX48" t="s">
        <v>4974</v>
      </c>
      <c r="JJ48" t="s">
        <v>4865</v>
      </c>
      <c r="JZ48" t="s">
        <v>2248</v>
      </c>
      <c r="KK48" t="s">
        <v>4641</v>
      </c>
      <c r="KS48" t="s">
        <v>4541</v>
      </c>
      <c r="KX48" t="s">
        <v>4432</v>
      </c>
      <c r="LJ48" t="s">
        <v>4321</v>
      </c>
      <c r="LS48" t="s">
        <v>3711</v>
      </c>
      <c r="MB48" t="s">
        <v>4151</v>
      </c>
      <c r="MO48" t="s">
        <v>2419</v>
      </c>
      <c r="MU48" t="s">
        <v>2007</v>
      </c>
      <c r="ON48" t="s">
        <v>3550</v>
      </c>
      <c r="PB48" t="s">
        <v>1948</v>
      </c>
      <c r="PM48" t="s">
        <v>2007</v>
      </c>
      <c r="PO48" t="s">
        <v>3219</v>
      </c>
      <c r="QC48" t="s">
        <v>2890</v>
      </c>
      <c r="QF48" t="s">
        <v>2802</v>
      </c>
      <c r="QK48" t="s">
        <v>2728</v>
      </c>
      <c r="QQ48" t="s">
        <v>2619</v>
      </c>
      <c r="RV48" t="s">
        <v>2230</v>
      </c>
    </row>
    <row r="49" spans="27:490" x14ac:dyDescent="0.25">
      <c r="AA49" t="s">
        <v>4189</v>
      </c>
      <c r="AG49" t="s">
        <v>7567</v>
      </c>
      <c r="AH49" t="s">
        <v>2995</v>
      </c>
      <c r="AK49" t="s">
        <v>3283</v>
      </c>
      <c r="AZ49" t="s">
        <v>7318</v>
      </c>
      <c r="BO49" t="s">
        <v>7195</v>
      </c>
      <c r="BU49" t="s">
        <v>7128</v>
      </c>
      <c r="DF49" t="s">
        <v>4101</v>
      </c>
      <c r="DN49" t="s">
        <v>6632</v>
      </c>
      <c r="DZ49" t="s">
        <v>6534</v>
      </c>
      <c r="ED49" t="s">
        <v>3232</v>
      </c>
      <c r="EI49" t="s">
        <v>6376</v>
      </c>
      <c r="EQ49" t="s">
        <v>6233</v>
      </c>
      <c r="EU49" t="s">
        <v>3823</v>
      </c>
      <c r="GE49" t="s">
        <v>3281</v>
      </c>
      <c r="GO49" t="s">
        <v>5812</v>
      </c>
      <c r="HC49" t="s">
        <v>5636</v>
      </c>
      <c r="HV49" t="s">
        <v>5453</v>
      </c>
      <c r="HY49" t="s">
        <v>1042</v>
      </c>
      <c r="IA49" t="s">
        <v>2940</v>
      </c>
      <c r="IF49" t="s">
        <v>5287</v>
      </c>
      <c r="IM49" t="s">
        <v>5229</v>
      </c>
      <c r="IT49" t="s">
        <v>5107</v>
      </c>
      <c r="IX49" t="s">
        <v>4975</v>
      </c>
      <c r="JJ49" t="s">
        <v>3297</v>
      </c>
      <c r="JZ49" t="s">
        <v>2061</v>
      </c>
      <c r="KK49" t="s">
        <v>3971</v>
      </c>
      <c r="KS49" t="s">
        <v>4542</v>
      </c>
      <c r="KX49" t="s">
        <v>4433</v>
      </c>
      <c r="LJ49" t="s">
        <v>4322</v>
      </c>
      <c r="LS49" t="s">
        <v>4249</v>
      </c>
      <c r="MB49" t="s">
        <v>4152</v>
      </c>
      <c r="MO49" t="s">
        <v>4023</v>
      </c>
      <c r="MU49" t="s">
        <v>3947</v>
      </c>
      <c r="ON49" t="s">
        <v>3551</v>
      </c>
      <c r="PB49" t="s">
        <v>743</v>
      </c>
      <c r="PM49" t="s">
        <v>3276</v>
      </c>
      <c r="PO49" t="s">
        <v>3016</v>
      </c>
      <c r="QC49" t="s">
        <v>2891</v>
      </c>
      <c r="QF49" t="s">
        <v>2803</v>
      </c>
      <c r="QK49" t="s">
        <v>2729</v>
      </c>
      <c r="QQ49" t="s">
        <v>2620</v>
      </c>
      <c r="RV49" t="s">
        <v>2231</v>
      </c>
    </row>
    <row r="50" spans="27:490" x14ac:dyDescent="0.25">
      <c r="AA50" t="s">
        <v>5003</v>
      </c>
      <c r="AG50" t="s">
        <v>7568</v>
      </c>
      <c r="AH50" t="s">
        <v>7506</v>
      </c>
      <c r="AK50" t="s">
        <v>6769</v>
      </c>
      <c r="AZ50" t="s">
        <v>7319</v>
      </c>
      <c r="BO50" t="s">
        <v>7196</v>
      </c>
      <c r="BU50" t="s">
        <v>748</v>
      </c>
      <c r="DF50" t="s">
        <v>6106</v>
      </c>
      <c r="DN50" t="s">
        <v>6633</v>
      </c>
      <c r="DZ50" t="s">
        <v>6535</v>
      </c>
      <c r="ED50" t="s">
        <v>6447</v>
      </c>
      <c r="EI50" t="s">
        <v>6377</v>
      </c>
      <c r="EQ50" t="s">
        <v>6234</v>
      </c>
      <c r="EU50" t="s">
        <v>6163</v>
      </c>
      <c r="GE50" t="s">
        <v>5915</v>
      </c>
      <c r="GO50" t="s">
        <v>1967</v>
      </c>
      <c r="HC50" t="s">
        <v>5313</v>
      </c>
      <c r="HV50" t="s">
        <v>5454</v>
      </c>
      <c r="HY50" t="s">
        <v>2553</v>
      </c>
      <c r="IA50" t="s">
        <v>2941</v>
      </c>
      <c r="IF50" t="s">
        <v>5288</v>
      </c>
      <c r="IM50" t="s">
        <v>1679</v>
      </c>
      <c r="IT50" t="s">
        <v>2705</v>
      </c>
      <c r="IX50" t="s">
        <v>4742</v>
      </c>
      <c r="JJ50" t="s">
        <v>4866</v>
      </c>
      <c r="JZ50" t="s">
        <v>4750</v>
      </c>
      <c r="KK50" t="s">
        <v>4642</v>
      </c>
      <c r="KS50" t="s">
        <v>4543</v>
      </c>
      <c r="KX50" t="s">
        <v>2031</v>
      </c>
      <c r="LJ50" t="s">
        <v>4323</v>
      </c>
      <c r="MB50" t="s">
        <v>4153</v>
      </c>
      <c r="MO50" t="s">
        <v>4024</v>
      </c>
      <c r="MU50" t="s">
        <v>787</v>
      </c>
      <c r="ON50" t="s">
        <v>3552</v>
      </c>
      <c r="PB50" t="s">
        <v>3374</v>
      </c>
      <c r="PM50" t="s">
        <v>3277</v>
      </c>
      <c r="PO50" t="s">
        <v>1698</v>
      </c>
      <c r="QC50" t="s">
        <v>2892</v>
      </c>
      <c r="QF50" t="s">
        <v>2804</v>
      </c>
      <c r="QK50" t="s">
        <v>2730</v>
      </c>
      <c r="QQ50" t="s">
        <v>2621</v>
      </c>
      <c r="RV50" t="s">
        <v>2232</v>
      </c>
    </row>
    <row r="51" spans="27:490" x14ac:dyDescent="0.25">
      <c r="AA51" t="s">
        <v>7644</v>
      </c>
      <c r="AG51" t="s">
        <v>7569</v>
      </c>
      <c r="AH51" t="s">
        <v>2805</v>
      </c>
      <c r="AK51" t="s">
        <v>2288</v>
      </c>
      <c r="AZ51" t="s">
        <v>7320</v>
      </c>
      <c r="BO51" t="s">
        <v>7197</v>
      </c>
      <c r="BU51" t="s">
        <v>7129</v>
      </c>
      <c r="DF51" t="s">
        <v>5002</v>
      </c>
      <c r="DN51" t="s">
        <v>6634</v>
      </c>
      <c r="DZ51" t="s">
        <v>6536</v>
      </c>
      <c r="ED51" t="s">
        <v>6448</v>
      </c>
      <c r="EI51" t="s">
        <v>6378</v>
      </c>
      <c r="EQ51" t="s">
        <v>887</v>
      </c>
      <c r="EU51" t="s">
        <v>6164</v>
      </c>
      <c r="GE51" t="s">
        <v>5916</v>
      </c>
      <c r="GO51" t="s">
        <v>5813</v>
      </c>
      <c r="HC51" t="s">
        <v>5637</v>
      </c>
      <c r="HV51" t="s">
        <v>5455</v>
      </c>
      <c r="HY51" t="s">
        <v>1149</v>
      </c>
      <c r="IA51" t="s">
        <v>2942</v>
      </c>
      <c r="IF51" t="s">
        <v>5289</v>
      </c>
      <c r="IM51" t="s">
        <v>3290</v>
      </c>
      <c r="IT51" t="s">
        <v>5108</v>
      </c>
      <c r="IX51" t="s">
        <v>4976</v>
      </c>
      <c r="JJ51" t="s">
        <v>2132</v>
      </c>
      <c r="JZ51" t="s">
        <v>4085</v>
      </c>
      <c r="KK51" t="s">
        <v>4643</v>
      </c>
      <c r="KS51" t="s">
        <v>4544</v>
      </c>
      <c r="KX51" t="s">
        <v>4434</v>
      </c>
      <c r="LJ51" t="s">
        <v>2653</v>
      </c>
      <c r="MB51" t="s">
        <v>4154</v>
      </c>
      <c r="MO51" t="s">
        <v>4025</v>
      </c>
      <c r="MU51" t="s">
        <v>3948</v>
      </c>
      <c r="ON51" t="s">
        <v>3553</v>
      </c>
      <c r="PB51" t="s">
        <v>3375</v>
      </c>
      <c r="PM51" t="s">
        <v>3278</v>
      </c>
      <c r="PO51" t="s">
        <v>2610</v>
      </c>
      <c r="QC51" s="15" t="s">
        <v>6888</v>
      </c>
      <c r="QF51" t="s">
        <v>2805</v>
      </c>
      <c r="QK51" t="s">
        <v>2731</v>
      </c>
      <c r="QQ51" t="s">
        <v>2622</v>
      </c>
      <c r="RV51" t="s">
        <v>2233</v>
      </c>
    </row>
    <row r="52" spans="27:490" x14ac:dyDescent="0.25">
      <c r="AA52" t="s">
        <v>4334</v>
      </c>
      <c r="AG52" t="s">
        <v>7570</v>
      </c>
      <c r="AH52" t="s">
        <v>7507</v>
      </c>
      <c r="AK52" t="s">
        <v>4770</v>
      </c>
      <c r="AZ52" t="s">
        <v>2961</v>
      </c>
      <c r="BO52" t="s">
        <v>6570</v>
      </c>
      <c r="BU52" t="s">
        <v>7130</v>
      </c>
      <c r="DF52" t="s">
        <v>6754</v>
      </c>
      <c r="DN52" t="s">
        <v>6635</v>
      </c>
      <c r="DZ52" t="s">
        <v>6537</v>
      </c>
      <c r="EI52" t="s">
        <v>6379</v>
      </c>
      <c r="EQ52" t="s">
        <v>6235</v>
      </c>
      <c r="EU52" t="s">
        <v>6165</v>
      </c>
      <c r="GE52" t="s">
        <v>747</v>
      </c>
      <c r="GO52" t="s">
        <v>1944</v>
      </c>
      <c r="HC52" t="s">
        <v>5638</v>
      </c>
      <c r="HV52" t="s">
        <v>5456</v>
      </c>
      <c r="HY52" t="s">
        <v>2261</v>
      </c>
      <c r="IA52" t="s">
        <v>2943</v>
      </c>
      <c r="IF52" t="s">
        <v>5290</v>
      </c>
      <c r="IM52" t="s">
        <v>5230</v>
      </c>
      <c r="IT52" t="s">
        <v>4413</v>
      </c>
      <c r="IX52" t="s">
        <v>4977</v>
      </c>
      <c r="JJ52" t="s">
        <v>2405</v>
      </c>
      <c r="JZ52" t="s">
        <v>4751</v>
      </c>
      <c r="KK52" t="s">
        <v>4644</v>
      </c>
      <c r="KS52" t="s">
        <v>4545</v>
      </c>
      <c r="KX52" t="s">
        <v>3054</v>
      </c>
      <c r="LJ52" t="s">
        <v>4324</v>
      </c>
      <c r="MB52" t="s">
        <v>4155</v>
      </c>
      <c r="MO52" t="s">
        <v>4026</v>
      </c>
      <c r="MU52" t="s">
        <v>3949</v>
      </c>
      <c r="ON52" t="s">
        <v>3554</v>
      </c>
      <c r="PB52" t="s">
        <v>3376</v>
      </c>
      <c r="PM52" t="s">
        <v>3279</v>
      </c>
      <c r="PO52" t="s">
        <v>3220</v>
      </c>
      <c r="QC52" t="s">
        <v>2893</v>
      </c>
      <c r="QF52" t="s">
        <v>2806</v>
      </c>
      <c r="QK52" t="s">
        <v>2732</v>
      </c>
      <c r="QQ52" t="s">
        <v>2623</v>
      </c>
      <c r="RV52" t="s">
        <v>2234</v>
      </c>
    </row>
    <row r="53" spans="27:490" x14ac:dyDescent="0.25">
      <c r="AA53" t="s">
        <v>7645</v>
      </c>
      <c r="AG53" t="s">
        <v>7571</v>
      </c>
      <c r="AH53" t="s">
        <v>1539</v>
      </c>
      <c r="AZ53" t="s">
        <v>4384</v>
      </c>
      <c r="BU53" t="s">
        <v>757</v>
      </c>
      <c r="DF53" t="s">
        <v>2419</v>
      </c>
      <c r="DN53" t="s">
        <v>6636</v>
      </c>
      <c r="DZ53" t="s">
        <v>6538</v>
      </c>
      <c r="EI53" t="s">
        <v>6380</v>
      </c>
      <c r="EQ53" t="s">
        <v>6236</v>
      </c>
      <c r="EU53" t="s">
        <v>6166</v>
      </c>
      <c r="GE53" t="s">
        <v>2506</v>
      </c>
      <c r="GO53" t="s">
        <v>5814</v>
      </c>
      <c r="HC53" t="s">
        <v>5639</v>
      </c>
      <c r="HV53" t="s">
        <v>5457</v>
      </c>
      <c r="HY53" t="s">
        <v>3021</v>
      </c>
      <c r="IA53" t="s">
        <v>2944</v>
      </c>
      <c r="IF53" t="s">
        <v>5030</v>
      </c>
      <c r="IM53" t="s">
        <v>5231</v>
      </c>
      <c r="IT53" t="s">
        <v>5109</v>
      </c>
      <c r="IX53" t="s">
        <v>4978</v>
      </c>
      <c r="JJ53" t="s">
        <v>2004</v>
      </c>
      <c r="JZ53" t="s">
        <v>4752</v>
      </c>
      <c r="KK53" t="s">
        <v>1901</v>
      </c>
      <c r="KS53" t="s">
        <v>4546</v>
      </c>
      <c r="KX53" t="s">
        <v>4435</v>
      </c>
      <c r="LJ53" t="s">
        <v>3548</v>
      </c>
      <c r="MB53" t="s">
        <v>4156</v>
      </c>
      <c r="MO53" t="s">
        <v>4027</v>
      </c>
      <c r="MU53" t="s">
        <v>751</v>
      </c>
      <c r="ON53" t="s">
        <v>3555</v>
      </c>
      <c r="PB53" t="s">
        <v>3377</v>
      </c>
      <c r="PM53" t="s">
        <v>3280</v>
      </c>
      <c r="PO53" t="s">
        <v>3221</v>
      </c>
      <c r="QC53" t="s">
        <v>2894</v>
      </c>
      <c r="QF53" t="s">
        <v>2807</v>
      </c>
      <c r="QK53" t="s">
        <v>2733</v>
      </c>
      <c r="QQ53" t="s">
        <v>2624</v>
      </c>
      <c r="RV53" t="s">
        <v>2235</v>
      </c>
    </row>
    <row r="54" spans="27:490" x14ac:dyDescent="0.25">
      <c r="AA54" t="s">
        <v>7646</v>
      </c>
      <c r="AG54" t="s">
        <v>7572</v>
      </c>
      <c r="AH54" t="s">
        <v>7508</v>
      </c>
      <c r="AZ54" t="s">
        <v>7321</v>
      </c>
      <c r="BU54" t="s">
        <v>1571</v>
      </c>
      <c r="DF54" t="s">
        <v>6755</v>
      </c>
      <c r="DN54" t="s">
        <v>6637</v>
      </c>
      <c r="DZ54" t="s">
        <v>1370</v>
      </c>
      <c r="EI54" t="s">
        <v>6381</v>
      </c>
      <c r="EQ54" t="s">
        <v>1890</v>
      </c>
      <c r="EU54" t="s">
        <v>6167</v>
      </c>
      <c r="GE54" t="s">
        <v>1413</v>
      </c>
      <c r="GO54" t="s">
        <v>3971</v>
      </c>
      <c r="HC54" t="s">
        <v>5640</v>
      </c>
      <c r="HV54" t="s">
        <v>5458</v>
      </c>
      <c r="HY54" t="s">
        <v>5369</v>
      </c>
      <c r="IA54" t="s">
        <v>2945</v>
      </c>
      <c r="IF54" t="s">
        <v>5291</v>
      </c>
      <c r="IM54" t="s">
        <v>4108</v>
      </c>
      <c r="IT54" t="s">
        <v>5110</v>
      </c>
      <c r="IX54" t="s">
        <v>3130</v>
      </c>
      <c r="JJ54" t="s">
        <v>4867</v>
      </c>
      <c r="JZ54" t="s">
        <v>4753</v>
      </c>
      <c r="KK54" t="s">
        <v>4645</v>
      </c>
      <c r="KS54" t="s">
        <v>2181</v>
      </c>
      <c r="KX54" t="s">
        <v>4436</v>
      </c>
      <c r="LJ54" t="s">
        <v>4325</v>
      </c>
      <c r="MO54" t="s">
        <v>2039</v>
      </c>
      <c r="MU54" t="s">
        <v>2449</v>
      </c>
      <c r="ON54" t="s">
        <v>1399</v>
      </c>
      <c r="PB54" t="s">
        <v>3378</v>
      </c>
      <c r="PM54" t="s">
        <v>3070</v>
      </c>
      <c r="PO54" t="s">
        <v>2052</v>
      </c>
      <c r="QC54" t="s">
        <v>785</v>
      </c>
      <c r="QF54" t="s">
        <v>2808</v>
      </c>
      <c r="QK54" t="s">
        <v>2734</v>
      </c>
      <c r="RV54" t="s">
        <v>2236</v>
      </c>
    </row>
    <row r="55" spans="27:490" x14ac:dyDescent="0.25">
      <c r="AA55" t="s">
        <v>7647</v>
      </c>
      <c r="AG55" t="s">
        <v>7573</v>
      </c>
      <c r="AH55" t="s">
        <v>4754</v>
      </c>
      <c r="AZ55" t="s">
        <v>776</v>
      </c>
      <c r="BU55" t="s">
        <v>7131</v>
      </c>
      <c r="DF55" t="s">
        <v>4755</v>
      </c>
      <c r="DN55" t="s">
        <v>6638</v>
      </c>
      <c r="DZ55" t="s">
        <v>6539</v>
      </c>
      <c r="EI55" t="s">
        <v>1702</v>
      </c>
      <c r="EQ55" t="s">
        <v>6237</v>
      </c>
      <c r="EU55" t="s">
        <v>1546</v>
      </c>
      <c r="GO55" t="s">
        <v>2497</v>
      </c>
      <c r="HC55" t="s">
        <v>5641</v>
      </c>
      <c r="HV55" t="s">
        <v>5459</v>
      </c>
      <c r="HY55" t="s">
        <v>5370</v>
      </c>
      <c r="IA55" t="s">
        <v>2946</v>
      </c>
      <c r="IF55" t="s">
        <v>3080</v>
      </c>
      <c r="IM55" t="s">
        <v>3120</v>
      </c>
      <c r="IT55" t="s">
        <v>5111</v>
      </c>
      <c r="IX55" t="s">
        <v>4979</v>
      </c>
      <c r="JJ55" t="s">
        <v>4868</v>
      </c>
      <c r="JZ55" t="s">
        <v>4200</v>
      </c>
      <c r="KK55" t="s">
        <v>4646</v>
      </c>
      <c r="KS55" t="s">
        <v>4547</v>
      </c>
      <c r="KX55" t="s">
        <v>4437</v>
      </c>
      <c r="LJ55" t="s">
        <v>4326</v>
      </c>
      <c r="MO55" t="s">
        <v>4028</v>
      </c>
      <c r="MU55" t="s">
        <v>3950</v>
      </c>
      <c r="ON55" t="s">
        <v>3556</v>
      </c>
      <c r="PB55" t="s">
        <v>2122</v>
      </c>
      <c r="PM55" t="s">
        <v>3281</v>
      </c>
      <c r="PO55" t="s">
        <v>2412</v>
      </c>
      <c r="QC55" t="s">
        <v>2153</v>
      </c>
      <c r="QF55" t="s">
        <v>2809</v>
      </c>
      <c r="QK55" t="s">
        <v>2735</v>
      </c>
      <c r="RV55" t="s">
        <v>2237</v>
      </c>
    </row>
    <row r="56" spans="27:490" x14ac:dyDescent="0.25">
      <c r="AA56" t="s">
        <v>2732</v>
      </c>
      <c r="AG56" t="s">
        <v>7574</v>
      </c>
      <c r="AH56" t="s">
        <v>7509</v>
      </c>
      <c r="AZ56" t="s">
        <v>7322</v>
      </c>
      <c r="BU56" t="s">
        <v>7132</v>
      </c>
      <c r="DF56" t="s">
        <v>2261</v>
      </c>
      <c r="DN56" t="s">
        <v>2282</v>
      </c>
      <c r="DZ56" t="s">
        <v>6540</v>
      </c>
      <c r="EI56" t="s">
        <v>6382</v>
      </c>
      <c r="EQ56" t="s">
        <v>1939</v>
      </c>
      <c r="EU56" t="s">
        <v>5001</v>
      </c>
      <c r="GO56" t="s">
        <v>1701</v>
      </c>
      <c r="HC56" t="s">
        <v>5642</v>
      </c>
      <c r="HV56" t="s">
        <v>5460</v>
      </c>
      <c r="HY56" t="s">
        <v>2410</v>
      </c>
      <c r="IA56" t="s">
        <v>2947</v>
      </c>
      <c r="IF56" t="s">
        <v>5292</v>
      </c>
      <c r="IM56" t="s">
        <v>5232</v>
      </c>
      <c r="IT56" t="s">
        <v>5112</v>
      </c>
      <c r="IX56" t="s">
        <v>4980</v>
      </c>
      <c r="JJ56" t="s">
        <v>4869</v>
      </c>
      <c r="JZ56" t="s">
        <v>4754</v>
      </c>
      <c r="KK56" t="s">
        <v>4647</v>
      </c>
      <c r="KS56" t="s">
        <v>4548</v>
      </c>
      <c r="KX56" t="s">
        <v>4438</v>
      </c>
      <c r="LJ56" t="s">
        <v>4327</v>
      </c>
      <c r="MO56" t="s">
        <v>3161</v>
      </c>
      <c r="MU56" t="s">
        <v>3951</v>
      </c>
      <c r="ON56" t="s">
        <v>3024</v>
      </c>
      <c r="PB56" t="s">
        <v>3379</v>
      </c>
      <c r="PM56" t="s">
        <v>3282</v>
      </c>
      <c r="PO56" t="s">
        <v>3222</v>
      </c>
      <c r="QC56" t="s">
        <v>2895</v>
      </c>
      <c r="QF56" t="s">
        <v>2810</v>
      </c>
      <c r="QK56" t="s">
        <v>2282</v>
      </c>
      <c r="RV56" t="s">
        <v>2238</v>
      </c>
    </row>
    <row r="57" spans="27:490" x14ac:dyDescent="0.25">
      <c r="AA57" t="s">
        <v>7648</v>
      </c>
      <c r="AG57" t="s">
        <v>6252</v>
      </c>
      <c r="AH57" t="s">
        <v>7510</v>
      </c>
      <c r="AZ57" t="s">
        <v>5505</v>
      </c>
      <c r="BU57" t="s">
        <v>780</v>
      </c>
      <c r="DF57" t="s">
        <v>6416</v>
      </c>
      <c r="DN57" t="s">
        <v>6639</v>
      </c>
      <c r="DZ57" t="s">
        <v>5885</v>
      </c>
      <c r="EI57" t="s">
        <v>4572</v>
      </c>
      <c r="EQ57" t="s">
        <v>3898</v>
      </c>
      <c r="EU57" t="s">
        <v>6168</v>
      </c>
      <c r="GO57" t="s">
        <v>5815</v>
      </c>
      <c r="HC57" t="s">
        <v>5643</v>
      </c>
      <c r="HV57" t="s">
        <v>3212</v>
      </c>
      <c r="HY57" t="s">
        <v>5371</v>
      </c>
      <c r="IA57" t="s">
        <v>2948</v>
      </c>
      <c r="IF57" t="s">
        <v>4825</v>
      </c>
      <c r="IT57" t="s">
        <v>5113</v>
      </c>
      <c r="IX57" t="s">
        <v>4981</v>
      </c>
      <c r="JJ57" t="s">
        <v>4870</v>
      </c>
      <c r="JZ57" t="s">
        <v>3014</v>
      </c>
      <c r="KK57" t="s">
        <v>2570</v>
      </c>
      <c r="KS57" t="s">
        <v>4549</v>
      </c>
      <c r="KX57" t="s">
        <v>4439</v>
      </c>
      <c r="LJ57" t="s">
        <v>4328</v>
      </c>
      <c r="MO57" t="s">
        <v>4029</v>
      </c>
      <c r="MU57" t="s">
        <v>3952</v>
      </c>
      <c r="ON57" t="s">
        <v>3557</v>
      </c>
      <c r="PB57" t="s">
        <v>3380</v>
      </c>
      <c r="PM57" t="s">
        <v>1648</v>
      </c>
      <c r="PO57" t="s">
        <v>3223</v>
      </c>
      <c r="QF57" t="s">
        <v>2811</v>
      </c>
      <c r="QK57" t="s">
        <v>774</v>
      </c>
      <c r="RV57" t="s">
        <v>1967</v>
      </c>
    </row>
    <row r="58" spans="27:490" x14ac:dyDescent="0.25">
      <c r="AA58" t="s">
        <v>7649</v>
      </c>
      <c r="AG58" t="s">
        <v>7575</v>
      </c>
      <c r="AH58" t="s">
        <v>6266</v>
      </c>
      <c r="AZ58" t="s">
        <v>7323</v>
      </c>
      <c r="BU58" t="s">
        <v>7133</v>
      </c>
      <c r="DF58" t="s">
        <v>6756</v>
      </c>
      <c r="DN58" t="s">
        <v>6640</v>
      </c>
      <c r="DZ58" t="s">
        <v>5193</v>
      </c>
      <c r="EI58" t="s">
        <v>6383</v>
      </c>
      <c r="EQ58" t="s">
        <v>2217</v>
      </c>
      <c r="EU58" t="s">
        <v>4530</v>
      </c>
      <c r="GO58" t="s">
        <v>5464</v>
      </c>
      <c r="HC58" t="s">
        <v>5644</v>
      </c>
      <c r="HV58" t="s">
        <v>3736</v>
      </c>
      <c r="HY58" t="s">
        <v>2052</v>
      </c>
      <c r="IA58" t="s">
        <v>887</v>
      </c>
      <c r="IF58" t="s">
        <v>5257</v>
      </c>
      <c r="IT58" t="s">
        <v>4364</v>
      </c>
      <c r="IX58" t="s">
        <v>4982</v>
      </c>
      <c r="JJ58" t="s">
        <v>4871</v>
      </c>
      <c r="JZ58" t="s">
        <v>4755</v>
      </c>
      <c r="KK58" t="s">
        <v>4648</v>
      </c>
      <c r="KS58" t="s">
        <v>2619</v>
      </c>
      <c r="KX58" t="s">
        <v>4440</v>
      </c>
      <c r="LJ58" t="s">
        <v>4329</v>
      </c>
      <c r="MO58" t="s">
        <v>3054</v>
      </c>
      <c r="MU58" t="s">
        <v>3953</v>
      </c>
      <c r="ON58" t="s">
        <v>768</v>
      </c>
      <c r="PB58" t="s">
        <v>3381</v>
      </c>
      <c r="PM58" t="s">
        <v>3283</v>
      </c>
      <c r="PO58" t="s">
        <v>3224</v>
      </c>
      <c r="QF58" t="s">
        <v>808</v>
      </c>
      <c r="QK58" t="s">
        <v>2736</v>
      </c>
      <c r="RV58" t="s">
        <v>2239</v>
      </c>
    </row>
    <row r="59" spans="27:490" x14ac:dyDescent="0.25">
      <c r="AA59" t="s">
        <v>4933</v>
      </c>
      <c r="AG59" t="s">
        <v>7576</v>
      </c>
      <c r="AH59" t="s">
        <v>3516</v>
      </c>
      <c r="AZ59" t="s">
        <v>6245</v>
      </c>
      <c r="BU59" t="s">
        <v>2071</v>
      </c>
      <c r="DF59" t="s">
        <v>6757</v>
      </c>
      <c r="DN59" t="s">
        <v>6641</v>
      </c>
      <c r="DZ59" t="s">
        <v>1668</v>
      </c>
      <c r="EI59" t="s">
        <v>6384</v>
      </c>
      <c r="EQ59" t="s">
        <v>6238</v>
      </c>
      <c r="EU59" t="s">
        <v>3032</v>
      </c>
      <c r="GO59" t="s">
        <v>5816</v>
      </c>
      <c r="HC59" t="s">
        <v>5645</v>
      </c>
      <c r="HV59" t="s">
        <v>5461</v>
      </c>
      <c r="HY59" t="s">
        <v>5372</v>
      </c>
      <c r="IA59" t="s">
        <v>2949</v>
      </c>
      <c r="IF59" t="s">
        <v>5293</v>
      </c>
      <c r="IT59" t="s">
        <v>5114</v>
      </c>
      <c r="IX59" t="s">
        <v>4635</v>
      </c>
      <c r="JJ59" t="s">
        <v>2017</v>
      </c>
      <c r="JZ59" t="s">
        <v>4756</v>
      </c>
      <c r="KK59" t="s">
        <v>973</v>
      </c>
      <c r="KS59" t="s">
        <v>762</v>
      </c>
      <c r="KX59" t="s">
        <v>1869</v>
      </c>
      <c r="LJ59" t="s">
        <v>2119</v>
      </c>
      <c r="MO59" t="s">
        <v>4030</v>
      </c>
      <c r="MU59" t="s">
        <v>2054</v>
      </c>
      <c r="ON59" t="s">
        <v>3558</v>
      </c>
      <c r="PB59" t="s">
        <v>3382</v>
      </c>
      <c r="PM59" t="s">
        <v>3284</v>
      </c>
      <c r="PO59" t="s">
        <v>787</v>
      </c>
      <c r="QF59" t="s">
        <v>2812</v>
      </c>
      <c r="QK59" t="s">
        <v>2737</v>
      </c>
      <c r="RV59" t="s">
        <v>2240</v>
      </c>
    </row>
    <row r="60" spans="27:490" x14ac:dyDescent="0.25">
      <c r="AA60" t="s">
        <v>5382</v>
      </c>
      <c r="AG60" t="s">
        <v>4526</v>
      </c>
      <c r="AH60" t="s">
        <v>7511</v>
      </c>
      <c r="AZ60" t="s">
        <v>7324</v>
      </c>
      <c r="BU60" t="s">
        <v>7134</v>
      </c>
      <c r="DF60" t="s">
        <v>2052</v>
      </c>
      <c r="DN60" t="s">
        <v>6642</v>
      </c>
      <c r="DZ60" t="s">
        <v>2406</v>
      </c>
      <c r="EI60" t="s">
        <v>6385</v>
      </c>
      <c r="EQ60" t="s">
        <v>1778</v>
      </c>
      <c r="EU60" t="s">
        <v>6169</v>
      </c>
      <c r="GO60" t="s">
        <v>5817</v>
      </c>
      <c r="HC60" t="s">
        <v>5646</v>
      </c>
      <c r="HV60" t="s">
        <v>5462</v>
      </c>
      <c r="HY60" t="s">
        <v>5373</v>
      </c>
      <c r="IA60" t="s">
        <v>2950</v>
      </c>
      <c r="IT60" t="s">
        <v>5115</v>
      </c>
      <c r="IX60" t="s">
        <v>4983</v>
      </c>
      <c r="JJ60" t="s">
        <v>4872</v>
      </c>
      <c r="JZ60" t="s">
        <v>4757</v>
      </c>
      <c r="KK60" t="s">
        <v>4649</v>
      </c>
      <c r="KS60" t="s">
        <v>2288</v>
      </c>
      <c r="KX60" t="s">
        <v>4441</v>
      </c>
      <c r="LJ60" t="s">
        <v>4330</v>
      </c>
      <c r="MO60" t="s">
        <v>4031</v>
      </c>
      <c r="MU60" t="s">
        <v>3954</v>
      </c>
      <c r="ON60" t="s">
        <v>3559</v>
      </c>
      <c r="PB60" t="s">
        <v>3383</v>
      </c>
      <c r="PM60" t="s">
        <v>3285</v>
      </c>
      <c r="PO60" t="s">
        <v>3225</v>
      </c>
      <c r="QF60" t="s">
        <v>2813</v>
      </c>
      <c r="QK60" t="s">
        <v>2738</v>
      </c>
      <c r="RV60" t="s">
        <v>2241</v>
      </c>
    </row>
    <row r="61" spans="27:490" x14ac:dyDescent="0.25">
      <c r="AA61" t="s">
        <v>7650</v>
      </c>
      <c r="AG61" t="s">
        <v>7577</v>
      </c>
      <c r="AH61" t="s">
        <v>7512</v>
      </c>
      <c r="AZ61" t="s">
        <v>7325</v>
      </c>
      <c r="BU61" t="s">
        <v>7135</v>
      </c>
      <c r="DF61" t="s">
        <v>6758</v>
      </c>
      <c r="DN61" t="s">
        <v>6643</v>
      </c>
      <c r="DZ61" t="s">
        <v>4994</v>
      </c>
      <c r="EI61" t="s">
        <v>6386</v>
      </c>
      <c r="EQ61" t="s">
        <v>6239</v>
      </c>
      <c r="EU61" t="s">
        <v>6170</v>
      </c>
      <c r="GO61" t="s">
        <v>5818</v>
      </c>
      <c r="HC61" t="s">
        <v>5647</v>
      </c>
      <c r="HV61" t="s">
        <v>5463</v>
      </c>
      <c r="HY61" t="s">
        <v>5374</v>
      </c>
      <c r="IA61" t="s">
        <v>2951</v>
      </c>
      <c r="IT61" t="s">
        <v>5116</v>
      </c>
      <c r="IX61" t="s">
        <v>4984</v>
      </c>
      <c r="JJ61" t="s">
        <v>4873</v>
      </c>
      <c r="JZ61" t="s">
        <v>4758</v>
      </c>
      <c r="KK61" t="s">
        <v>2529</v>
      </c>
      <c r="KS61" t="s">
        <v>2290</v>
      </c>
      <c r="KX61" t="s">
        <v>4442</v>
      </c>
      <c r="LJ61" t="s">
        <v>2083</v>
      </c>
      <c r="MO61" t="s">
        <v>4032</v>
      </c>
      <c r="MU61" t="s">
        <v>3280</v>
      </c>
      <c r="ON61" t="s">
        <v>773</v>
      </c>
      <c r="PB61" t="s">
        <v>3384</v>
      </c>
      <c r="PM61" t="s">
        <v>3086</v>
      </c>
      <c r="PO61" t="s">
        <v>3226</v>
      </c>
      <c r="QF61" t="s">
        <v>2814</v>
      </c>
      <c r="QK61" t="s">
        <v>2739</v>
      </c>
      <c r="RV61" t="s">
        <v>2242</v>
      </c>
    </row>
    <row r="62" spans="27:490" x14ac:dyDescent="0.25">
      <c r="AA62" t="s">
        <v>7651</v>
      </c>
      <c r="AG62" t="s">
        <v>7578</v>
      </c>
      <c r="AH62" t="s">
        <v>7513</v>
      </c>
      <c r="AZ62" t="s">
        <v>7326</v>
      </c>
      <c r="BU62" t="s">
        <v>1064</v>
      </c>
      <c r="DF62" t="s">
        <v>5484</v>
      </c>
      <c r="DN62" t="s">
        <v>6644</v>
      </c>
      <c r="DZ62" t="s">
        <v>6541</v>
      </c>
      <c r="EI62" t="s">
        <v>6387</v>
      </c>
      <c r="EQ62" t="s">
        <v>4576</v>
      </c>
      <c r="EU62" t="s">
        <v>6171</v>
      </c>
      <c r="GO62" t="s">
        <v>5819</v>
      </c>
      <c r="HC62" t="s">
        <v>5648</v>
      </c>
      <c r="HV62" t="s">
        <v>3860</v>
      </c>
      <c r="HY62" t="s">
        <v>5375</v>
      </c>
      <c r="IA62" t="s">
        <v>2952</v>
      </c>
      <c r="IT62" t="s">
        <v>5117</v>
      </c>
      <c r="IX62" t="s">
        <v>4985</v>
      </c>
      <c r="JJ62" t="s">
        <v>4874</v>
      </c>
      <c r="JZ62" t="s">
        <v>3439</v>
      </c>
      <c r="KK62" t="s">
        <v>4650</v>
      </c>
      <c r="KS62" t="s">
        <v>4550</v>
      </c>
      <c r="KX62" t="s">
        <v>2829</v>
      </c>
      <c r="LJ62" t="s">
        <v>4331</v>
      </c>
      <c r="MO62" t="s">
        <v>4033</v>
      </c>
      <c r="MU62" t="s">
        <v>3862</v>
      </c>
      <c r="ON62" t="s">
        <v>3560</v>
      </c>
      <c r="PB62" t="s">
        <v>3385</v>
      </c>
      <c r="PM62" t="s">
        <v>3286</v>
      </c>
      <c r="PO62" t="s">
        <v>3227</v>
      </c>
      <c r="QF62" t="s">
        <v>2815</v>
      </c>
      <c r="QK62" t="s">
        <v>2740</v>
      </c>
      <c r="RV62" t="s">
        <v>2243</v>
      </c>
    </row>
    <row r="63" spans="27:490" x14ac:dyDescent="0.25">
      <c r="AA63" t="s">
        <v>6446</v>
      </c>
      <c r="AG63" t="s">
        <v>7579</v>
      </c>
      <c r="AH63" t="s">
        <v>7514</v>
      </c>
      <c r="AZ63" t="s">
        <v>2023</v>
      </c>
      <c r="BU63" t="s">
        <v>7136</v>
      </c>
      <c r="DF63" t="s">
        <v>5252</v>
      </c>
      <c r="DN63" t="s">
        <v>6645</v>
      </c>
      <c r="DZ63" t="s">
        <v>6542</v>
      </c>
      <c r="EI63" t="s">
        <v>6388</v>
      </c>
      <c r="EQ63" t="s">
        <v>3536</v>
      </c>
      <c r="EU63" t="s">
        <v>3382</v>
      </c>
      <c r="GO63" t="s">
        <v>5820</v>
      </c>
      <c r="HC63" t="s">
        <v>5649</v>
      </c>
      <c r="HV63" t="s">
        <v>3601</v>
      </c>
      <c r="HY63" t="s">
        <v>5376</v>
      </c>
      <c r="IA63" t="s">
        <v>2953</v>
      </c>
      <c r="IT63" t="s">
        <v>5118</v>
      </c>
      <c r="IX63" t="s">
        <v>4986</v>
      </c>
      <c r="JJ63" t="s">
        <v>2061</v>
      </c>
      <c r="JZ63" t="s">
        <v>4759</v>
      </c>
      <c r="KK63" t="s">
        <v>4651</v>
      </c>
      <c r="KX63" t="s">
        <v>4443</v>
      </c>
      <c r="LJ63" t="s">
        <v>4332</v>
      </c>
      <c r="MO63" t="s">
        <v>4034</v>
      </c>
      <c r="MU63" t="s">
        <v>3955</v>
      </c>
      <c r="ON63" t="s">
        <v>3561</v>
      </c>
      <c r="PB63" t="s">
        <v>1675</v>
      </c>
      <c r="PM63" t="s">
        <v>3287</v>
      </c>
      <c r="PO63" t="s">
        <v>2338</v>
      </c>
      <c r="QF63" t="s">
        <v>2816</v>
      </c>
      <c r="QK63" t="s">
        <v>2741</v>
      </c>
      <c r="RV63" t="s">
        <v>2244</v>
      </c>
    </row>
    <row r="64" spans="27:490" x14ac:dyDescent="0.25">
      <c r="AA64" t="s">
        <v>7652</v>
      </c>
      <c r="AG64" t="s">
        <v>4681</v>
      </c>
      <c r="AH64" t="s">
        <v>7515</v>
      </c>
      <c r="AZ64" t="s">
        <v>7327</v>
      </c>
      <c r="BU64" t="s">
        <v>7137</v>
      </c>
      <c r="DF64" t="s">
        <v>6759</v>
      </c>
      <c r="DN64" t="s">
        <v>6646</v>
      </c>
      <c r="DZ64" t="s">
        <v>6543</v>
      </c>
      <c r="EI64" t="s">
        <v>6389</v>
      </c>
      <c r="EQ64" t="s">
        <v>6240</v>
      </c>
      <c r="EU64" t="s">
        <v>1573</v>
      </c>
      <c r="GO64" t="s">
        <v>2030</v>
      </c>
      <c r="HC64" t="s">
        <v>5650</v>
      </c>
      <c r="HV64" t="s">
        <v>5464</v>
      </c>
      <c r="HY64" t="s">
        <v>5377</v>
      </c>
      <c r="IA64" t="s">
        <v>2954</v>
      </c>
      <c r="IT64" t="s">
        <v>5119</v>
      </c>
      <c r="IX64" t="s">
        <v>4987</v>
      </c>
      <c r="JJ64" t="s">
        <v>4875</v>
      </c>
      <c r="JZ64" t="s">
        <v>2051</v>
      </c>
      <c r="KK64" t="s">
        <v>2515</v>
      </c>
      <c r="KX64" t="s">
        <v>4444</v>
      </c>
      <c r="LJ64" t="s">
        <v>4333</v>
      </c>
      <c r="MO64" t="s">
        <v>4035</v>
      </c>
      <c r="MU64" t="s">
        <v>1682</v>
      </c>
      <c r="ON64" t="s">
        <v>3562</v>
      </c>
      <c r="PB64" t="s">
        <v>3386</v>
      </c>
      <c r="PM64" t="s">
        <v>3288</v>
      </c>
      <c r="PO64" t="s">
        <v>3228</v>
      </c>
      <c r="QF64" t="s">
        <v>1582</v>
      </c>
      <c r="QK64" t="s">
        <v>2742</v>
      </c>
      <c r="RV64" t="s">
        <v>2017</v>
      </c>
    </row>
    <row r="65" spans="27:490" x14ac:dyDescent="0.25">
      <c r="AA65" t="s">
        <v>7653</v>
      </c>
      <c r="AG65" t="s">
        <v>7580</v>
      </c>
      <c r="AH65" t="s">
        <v>7516</v>
      </c>
      <c r="AZ65" t="s">
        <v>7328</v>
      </c>
      <c r="BU65" t="s">
        <v>4092</v>
      </c>
      <c r="DF65" t="s">
        <v>6760</v>
      </c>
      <c r="DN65" t="s">
        <v>3120</v>
      </c>
      <c r="DZ65" t="s">
        <v>6544</v>
      </c>
      <c r="EI65" t="s">
        <v>6390</v>
      </c>
      <c r="EQ65" t="s">
        <v>6241</v>
      </c>
      <c r="EU65" t="s">
        <v>6172</v>
      </c>
      <c r="GO65" t="s">
        <v>5821</v>
      </c>
      <c r="HC65" t="s">
        <v>5651</v>
      </c>
      <c r="HV65" t="s">
        <v>1343</v>
      </c>
      <c r="HY65" t="s">
        <v>5378</v>
      </c>
      <c r="IA65" t="s">
        <v>2955</v>
      </c>
      <c r="IT65" t="s">
        <v>5120</v>
      </c>
      <c r="IX65" t="s">
        <v>2716</v>
      </c>
      <c r="JJ65" t="s">
        <v>4876</v>
      </c>
      <c r="JZ65" t="s">
        <v>3683</v>
      </c>
      <c r="KK65" t="s">
        <v>4652</v>
      </c>
      <c r="KX65" t="s">
        <v>4445</v>
      </c>
      <c r="LJ65" t="s">
        <v>4334</v>
      </c>
      <c r="MO65" t="s">
        <v>4036</v>
      </c>
      <c r="MU65" t="s">
        <v>3956</v>
      </c>
      <c r="ON65" t="s">
        <v>3563</v>
      </c>
      <c r="PB65" t="s">
        <v>3387</v>
      </c>
      <c r="PO65" t="s">
        <v>3229</v>
      </c>
      <c r="QF65" t="s">
        <v>2817</v>
      </c>
      <c r="RV65" t="s">
        <v>2245</v>
      </c>
    </row>
    <row r="66" spans="27:490" x14ac:dyDescent="0.25">
      <c r="AA66" t="s">
        <v>7654</v>
      </c>
      <c r="AG66" t="s">
        <v>4695</v>
      </c>
      <c r="AH66" t="s">
        <v>7517</v>
      </c>
      <c r="AZ66" t="s">
        <v>7329</v>
      </c>
      <c r="BU66" t="s">
        <v>7138</v>
      </c>
      <c r="DF66" t="s">
        <v>787</v>
      </c>
      <c r="DZ66" t="s">
        <v>6545</v>
      </c>
      <c r="EI66" t="s">
        <v>6391</v>
      </c>
      <c r="EQ66" t="s">
        <v>4703</v>
      </c>
      <c r="EU66" t="s">
        <v>2032</v>
      </c>
      <c r="GO66" t="s">
        <v>2265</v>
      </c>
      <c r="HC66" t="s">
        <v>5652</v>
      </c>
      <c r="HV66" t="s">
        <v>743</v>
      </c>
      <c r="HY66" t="s">
        <v>5379</v>
      </c>
      <c r="IA66" t="s">
        <v>1485</v>
      </c>
      <c r="IT66" t="s">
        <v>4266</v>
      </c>
      <c r="IX66" t="s">
        <v>4988</v>
      </c>
      <c r="JJ66" t="s">
        <v>4877</v>
      </c>
      <c r="JZ66" t="s">
        <v>4760</v>
      </c>
      <c r="KK66" t="s">
        <v>4281</v>
      </c>
      <c r="KX66" t="s">
        <v>4446</v>
      </c>
      <c r="LJ66" t="s">
        <v>4335</v>
      </c>
      <c r="MO66" t="s">
        <v>4037</v>
      </c>
      <c r="MU66" t="s">
        <v>770</v>
      </c>
      <c r="ON66" t="s">
        <v>3564</v>
      </c>
      <c r="PB66" t="s">
        <v>3388</v>
      </c>
      <c r="PO66" t="s">
        <v>3230</v>
      </c>
      <c r="QF66" t="s">
        <v>2818</v>
      </c>
      <c r="RV66" t="s">
        <v>754</v>
      </c>
    </row>
    <row r="67" spans="27:490" x14ac:dyDescent="0.25">
      <c r="AA67" t="s">
        <v>7655</v>
      </c>
      <c r="AG67" t="s">
        <v>7581</v>
      </c>
      <c r="AH67" t="s">
        <v>7518</v>
      </c>
      <c r="AZ67" t="s">
        <v>7037</v>
      </c>
      <c r="BU67" t="s">
        <v>7139</v>
      </c>
      <c r="DF67" t="s">
        <v>3161</v>
      </c>
      <c r="DZ67" t="s">
        <v>6546</v>
      </c>
      <c r="EI67" t="s">
        <v>6392</v>
      </c>
      <c r="EQ67" t="s">
        <v>1306</v>
      </c>
      <c r="EU67" t="s">
        <v>1582</v>
      </c>
      <c r="GO67" t="s">
        <v>5822</v>
      </c>
      <c r="HC67" t="s">
        <v>5653</v>
      </c>
      <c r="HV67" t="s">
        <v>5465</v>
      </c>
      <c r="HY67" t="s">
        <v>5380</v>
      </c>
      <c r="IA67" t="s">
        <v>1965</v>
      </c>
      <c r="IT67" t="s">
        <v>5121</v>
      </c>
      <c r="IX67" t="s">
        <v>1142</v>
      </c>
      <c r="JJ67" t="s">
        <v>4878</v>
      </c>
      <c r="JZ67" t="s">
        <v>4658</v>
      </c>
      <c r="KK67" t="s">
        <v>4653</v>
      </c>
      <c r="KX67" t="s">
        <v>4447</v>
      </c>
      <c r="LJ67" t="s">
        <v>4336</v>
      </c>
      <c r="MO67" t="s">
        <v>4038</v>
      </c>
      <c r="MU67" t="s">
        <v>3957</v>
      </c>
      <c r="ON67" t="s">
        <v>3565</v>
      </c>
      <c r="PB67" t="s">
        <v>2889</v>
      </c>
      <c r="PO67" t="s">
        <v>3231</v>
      </c>
      <c r="QF67" t="s">
        <v>2819</v>
      </c>
      <c r="RV67" t="s">
        <v>2246</v>
      </c>
    </row>
    <row r="68" spans="27:490" x14ac:dyDescent="0.25">
      <c r="AA68" t="s">
        <v>7656</v>
      </c>
      <c r="AG68" t="s">
        <v>7582</v>
      </c>
      <c r="AH68" t="s">
        <v>7519</v>
      </c>
      <c r="AZ68" t="s">
        <v>7330</v>
      </c>
      <c r="BU68" t="s">
        <v>7140</v>
      </c>
      <c r="DF68" t="s">
        <v>2126</v>
      </c>
      <c r="DZ68" t="s">
        <v>1175</v>
      </c>
      <c r="EI68" t="s">
        <v>1377</v>
      </c>
      <c r="EQ68" t="s">
        <v>4632</v>
      </c>
      <c r="EU68" t="s">
        <v>6173</v>
      </c>
      <c r="GO68" t="s">
        <v>5823</v>
      </c>
      <c r="HC68" t="s">
        <v>5654</v>
      </c>
      <c r="HV68" t="s">
        <v>4644</v>
      </c>
      <c r="HY68" t="s">
        <v>3885</v>
      </c>
      <c r="IA68" t="s">
        <v>2956</v>
      </c>
      <c r="IT68" t="s">
        <v>4322</v>
      </c>
      <c r="IX68" t="s">
        <v>4989</v>
      </c>
      <c r="JJ68" t="s">
        <v>1969</v>
      </c>
      <c r="JZ68" t="s">
        <v>4761</v>
      </c>
      <c r="KK68" t="s">
        <v>2100</v>
      </c>
      <c r="KX68" t="s">
        <v>4448</v>
      </c>
      <c r="LJ68" t="s">
        <v>4337</v>
      </c>
      <c r="MO68" t="s">
        <v>4039</v>
      </c>
      <c r="ON68" t="s">
        <v>995</v>
      </c>
      <c r="PB68" t="s">
        <v>3389</v>
      </c>
      <c r="PO68" t="s">
        <v>2563</v>
      </c>
      <c r="QF68" t="s">
        <v>2820</v>
      </c>
      <c r="RV68" t="s">
        <v>2247</v>
      </c>
    </row>
    <row r="69" spans="27:490" x14ac:dyDescent="0.25">
      <c r="AA69" t="s">
        <v>3956</v>
      </c>
      <c r="AG69" t="s">
        <v>7583</v>
      </c>
      <c r="AH69" t="s">
        <v>7520</v>
      </c>
      <c r="AZ69" t="s">
        <v>7331</v>
      </c>
      <c r="BU69" t="s">
        <v>7141</v>
      </c>
      <c r="DF69" t="s">
        <v>6761</v>
      </c>
      <c r="DZ69" t="s">
        <v>5674</v>
      </c>
      <c r="EI69" t="s">
        <v>6393</v>
      </c>
      <c r="EQ69" t="s">
        <v>6242</v>
      </c>
      <c r="EU69" t="s">
        <v>4765</v>
      </c>
      <c r="GO69" t="s">
        <v>5824</v>
      </c>
      <c r="HC69" t="s">
        <v>5655</v>
      </c>
      <c r="HV69" t="s">
        <v>845</v>
      </c>
      <c r="HY69" t="s">
        <v>4653</v>
      </c>
      <c r="IA69" t="s">
        <v>2220</v>
      </c>
      <c r="IT69" t="s">
        <v>5122</v>
      </c>
      <c r="IX69" t="s">
        <v>1982</v>
      </c>
      <c r="JJ69" t="s">
        <v>1100</v>
      </c>
      <c r="JZ69" t="s">
        <v>4762</v>
      </c>
      <c r="KK69" t="s">
        <v>4654</v>
      </c>
      <c r="LJ69" t="s">
        <v>4338</v>
      </c>
      <c r="MO69" t="s">
        <v>4040</v>
      </c>
      <c r="ON69" t="s">
        <v>3566</v>
      </c>
      <c r="PB69" t="s">
        <v>3390</v>
      </c>
      <c r="PO69" t="s">
        <v>3232</v>
      </c>
      <c r="QF69" t="s">
        <v>2821</v>
      </c>
      <c r="RV69" t="s">
        <v>2248</v>
      </c>
    </row>
    <row r="70" spans="27:490" x14ac:dyDescent="0.25">
      <c r="AA70" t="s">
        <v>7657</v>
      </c>
      <c r="AG70" t="s">
        <v>7584</v>
      </c>
      <c r="AH70" t="s">
        <v>7521</v>
      </c>
      <c r="AZ70" t="s">
        <v>4636</v>
      </c>
      <c r="BU70" t="s">
        <v>7142</v>
      </c>
      <c r="DF70" t="s">
        <v>6762</v>
      </c>
      <c r="DZ70" t="s">
        <v>6547</v>
      </c>
      <c r="EI70" t="s">
        <v>4092</v>
      </c>
      <c r="EQ70" t="s">
        <v>6243</v>
      </c>
      <c r="EU70" t="s">
        <v>1902</v>
      </c>
      <c r="GO70" t="s">
        <v>5375</v>
      </c>
      <c r="HC70" t="s">
        <v>5656</v>
      </c>
      <c r="HV70" t="s">
        <v>5466</v>
      </c>
      <c r="HY70" t="s">
        <v>5381</v>
      </c>
      <c r="IA70" t="s">
        <v>2398</v>
      </c>
      <c r="IT70" t="s">
        <v>1994</v>
      </c>
      <c r="IX70" t="s">
        <v>3369</v>
      </c>
      <c r="JJ70" t="s">
        <v>3006</v>
      </c>
      <c r="JZ70" t="s">
        <v>4763</v>
      </c>
      <c r="KK70" t="s">
        <v>4655</v>
      </c>
      <c r="LJ70" t="s">
        <v>4339</v>
      </c>
      <c r="MO70" t="s">
        <v>4041</v>
      </c>
      <c r="ON70" t="s">
        <v>2282</v>
      </c>
      <c r="PB70" t="s">
        <v>3391</v>
      </c>
      <c r="PO70" t="s">
        <v>785</v>
      </c>
      <c r="QF70" t="s">
        <v>2822</v>
      </c>
      <c r="RV70" t="s">
        <v>2249</v>
      </c>
    </row>
    <row r="71" spans="27:490" x14ac:dyDescent="0.25">
      <c r="AG71" t="s">
        <v>6074</v>
      </c>
      <c r="AH71" t="s">
        <v>3273</v>
      </c>
      <c r="AZ71" t="s">
        <v>7332</v>
      </c>
      <c r="BU71" t="s">
        <v>7143</v>
      </c>
      <c r="DF71" t="s">
        <v>6763</v>
      </c>
      <c r="DZ71" t="s">
        <v>6548</v>
      </c>
      <c r="EI71" t="s">
        <v>6394</v>
      </c>
      <c r="EQ71" t="s">
        <v>776</v>
      </c>
      <c r="EU71" t="s">
        <v>6174</v>
      </c>
      <c r="GO71" t="s">
        <v>5825</v>
      </c>
      <c r="HC71" t="s">
        <v>2004</v>
      </c>
      <c r="HV71" t="s">
        <v>1844</v>
      </c>
      <c r="HY71" t="s">
        <v>1154</v>
      </c>
      <c r="IA71" t="s">
        <v>2957</v>
      </c>
      <c r="IT71" t="s">
        <v>5123</v>
      </c>
      <c r="IX71" t="s">
        <v>4990</v>
      </c>
      <c r="JJ71" t="s">
        <v>3008</v>
      </c>
      <c r="JZ71" t="s">
        <v>3171</v>
      </c>
      <c r="KK71" t="s">
        <v>785</v>
      </c>
      <c r="LJ71" t="s">
        <v>4340</v>
      </c>
      <c r="MO71" t="s">
        <v>4042</v>
      </c>
      <c r="ON71" t="s">
        <v>3567</v>
      </c>
      <c r="PB71" t="s">
        <v>2506</v>
      </c>
      <c r="PO71" t="s">
        <v>842</v>
      </c>
      <c r="QF71" t="s">
        <v>2823</v>
      </c>
      <c r="RV71" t="s">
        <v>2250</v>
      </c>
    </row>
    <row r="72" spans="27:490" x14ac:dyDescent="0.25">
      <c r="AG72" t="s">
        <v>7585</v>
      </c>
      <c r="AH72" t="s">
        <v>1571</v>
      </c>
      <c r="AZ72" t="s">
        <v>7333</v>
      </c>
      <c r="BU72" t="s">
        <v>7144</v>
      </c>
      <c r="DF72" t="s">
        <v>6764</v>
      </c>
      <c r="DZ72" t="s">
        <v>2062</v>
      </c>
      <c r="EI72" t="s">
        <v>6395</v>
      </c>
      <c r="EQ72" t="s">
        <v>6244</v>
      </c>
      <c r="EU72" t="s">
        <v>6175</v>
      </c>
      <c r="GO72" t="s">
        <v>2529</v>
      </c>
      <c r="HC72" t="s">
        <v>5657</v>
      </c>
      <c r="HV72" t="s">
        <v>5467</v>
      </c>
      <c r="HY72" t="s">
        <v>3862</v>
      </c>
      <c r="IA72" t="s">
        <v>1719</v>
      </c>
      <c r="IT72" s="12" t="s">
        <v>5124</v>
      </c>
      <c r="IX72" t="s">
        <v>4991</v>
      </c>
      <c r="JJ72" t="s">
        <v>4879</v>
      </c>
      <c r="JZ72" t="s">
        <v>2412</v>
      </c>
      <c r="KK72" t="s">
        <v>4656</v>
      </c>
      <c r="LJ72" t="s">
        <v>2033</v>
      </c>
      <c r="MO72" t="s">
        <v>4043</v>
      </c>
      <c r="ON72" t="s">
        <v>3568</v>
      </c>
      <c r="PB72" t="s">
        <v>3392</v>
      </c>
      <c r="QF72" t="s">
        <v>1677</v>
      </c>
      <c r="RV72" t="s">
        <v>2251</v>
      </c>
    </row>
    <row r="73" spans="27:490" x14ac:dyDescent="0.25">
      <c r="AG73" t="s">
        <v>7586</v>
      </c>
      <c r="AH73" t="s">
        <v>2032</v>
      </c>
      <c r="AZ73" t="s">
        <v>7334</v>
      </c>
      <c r="BU73" t="s">
        <v>6500</v>
      </c>
      <c r="DF73" t="s">
        <v>3387</v>
      </c>
      <c r="DZ73" t="s">
        <v>4332</v>
      </c>
      <c r="EI73" t="s">
        <v>6396</v>
      </c>
      <c r="EQ73" t="s">
        <v>5107</v>
      </c>
      <c r="EU73" t="s">
        <v>3788</v>
      </c>
      <c r="GO73" t="s">
        <v>1904</v>
      </c>
      <c r="HC73" t="s">
        <v>5658</v>
      </c>
      <c r="HV73" t="s">
        <v>3377</v>
      </c>
      <c r="HY73" t="s">
        <v>5382</v>
      </c>
      <c r="IA73" t="s">
        <v>2958</v>
      </c>
      <c r="IT73" t="s">
        <v>5125</v>
      </c>
      <c r="IX73" t="s">
        <v>4992</v>
      </c>
      <c r="JJ73" t="s">
        <v>4880</v>
      </c>
      <c r="JZ73" t="s">
        <v>4764</v>
      </c>
      <c r="KK73" t="s">
        <v>4657</v>
      </c>
      <c r="LJ73" t="s">
        <v>780</v>
      </c>
      <c r="MO73" t="s">
        <v>2535</v>
      </c>
      <c r="ON73" t="s">
        <v>3569</v>
      </c>
      <c r="PB73" t="s">
        <v>3393</v>
      </c>
      <c r="QF73" t="s">
        <v>1678</v>
      </c>
      <c r="RV73" t="s">
        <v>2252</v>
      </c>
    </row>
    <row r="74" spans="27:490" x14ac:dyDescent="0.25">
      <c r="AG74" t="s">
        <v>7587</v>
      </c>
      <c r="AH74" t="s">
        <v>7522</v>
      </c>
      <c r="AZ74" t="s">
        <v>4419</v>
      </c>
      <c r="BU74" t="s">
        <v>7145</v>
      </c>
      <c r="DF74" t="s">
        <v>6765</v>
      </c>
      <c r="DZ74" t="s">
        <v>6549</v>
      </c>
      <c r="EI74" t="s">
        <v>1160</v>
      </c>
      <c r="EQ74" t="s">
        <v>6245</v>
      </c>
      <c r="EU74" t="s">
        <v>2847</v>
      </c>
      <c r="GO74" t="s">
        <v>1154</v>
      </c>
      <c r="HC74" t="s">
        <v>5659</v>
      </c>
      <c r="HV74" t="s">
        <v>5468</v>
      </c>
      <c r="HY74" t="s">
        <v>5383</v>
      </c>
      <c r="IA74" t="s">
        <v>2429</v>
      </c>
      <c r="IT74" t="s">
        <v>5126</v>
      </c>
      <c r="IX74" t="s">
        <v>2986</v>
      </c>
      <c r="JJ74" t="s">
        <v>2448</v>
      </c>
      <c r="JZ74" t="s">
        <v>787</v>
      </c>
      <c r="LJ74" t="s">
        <v>4341</v>
      </c>
      <c r="MO74" t="s">
        <v>4044</v>
      </c>
      <c r="ON74" t="s">
        <v>3570</v>
      </c>
      <c r="PB74" t="s">
        <v>3394</v>
      </c>
      <c r="QF74" t="s">
        <v>2824</v>
      </c>
      <c r="RV74" t="s">
        <v>2253</v>
      </c>
    </row>
    <row r="75" spans="27:490" x14ac:dyDescent="0.25">
      <c r="AG75" t="s">
        <v>7588</v>
      </c>
      <c r="AH75" t="s">
        <v>3441</v>
      </c>
      <c r="AZ75" t="s">
        <v>4524</v>
      </c>
      <c r="DF75" t="s">
        <v>3229</v>
      </c>
      <c r="DZ75" t="s">
        <v>6550</v>
      </c>
      <c r="EI75" t="s">
        <v>6397</v>
      </c>
      <c r="EQ75" t="s">
        <v>6246</v>
      </c>
      <c r="EU75" t="s">
        <v>6176</v>
      </c>
      <c r="GO75" t="s">
        <v>3388</v>
      </c>
      <c r="HC75" t="s">
        <v>5660</v>
      </c>
      <c r="HV75" t="s">
        <v>3009</v>
      </c>
      <c r="HY75" t="s">
        <v>3911</v>
      </c>
      <c r="IA75" t="s">
        <v>2959</v>
      </c>
      <c r="IT75" t="s">
        <v>5127</v>
      </c>
      <c r="IX75" t="s">
        <v>2241</v>
      </c>
      <c r="JJ75" t="s">
        <v>3032</v>
      </c>
      <c r="JZ75" t="s">
        <v>4765</v>
      </c>
      <c r="LJ75" t="s">
        <v>3150</v>
      </c>
      <c r="MO75" t="s">
        <v>4045</v>
      </c>
      <c r="ON75" t="s">
        <v>2072</v>
      </c>
      <c r="PB75" t="s">
        <v>3395</v>
      </c>
      <c r="QF75" t="s">
        <v>2825</v>
      </c>
      <c r="RV75" t="s">
        <v>2254</v>
      </c>
    </row>
    <row r="76" spans="27:490" x14ac:dyDescent="0.25">
      <c r="AG76" t="s">
        <v>7589</v>
      </c>
      <c r="AH76" t="s">
        <v>7523</v>
      </c>
      <c r="AZ76" t="s">
        <v>2566</v>
      </c>
      <c r="DF76" t="s">
        <v>6766</v>
      </c>
      <c r="DZ76" t="s">
        <v>6551</v>
      </c>
      <c r="EI76" t="s">
        <v>4209</v>
      </c>
      <c r="EQ76" t="s">
        <v>3364</v>
      </c>
      <c r="EU76" t="s">
        <v>6177</v>
      </c>
      <c r="GO76" t="s">
        <v>5290</v>
      </c>
      <c r="HC76" t="s">
        <v>5661</v>
      </c>
      <c r="HV76" t="s">
        <v>5469</v>
      </c>
      <c r="HY76" t="s">
        <v>3290</v>
      </c>
      <c r="IA76" t="s">
        <v>2960</v>
      </c>
      <c r="IT76" t="s">
        <v>5128</v>
      </c>
      <c r="IX76" t="s">
        <v>2242</v>
      </c>
      <c r="JJ76" t="s">
        <v>4881</v>
      </c>
      <c r="JZ76" t="s">
        <v>3405</v>
      </c>
      <c r="LJ76" t="s">
        <v>4342</v>
      </c>
      <c r="MO76" t="s">
        <v>4046</v>
      </c>
      <c r="ON76" t="s">
        <v>3571</v>
      </c>
      <c r="PB76" t="s">
        <v>3396</v>
      </c>
      <c r="QF76" t="s">
        <v>2826</v>
      </c>
      <c r="RV76" t="s">
        <v>2255</v>
      </c>
    </row>
    <row r="77" spans="27:490" x14ac:dyDescent="0.25">
      <c r="AG77" t="s">
        <v>7590</v>
      </c>
      <c r="AH77" t="s">
        <v>6592</v>
      </c>
      <c r="AZ77" t="s">
        <v>7335</v>
      </c>
      <c r="DF77" t="s">
        <v>6767</v>
      </c>
      <c r="DZ77" t="s">
        <v>6552</v>
      </c>
      <c r="EI77" t="s">
        <v>6398</v>
      </c>
      <c r="EQ77" t="s">
        <v>6247</v>
      </c>
      <c r="EU77" t="s">
        <v>2009</v>
      </c>
      <c r="GO77" t="s">
        <v>5826</v>
      </c>
      <c r="HC77" t="s">
        <v>5662</v>
      </c>
      <c r="HV77" t="s">
        <v>5470</v>
      </c>
      <c r="HY77" t="s">
        <v>5384</v>
      </c>
      <c r="IA77" t="s">
        <v>2961</v>
      </c>
      <c r="IT77" t="s">
        <v>3548</v>
      </c>
      <c r="IX77" t="s">
        <v>4993</v>
      </c>
      <c r="JJ77" t="s">
        <v>4882</v>
      </c>
      <c r="JZ77" t="s">
        <v>4660</v>
      </c>
      <c r="LJ77" t="s">
        <v>3668</v>
      </c>
      <c r="ON77" t="s">
        <v>3572</v>
      </c>
      <c r="QF77" t="s">
        <v>2827</v>
      </c>
      <c r="RV77" t="s">
        <v>2256</v>
      </c>
    </row>
    <row r="78" spans="27:490" x14ac:dyDescent="0.25">
      <c r="AG78" t="s">
        <v>7591</v>
      </c>
      <c r="AH78" t="s">
        <v>7524</v>
      </c>
      <c r="AZ78" t="s">
        <v>3095</v>
      </c>
      <c r="DF78" t="s">
        <v>6768</v>
      </c>
      <c r="DZ78" t="s">
        <v>6553</v>
      </c>
      <c r="EI78" t="s">
        <v>6399</v>
      </c>
      <c r="EQ78" t="s">
        <v>4979</v>
      </c>
      <c r="EU78" t="s">
        <v>5590</v>
      </c>
      <c r="GO78" t="s">
        <v>3229</v>
      </c>
      <c r="HC78" t="s">
        <v>5663</v>
      </c>
      <c r="HV78" t="s">
        <v>2084</v>
      </c>
      <c r="HY78" t="s">
        <v>5385</v>
      </c>
      <c r="IA78" t="s">
        <v>2962</v>
      </c>
      <c r="IT78" t="s">
        <v>5129</v>
      </c>
      <c r="IX78" t="s">
        <v>4994</v>
      </c>
      <c r="JJ78" t="s">
        <v>4883</v>
      </c>
      <c r="JZ78" t="s">
        <v>2282</v>
      </c>
      <c r="LJ78" t="s">
        <v>4343</v>
      </c>
      <c r="ON78" t="s">
        <v>3573</v>
      </c>
      <c r="QF78" t="s">
        <v>2828</v>
      </c>
      <c r="RV78" t="s">
        <v>2257</v>
      </c>
    </row>
    <row r="79" spans="27:490" x14ac:dyDescent="0.25">
      <c r="AG79" t="s">
        <v>2039</v>
      </c>
      <c r="AH79" t="s">
        <v>1675</v>
      </c>
      <c r="AZ79" t="s">
        <v>2132</v>
      </c>
      <c r="DF79" t="s">
        <v>6769</v>
      </c>
      <c r="DZ79" t="s">
        <v>6554</v>
      </c>
      <c r="EI79" t="s">
        <v>6400</v>
      </c>
      <c r="EQ79" t="s">
        <v>6248</v>
      </c>
      <c r="EU79" t="s">
        <v>6178</v>
      </c>
      <c r="GO79" t="s">
        <v>3608</v>
      </c>
      <c r="HC79" t="s">
        <v>4135</v>
      </c>
      <c r="HV79" t="s">
        <v>2419</v>
      </c>
      <c r="HY79" t="s">
        <v>5386</v>
      </c>
      <c r="IA79" t="s">
        <v>2963</v>
      </c>
      <c r="IT79" t="s">
        <v>1948</v>
      </c>
      <c r="IX79" t="s">
        <v>4995</v>
      </c>
      <c r="JJ79" t="s">
        <v>2039</v>
      </c>
      <c r="JZ79" t="s">
        <v>4766</v>
      </c>
      <c r="LJ79" t="s">
        <v>4344</v>
      </c>
      <c r="ON79" t="s">
        <v>3574</v>
      </c>
      <c r="QF79" t="s">
        <v>2829</v>
      </c>
      <c r="RV79" t="s">
        <v>1901</v>
      </c>
    </row>
    <row r="80" spans="27:490" x14ac:dyDescent="0.25">
      <c r="AG80" t="s">
        <v>7592</v>
      </c>
      <c r="AH80" t="s">
        <v>7525</v>
      </c>
      <c r="AZ80" t="s">
        <v>2756</v>
      </c>
      <c r="DF80" t="s">
        <v>6770</v>
      </c>
      <c r="DZ80" t="s">
        <v>6555</v>
      </c>
      <c r="EI80" t="s">
        <v>6401</v>
      </c>
      <c r="EQ80" t="s">
        <v>6249</v>
      </c>
      <c r="EU80" t="s">
        <v>6179</v>
      </c>
      <c r="GO80" t="s">
        <v>5827</v>
      </c>
      <c r="HC80" t="s">
        <v>5664</v>
      </c>
      <c r="HV80" t="s">
        <v>1045</v>
      </c>
      <c r="HY80" t="s">
        <v>5387</v>
      </c>
      <c r="IA80" t="s">
        <v>2964</v>
      </c>
      <c r="IT80" t="s">
        <v>4198</v>
      </c>
      <c r="IX80" t="s">
        <v>3860</v>
      </c>
      <c r="JJ80" t="s">
        <v>4884</v>
      </c>
      <c r="JZ80" t="s">
        <v>3229</v>
      </c>
      <c r="LJ80" t="s">
        <v>4345</v>
      </c>
      <c r="QF80" t="s">
        <v>2830</v>
      </c>
      <c r="RV80" t="s">
        <v>2258</v>
      </c>
    </row>
    <row r="81" spans="33:490" x14ac:dyDescent="0.25">
      <c r="AG81" t="s">
        <v>7593</v>
      </c>
      <c r="AH81" t="s">
        <v>2282</v>
      </c>
      <c r="AZ81" t="s">
        <v>7336</v>
      </c>
      <c r="DF81" t="s">
        <v>4202</v>
      </c>
      <c r="DZ81" t="s">
        <v>2007</v>
      </c>
      <c r="EI81" t="s">
        <v>6402</v>
      </c>
      <c r="EQ81" t="s">
        <v>6250</v>
      </c>
      <c r="EU81" t="s">
        <v>6180</v>
      </c>
      <c r="GO81" t="s">
        <v>5828</v>
      </c>
      <c r="HC81" t="s">
        <v>5665</v>
      </c>
      <c r="HV81" t="s">
        <v>5471</v>
      </c>
      <c r="IA81" t="s">
        <v>2965</v>
      </c>
      <c r="IT81" t="s">
        <v>1343</v>
      </c>
      <c r="IX81" t="s">
        <v>4996</v>
      </c>
      <c r="JJ81" t="s">
        <v>4885</v>
      </c>
      <c r="JZ81" t="s">
        <v>4767</v>
      </c>
      <c r="LJ81" t="s">
        <v>4346</v>
      </c>
      <c r="QF81" t="s">
        <v>2831</v>
      </c>
      <c r="RV81" t="s">
        <v>2084</v>
      </c>
    </row>
    <row r="82" spans="33:490" x14ac:dyDescent="0.25">
      <c r="AG82" t="s">
        <v>5184</v>
      </c>
      <c r="AH82" t="s">
        <v>7141</v>
      </c>
      <c r="AZ82" t="s">
        <v>7337</v>
      </c>
      <c r="DF82" t="s">
        <v>6771</v>
      </c>
      <c r="DZ82" t="s">
        <v>6556</v>
      </c>
      <c r="EI82" t="s">
        <v>6403</v>
      </c>
      <c r="EQ82" t="s">
        <v>6251</v>
      </c>
      <c r="EU82" t="s">
        <v>4261</v>
      </c>
      <c r="GO82" t="s">
        <v>3911</v>
      </c>
      <c r="HC82" t="s">
        <v>4198</v>
      </c>
      <c r="HV82" t="s">
        <v>5472</v>
      </c>
      <c r="IA82" t="s">
        <v>2966</v>
      </c>
      <c r="IT82" t="s">
        <v>5130</v>
      </c>
      <c r="IX82" t="s">
        <v>4997</v>
      </c>
      <c r="JJ82" t="s">
        <v>4886</v>
      </c>
      <c r="JZ82" t="s">
        <v>3281</v>
      </c>
      <c r="LJ82" t="s">
        <v>4347</v>
      </c>
      <c r="QF82" t="s">
        <v>2832</v>
      </c>
      <c r="RV82" t="s">
        <v>2259</v>
      </c>
    </row>
    <row r="83" spans="33:490" x14ac:dyDescent="0.25">
      <c r="AG83" t="s">
        <v>6191</v>
      </c>
      <c r="AH83" t="s">
        <v>2829</v>
      </c>
      <c r="AZ83" t="s">
        <v>2047</v>
      </c>
      <c r="DF83" t="s">
        <v>2533</v>
      </c>
      <c r="DZ83" t="s">
        <v>2126</v>
      </c>
      <c r="EI83" t="s">
        <v>6404</v>
      </c>
      <c r="EQ83" t="s">
        <v>6252</v>
      </c>
      <c r="EU83" t="s">
        <v>6181</v>
      </c>
      <c r="GO83" t="s">
        <v>3290</v>
      </c>
      <c r="HC83" t="s">
        <v>5666</v>
      </c>
      <c r="HV83" t="s">
        <v>5473</v>
      </c>
      <c r="IA83" t="s">
        <v>2967</v>
      </c>
      <c r="IT83" t="s">
        <v>5131</v>
      </c>
      <c r="IX83" t="s">
        <v>4998</v>
      </c>
      <c r="JJ83" t="s">
        <v>4887</v>
      </c>
      <c r="JZ83" t="s">
        <v>4768</v>
      </c>
      <c r="LJ83" t="s">
        <v>4348</v>
      </c>
      <c r="QF83" t="s">
        <v>1609</v>
      </c>
      <c r="RV83" t="s">
        <v>2260</v>
      </c>
    </row>
    <row r="84" spans="33:490" x14ac:dyDescent="0.25">
      <c r="AG84" t="s">
        <v>7594</v>
      </c>
      <c r="AH84" t="s">
        <v>7526</v>
      </c>
      <c r="AZ84" t="s">
        <v>7338</v>
      </c>
      <c r="DF84" t="s">
        <v>6772</v>
      </c>
      <c r="DZ84" t="s">
        <v>6557</v>
      </c>
      <c r="EI84" t="s">
        <v>6405</v>
      </c>
      <c r="EQ84" t="s">
        <v>4266</v>
      </c>
      <c r="EU84" t="s">
        <v>3330</v>
      </c>
      <c r="GO84" t="s">
        <v>5829</v>
      </c>
      <c r="HC84" t="s">
        <v>5667</v>
      </c>
      <c r="HV84" t="s">
        <v>3379</v>
      </c>
      <c r="IA84" t="s">
        <v>2968</v>
      </c>
      <c r="IT84" t="s">
        <v>1547</v>
      </c>
      <c r="IX84" t="s">
        <v>4999</v>
      </c>
      <c r="JJ84" t="s">
        <v>4888</v>
      </c>
      <c r="JZ84" t="s">
        <v>2563</v>
      </c>
      <c r="QF84" t="s">
        <v>2833</v>
      </c>
      <c r="RV84" t="s">
        <v>1149</v>
      </c>
    </row>
    <row r="85" spans="33:490" x14ac:dyDescent="0.25">
      <c r="AG85" t="s">
        <v>7595</v>
      </c>
      <c r="AH85" t="s">
        <v>7527</v>
      </c>
      <c r="AZ85" t="s">
        <v>7339</v>
      </c>
      <c r="DF85" t="s">
        <v>6773</v>
      </c>
      <c r="DZ85" t="s">
        <v>6558</v>
      </c>
      <c r="EI85" t="s">
        <v>6406</v>
      </c>
      <c r="EQ85" t="s">
        <v>2236</v>
      </c>
      <c r="EU85" t="s">
        <v>6182</v>
      </c>
      <c r="GO85" t="s">
        <v>5830</v>
      </c>
      <c r="HC85" t="s">
        <v>5668</v>
      </c>
      <c r="HV85" t="s">
        <v>2052</v>
      </c>
      <c r="IA85" t="s">
        <v>2969</v>
      </c>
      <c r="IT85" t="s">
        <v>5132</v>
      </c>
      <c r="IX85" t="s">
        <v>2807</v>
      </c>
      <c r="JJ85" t="s">
        <v>3383</v>
      </c>
      <c r="JZ85" t="s">
        <v>4202</v>
      </c>
      <c r="QF85" t="s">
        <v>2834</v>
      </c>
      <c r="RV85" t="s">
        <v>1972</v>
      </c>
    </row>
    <row r="86" spans="33:490" x14ac:dyDescent="0.25">
      <c r="AG86" t="s">
        <v>6076</v>
      </c>
      <c r="AH86" t="s">
        <v>7528</v>
      </c>
      <c r="AZ86" t="s">
        <v>7340</v>
      </c>
      <c r="DF86" t="s">
        <v>6774</v>
      </c>
      <c r="DZ86" t="s">
        <v>6559</v>
      </c>
      <c r="EI86" t="s">
        <v>6407</v>
      </c>
      <c r="EQ86" t="s">
        <v>6253</v>
      </c>
      <c r="EU86" t="s">
        <v>6183</v>
      </c>
      <c r="GO86" t="s">
        <v>5831</v>
      </c>
      <c r="HC86" t="s">
        <v>5669</v>
      </c>
      <c r="HV86" t="s">
        <v>3380</v>
      </c>
      <c r="IA86" t="s">
        <v>2970</v>
      </c>
      <c r="IT86" t="s">
        <v>5133</v>
      </c>
      <c r="IX86" t="s">
        <v>5000</v>
      </c>
      <c r="JJ86" t="s">
        <v>4889</v>
      </c>
      <c r="JZ86" t="s">
        <v>3290</v>
      </c>
      <c r="QF86" t="s">
        <v>2835</v>
      </c>
      <c r="RV86" t="s">
        <v>2261</v>
      </c>
    </row>
    <row r="87" spans="33:490" x14ac:dyDescent="0.25">
      <c r="AG87" t="s">
        <v>7596</v>
      </c>
      <c r="AH87" t="s">
        <v>3448</v>
      </c>
      <c r="AZ87" t="s">
        <v>3942</v>
      </c>
      <c r="DF87" t="s">
        <v>2064</v>
      </c>
      <c r="DZ87" t="s">
        <v>6560</v>
      </c>
      <c r="EI87" t="s">
        <v>6408</v>
      </c>
      <c r="EQ87" t="s">
        <v>2004</v>
      </c>
      <c r="EU87" t="s">
        <v>6184</v>
      </c>
      <c r="GO87" t="s">
        <v>5832</v>
      </c>
      <c r="HC87" t="s">
        <v>5670</v>
      </c>
      <c r="HV87" t="s">
        <v>5474</v>
      </c>
      <c r="IA87" t="s">
        <v>1823</v>
      </c>
      <c r="IT87" t="s">
        <v>2525</v>
      </c>
      <c r="IX87" t="s">
        <v>4753</v>
      </c>
      <c r="JJ87" t="s">
        <v>4890</v>
      </c>
      <c r="JZ87" t="s">
        <v>4769</v>
      </c>
      <c r="QF87" t="s">
        <v>2836</v>
      </c>
      <c r="RV87" t="s">
        <v>2262</v>
      </c>
    </row>
    <row r="88" spans="33:490" x14ac:dyDescent="0.25">
      <c r="AG88" t="s">
        <v>7597</v>
      </c>
      <c r="AH88" t="s">
        <v>7529</v>
      </c>
      <c r="AZ88" t="s">
        <v>2082</v>
      </c>
      <c r="DF88" t="s">
        <v>1620</v>
      </c>
      <c r="DZ88" t="s">
        <v>6561</v>
      </c>
      <c r="EQ88" t="s">
        <v>5121</v>
      </c>
      <c r="EU88" t="s">
        <v>2289</v>
      </c>
      <c r="GO88" t="s">
        <v>5833</v>
      </c>
      <c r="HC88" t="s">
        <v>5671</v>
      </c>
      <c r="HV88" t="s">
        <v>5475</v>
      </c>
      <c r="IA88" t="s">
        <v>2971</v>
      </c>
      <c r="IT88" t="s">
        <v>5134</v>
      </c>
      <c r="IX88" t="s">
        <v>5001</v>
      </c>
      <c r="JJ88" t="s">
        <v>4891</v>
      </c>
      <c r="JZ88" t="s">
        <v>4770</v>
      </c>
      <c r="QF88" t="s">
        <v>760</v>
      </c>
      <c r="RV88" t="s">
        <v>2013</v>
      </c>
    </row>
    <row r="89" spans="33:490" x14ac:dyDescent="0.25">
      <c r="AG89" t="s">
        <v>2136</v>
      </c>
      <c r="AH89" t="s">
        <v>7530</v>
      </c>
      <c r="AZ89" t="s">
        <v>7341</v>
      </c>
      <c r="DZ89" t="s">
        <v>6562</v>
      </c>
      <c r="EQ89" t="s">
        <v>6254</v>
      </c>
      <c r="EU89" t="s">
        <v>6185</v>
      </c>
      <c r="HC89" t="s">
        <v>1843</v>
      </c>
      <c r="HV89" t="s">
        <v>5476</v>
      </c>
      <c r="IA89" t="s">
        <v>2972</v>
      </c>
      <c r="IT89" t="s">
        <v>5135</v>
      </c>
      <c r="IX89" t="s">
        <v>2525</v>
      </c>
      <c r="JJ89" t="s">
        <v>4892</v>
      </c>
      <c r="JZ89" t="s">
        <v>4771</v>
      </c>
      <c r="QF89" t="s">
        <v>2837</v>
      </c>
      <c r="RV89" t="s">
        <v>2263</v>
      </c>
    </row>
    <row r="90" spans="33:490" x14ac:dyDescent="0.25">
      <c r="AG90" t="s">
        <v>4034</v>
      </c>
      <c r="AH90" t="s">
        <v>7531</v>
      </c>
      <c r="AZ90" t="s">
        <v>1343</v>
      </c>
      <c r="DZ90" t="s">
        <v>6563</v>
      </c>
      <c r="EQ90" t="s">
        <v>6255</v>
      </c>
      <c r="EU90" t="s">
        <v>2072</v>
      </c>
      <c r="HC90" t="s">
        <v>1844</v>
      </c>
      <c r="HV90" t="s">
        <v>3806</v>
      </c>
      <c r="IA90" t="s">
        <v>2973</v>
      </c>
      <c r="IT90" t="s">
        <v>5136</v>
      </c>
      <c r="IX90" t="s">
        <v>2256</v>
      </c>
      <c r="JJ90" t="s">
        <v>4893</v>
      </c>
      <c r="JZ90" t="s">
        <v>4347</v>
      </c>
      <c r="RV90" t="s">
        <v>2264</v>
      </c>
    </row>
    <row r="91" spans="33:490" x14ac:dyDescent="0.25">
      <c r="AG91" t="s">
        <v>7598</v>
      </c>
      <c r="AZ91" t="s">
        <v>4998</v>
      </c>
      <c r="DZ91" t="s">
        <v>6564</v>
      </c>
      <c r="EQ91" t="s">
        <v>6256</v>
      </c>
      <c r="EU91" t="s">
        <v>6186</v>
      </c>
      <c r="HC91" t="s">
        <v>5672</v>
      </c>
      <c r="HV91" t="s">
        <v>5477</v>
      </c>
      <c r="IA91" t="s">
        <v>2974</v>
      </c>
      <c r="IT91" t="s">
        <v>5137</v>
      </c>
      <c r="IX91" t="s">
        <v>5002</v>
      </c>
      <c r="JJ91" t="s">
        <v>4894</v>
      </c>
      <c r="JZ91" t="s">
        <v>2741</v>
      </c>
      <c r="RV91" t="s">
        <v>2039</v>
      </c>
    </row>
    <row r="92" spans="33:490" x14ac:dyDescent="0.25">
      <c r="AG92" t="s">
        <v>1278</v>
      </c>
      <c r="AZ92" t="s">
        <v>7342</v>
      </c>
      <c r="DZ92" t="s">
        <v>785</v>
      </c>
      <c r="EQ92" t="s">
        <v>6257</v>
      </c>
      <c r="EU92" t="s">
        <v>6187</v>
      </c>
      <c r="HC92" t="s">
        <v>2725</v>
      </c>
      <c r="HV92" t="s">
        <v>5478</v>
      </c>
      <c r="IA92" t="s">
        <v>2975</v>
      </c>
      <c r="IT92" t="s">
        <v>5138</v>
      </c>
      <c r="IX92" t="s">
        <v>2468</v>
      </c>
      <c r="JJ92" t="s">
        <v>4895</v>
      </c>
      <c r="JZ92" t="s">
        <v>4772</v>
      </c>
      <c r="RV92" t="s">
        <v>2020</v>
      </c>
    </row>
    <row r="93" spans="33:490" x14ac:dyDescent="0.25">
      <c r="AG93" t="s">
        <v>3415</v>
      </c>
      <c r="AZ93" t="s">
        <v>2807</v>
      </c>
      <c r="DZ93" t="s">
        <v>1617</v>
      </c>
      <c r="EQ93" t="s">
        <v>6258</v>
      </c>
      <c r="EU93" t="s">
        <v>6188</v>
      </c>
      <c r="HC93" t="s">
        <v>5673</v>
      </c>
      <c r="HV93" t="s">
        <v>5479</v>
      </c>
      <c r="IA93" t="s">
        <v>2976</v>
      </c>
      <c r="IT93" t="s">
        <v>5139</v>
      </c>
      <c r="IX93" t="s">
        <v>2383</v>
      </c>
      <c r="JJ93" t="s">
        <v>4896</v>
      </c>
      <c r="RV93" t="s">
        <v>2265</v>
      </c>
    </row>
    <row r="94" spans="33:490" x14ac:dyDescent="0.25">
      <c r="AG94" t="s">
        <v>2286</v>
      </c>
      <c r="AZ94" t="s">
        <v>3803</v>
      </c>
      <c r="DZ94" t="s">
        <v>6565</v>
      </c>
      <c r="EQ94" t="s">
        <v>4720</v>
      </c>
      <c r="EU94" t="s">
        <v>6189</v>
      </c>
      <c r="HC94" t="s">
        <v>5674</v>
      </c>
      <c r="HV94" t="s">
        <v>5480</v>
      </c>
      <c r="IA94" t="s">
        <v>2977</v>
      </c>
      <c r="IT94" t="s">
        <v>1045</v>
      </c>
      <c r="IX94" t="s">
        <v>5003</v>
      </c>
      <c r="JJ94" t="s">
        <v>4897</v>
      </c>
      <c r="RV94" t="s">
        <v>1075</v>
      </c>
    </row>
    <row r="95" spans="33:490" x14ac:dyDescent="0.25">
      <c r="AG95" t="s">
        <v>7599</v>
      </c>
      <c r="AZ95" t="s">
        <v>7343</v>
      </c>
      <c r="DZ95" t="s">
        <v>6566</v>
      </c>
      <c r="EQ95" t="s">
        <v>2720</v>
      </c>
      <c r="HC95" t="s">
        <v>5675</v>
      </c>
      <c r="HV95" t="s">
        <v>3605</v>
      </c>
      <c r="IA95" t="s">
        <v>2978</v>
      </c>
      <c r="IT95" t="s">
        <v>5140</v>
      </c>
      <c r="IX95" t="s">
        <v>5004</v>
      </c>
      <c r="JJ95" t="s">
        <v>4898</v>
      </c>
      <c r="RV95" t="s">
        <v>2266</v>
      </c>
    </row>
    <row r="96" spans="33:490" x14ac:dyDescent="0.25">
      <c r="AG96" t="s">
        <v>2506</v>
      </c>
      <c r="AZ96" t="s">
        <v>7344</v>
      </c>
      <c r="DZ96" t="s">
        <v>6567</v>
      </c>
      <c r="EQ96" t="s">
        <v>3548</v>
      </c>
      <c r="HC96" t="s">
        <v>1149</v>
      </c>
      <c r="HV96" t="s">
        <v>5481</v>
      </c>
      <c r="IA96" t="s">
        <v>2979</v>
      </c>
      <c r="IT96" t="s">
        <v>5141</v>
      </c>
      <c r="IX96" t="s">
        <v>5005</v>
      </c>
      <c r="JJ96" t="s">
        <v>3065</v>
      </c>
      <c r="RV96" t="s">
        <v>2267</v>
      </c>
    </row>
    <row r="97" spans="33:490" x14ac:dyDescent="0.25">
      <c r="AG97" t="s">
        <v>7600</v>
      </c>
      <c r="AZ97" t="s">
        <v>2673</v>
      </c>
      <c r="DZ97" t="s">
        <v>6568</v>
      </c>
      <c r="EQ97" t="s">
        <v>6259</v>
      </c>
      <c r="HC97" t="s">
        <v>808</v>
      </c>
      <c r="HV97" t="s">
        <v>5482</v>
      </c>
      <c r="IA97" t="s">
        <v>2980</v>
      </c>
      <c r="IT97" t="s">
        <v>5142</v>
      </c>
      <c r="IX97" t="s">
        <v>2757</v>
      </c>
      <c r="JJ97" t="s">
        <v>2281</v>
      </c>
      <c r="RV97" t="s">
        <v>2268</v>
      </c>
    </row>
    <row r="98" spans="33:490" x14ac:dyDescent="0.25">
      <c r="AG98" t="s">
        <v>7601</v>
      </c>
      <c r="AZ98" t="s">
        <v>7345</v>
      </c>
      <c r="DZ98" t="s">
        <v>6569</v>
      </c>
      <c r="EQ98" t="s">
        <v>2806</v>
      </c>
      <c r="HC98" t="s">
        <v>5676</v>
      </c>
      <c r="HV98" t="s">
        <v>5483</v>
      </c>
      <c r="IA98" t="s">
        <v>2981</v>
      </c>
      <c r="IT98" t="s">
        <v>5143</v>
      </c>
      <c r="IX98" t="s">
        <v>3556</v>
      </c>
      <c r="JJ98" t="s">
        <v>4899</v>
      </c>
      <c r="RV98" t="s">
        <v>2269</v>
      </c>
    </row>
    <row r="99" spans="33:490" x14ac:dyDescent="0.25">
      <c r="AG99" t="s">
        <v>7602</v>
      </c>
      <c r="AZ99" t="s">
        <v>6995</v>
      </c>
      <c r="DZ99" t="s">
        <v>6570</v>
      </c>
      <c r="EQ99" t="s">
        <v>2250</v>
      </c>
      <c r="HC99" t="s">
        <v>5677</v>
      </c>
      <c r="HV99" t="s">
        <v>5484</v>
      </c>
      <c r="IA99" t="s">
        <v>2982</v>
      </c>
      <c r="IT99" t="s">
        <v>5144</v>
      </c>
      <c r="IX99" t="s">
        <v>2051</v>
      </c>
      <c r="JJ99" t="s">
        <v>4900</v>
      </c>
      <c r="RV99" t="s">
        <v>2270</v>
      </c>
    </row>
    <row r="100" spans="33:490" x14ac:dyDescent="0.25">
      <c r="AG100" t="s">
        <v>7603</v>
      </c>
      <c r="AZ100" t="s">
        <v>7346</v>
      </c>
      <c r="DZ100" t="s">
        <v>6571</v>
      </c>
      <c r="EQ100" t="s">
        <v>4239</v>
      </c>
      <c r="HC100" t="s">
        <v>4139</v>
      </c>
      <c r="HV100" t="s">
        <v>2412</v>
      </c>
      <c r="IA100" t="s">
        <v>2983</v>
      </c>
      <c r="IT100" t="s">
        <v>5145</v>
      </c>
      <c r="IX100" t="s">
        <v>2878</v>
      </c>
      <c r="JJ100" t="s">
        <v>4901</v>
      </c>
      <c r="RV100" t="s">
        <v>2271</v>
      </c>
    </row>
    <row r="101" spans="33:490" x14ac:dyDescent="0.25">
      <c r="AG101" t="s">
        <v>7604</v>
      </c>
      <c r="AZ101" t="s">
        <v>7347</v>
      </c>
      <c r="DZ101" t="s">
        <v>6572</v>
      </c>
      <c r="EQ101" t="s">
        <v>6260</v>
      </c>
      <c r="HC101" t="s">
        <v>1566</v>
      </c>
      <c r="HV101" t="s">
        <v>2007</v>
      </c>
      <c r="IA101" t="s">
        <v>2984</v>
      </c>
      <c r="IT101" t="s">
        <v>5146</v>
      </c>
      <c r="IX101" t="s">
        <v>5006</v>
      </c>
      <c r="JJ101" t="s">
        <v>4902</v>
      </c>
      <c r="RV101" t="s">
        <v>2272</v>
      </c>
    </row>
    <row r="102" spans="33:490" x14ac:dyDescent="0.25">
      <c r="AZ102" t="s">
        <v>3306</v>
      </c>
      <c r="EQ102" t="s">
        <v>6261</v>
      </c>
      <c r="HC102" t="s">
        <v>5678</v>
      </c>
      <c r="HV102" t="s">
        <v>5485</v>
      </c>
      <c r="IA102" t="s">
        <v>1327</v>
      </c>
      <c r="IT102" t="s">
        <v>5147</v>
      </c>
      <c r="IX102" t="s">
        <v>5007</v>
      </c>
      <c r="JJ102" t="s">
        <v>3088</v>
      </c>
      <c r="RV102" t="s">
        <v>2033</v>
      </c>
    </row>
    <row r="103" spans="33:490" x14ac:dyDescent="0.25">
      <c r="AZ103" t="s">
        <v>4368</v>
      </c>
      <c r="EQ103" t="s">
        <v>4752</v>
      </c>
      <c r="HC103" t="s">
        <v>5679</v>
      </c>
      <c r="HV103" t="s">
        <v>5486</v>
      </c>
      <c r="IA103" t="s">
        <v>2405</v>
      </c>
      <c r="IT103" t="s">
        <v>3382</v>
      </c>
      <c r="IX103" t="s">
        <v>5008</v>
      </c>
      <c r="JJ103" t="s">
        <v>3416</v>
      </c>
      <c r="RV103" t="s">
        <v>2273</v>
      </c>
    </row>
    <row r="104" spans="33:490" x14ac:dyDescent="0.25">
      <c r="AZ104" t="s">
        <v>7348</v>
      </c>
      <c r="EQ104" t="s">
        <v>6262</v>
      </c>
      <c r="HC104" t="s">
        <v>5680</v>
      </c>
      <c r="HV104" t="s">
        <v>5487</v>
      </c>
      <c r="IA104" t="s">
        <v>2985</v>
      </c>
      <c r="IT104" t="s">
        <v>5148</v>
      </c>
      <c r="IX104" t="s">
        <v>5009</v>
      </c>
      <c r="JJ104" t="s">
        <v>1707</v>
      </c>
      <c r="RV104" t="s">
        <v>2274</v>
      </c>
    </row>
    <row r="105" spans="33:490" x14ac:dyDescent="0.25">
      <c r="AZ105" t="s">
        <v>7349</v>
      </c>
      <c r="EQ105" t="s">
        <v>4754</v>
      </c>
      <c r="HC105" t="s">
        <v>5681</v>
      </c>
      <c r="HV105" t="s">
        <v>3949</v>
      </c>
      <c r="IA105" t="s">
        <v>2238</v>
      </c>
      <c r="IT105" t="s">
        <v>5149</v>
      </c>
      <c r="IX105" t="s">
        <v>5010</v>
      </c>
      <c r="JJ105" t="s">
        <v>3091</v>
      </c>
      <c r="RV105" t="s">
        <v>2275</v>
      </c>
    </row>
    <row r="106" spans="33:490" x14ac:dyDescent="0.25">
      <c r="AZ106" t="s">
        <v>7350</v>
      </c>
      <c r="EQ106" t="s">
        <v>6263</v>
      </c>
      <c r="HC106" t="s">
        <v>5682</v>
      </c>
      <c r="HV106" t="s">
        <v>5488</v>
      </c>
      <c r="IA106" t="s">
        <v>2986</v>
      </c>
      <c r="IT106" t="s">
        <v>5150</v>
      </c>
      <c r="IX106" t="s">
        <v>5011</v>
      </c>
      <c r="JJ106" t="s">
        <v>4903</v>
      </c>
      <c r="RV106" t="s">
        <v>2276</v>
      </c>
    </row>
    <row r="107" spans="33:490" x14ac:dyDescent="0.25">
      <c r="AZ107" t="s">
        <v>7351</v>
      </c>
      <c r="EQ107" t="s">
        <v>6264</v>
      </c>
      <c r="HC107" t="s">
        <v>5683</v>
      </c>
      <c r="HV107" t="s">
        <v>5489</v>
      </c>
      <c r="IA107" t="s">
        <v>2987</v>
      </c>
      <c r="IT107" t="s">
        <v>787</v>
      </c>
      <c r="IX107" t="s">
        <v>5012</v>
      </c>
      <c r="RV107" t="s">
        <v>2136</v>
      </c>
    </row>
    <row r="108" spans="33:490" x14ac:dyDescent="0.25">
      <c r="AZ108" t="s">
        <v>7352</v>
      </c>
      <c r="EQ108" t="s">
        <v>3515</v>
      </c>
      <c r="HC108" t="s">
        <v>5684</v>
      </c>
      <c r="HV108" t="s">
        <v>5490</v>
      </c>
      <c r="IA108" t="s">
        <v>2988</v>
      </c>
      <c r="IT108" t="s">
        <v>5151</v>
      </c>
      <c r="IX108" t="s">
        <v>5013</v>
      </c>
      <c r="RV108" t="s">
        <v>2277</v>
      </c>
    </row>
    <row r="109" spans="33:490" x14ac:dyDescent="0.25">
      <c r="AZ109" t="s">
        <v>3032</v>
      </c>
      <c r="EQ109" t="s">
        <v>6265</v>
      </c>
      <c r="HC109" t="s">
        <v>5685</v>
      </c>
      <c r="HV109" t="s">
        <v>3058</v>
      </c>
      <c r="IA109" t="s">
        <v>2989</v>
      </c>
      <c r="IT109" t="s">
        <v>2502</v>
      </c>
      <c r="IX109" t="s">
        <v>5014</v>
      </c>
      <c r="RV109" t="s">
        <v>2278</v>
      </c>
    </row>
    <row r="110" spans="33:490" x14ac:dyDescent="0.25">
      <c r="AZ110" t="s">
        <v>7353</v>
      </c>
      <c r="EQ110" t="s">
        <v>6266</v>
      </c>
      <c r="HC110" t="s">
        <v>5686</v>
      </c>
      <c r="HV110" t="s">
        <v>5491</v>
      </c>
      <c r="IA110" t="s">
        <v>2242</v>
      </c>
      <c r="IT110" t="s">
        <v>5152</v>
      </c>
      <c r="IX110" t="s">
        <v>2412</v>
      </c>
      <c r="RV110" t="s">
        <v>2279</v>
      </c>
    </row>
    <row r="111" spans="33:490" x14ac:dyDescent="0.25">
      <c r="AZ111" t="s">
        <v>7354</v>
      </c>
      <c r="EQ111" t="s">
        <v>6267</v>
      </c>
      <c r="HC111" t="s">
        <v>5687</v>
      </c>
      <c r="HV111" t="s">
        <v>5492</v>
      </c>
      <c r="IA111" t="s">
        <v>2990</v>
      </c>
      <c r="IT111" t="s">
        <v>5153</v>
      </c>
      <c r="IX111" t="s">
        <v>5015</v>
      </c>
      <c r="RV111" t="s">
        <v>2280</v>
      </c>
    </row>
    <row r="112" spans="33:490" x14ac:dyDescent="0.25">
      <c r="AZ112" t="s">
        <v>7355</v>
      </c>
      <c r="EQ112" t="s">
        <v>6268</v>
      </c>
      <c r="HC112" t="s">
        <v>5688</v>
      </c>
      <c r="HV112" t="s">
        <v>5493</v>
      </c>
      <c r="IA112" t="s">
        <v>2605</v>
      </c>
      <c r="IT112" t="s">
        <v>5154</v>
      </c>
      <c r="IX112" t="s">
        <v>5016</v>
      </c>
      <c r="RV112" t="s">
        <v>2281</v>
      </c>
    </row>
    <row r="113" spans="52:490" x14ac:dyDescent="0.25">
      <c r="AZ113" t="s">
        <v>5147</v>
      </c>
      <c r="EQ113" t="s">
        <v>4214</v>
      </c>
      <c r="HC113" t="s">
        <v>5689</v>
      </c>
      <c r="HV113" t="s">
        <v>2282</v>
      </c>
      <c r="IA113" t="s">
        <v>2991</v>
      </c>
      <c r="IT113" t="s">
        <v>5155</v>
      </c>
      <c r="IX113" t="s">
        <v>2032</v>
      </c>
      <c r="RV113" t="s">
        <v>2282</v>
      </c>
    </row>
    <row r="114" spans="52:490" x14ac:dyDescent="0.25">
      <c r="AZ114" t="s">
        <v>7356</v>
      </c>
      <c r="EQ114" t="s">
        <v>6269</v>
      </c>
      <c r="HC114" t="s">
        <v>5690</v>
      </c>
      <c r="HV114" t="s">
        <v>1380</v>
      </c>
      <c r="IA114" t="s">
        <v>2992</v>
      </c>
      <c r="IT114" t="s">
        <v>5156</v>
      </c>
      <c r="IX114" t="s">
        <v>5017</v>
      </c>
      <c r="RV114" t="s">
        <v>2283</v>
      </c>
    </row>
    <row r="115" spans="52:490" x14ac:dyDescent="0.25">
      <c r="AZ115" t="s">
        <v>7357</v>
      </c>
      <c r="EQ115" t="s">
        <v>6270</v>
      </c>
      <c r="HC115" t="s">
        <v>5691</v>
      </c>
      <c r="HV115" t="s">
        <v>5494</v>
      </c>
      <c r="IA115" t="s">
        <v>2993</v>
      </c>
      <c r="IT115" t="s">
        <v>5157</v>
      </c>
      <c r="IX115" t="s">
        <v>5018</v>
      </c>
      <c r="RV115" t="s">
        <v>2284</v>
      </c>
    </row>
    <row r="116" spans="52:490" x14ac:dyDescent="0.25">
      <c r="AZ116" t="s">
        <v>7358</v>
      </c>
      <c r="EQ116" t="s">
        <v>6271</v>
      </c>
      <c r="HC116" t="s">
        <v>5692</v>
      </c>
      <c r="HV116" t="s">
        <v>5495</v>
      </c>
      <c r="IA116" t="s">
        <v>2994</v>
      </c>
      <c r="IT116" t="s">
        <v>5158</v>
      </c>
      <c r="IX116" t="s">
        <v>5019</v>
      </c>
      <c r="RV116" t="s">
        <v>2285</v>
      </c>
    </row>
    <row r="117" spans="52:490" x14ac:dyDescent="0.25">
      <c r="AZ117" t="s">
        <v>7359</v>
      </c>
      <c r="EQ117" t="s">
        <v>6272</v>
      </c>
      <c r="HC117" t="s">
        <v>5693</v>
      </c>
      <c r="HV117" t="s">
        <v>762</v>
      </c>
      <c r="IA117" t="s">
        <v>2995</v>
      </c>
      <c r="IT117" t="s">
        <v>5159</v>
      </c>
      <c r="IX117" t="s">
        <v>4892</v>
      </c>
      <c r="RV117" t="s">
        <v>2286</v>
      </c>
    </row>
    <row r="118" spans="52:490" x14ac:dyDescent="0.25">
      <c r="AZ118" t="s">
        <v>3161</v>
      </c>
      <c r="EQ118" t="s">
        <v>2500</v>
      </c>
      <c r="HC118" t="s">
        <v>5694</v>
      </c>
      <c r="HV118" t="s">
        <v>2288</v>
      </c>
      <c r="IA118" t="s">
        <v>2996</v>
      </c>
      <c r="IT118" t="s">
        <v>5160</v>
      </c>
      <c r="IX118" t="s">
        <v>5020</v>
      </c>
      <c r="RV118" t="s">
        <v>2287</v>
      </c>
    </row>
    <row r="119" spans="52:490" x14ac:dyDescent="0.25">
      <c r="AZ119" t="s">
        <v>7360</v>
      </c>
      <c r="EQ119" t="s">
        <v>6273</v>
      </c>
      <c r="HC119" t="s">
        <v>2848</v>
      </c>
      <c r="HV119" t="s">
        <v>5496</v>
      </c>
      <c r="IA119" t="s">
        <v>2997</v>
      </c>
      <c r="IT119" t="s">
        <v>3607</v>
      </c>
      <c r="IX119" t="s">
        <v>5021</v>
      </c>
      <c r="RV119" t="s">
        <v>2288</v>
      </c>
    </row>
    <row r="120" spans="52:490" x14ac:dyDescent="0.25">
      <c r="AZ120" t="s">
        <v>6592</v>
      </c>
      <c r="EQ120" t="s">
        <v>6274</v>
      </c>
      <c r="HC120" t="s">
        <v>5695</v>
      </c>
      <c r="HV120" t="s">
        <v>5497</v>
      </c>
      <c r="IA120" t="s">
        <v>2653</v>
      </c>
      <c r="IT120" t="s">
        <v>2098</v>
      </c>
      <c r="IX120" t="s">
        <v>5022</v>
      </c>
      <c r="RV120" t="s">
        <v>2289</v>
      </c>
    </row>
    <row r="121" spans="52:490" x14ac:dyDescent="0.25">
      <c r="AZ121" t="s">
        <v>7361</v>
      </c>
      <c r="EQ121" t="s">
        <v>6275</v>
      </c>
      <c r="HC121" t="s">
        <v>5696</v>
      </c>
      <c r="HV121" t="s">
        <v>4483</v>
      </c>
      <c r="IA121" t="s">
        <v>2247</v>
      </c>
      <c r="IT121" t="s">
        <v>5161</v>
      </c>
      <c r="IX121" t="s">
        <v>5023</v>
      </c>
      <c r="RV121" t="s">
        <v>2290</v>
      </c>
    </row>
    <row r="122" spans="52:490" x14ac:dyDescent="0.25">
      <c r="AZ122" t="s">
        <v>7362</v>
      </c>
      <c r="EQ122" t="s">
        <v>6276</v>
      </c>
      <c r="HC122" t="s">
        <v>5697</v>
      </c>
      <c r="HV122" t="s">
        <v>5498</v>
      </c>
      <c r="IA122" t="s">
        <v>2998</v>
      </c>
      <c r="IT122" t="s">
        <v>5162</v>
      </c>
      <c r="IX122" t="s">
        <v>3953</v>
      </c>
      <c r="RV122" t="s">
        <v>2291</v>
      </c>
    </row>
    <row r="123" spans="52:490" x14ac:dyDescent="0.25">
      <c r="AZ123" t="s">
        <v>7363</v>
      </c>
      <c r="EQ123" t="s">
        <v>4390</v>
      </c>
      <c r="HC123" t="s">
        <v>5698</v>
      </c>
      <c r="HV123" t="s">
        <v>5499</v>
      </c>
      <c r="IA123" t="s">
        <v>2999</v>
      </c>
      <c r="IT123" t="s">
        <v>5163</v>
      </c>
      <c r="IX123" t="s">
        <v>5024</v>
      </c>
      <c r="RV123" t="s">
        <v>2292</v>
      </c>
    </row>
    <row r="124" spans="52:490" x14ac:dyDescent="0.25">
      <c r="AZ124" t="s">
        <v>6637</v>
      </c>
      <c r="EQ124" t="s">
        <v>6277</v>
      </c>
      <c r="HC124" t="s">
        <v>5699</v>
      </c>
      <c r="HV124" t="s">
        <v>5500</v>
      </c>
      <c r="IA124" t="s">
        <v>3000</v>
      </c>
      <c r="IT124" t="s">
        <v>5164</v>
      </c>
      <c r="IX124" t="s">
        <v>5025</v>
      </c>
      <c r="RV124" t="s">
        <v>2293</v>
      </c>
    </row>
    <row r="125" spans="52:490" x14ac:dyDescent="0.25">
      <c r="AZ125" t="s">
        <v>7364</v>
      </c>
      <c r="EQ125" t="s">
        <v>1075</v>
      </c>
      <c r="HC125" t="s">
        <v>5700</v>
      </c>
      <c r="HV125" t="s">
        <v>5501</v>
      </c>
      <c r="IA125" t="s">
        <v>1984</v>
      </c>
      <c r="IT125" t="s">
        <v>5165</v>
      </c>
      <c r="IX125" t="s">
        <v>5026</v>
      </c>
      <c r="RV125" t="s">
        <v>2294</v>
      </c>
    </row>
    <row r="126" spans="52:490" x14ac:dyDescent="0.25">
      <c r="AZ126" t="s">
        <v>2278</v>
      </c>
      <c r="EQ126" t="s">
        <v>2412</v>
      </c>
      <c r="HC126" t="s">
        <v>5701</v>
      </c>
      <c r="IA126" t="s">
        <v>3001</v>
      </c>
      <c r="IT126" t="s">
        <v>4344</v>
      </c>
      <c r="IX126" t="s">
        <v>5027</v>
      </c>
      <c r="RV126" t="s">
        <v>2295</v>
      </c>
    </row>
    <row r="127" spans="52:490" x14ac:dyDescent="0.25">
      <c r="AZ127" t="s">
        <v>7365</v>
      </c>
      <c r="EQ127" t="s">
        <v>1955</v>
      </c>
      <c r="HC127" t="s">
        <v>5702</v>
      </c>
      <c r="IA127" t="s">
        <v>3002</v>
      </c>
      <c r="IT127" t="s">
        <v>5030</v>
      </c>
      <c r="IX127" t="s">
        <v>5028</v>
      </c>
      <c r="RV127" t="s">
        <v>2296</v>
      </c>
    </row>
    <row r="128" spans="52:490" x14ac:dyDescent="0.25">
      <c r="AZ128" t="s">
        <v>7366</v>
      </c>
      <c r="EQ128" t="s">
        <v>6278</v>
      </c>
      <c r="HC128" t="s">
        <v>5703</v>
      </c>
      <c r="IA128" t="s">
        <v>2028</v>
      </c>
      <c r="IT128" t="s">
        <v>5166</v>
      </c>
      <c r="IX128" t="s">
        <v>4343</v>
      </c>
      <c r="RV128" t="s">
        <v>2297</v>
      </c>
    </row>
    <row r="129" spans="52:490" x14ac:dyDescent="0.25">
      <c r="AZ129" t="s">
        <v>7367</v>
      </c>
      <c r="EQ129" t="s">
        <v>787</v>
      </c>
      <c r="HC129" t="s">
        <v>1682</v>
      </c>
      <c r="IA129" t="s">
        <v>3003</v>
      </c>
      <c r="IT129" t="s">
        <v>977</v>
      </c>
      <c r="IX129" t="s">
        <v>5029</v>
      </c>
      <c r="RV129" t="s">
        <v>2298</v>
      </c>
    </row>
    <row r="130" spans="52:490" x14ac:dyDescent="0.25">
      <c r="AZ130" t="s">
        <v>7368</v>
      </c>
      <c r="EQ130" t="s">
        <v>6279</v>
      </c>
      <c r="HC130" t="s">
        <v>5704</v>
      </c>
      <c r="IA130" t="s">
        <v>3004</v>
      </c>
      <c r="IT130" t="s">
        <v>5167</v>
      </c>
      <c r="IX130" t="s">
        <v>5030</v>
      </c>
      <c r="RV130" t="s">
        <v>2299</v>
      </c>
    </row>
    <row r="131" spans="52:490" x14ac:dyDescent="0.25">
      <c r="AZ131" t="s">
        <v>4783</v>
      </c>
      <c r="EQ131" t="s">
        <v>6280</v>
      </c>
      <c r="HC131" t="s">
        <v>5705</v>
      </c>
      <c r="IA131" t="s">
        <v>2029</v>
      </c>
      <c r="IT131" t="s">
        <v>5168</v>
      </c>
      <c r="IX131" t="s">
        <v>5031</v>
      </c>
      <c r="RV131" t="s">
        <v>2300</v>
      </c>
    </row>
    <row r="132" spans="52:490" x14ac:dyDescent="0.25">
      <c r="AZ132" t="s">
        <v>3281</v>
      </c>
      <c r="EQ132" t="s">
        <v>3161</v>
      </c>
      <c r="HC132" t="s">
        <v>5706</v>
      </c>
      <c r="IA132" t="s">
        <v>3005</v>
      </c>
      <c r="IT132" t="s">
        <v>5169</v>
      </c>
      <c r="IX132" t="s">
        <v>4261</v>
      </c>
      <c r="RV132" t="s">
        <v>756</v>
      </c>
    </row>
    <row r="133" spans="52:490" x14ac:dyDescent="0.25">
      <c r="AZ133" t="s">
        <v>7369</v>
      </c>
      <c r="EQ133" t="s">
        <v>6281</v>
      </c>
      <c r="HC133" t="s">
        <v>2296</v>
      </c>
      <c r="IA133" t="s">
        <v>1042</v>
      </c>
      <c r="IT133" t="s">
        <v>5170</v>
      </c>
      <c r="IX133" t="s">
        <v>5032</v>
      </c>
    </row>
    <row r="134" spans="52:490" x14ac:dyDescent="0.25">
      <c r="AZ134" t="s">
        <v>7370</v>
      </c>
      <c r="EQ134" t="s">
        <v>5020</v>
      </c>
      <c r="HC134" t="s">
        <v>5707</v>
      </c>
      <c r="IA134" t="s">
        <v>1100</v>
      </c>
      <c r="IT134" t="s">
        <v>5171</v>
      </c>
      <c r="IX134" t="s">
        <v>5033</v>
      </c>
    </row>
    <row r="135" spans="52:490" x14ac:dyDescent="0.25">
      <c r="AZ135" t="s">
        <v>7371</v>
      </c>
      <c r="EQ135" t="s">
        <v>6282</v>
      </c>
      <c r="HC135" t="s">
        <v>5708</v>
      </c>
      <c r="IA135" t="s">
        <v>3006</v>
      </c>
      <c r="IT135" t="s">
        <v>5172</v>
      </c>
      <c r="IX135" t="s">
        <v>5034</v>
      </c>
    </row>
    <row r="136" spans="52:490" x14ac:dyDescent="0.25">
      <c r="AZ136" t="s">
        <v>7372</v>
      </c>
      <c r="EQ136" t="s">
        <v>6283</v>
      </c>
      <c r="IA136" t="s">
        <v>3007</v>
      </c>
      <c r="IT136" t="s">
        <v>5173</v>
      </c>
      <c r="IX136" t="s">
        <v>5035</v>
      </c>
    </row>
    <row r="137" spans="52:490" x14ac:dyDescent="0.25">
      <c r="AZ137" t="s">
        <v>7373</v>
      </c>
      <c r="EQ137" t="s">
        <v>6284</v>
      </c>
      <c r="IA137" t="s">
        <v>3008</v>
      </c>
      <c r="IT137" t="s">
        <v>5174</v>
      </c>
      <c r="IX137" t="s">
        <v>2289</v>
      </c>
    </row>
    <row r="138" spans="52:490" x14ac:dyDescent="0.25">
      <c r="AZ138" t="s">
        <v>7374</v>
      </c>
      <c r="EQ138" t="s">
        <v>2822</v>
      </c>
      <c r="IA138" t="s">
        <v>3009</v>
      </c>
      <c r="IT138" t="s">
        <v>5175</v>
      </c>
      <c r="IX138" t="s">
        <v>5036</v>
      </c>
    </row>
    <row r="139" spans="52:490" x14ac:dyDescent="0.25">
      <c r="AZ139" t="s">
        <v>4770</v>
      </c>
      <c r="EQ139" t="s">
        <v>2278</v>
      </c>
      <c r="IA139" t="s">
        <v>3010</v>
      </c>
      <c r="IT139" t="s">
        <v>5176</v>
      </c>
      <c r="IX139" t="s">
        <v>5037</v>
      </c>
    </row>
    <row r="140" spans="52:490" x14ac:dyDescent="0.25">
      <c r="AZ140" t="s">
        <v>7375</v>
      </c>
      <c r="EQ140" t="s">
        <v>6285</v>
      </c>
      <c r="IA140" t="s">
        <v>3011</v>
      </c>
      <c r="IT140" t="s">
        <v>5177</v>
      </c>
      <c r="IX140" t="s">
        <v>5038</v>
      </c>
    </row>
    <row r="141" spans="52:490" x14ac:dyDescent="0.25">
      <c r="AZ141" t="s">
        <v>7376</v>
      </c>
      <c r="EQ141" t="s">
        <v>1675</v>
      </c>
      <c r="IA141" t="s">
        <v>3012</v>
      </c>
      <c r="IT141" t="s">
        <v>1707</v>
      </c>
      <c r="IX141" t="s">
        <v>5039</v>
      </c>
    </row>
    <row r="142" spans="52:490" x14ac:dyDescent="0.25">
      <c r="AZ142" t="s">
        <v>7255</v>
      </c>
      <c r="EQ142" t="s">
        <v>3607</v>
      </c>
      <c r="IA142" t="s">
        <v>2084</v>
      </c>
      <c r="IX142" t="s">
        <v>5040</v>
      </c>
    </row>
    <row r="143" spans="52:490" x14ac:dyDescent="0.25">
      <c r="AZ143" t="s">
        <v>5572</v>
      </c>
      <c r="EQ143" t="s">
        <v>6176</v>
      </c>
      <c r="IA143" t="s">
        <v>3013</v>
      </c>
      <c r="IX143" t="s">
        <v>5041</v>
      </c>
    </row>
    <row r="144" spans="52:490" x14ac:dyDescent="0.25">
      <c r="AZ144" t="s">
        <v>7377</v>
      </c>
      <c r="EQ144" t="s">
        <v>6286</v>
      </c>
      <c r="IA144" t="s">
        <v>3014</v>
      </c>
      <c r="IX144" t="s">
        <v>5042</v>
      </c>
    </row>
    <row r="145" spans="52:258" x14ac:dyDescent="0.25">
      <c r="AZ145" t="s">
        <v>7378</v>
      </c>
      <c r="EQ145" t="s">
        <v>6287</v>
      </c>
      <c r="IA145" t="s">
        <v>3015</v>
      </c>
      <c r="IX145" t="s">
        <v>1617</v>
      </c>
    </row>
    <row r="146" spans="52:258" x14ac:dyDescent="0.25">
      <c r="AZ146" t="s">
        <v>6646</v>
      </c>
      <c r="EQ146" t="s">
        <v>6288</v>
      </c>
      <c r="IA146" t="s">
        <v>2083</v>
      </c>
      <c r="IX146" t="s">
        <v>842</v>
      </c>
    </row>
    <row r="147" spans="52:258" x14ac:dyDescent="0.25">
      <c r="AZ147" t="s">
        <v>7379</v>
      </c>
      <c r="EQ147" t="s">
        <v>3889</v>
      </c>
      <c r="IA147" t="s">
        <v>3016</v>
      </c>
      <c r="IX147" t="s">
        <v>5043</v>
      </c>
    </row>
    <row r="148" spans="52:258" x14ac:dyDescent="0.25">
      <c r="EQ148" t="s">
        <v>4092</v>
      </c>
      <c r="IA148" t="s">
        <v>3017</v>
      </c>
      <c r="IX148" t="s">
        <v>5044</v>
      </c>
    </row>
    <row r="149" spans="52:258" x14ac:dyDescent="0.25">
      <c r="EQ149" t="s">
        <v>2282</v>
      </c>
      <c r="IA149" t="s">
        <v>3018</v>
      </c>
      <c r="IX149" t="s">
        <v>5045</v>
      </c>
    </row>
    <row r="150" spans="52:258" x14ac:dyDescent="0.25">
      <c r="EQ150" t="s">
        <v>6289</v>
      </c>
      <c r="IA150" t="s">
        <v>3019</v>
      </c>
    </row>
    <row r="151" spans="52:258" x14ac:dyDescent="0.25">
      <c r="EQ151" t="s">
        <v>6290</v>
      </c>
      <c r="IA151" t="s">
        <v>3020</v>
      </c>
    </row>
    <row r="152" spans="52:258" x14ac:dyDescent="0.25">
      <c r="EQ152" t="s">
        <v>4343</v>
      </c>
      <c r="IA152" t="s">
        <v>3021</v>
      </c>
    </row>
    <row r="153" spans="52:258" x14ac:dyDescent="0.25">
      <c r="EQ153" t="s">
        <v>6291</v>
      </c>
      <c r="IA153" t="s">
        <v>3022</v>
      </c>
    </row>
    <row r="154" spans="52:258" x14ac:dyDescent="0.25">
      <c r="EQ154" t="s">
        <v>6292</v>
      </c>
      <c r="IA154" t="s">
        <v>3023</v>
      </c>
    </row>
    <row r="155" spans="52:258" x14ac:dyDescent="0.25">
      <c r="EQ155" t="s">
        <v>2506</v>
      </c>
      <c r="IA155" t="s">
        <v>3024</v>
      </c>
    </row>
    <row r="156" spans="52:258" x14ac:dyDescent="0.25">
      <c r="EQ156" t="s">
        <v>6293</v>
      </c>
      <c r="IA156" t="s">
        <v>3025</v>
      </c>
    </row>
    <row r="157" spans="52:258" x14ac:dyDescent="0.25">
      <c r="EQ157" t="s">
        <v>762</v>
      </c>
      <c r="IA157" t="s">
        <v>3026</v>
      </c>
    </row>
    <row r="158" spans="52:258" x14ac:dyDescent="0.25">
      <c r="EQ158" t="s">
        <v>6294</v>
      </c>
      <c r="IA158" t="s">
        <v>3027</v>
      </c>
    </row>
    <row r="159" spans="52:258" x14ac:dyDescent="0.25">
      <c r="EQ159" t="s">
        <v>6295</v>
      </c>
      <c r="IA159" t="s">
        <v>3028</v>
      </c>
    </row>
    <row r="160" spans="52:258" x14ac:dyDescent="0.25">
      <c r="EQ160" t="s">
        <v>2153</v>
      </c>
      <c r="IA160" t="s">
        <v>3029</v>
      </c>
    </row>
    <row r="161" spans="147:235" x14ac:dyDescent="0.25">
      <c r="EQ161" t="s">
        <v>6296</v>
      </c>
      <c r="IA161" t="s">
        <v>3030</v>
      </c>
    </row>
    <row r="162" spans="147:235" x14ac:dyDescent="0.25">
      <c r="EQ162" t="s">
        <v>4348</v>
      </c>
      <c r="IA162" t="s">
        <v>3031</v>
      </c>
    </row>
    <row r="163" spans="147:235" x14ac:dyDescent="0.25">
      <c r="EQ163" t="s">
        <v>6297</v>
      </c>
      <c r="IA163" t="s">
        <v>3032</v>
      </c>
    </row>
    <row r="164" spans="147:235" x14ac:dyDescent="0.25">
      <c r="IA164" t="s">
        <v>3033</v>
      </c>
    </row>
    <row r="165" spans="147:235" x14ac:dyDescent="0.25">
      <c r="IA165" t="s">
        <v>3034</v>
      </c>
    </row>
    <row r="166" spans="147:235" x14ac:dyDescent="0.25">
      <c r="IA166" t="s">
        <v>3035</v>
      </c>
    </row>
    <row r="167" spans="147:235" x14ac:dyDescent="0.25">
      <c r="IA167" t="s">
        <v>3036</v>
      </c>
    </row>
    <row r="168" spans="147:235" x14ac:dyDescent="0.25">
      <c r="IA168" t="s">
        <v>3037</v>
      </c>
    </row>
    <row r="169" spans="147:235" x14ac:dyDescent="0.25">
      <c r="IA169" t="s">
        <v>3038</v>
      </c>
    </row>
    <row r="170" spans="147:235" x14ac:dyDescent="0.25">
      <c r="IA170" t="s">
        <v>3039</v>
      </c>
    </row>
    <row r="171" spans="147:235" x14ac:dyDescent="0.25">
      <c r="IA171" t="s">
        <v>3040</v>
      </c>
    </row>
    <row r="172" spans="147:235" x14ac:dyDescent="0.25">
      <c r="IA172" t="s">
        <v>3041</v>
      </c>
    </row>
    <row r="173" spans="147:235" x14ac:dyDescent="0.25">
      <c r="IA173" t="s">
        <v>3042</v>
      </c>
    </row>
    <row r="174" spans="147:235" x14ac:dyDescent="0.25">
      <c r="IA174" t="s">
        <v>3043</v>
      </c>
    </row>
    <row r="175" spans="147:235" x14ac:dyDescent="0.25">
      <c r="IA175" t="s">
        <v>3044</v>
      </c>
    </row>
    <row r="176" spans="147:235" x14ac:dyDescent="0.25">
      <c r="IA176" t="s">
        <v>3045</v>
      </c>
    </row>
    <row r="177" spans="235:235" x14ac:dyDescent="0.25">
      <c r="IA177" t="s">
        <v>3046</v>
      </c>
    </row>
    <row r="178" spans="235:235" x14ac:dyDescent="0.25">
      <c r="IA178" t="s">
        <v>3047</v>
      </c>
    </row>
    <row r="179" spans="235:235" x14ac:dyDescent="0.25">
      <c r="IA179" t="s">
        <v>3048</v>
      </c>
    </row>
    <row r="180" spans="235:235" x14ac:dyDescent="0.25">
      <c r="IA180" t="s">
        <v>3049</v>
      </c>
    </row>
    <row r="181" spans="235:235" x14ac:dyDescent="0.25">
      <c r="IA181" t="s">
        <v>3050</v>
      </c>
    </row>
    <row r="182" spans="235:235" x14ac:dyDescent="0.25">
      <c r="IA182" t="s">
        <v>3051</v>
      </c>
    </row>
    <row r="183" spans="235:235" x14ac:dyDescent="0.25">
      <c r="IA183" t="s">
        <v>3052</v>
      </c>
    </row>
    <row r="184" spans="235:235" x14ac:dyDescent="0.25">
      <c r="IA184" t="s">
        <v>3053</v>
      </c>
    </row>
    <row r="185" spans="235:235" x14ac:dyDescent="0.25">
      <c r="IA185" t="s">
        <v>1588</v>
      </c>
    </row>
    <row r="186" spans="235:235" x14ac:dyDescent="0.25">
      <c r="IA186" t="s">
        <v>3054</v>
      </c>
    </row>
    <row r="187" spans="235:235" x14ac:dyDescent="0.25">
      <c r="IA187" t="s">
        <v>3055</v>
      </c>
    </row>
    <row r="188" spans="235:235" x14ac:dyDescent="0.25">
      <c r="IA188" t="s">
        <v>3056</v>
      </c>
    </row>
    <row r="189" spans="235:235" x14ac:dyDescent="0.25">
      <c r="IA189" t="s">
        <v>2503</v>
      </c>
    </row>
    <row r="190" spans="235:235" x14ac:dyDescent="0.25">
      <c r="IA190" t="s">
        <v>3057</v>
      </c>
    </row>
    <row r="191" spans="235:235" x14ac:dyDescent="0.25">
      <c r="IA191" t="s">
        <v>3058</v>
      </c>
    </row>
    <row r="192" spans="235:235" x14ac:dyDescent="0.25">
      <c r="IA192" t="s">
        <v>3059</v>
      </c>
    </row>
    <row r="193" spans="235:235" x14ac:dyDescent="0.25">
      <c r="IA193" t="s">
        <v>3060</v>
      </c>
    </row>
    <row r="194" spans="235:235" x14ac:dyDescent="0.25">
      <c r="IA194" t="s">
        <v>3061</v>
      </c>
    </row>
    <row r="195" spans="235:235" x14ac:dyDescent="0.25">
      <c r="IA195" t="s">
        <v>3062</v>
      </c>
    </row>
    <row r="196" spans="235:235" x14ac:dyDescent="0.25">
      <c r="IA196" t="s">
        <v>3063</v>
      </c>
    </row>
    <row r="197" spans="235:235" x14ac:dyDescent="0.25">
      <c r="IA197" t="s">
        <v>3064</v>
      </c>
    </row>
    <row r="198" spans="235:235" x14ac:dyDescent="0.25">
      <c r="IA198" t="s">
        <v>3065</v>
      </c>
    </row>
    <row r="199" spans="235:235" x14ac:dyDescent="0.25">
      <c r="IA199" t="s">
        <v>3066</v>
      </c>
    </row>
    <row r="200" spans="235:235" x14ac:dyDescent="0.25">
      <c r="IA200" t="s">
        <v>3067</v>
      </c>
    </row>
    <row r="201" spans="235:235" x14ac:dyDescent="0.25">
      <c r="IA201" t="s">
        <v>3068</v>
      </c>
    </row>
    <row r="202" spans="235:235" x14ac:dyDescent="0.25">
      <c r="IA202" t="s">
        <v>3069</v>
      </c>
    </row>
    <row r="203" spans="235:235" x14ac:dyDescent="0.25">
      <c r="IA203" t="s">
        <v>3070</v>
      </c>
    </row>
    <row r="204" spans="235:235" x14ac:dyDescent="0.25">
      <c r="IA204" t="s">
        <v>3071</v>
      </c>
    </row>
    <row r="205" spans="235:235" x14ac:dyDescent="0.25">
      <c r="IA205" t="s">
        <v>3072</v>
      </c>
    </row>
    <row r="206" spans="235:235" x14ac:dyDescent="0.25">
      <c r="IA206" t="s">
        <v>3073</v>
      </c>
    </row>
    <row r="207" spans="235:235" x14ac:dyDescent="0.25">
      <c r="IA207" t="s">
        <v>3074</v>
      </c>
    </row>
    <row r="208" spans="235:235" x14ac:dyDescent="0.25">
      <c r="IA208" t="s">
        <v>3075</v>
      </c>
    </row>
    <row r="209" spans="235:235" x14ac:dyDescent="0.25">
      <c r="IA209" t="s">
        <v>3076</v>
      </c>
    </row>
    <row r="210" spans="235:235" x14ac:dyDescent="0.25">
      <c r="IA210" t="s">
        <v>3077</v>
      </c>
    </row>
    <row r="211" spans="235:235" x14ac:dyDescent="0.25">
      <c r="IA211" t="s">
        <v>3078</v>
      </c>
    </row>
    <row r="212" spans="235:235" x14ac:dyDescent="0.25">
      <c r="IA212" t="s">
        <v>3079</v>
      </c>
    </row>
    <row r="213" spans="235:235" x14ac:dyDescent="0.25">
      <c r="IA213" t="s">
        <v>3080</v>
      </c>
    </row>
    <row r="214" spans="235:235" x14ac:dyDescent="0.25">
      <c r="IA214" t="s">
        <v>3081</v>
      </c>
    </row>
    <row r="215" spans="235:235" x14ac:dyDescent="0.25">
      <c r="IA215" t="s">
        <v>3082</v>
      </c>
    </row>
    <row r="216" spans="235:235" x14ac:dyDescent="0.25">
      <c r="IA216" t="s">
        <v>3083</v>
      </c>
    </row>
    <row r="217" spans="235:235" x14ac:dyDescent="0.25">
      <c r="IA217" t="s">
        <v>3084</v>
      </c>
    </row>
    <row r="218" spans="235:235" x14ac:dyDescent="0.25">
      <c r="IA218" t="s">
        <v>3085</v>
      </c>
    </row>
    <row r="219" spans="235:235" x14ac:dyDescent="0.25">
      <c r="IA219" t="s">
        <v>2291</v>
      </c>
    </row>
    <row r="220" spans="235:235" x14ac:dyDescent="0.25">
      <c r="IA220" t="s">
        <v>3086</v>
      </c>
    </row>
    <row r="221" spans="235:235" x14ac:dyDescent="0.25">
      <c r="IA221" t="s">
        <v>3087</v>
      </c>
    </row>
    <row r="222" spans="235:235" x14ac:dyDescent="0.25">
      <c r="IA222" t="s">
        <v>2293</v>
      </c>
    </row>
    <row r="223" spans="235:235" x14ac:dyDescent="0.25">
      <c r="IA223" t="s">
        <v>3088</v>
      </c>
    </row>
    <row r="224" spans="235:235" x14ac:dyDescent="0.25">
      <c r="IA224" t="s">
        <v>2153</v>
      </c>
    </row>
    <row r="225" spans="235:235" x14ac:dyDescent="0.25">
      <c r="IA225" t="s">
        <v>3089</v>
      </c>
    </row>
    <row r="226" spans="235:235" x14ac:dyDescent="0.25">
      <c r="IA226" t="s">
        <v>3090</v>
      </c>
    </row>
    <row r="227" spans="235:235" x14ac:dyDescent="0.25">
      <c r="IA227" t="s">
        <v>3091</v>
      </c>
    </row>
    <row r="228" spans="235:235" x14ac:dyDescent="0.25">
      <c r="IA228" t="s">
        <v>3092</v>
      </c>
    </row>
    <row r="229" spans="235:235" x14ac:dyDescent="0.25">
      <c r="IA229" t="s">
        <v>3093</v>
      </c>
    </row>
    <row r="230" spans="235:235" x14ac:dyDescent="0.25">
      <c r="IA230" t="s">
        <v>3094</v>
      </c>
    </row>
  </sheetData>
  <sheetProtection algorithmName="SHA-512" hashValue="0El1Q1NAdGFLfm86307y8ypKDeN3RJiklO4FM6N6soheMAuaqB32morkBCWNp07zXqA/IoOv5jfk2Mk80VoaXA==" saltValue="JqvmhnJcvzf0koBWN7jW+w==" spinCount="100000" sheet="1" objects="1" scenarios="1"/>
  <pageMargins left="0.7" right="0.7" top="0.75" bottom="0.75" header="0.3" footer="0.3"/>
  <pageSetup paperSize="14" orientation="portrait" horizontalDpi="0" verticalDpi="0" r:id="rId1"/>
  <legacyDrawing r:id="rId2"/>
  <tableParts count="533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  <tablePart r:id="rId46"/>
    <tablePart r:id="rId47"/>
    <tablePart r:id="rId48"/>
    <tablePart r:id="rId49"/>
    <tablePart r:id="rId50"/>
    <tablePart r:id="rId51"/>
    <tablePart r:id="rId52"/>
    <tablePart r:id="rId53"/>
    <tablePart r:id="rId54"/>
    <tablePart r:id="rId55"/>
    <tablePart r:id="rId56"/>
    <tablePart r:id="rId57"/>
    <tablePart r:id="rId58"/>
    <tablePart r:id="rId59"/>
    <tablePart r:id="rId60"/>
    <tablePart r:id="rId61"/>
    <tablePart r:id="rId62"/>
    <tablePart r:id="rId63"/>
    <tablePart r:id="rId64"/>
    <tablePart r:id="rId65"/>
    <tablePart r:id="rId66"/>
    <tablePart r:id="rId67"/>
    <tablePart r:id="rId68"/>
    <tablePart r:id="rId69"/>
    <tablePart r:id="rId70"/>
    <tablePart r:id="rId71"/>
    <tablePart r:id="rId72"/>
    <tablePart r:id="rId73"/>
    <tablePart r:id="rId74"/>
    <tablePart r:id="rId75"/>
    <tablePart r:id="rId76"/>
    <tablePart r:id="rId77"/>
    <tablePart r:id="rId78"/>
    <tablePart r:id="rId79"/>
    <tablePart r:id="rId80"/>
    <tablePart r:id="rId81"/>
    <tablePart r:id="rId82"/>
    <tablePart r:id="rId83"/>
    <tablePart r:id="rId84"/>
    <tablePart r:id="rId85"/>
    <tablePart r:id="rId86"/>
    <tablePart r:id="rId87"/>
    <tablePart r:id="rId88"/>
    <tablePart r:id="rId89"/>
    <tablePart r:id="rId90"/>
    <tablePart r:id="rId91"/>
    <tablePart r:id="rId92"/>
    <tablePart r:id="rId93"/>
    <tablePart r:id="rId94"/>
    <tablePart r:id="rId95"/>
    <tablePart r:id="rId96"/>
    <tablePart r:id="rId97"/>
    <tablePart r:id="rId98"/>
    <tablePart r:id="rId99"/>
    <tablePart r:id="rId100"/>
    <tablePart r:id="rId101"/>
    <tablePart r:id="rId102"/>
    <tablePart r:id="rId103"/>
    <tablePart r:id="rId104"/>
    <tablePart r:id="rId105"/>
    <tablePart r:id="rId106"/>
    <tablePart r:id="rId107"/>
    <tablePart r:id="rId108"/>
    <tablePart r:id="rId109"/>
    <tablePart r:id="rId110"/>
    <tablePart r:id="rId111"/>
    <tablePart r:id="rId112"/>
    <tablePart r:id="rId113"/>
    <tablePart r:id="rId114"/>
    <tablePart r:id="rId115"/>
    <tablePart r:id="rId116"/>
    <tablePart r:id="rId117"/>
    <tablePart r:id="rId118"/>
    <tablePart r:id="rId119"/>
    <tablePart r:id="rId120"/>
    <tablePart r:id="rId121"/>
    <tablePart r:id="rId122"/>
    <tablePart r:id="rId123"/>
    <tablePart r:id="rId124"/>
    <tablePart r:id="rId125"/>
    <tablePart r:id="rId126"/>
    <tablePart r:id="rId127"/>
    <tablePart r:id="rId128"/>
    <tablePart r:id="rId129"/>
    <tablePart r:id="rId130"/>
    <tablePart r:id="rId131"/>
    <tablePart r:id="rId132"/>
    <tablePart r:id="rId133"/>
    <tablePart r:id="rId134"/>
    <tablePart r:id="rId135"/>
    <tablePart r:id="rId136"/>
    <tablePart r:id="rId137"/>
    <tablePart r:id="rId138"/>
    <tablePart r:id="rId139"/>
    <tablePart r:id="rId140"/>
    <tablePart r:id="rId141"/>
    <tablePart r:id="rId142"/>
    <tablePart r:id="rId143"/>
    <tablePart r:id="rId144"/>
    <tablePart r:id="rId145"/>
    <tablePart r:id="rId146"/>
    <tablePart r:id="rId147"/>
    <tablePart r:id="rId148"/>
    <tablePart r:id="rId149"/>
    <tablePart r:id="rId150"/>
    <tablePart r:id="rId151"/>
    <tablePart r:id="rId152"/>
    <tablePart r:id="rId153"/>
    <tablePart r:id="rId154"/>
    <tablePart r:id="rId155"/>
    <tablePart r:id="rId156"/>
    <tablePart r:id="rId157"/>
    <tablePart r:id="rId158"/>
    <tablePart r:id="rId159"/>
    <tablePart r:id="rId160"/>
    <tablePart r:id="rId161"/>
    <tablePart r:id="rId162"/>
    <tablePart r:id="rId163"/>
    <tablePart r:id="rId164"/>
    <tablePart r:id="rId165"/>
    <tablePart r:id="rId166"/>
    <tablePart r:id="rId167"/>
    <tablePart r:id="rId168"/>
    <tablePart r:id="rId169"/>
    <tablePart r:id="rId170"/>
    <tablePart r:id="rId171"/>
    <tablePart r:id="rId172"/>
    <tablePart r:id="rId173"/>
    <tablePart r:id="rId174"/>
    <tablePart r:id="rId175"/>
    <tablePart r:id="rId176"/>
    <tablePart r:id="rId177"/>
    <tablePart r:id="rId178"/>
    <tablePart r:id="rId179"/>
    <tablePart r:id="rId180"/>
    <tablePart r:id="rId181"/>
    <tablePart r:id="rId182"/>
    <tablePart r:id="rId183"/>
    <tablePart r:id="rId184"/>
    <tablePart r:id="rId185"/>
    <tablePart r:id="rId186"/>
    <tablePart r:id="rId187"/>
    <tablePart r:id="rId188"/>
    <tablePart r:id="rId189"/>
    <tablePart r:id="rId190"/>
    <tablePart r:id="rId191"/>
    <tablePart r:id="rId192"/>
    <tablePart r:id="rId193"/>
    <tablePart r:id="rId194"/>
    <tablePart r:id="rId195"/>
    <tablePart r:id="rId196"/>
    <tablePart r:id="rId197"/>
    <tablePart r:id="rId198"/>
    <tablePart r:id="rId199"/>
    <tablePart r:id="rId200"/>
    <tablePart r:id="rId201"/>
    <tablePart r:id="rId202"/>
    <tablePart r:id="rId203"/>
    <tablePart r:id="rId204"/>
    <tablePart r:id="rId205"/>
    <tablePart r:id="rId206"/>
    <tablePart r:id="rId207"/>
    <tablePart r:id="rId208"/>
    <tablePart r:id="rId209"/>
    <tablePart r:id="rId210"/>
    <tablePart r:id="rId211"/>
    <tablePart r:id="rId212"/>
    <tablePart r:id="rId213"/>
    <tablePart r:id="rId214"/>
    <tablePart r:id="rId215"/>
    <tablePart r:id="rId216"/>
    <tablePart r:id="rId217"/>
    <tablePart r:id="rId218"/>
    <tablePart r:id="rId219"/>
    <tablePart r:id="rId220"/>
    <tablePart r:id="rId221"/>
    <tablePart r:id="rId222"/>
    <tablePart r:id="rId223"/>
    <tablePart r:id="rId224"/>
    <tablePart r:id="rId225"/>
    <tablePart r:id="rId226"/>
    <tablePart r:id="rId227"/>
    <tablePart r:id="rId228"/>
    <tablePart r:id="rId229"/>
    <tablePart r:id="rId230"/>
    <tablePart r:id="rId231"/>
    <tablePart r:id="rId232"/>
    <tablePart r:id="rId233"/>
    <tablePart r:id="rId234"/>
    <tablePart r:id="rId235"/>
    <tablePart r:id="rId236"/>
    <tablePart r:id="rId237"/>
    <tablePart r:id="rId238"/>
    <tablePart r:id="rId239"/>
    <tablePart r:id="rId240"/>
    <tablePart r:id="rId241"/>
    <tablePart r:id="rId242"/>
    <tablePart r:id="rId243"/>
    <tablePart r:id="rId244"/>
    <tablePart r:id="rId245"/>
    <tablePart r:id="rId246"/>
    <tablePart r:id="rId247"/>
    <tablePart r:id="rId248"/>
    <tablePart r:id="rId249"/>
    <tablePart r:id="rId250"/>
    <tablePart r:id="rId251"/>
    <tablePart r:id="rId252"/>
    <tablePart r:id="rId253"/>
    <tablePart r:id="rId254"/>
    <tablePart r:id="rId255"/>
    <tablePart r:id="rId256"/>
    <tablePart r:id="rId257"/>
    <tablePart r:id="rId258"/>
    <tablePart r:id="rId259"/>
    <tablePart r:id="rId260"/>
    <tablePart r:id="rId261"/>
    <tablePart r:id="rId262"/>
    <tablePart r:id="rId263"/>
    <tablePart r:id="rId264"/>
    <tablePart r:id="rId265"/>
    <tablePart r:id="rId266"/>
    <tablePart r:id="rId267"/>
    <tablePart r:id="rId268"/>
    <tablePart r:id="rId269"/>
    <tablePart r:id="rId270"/>
    <tablePart r:id="rId271"/>
    <tablePart r:id="rId272"/>
    <tablePart r:id="rId273"/>
    <tablePart r:id="rId274"/>
    <tablePart r:id="rId275"/>
    <tablePart r:id="rId276"/>
    <tablePart r:id="rId277"/>
    <tablePart r:id="rId278"/>
    <tablePart r:id="rId279"/>
    <tablePart r:id="rId280"/>
    <tablePart r:id="rId281"/>
    <tablePart r:id="rId282"/>
    <tablePart r:id="rId283"/>
    <tablePart r:id="rId284"/>
    <tablePart r:id="rId285"/>
    <tablePart r:id="rId286"/>
    <tablePart r:id="rId287"/>
    <tablePart r:id="rId288"/>
    <tablePart r:id="rId289"/>
    <tablePart r:id="rId290"/>
    <tablePart r:id="rId291"/>
    <tablePart r:id="rId292"/>
    <tablePart r:id="rId293"/>
    <tablePart r:id="rId294"/>
    <tablePart r:id="rId295"/>
    <tablePart r:id="rId296"/>
    <tablePart r:id="rId297"/>
    <tablePart r:id="rId298"/>
    <tablePart r:id="rId299"/>
    <tablePart r:id="rId300"/>
    <tablePart r:id="rId301"/>
    <tablePart r:id="rId302"/>
    <tablePart r:id="rId303"/>
    <tablePart r:id="rId304"/>
    <tablePart r:id="rId305"/>
    <tablePart r:id="rId306"/>
    <tablePart r:id="rId307"/>
    <tablePart r:id="rId308"/>
    <tablePart r:id="rId309"/>
    <tablePart r:id="rId310"/>
    <tablePart r:id="rId311"/>
    <tablePart r:id="rId312"/>
    <tablePart r:id="rId313"/>
    <tablePart r:id="rId314"/>
    <tablePart r:id="rId315"/>
    <tablePart r:id="rId316"/>
    <tablePart r:id="rId317"/>
    <tablePart r:id="rId318"/>
    <tablePart r:id="rId319"/>
    <tablePart r:id="rId320"/>
    <tablePart r:id="rId321"/>
    <tablePart r:id="rId322"/>
    <tablePart r:id="rId323"/>
    <tablePart r:id="rId324"/>
    <tablePart r:id="rId325"/>
    <tablePart r:id="rId326"/>
    <tablePart r:id="rId327"/>
    <tablePart r:id="rId328"/>
    <tablePart r:id="rId329"/>
    <tablePart r:id="rId330"/>
    <tablePart r:id="rId331"/>
    <tablePart r:id="rId332"/>
    <tablePart r:id="rId333"/>
    <tablePart r:id="rId334"/>
    <tablePart r:id="rId335"/>
    <tablePart r:id="rId336"/>
    <tablePart r:id="rId337"/>
    <tablePart r:id="rId338"/>
    <tablePart r:id="rId339"/>
    <tablePart r:id="rId340"/>
    <tablePart r:id="rId341"/>
    <tablePart r:id="rId342"/>
    <tablePart r:id="rId343"/>
    <tablePart r:id="rId344"/>
    <tablePart r:id="rId345"/>
    <tablePart r:id="rId346"/>
    <tablePart r:id="rId347"/>
    <tablePart r:id="rId348"/>
    <tablePart r:id="rId349"/>
    <tablePart r:id="rId350"/>
    <tablePart r:id="rId351"/>
    <tablePart r:id="rId352"/>
    <tablePart r:id="rId353"/>
    <tablePart r:id="rId354"/>
    <tablePart r:id="rId355"/>
    <tablePart r:id="rId356"/>
    <tablePart r:id="rId357"/>
    <tablePart r:id="rId358"/>
    <tablePart r:id="rId359"/>
    <tablePart r:id="rId360"/>
    <tablePart r:id="rId361"/>
    <tablePart r:id="rId362"/>
    <tablePart r:id="rId363"/>
    <tablePart r:id="rId364"/>
    <tablePart r:id="rId365"/>
    <tablePart r:id="rId366"/>
    <tablePart r:id="rId367"/>
    <tablePart r:id="rId368"/>
    <tablePart r:id="rId369"/>
    <tablePart r:id="rId370"/>
    <tablePart r:id="rId371"/>
    <tablePart r:id="rId372"/>
    <tablePart r:id="rId373"/>
    <tablePart r:id="rId374"/>
    <tablePart r:id="rId375"/>
    <tablePart r:id="rId376"/>
    <tablePart r:id="rId377"/>
    <tablePart r:id="rId378"/>
    <tablePart r:id="rId379"/>
    <tablePart r:id="rId380"/>
    <tablePart r:id="rId381"/>
    <tablePart r:id="rId382"/>
    <tablePart r:id="rId383"/>
    <tablePart r:id="rId384"/>
    <tablePart r:id="rId385"/>
    <tablePart r:id="rId386"/>
    <tablePart r:id="rId387"/>
    <tablePart r:id="rId388"/>
    <tablePart r:id="rId389"/>
    <tablePart r:id="rId390"/>
    <tablePart r:id="rId391"/>
    <tablePart r:id="rId392"/>
    <tablePart r:id="rId393"/>
    <tablePart r:id="rId394"/>
    <tablePart r:id="rId395"/>
    <tablePart r:id="rId396"/>
    <tablePart r:id="rId397"/>
    <tablePart r:id="rId398"/>
    <tablePart r:id="rId399"/>
    <tablePart r:id="rId400"/>
    <tablePart r:id="rId401"/>
    <tablePart r:id="rId402"/>
    <tablePart r:id="rId403"/>
    <tablePart r:id="rId404"/>
    <tablePart r:id="rId405"/>
    <tablePart r:id="rId406"/>
    <tablePart r:id="rId407"/>
    <tablePart r:id="rId408"/>
    <tablePart r:id="rId409"/>
    <tablePart r:id="rId410"/>
    <tablePart r:id="rId411"/>
    <tablePart r:id="rId412"/>
    <tablePart r:id="rId413"/>
    <tablePart r:id="rId414"/>
    <tablePart r:id="rId415"/>
    <tablePart r:id="rId416"/>
    <tablePart r:id="rId417"/>
    <tablePart r:id="rId418"/>
    <tablePart r:id="rId419"/>
    <tablePart r:id="rId420"/>
    <tablePart r:id="rId421"/>
    <tablePart r:id="rId422"/>
    <tablePart r:id="rId423"/>
    <tablePart r:id="rId424"/>
    <tablePart r:id="rId425"/>
    <tablePart r:id="rId426"/>
    <tablePart r:id="rId427"/>
    <tablePart r:id="rId428"/>
    <tablePart r:id="rId429"/>
    <tablePart r:id="rId430"/>
    <tablePart r:id="rId431"/>
    <tablePart r:id="rId432"/>
    <tablePart r:id="rId433"/>
    <tablePart r:id="rId434"/>
    <tablePart r:id="rId435"/>
    <tablePart r:id="rId436"/>
    <tablePart r:id="rId437"/>
    <tablePart r:id="rId438"/>
    <tablePart r:id="rId439"/>
    <tablePart r:id="rId440"/>
    <tablePart r:id="rId441"/>
    <tablePart r:id="rId442"/>
    <tablePart r:id="rId443"/>
    <tablePart r:id="rId444"/>
    <tablePart r:id="rId445"/>
    <tablePart r:id="rId446"/>
    <tablePart r:id="rId447"/>
    <tablePart r:id="rId448"/>
    <tablePart r:id="rId449"/>
    <tablePart r:id="rId450"/>
    <tablePart r:id="rId451"/>
    <tablePart r:id="rId452"/>
    <tablePart r:id="rId453"/>
    <tablePart r:id="rId454"/>
    <tablePart r:id="rId455"/>
    <tablePart r:id="rId456"/>
    <tablePart r:id="rId457"/>
    <tablePart r:id="rId458"/>
    <tablePart r:id="rId459"/>
    <tablePart r:id="rId460"/>
    <tablePart r:id="rId461"/>
    <tablePart r:id="rId462"/>
    <tablePart r:id="rId463"/>
    <tablePart r:id="rId464"/>
    <tablePart r:id="rId465"/>
    <tablePart r:id="rId466"/>
    <tablePart r:id="rId467"/>
    <tablePart r:id="rId468"/>
    <tablePart r:id="rId469"/>
    <tablePart r:id="rId470"/>
    <tablePart r:id="rId471"/>
    <tablePart r:id="rId472"/>
    <tablePart r:id="rId473"/>
    <tablePart r:id="rId474"/>
    <tablePart r:id="rId475"/>
    <tablePart r:id="rId476"/>
    <tablePart r:id="rId477"/>
    <tablePart r:id="rId478"/>
    <tablePart r:id="rId479"/>
    <tablePart r:id="rId480"/>
    <tablePart r:id="rId481"/>
    <tablePart r:id="rId482"/>
    <tablePart r:id="rId483"/>
    <tablePart r:id="rId484"/>
    <tablePart r:id="rId485"/>
    <tablePart r:id="rId486"/>
    <tablePart r:id="rId487"/>
    <tablePart r:id="rId488"/>
    <tablePart r:id="rId489"/>
    <tablePart r:id="rId490"/>
    <tablePart r:id="rId491"/>
    <tablePart r:id="rId492"/>
    <tablePart r:id="rId493"/>
    <tablePart r:id="rId494"/>
    <tablePart r:id="rId495"/>
    <tablePart r:id="rId496"/>
    <tablePart r:id="rId497"/>
    <tablePart r:id="rId498"/>
    <tablePart r:id="rId499"/>
    <tablePart r:id="rId500"/>
    <tablePart r:id="rId501"/>
    <tablePart r:id="rId502"/>
    <tablePart r:id="rId503"/>
    <tablePart r:id="rId504"/>
    <tablePart r:id="rId505"/>
    <tablePart r:id="rId506"/>
    <tablePart r:id="rId507"/>
    <tablePart r:id="rId508"/>
    <tablePart r:id="rId509"/>
    <tablePart r:id="rId510"/>
    <tablePart r:id="rId511"/>
    <tablePart r:id="rId512"/>
    <tablePart r:id="rId513"/>
    <tablePart r:id="rId514"/>
    <tablePart r:id="rId515"/>
    <tablePart r:id="rId516"/>
    <tablePart r:id="rId517"/>
    <tablePart r:id="rId518"/>
    <tablePart r:id="rId519"/>
    <tablePart r:id="rId520"/>
    <tablePart r:id="rId521"/>
    <tablePart r:id="rId522"/>
    <tablePart r:id="rId523"/>
    <tablePart r:id="rId524"/>
    <tablePart r:id="rId525"/>
    <tablePart r:id="rId526"/>
    <tablePart r:id="rId527"/>
    <tablePart r:id="rId528"/>
    <tablePart r:id="rId529"/>
    <tablePart r:id="rId530"/>
    <tablePart r:id="rId531"/>
    <tablePart r:id="rId532"/>
    <tablePart r:id="rId533"/>
    <tablePart r:id="rId534"/>
    <tablePart r:id="rId53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BV255"/>
  <sheetViews>
    <sheetView topLeftCell="BE1" workbookViewId="0">
      <selection activeCell="BT2" sqref="BT2:BT17"/>
    </sheetView>
  </sheetViews>
  <sheetFormatPr baseColWidth="10" defaultRowHeight="15" x14ac:dyDescent="0.25"/>
  <cols>
    <col min="1" max="1" width="14" customWidth="1"/>
    <col min="3" max="3" width="13.28515625" customWidth="1"/>
    <col min="4" max="4" width="13" customWidth="1"/>
    <col min="5" max="5" width="11.5703125" customWidth="1"/>
    <col min="6" max="6" width="11.42578125" customWidth="1"/>
    <col min="8" max="8" width="13.7109375" customWidth="1"/>
    <col min="9" max="9" width="13.42578125" customWidth="1"/>
    <col min="11" max="11" width="13.5703125" customWidth="1"/>
    <col min="12" max="12" width="12.7109375" customWidth="1"/>
    <col min="13" max="13" width="11.85546875" customWidth="1"/>
    <col min="15" max="15" width="11" customWidth="1"/>
    <col min="16" max="16" width="12.42578125" customWidth="1"/>
    <col min="17" max="17" width="11.5703125" customWidth="1"/>
    <col min="19" max="19" width="17.140625" customWidth="1"/>
    <col min="20" max="20" width="12.85546875" customWidth="1"/>
    <col min="21" max="21" width="11.85546875" customWidth="1"/>
    <col min="22" max="22" width="17.85546875" customWidth="1"/>
    <col min="23" max="23" width="12.140625" customWidth="1"/>
    <col min="29" max="29" width="11.7109375" customWidth="1"/>
    <col min="31" max="31" width="12.28515625" customWidth="1"/>
    <col min="32" max="32" width="11" customWidth="1"/>
    <col min="33" max="33" width="11.7109375" customWidth="1"/>
    <col min="34" max="34" width="11.42578125" customWidth="1"/>
    <col min="35" max="35" width="13.28515625" customWidth="1"/>
    <col min="38" max="38" width="11.85546875" customWidth="1"/>
    <col min="39" max="39" width="12.42578125" customWidth="1"/>
    <col min="40" max="40" width="13.42578125" customWidth="1"/>
    <col min="43" max="43" width="14.42578125" customWidth="1"/>
    <col min="44" max="44" width="11.85546875" customWidth="1"/>
    <col min="46" max="46" width="11.5703125" customWidth="1"/>
    <col min="47" max="47" width="16.140625" customWidth="1"/>
    <col min="48" max="48" width="12.28515625" customWidth="1"/>
    <col min="52" max="52" width="13.42578125" customWidth="1"/>
    <col min="53" max="53" width="11.42578125" customWidth="1"/>
    <col min="56" max="56" width="12.140625" customWidth="1"/>
    <col min="58" max="58" width="16.28515625" customWidth="1"/>
    <col min="59" max="59" width="19.140625" customWidth="1"/>
    <col min="60" max="60" width="12.5703125" customWidth="1"/>
    <col min="62" max="62" width="13.42578125" customWidth="1"/>
    <col min="64" max="64" width="12.5703125" customWidth="1"/>
    <col min="66" max="66" width="13.85546875" customWidth="1"/>
    <col min="67" max="67" width="11.85546875" customWidth="1"/>
    <col min="68" max="68" width="11.7109375" customWidth="1"/>
    <col min="69" max="69" width="14.85546875" customWidth="1"/>
    <col min="70" max="70" width="12.28515625" customWidth="1"/>
  </cols>
  <sheetData>
    <row r="1" spans="1:74" x14ac:dyDescent="0.25">
      <c r="A1" t="s">
        <v>548</v>
      </c>
      <c r="B1" t="s">
        <v>34</v>
      </c>
      <c r="C1" t="s">
        <v>550</v>
      </c>
      <c r="D1" t="s">
        <v>551</v>
      </c>
      <c r="E1" t="s">
        <v>552</v>
      </c>
      <c r="F1" t="s">
        <v>553</v>
      </c>
      <c r="G1" t="s">
        <v>554</v>
      </c>
      <c r="H1" t="s">
        <v>555</v>
      </c>
      <c r="I1" t="s">
        <v>556</v>
      </c>
      <c r="J1" t="s">
        <v>557</v>
      </c>
      <c r="K1" t="s">
        <v>558</v>
      </c>
      <c r="L1" t="s">
        <v>1686</v>
      </c>
      <c r="M1" t="s">
        <v>559</v>
      </c>
      <c r="N1" t="s">
        <v>560</v>
      </c>
      <c r="O1" t="s">
        <v>561</v>
      </c>
      <c r="P1" t="s">
        <v>563</v>
      </c>
      <c r="Q1" t="s">
        <v>564</v>
      </c>
      <c r="R1" t="s">
        <v>565</v>
      </c>
      <c r="S1" t="s">
        <v>566</v>
      </c>
      <c r="T1" t="s">
        <v>567</v>
      </c>
      <c r="U1" t="s">
        <v>568</v>
      </c>
      <c r="V1" t="s">
        <v>569</v>
      </c>
      <c r="W1" t="s">
        <v>570</v>
      </c>
      <c r="X1" t="s">
        <v>571</v>
      </c>
      <c r="Y1" t="s">
        <v>572</v>
      </c>
      <c r="Z1" t="s">
        <v>573</v>
      </c>
      <c r="AA1" t="s">
        <v>574</v>
      </c>
      <c r="AB1" t="s">
        <v>575</v>
      </c>
      <c r="AC1" t="s">
        <v>576</v>
      </c>
      <c r="AD1" t="s">
        <v>577</v>
      </c>
      <c r="AE1" t="s">
        <v>578</v>
      </c>
      <c r="AF1" t="s">
        <v>579</v>
      </c>
      <c r="AG1" t="s">
        <v>580</v>
      </c>
      <c r="AH1" t="s">
        <v>581</v>
      </c>
      <c r="AI1" t="s">
        <v>582</v>
      </c>
      <c r="AJ1" t="s">
        <v>583</v>
      </c>
      <c r="AK1" t="s">
        <v>584</v>
      </c>
      <c r="AL1" t="s">
        <v>585</v>
      </c>
      <c r="AM1" t="s">
        <v>586</v>
      </c>
      <c r="AN1" t="s">
        <v>587</v>
      </c>
      <c r="AO1" t="s">
        <v>588</v>
      </c>
      <c r="AP1" t="s">
        <v>589</v>
      </c>
      <c r="AQ1" t="s">
        <v>8967</v>
      </c>
      <c r="AR1" t="s">
        <v>590</v>
      </c>
      <c r="AS1" t="s">
        <v>591</v>
      </c>
      <c r="AT1" t="s">
        <v>592</v>
      </c>
      <c r="AU1" t="s">
        <v>593</v>
      </c>
      <c r="AV1" t="s">
        <v>594</v>
      </c>
      <c r="AW1" t="s">
        <v>595</v>
      </c>
      <c r="AX1" t="s">
        <v>596</v>
      </c>
      <c r="AY1" t="s">
        <v>597</v>
      </c>
      <c r="AZ1" t="s">
        <v>598</v>
      </c>
      <c r="BA1" t="s">
        <v>599</v>
      </c>
      <c r="BB1" t="s">
        <v>600</v>
      </c>
      <c r="BC1" t="s">
        <v>601</v>
      </c>
      <c r="BD1" t="s">
        <v>602</v>
      </c>
      <c r="BE1" t="s">
        <v>603</v>
      </c>
      <c r="BF1" t="s">
        <v>604</v>
      </c>
      <c r="BG1" t="s">
        <v>1004</v>
      </c>
      <c r="BH1" t="s">
        <v>606</v>
      </c>
      <c r="BI1" t="s">
        <v>607</v>
      </c>
      <c r="BJ1" t="s">
        <v>608</v>
      </c>
      <c r="BK1" t="s">
        <v>862</v>
      </c>
      <c r="BL1" t="s">
        <v>610</v>
      </c>
      <c r="BM1" t="s">
        <v>611</v>
      </c>
      <c r="BN1" t="s">
        <v>612</v>
      </c>
      <c r="BO1" s="11" t="s">
        <v>613</v>
      </c>
      <c r="BP1" t="s">
        <v>614</v>
      </c>
      <c r="BQ1" t="s">
        <v>834</v>
      </c>
      <c r="BR1" t="s">
        <v>822</v>
      </c>
      <c r="BS1" t="s">
        <v>616</v>
      </c>
      <c r="BT1" t="s">
        <v>617</v>
      </c>
      <c r="BU1" t="s">
        <v>618</v>
      </c>
      <c r="BV1" t="s">
        <v>619</v>
      </c>
    </row>
    <row r="2" spans="1:74" x14ac:dyDescent="0.25">
      <c r="A2" t="s">
        <v>1884</v>
      </c>
      <c r="B2" t="s">
        <v>1785</v>
      </c>
      <c r="C2" s="14" t="s">
        <v>1777</v>
      </c>
      <c r="D2" t="s">
        <v>887</v>
      </c>
      <c r="E2" t="s">
        <v>1725</v>
      </c>
      <c r="F2" t="s">
        <v>1715</v>
      </c>
      <c r="G2" t="s">
        <v>1080</v>
      </c>
      <c r="H2" t="s">
        <v>1623</v>
      </c>
      <c r="I2" t="s">
        <v>1696</v>
      </c>
      <c r="J2" t="s">
        <v>1690</v>
      </c>
      <c r="K2" t="s">
        <v>1688</v>
      </c>
      <c r="L2" t="s">
        <v>1360</v>
      </c>
      <c r="M2" t="s">
        <v>1683</v>
      </c>
      <c r="N2" t="s">
        <v>1432</v>
      </c>
      <c r="O2" t="s">
        <v>1643</v>
      </c>
      <c r="P2" t="s">
        <v>1439</v>
      </c>
      <c r="Q2" t="s">
        <v>766</v>
      </c>
      <c r="R2" t="s">
        <v>1621</v>
      </c>
      <c r="S2" t="s">
        <v>1420</v>
      </c>
      <c r="T2" t="s">
        <v>1418</v>
      </c>
      <c r="U2" t="s">
        <v>1776</v>
      </c>
      <c r="V2" t="s">
        <v>1416</v>
      </c>
      <c r="W2" t="s">
        <v>1414</v>
      </c>
      <c r="X2" t="s">
        <v>1405</v>
      </c>
      <c r="Y2" t="s">
        <v>1390</v>
      </c>
      <c r="Z2" t="s">
        <v>1382</v>
      </c>
      <c r="AA2" t="s">
        <v>1357</v>
      </c>
      <c r="AB2" t="s">
        <v>1353</v>
      </c>
      <c r="AC2" t="s">
        <v>1336</v>
      </c>
      <c r="AD2" t="s">
        <v>1331</v>
      </c>
      <c r="AE2" t="s">
        <v>1330</v>
      </c>
      <c r="AF2" t="s">
        <v>1329</v>
      </c>
      <c r="AG2" t="s">
        <v>1327</v>
      </c>
      <c r="AH2" t="s">
        <v>1325</v>
      </c>
      <c r="AI2" t="s">
        <v>1321</v>
      </c>
      <c r="AJ2" t="s">
        <v>1294</v>
      </c>
      <c r="AK2" t="s">
        <v>805</v>
      </c>
      <c r="AL2" t="s">
        <v>1246</v>
      </c>
      <c r="AM2" t="s">
        <v>1245</v>
      </c>
      <c r="AN2" t="s">
        <v>1182</v>
      </c>
      <c r="AO2" t="s">
        <v>1290</v>
      </c>
      <c r="AP2" t="s">
        <v>1079</v>
      </c>
      <c r="AQ2" t="s">
        <v>2542</v>
      </c>
      <c r="AR2" t="s">
        <v>1113</v>
      </c>
      <c r="AS2" t="s">
        <v>1107</v>
      </c>
      <c r="AT2" t="s">
        <v>1105</v>
      </c>
      <c r="AU2" t="s">
        <v>1066</v>
      </c>
      <c r="AV2" t="s">
        <v>1102</v>
      </c>
      <c r="AW2" t="s">
        <v>1097</v>
      </c>
      <c r="AX2" t="s">
        <v>1083</v>
      </c>
      <c r="AY2" t="s">
        <v>1079</v>
      </c>
      <c r="AZ2" t="s">
        <v>876</v>
      </c>
      <c r="BA2" t="s">
        <v>1067</v>
      </c>
      <c r="BB2" t="s">
        <v>1063</v>
      </c>
      <c r="BC2" t="s">
        <v>1059</v>
      </c>
      <c r="BD2" t="s">
        <v>1054</v>
      </c>
      <c r="BE2" t="s">
        <v>1012</v>
      </c>
      <c r="BF2" t="s">
        <v>1005</v>
      </c>
      <c r="BG2" t="s">
        <v>997</v>
      </c>
      <c r="BH2" t="s">
        <v>985</v>
      </c>
      <c r="BI2" t="s">
        <v>984</v>
      </c>
      <c r="BJ2" t="s">
        <v>863</v>
      </c>
      <c r="BK2" t="s">
        <v>857</v>
      </c>
      <c r="BL2" t="s">
        <v>856</v>
      </c>
      <c r="BM2" t="s">
        <v>854</v>
      </c>
      <c r="BN2" t="s">
        <v>848</v>
      </c>
      <c r="BO2" t="s">
        <v>843</v>
      </c>
      <c r="BP2" t="s">
        <v>836</v>
      </c>
      <c r="BQ2" t="s">
        <v>835</v>
      </c>
      <c r="BR2" t="s">
        <v>824</v>
      </c>
      <c r="BS2" t="s">
        <v>821</v>
      </c>
      <c r="BT2" t="s">
        <v>800</v>
      </c>
      <c r="BU2" t="s">
        <v>819</v>
      </c>
      <c r="BV2" t="s">
        <v>814</v>
      </c>
    </row>
    <row r="3" spans="1:74" x14ac:dyDescent="0.25">
      <c r="A3" t="s">
        <v>1885</v>
      </c>
      <c r="B3" t="s">
        <v>1786</v>
      </c>
      <c r="C3" s="13" t="s">
        <v>1778</v>
      </c>
      <c r="D3" t="s">
        <v>1775</v>
      </c>
      <c r="E3" t="s">
        <v>1726</v>
      </c>
      <c r="F3" t="s">
        <v>1187</v>
      </c>
      <c r="G3" t="s">
        <v>1482</v>
      </c>
      <c r="H3" t="s">
        <v>1705</v>
      </c>
      <c r="I3" t="s">
        <v>1697</v>
      </c>
      <c r="J3" t="s">
        <v>949</v>
      </c>
      <c r="K3" t="s">
        <v>1689</v>
      </c>
      <c r="L3" t="s">
        <v>1026</v>
      </c>
      <c r="M3" t="s">
        <v>1684</v>
      </c>
      <c r="N3" t="s">
        <v>1649</v>
      </c>
      <c r="O3" t="s">
        <v>1644</v>
      </c>
      <c r="P3" t="s">
        <v>849</v>
      </c>
      <c r="Q3" t="s">
        <v>1623</v>
      </c>
      <c r="R3" t="s">
        <v>1622</v>
      </c>
      <c r="S3" t="s">
        <v>1421</v>
      </c>
      <c r="T3" t="s">
        <v>1419</v>
      </c>
      <c r="U3" t="s">
        <v>1417</v>
      </c>
      <c r="W3" t="s">
        <v>1415</v>
      </c>
      <c r="X3" t="s">
        <v>1406</v>
      </c>
      <c r="Y3" t="s">
        <v>1125</v>
      </c>
      <c r="Z3" t="s">
        <v>1102</v>
      </c>
      <c r="AA3" t="s">
        <v>1358</v>
      </c>
      <c r="AB3" t="s">
        <v>1354</v>
      </c>
      <c r="AC3" t="s">
        <v>1337</v>
      </c>
      <c r="AD3" t="s">
        <v>1332</v>
      </c>
      <c r="AE3" t="s">
        <v>819</v>
      </c>
      <c r="AF3" t="s">
        <v>819</v>
      </c>
      <c r="AG3" t="s">
        <v>1328</v>
      </c>
      <c r="AH3" t="s">
        <v>1103</v>
      </c>
      <c r="AI3" t="s">
        <v>1322</v>
      </c>
      <c r="AJ3" t="s">
        <v>1295</v>
      </c>
      <c r="AK3" t="s">
        <v>1293</v>
      </c>
      <c r="AL3" t="s">
        <v>1247</v>
      </c>
      <c r="AM3" t="s">
        <v>775</v>
      </c>
      <c r="AN3" t="s">
        <v>1183</v>
      </c>
      <c r="AO3" t="s">
        <v>1291</v>
      </c>
      <c r="AP3" t="s">
        <v>1166</v>
      </c>
      <c r="AQ3" t="s">
        <v>8977</v>
      </c>
      <c r="AR3" t="s">
        <v>1114</v>
      </c>
      <c r="AS3" t="s">
        <v>1108</v>
      </c>
      <c r="AT3" t="s">
        <v>1106</v>
      </c>
      <c r="AU3" t="s">
        <v>819</v>
      </c>
      <c r="AV3" t="s">
        <v>1103</v>
      </c>
      <c r="AW3" t="s">
        <v>1098</v>
      </c>
      <c r="AX3" t="s">
        <v>1084</v>
      </c>
      <c r="AY3" t="s">
        <v>1080</v>
      </c>
      <c r="AZ3" t="s">
        <v>1069</v>
      </c>
      <c r="BA3" t="s">
        <v>1068</v>
      </c>
      <c r="BB3" t="s">
        <v>1064</v>
      </c>
      <c r="BC3" t="s">
        <v>1060</v>
      </c>
      <c r="BD3" t="s">
        <v>1055</v>
      </c>
      <c r="BE3" t="s">
        <v>1013</v>
      </c>
      <c r="BF3" t="s">
        <v>1006</v>
      </c>
      <c r="BG3" t="s">
        <v>784</v>
      </c>
      <c r="BH3" t="s">
        <v>986</v>
      </c>
      <c r="BI3" s="9" t="s">
        <v>819</v>
      </c>
      <c r="BJ3" t="s">
        <v>865</v>
      </c>
      <c r="BK3" t="s">
        <v>858</v>
      </c>
      <c r="BL3" t="s">
        <v>855</v>
      </c>
      <c r="BM3" s="9" t="s">
        <v>819</v>
      </c>
      <c r="BN3" t="s">
        <v>849</v>
      </c>
      <c r="BO3" t="s">
        <v>844</v>
      </c>
      <c r="BP3" t="s">
        <v>837</v>
      </c>
      <c r="BQ3" s="9" t="s">
        <v>819</v>
      </c>
      <c r="BR3" t="s">
        <v>827</v>
      </c>
      <c r="BS3" s="9" t="s">
        <v>819</v>
      </c>
      <c r="BT3" t="s">
        <v>801</v>
      </c>
      <c r="BV3" t="s">
        <v>815</v>
      </c>
    </row>
    <row r="4" spans="1:74" x14ac:dyDescent="0.25">
      <c r="A4" t="s">
        <v>1364</v>
      </c>
      <c r="B4" t="s">
        <v>1787</v>
      </c>
      <c r="C4" s="14" t="s">
        <v>954</v>
      </c>
      <c r="E4" t="s">
        <v>1182</v>
      </c>
      <c r="F4" t="s">
        <v>1716</v>
      </c>
      <c r="G4" t="s">
        <v>1708</v>
      </c>
      <c r="H4" t="s">
        <v>1706</v>
      </c>
      <c r="I4" t="s">
        <v>1698</v>
      </c>
      <c r="J4" t="s">
        <v>1691</v>
      </c>
      <c r="K4" t="s">
        <v>819</v>
      </c>
      <c r="L4" t="s">
        <v>764</v>
      </c>
      <c r="M4" t="s">
        <v>1685</v>
      </c>
      <c r="N4" t="s">
        <v>1438</v>
      </c>
      <c r="O4" t="s">
        <v>1645</v>
      </c>
      <c r="P4" t="s">
        <v>1630</v>
      </c>
      <c r="Q4" t="s">
        <v>857</v>
      </c>
      <c r="R4" t="s">
        <v>819</v>
      </c>
      <c r="S4" t="s">
        <v>943</v>
      </c>
      <c r="T4" t="s">
        <v>1275</v>
      </c>
      <c r="U4" t="s">
        <v>1777</v>
      </c>
      <c r="W4" t="s">
        <v>819</v>
      </c>
      <c r="X4" t="s">
        <v>1407</v>
      </c>
      <c r="Y4" t="s">
        <v>1391</v>
      </c>
      <c r="Z4" t="s">
        <v>1383</v>
      </c>
      <c r="AA4" t="s">
        <v>1359</v>
      </c>
      <c r="AB4" t="s">
        <v>1355</v>
      </c>
      <c r="AC4" t="s">
        <v>1338</v>
      </c>
      <c r="AD4" t="s">
        <v>1333</v>
      </c>
      <c r="AE4" t="s">
        <v>820</v>
      </c>
      <c r="AF4" t="s">
        <v>820</v>
      </c>
      <c r="AG4" t="s">
        <v>819</v>
      </c>
      <c r="AH4" t="s">
        <v>758</v>
      </c>
      <c r="AI4" t="s">
        <v>1098</v>
      </c>
      <c r="AJ4" t="s">
        <v>1296</v>
      </c>
      <c r="AK4" t="s">
        <v>819</v>
      </c>
      <c r="AL4" t="s">
        <v>1281</v>
      </c>
      <c r="AM4" t="s">
        <v>1239</v>
      </c>
      <c r="AN4" t="s">
        <v>1184</v>
      </c>
      <c r="AO4" t="s">
        <v>1292</v>
      </c>
      <c r="AP4" t="s">
        <v>1167</v>
      </c>
      <c r="AQ4" t="s">
        <v>8946</v>
      </c>
      <c r="AR4" t="s">
        <v>1115</v>
      </c>
      <c r="AS4" t="s">
        <v>1109</v>
      </c>
      <c r="AT4" t="s">
        <v>819</v>
      </c>
      <c r="AU4" t="s">
        <v>820</v>
      </c>
      <c r="AV4" t="s">
        <v>819</v>
      </c>
      <c r="AW4" t="s">
        <v>1099</v>
      </c>
      <c r="AX4" t="s">
        <v>1085</v>
      </c>
      <c r="AY4" t="s">
        <v>1081</v>
      </c>
      <c r="AZ4" t="s">
        <v>1070</v>
      </c>
      <c r="BA4" s="9" t="s">
        <v>819</v>
      </c>
      <c r="BB4" t="s">
        <v>1065</v>
      </c>
      <c r="BC4" t="s">
        <v>1061</v>
      </c>
      <c r="BD4" t="s">
        <v>887</v>
      </c>
      <c r="BE4" t="s">
        <v>1014</v>
      </c>
      <c r="BF4" t="s">
        <v>1007</v>
      </c>
      <c r="BG4" t="s">
        <v>985</v>
      </c>
      <c r="BH4" t="s">
        <v>987</v>
      </c>
      <c r="BI4" s="10" t="s">
        <v>820</v>
      </c>
      <c r="BJ4" t="s">
        <v>867</v>
      </c>
      <c r="BK4" t="s">
        <v>859</v>
      </c>
      <c r="BL4" s="9" t="s">
        <v>819</v>
      </c>
      <c r="BM4" s="10" t="s">
        <v>820</v>
      </c>
      <c r="BN4" t="s">
        <v>850</v>
      </c>
      <c r="BO4" t="s">
        <v>845</v>
      </c>
      <c r="BP4" t="s">
        <v>838</v>
      </c>
      <c r="BQ4" s="10" t="s">
        <v>820</v>
      </c>
      <c r="BR4" t="s">
        <v>829</v>
      </c>
      <c r="BS4" s="10" t="s">
        <v>820</v>
      </c>
      <c r="BT4" t="s">
        <v>802</v>
      </c>
      <c r="BV4" t="s">
        <v>816</v>
      </c>
    </row>
    <row r="5" spans="1:74" x14ac:dyDescent="0.25">
      <c r="A5" t="s">
        <v>1242</v>
      </c>
      <c r="B5" t="s">
        <v>1788</v>
      </c>
      <c r="C5" s="14" t="s">
        <v>1779</v>
      </c>
      <c r="E5" t="s">
        <v>1727</v>
      </c>
      <c r="F5" t="s">
        <v>1717</v>
      </c>
      <c r="G5" t="s">
        <v>1709</v>
      </c>
      <c r="H5" t="s">
        <v>1707</v>
      </c>
      <c r="I5" t="s">
        <v>1699</v>
      </c>
      <c r="J5" t="s">
        <v>1692</v>
      </c>
      <c r="K5" t="s">
        <v>820</v>
      </c>
      <c r="L5" t="s">
        <v>1687</v>
      </c>
      <c r="M5" t="s">
        <v>819</v>
      </c>
      <c r="N5" t="s">
        <v>857</v>
      </c>
      <c r="O5" t="s">
        <v>1646</v>
      </c>
      <c r="P5" t="s">
        <v>819</v>
      </c>
      <c r="Q5" t="s">
        <v>1624</v>
      </c>
      <c r="R5" t="s">
        <v>820</v>
      </c>
      <c r="S5" t="s">
        <v>1422</v>
      </c>
      <c r="T5" t="s">
        <v>819</v>
      </c>
      <c r="U5" t="s">
        <v>1778</v>
      </c>
      <c r="W5" t="s">
        <v>820</v>
      </c>
      <c r="X5" t="s">
        <v>1408</v>
      </c>
      <c r="Y5" t="s">
        <v>1392</v>
      </c>
      <c r="Z5" t="s">
        <v>1168</v>
      </c>
      <c r="AA5" t="s">
        <v>1360</v>
      </c>
      <c r="AB5" t="s">
        <v>1356</v>
      </c>
      <c r="AC5" t="s">
        <v>1339</v>
      </c>
      <c r="AD5" t="s">
        <v>1334</v>
      </c>
      <c r="AG5" t="s">
        <v>820</v>
      </c>
      <c r="AH5" t="s">
        <v>1326</v>
      </c>
      <c r="AI5" t="s">
        <v>1323</v>
      </c>
      <c r="AJ5" t="s">
        <v>1297</v>
      </c>
      <c r="AK5" t="s">
        <v>820</v>
      </c>
      <c r="AL5" t="s">
        <v>1248</v>
      </c>
      <c r="AM5" t="s">
        <v>1240</v>
      </c>
      <c r="AN5" t="s">
        <v>1185</v>
      </c>
      <c r="AO5" t="s">
        <v>819</v>
      </c>
      <c r="AP5" t="s">
        <v>1168</v>
      </c>
      <c r="AQ5" t="s">
        <v>8970</v>
      </c>
      <c r="AR5" t="s">
        <v>1016</v>
      </c>
      <c r="AS5" t="s">
        <v>1080</v>
      </c>
      <c r="AT5" t="s">
        <v>820</v>
      </c>
      <c r="AV5" t="s">
        <v>820</v>
      </c>
      <c r="AW5" t="s">
        <v>1100</v>
      </c>
      <c r="AX5" t="s">
        <v>1086</v>
      </c>
      <c r="AY5" t="s">
        <v>1082</v>
      </c>
      <c r="AZ5" t="s">
        <v>1071</v>
      </c>
      <c r="BA5" s="10" t="s">
        <v>820</v>
      </c>
      <c r="BB5" t="s">
        <v>1066</v>
      </c>
      <c r="BC5" t="s">
        <v>1062</v>
      </c>
      <c r="BD5" t="s">
        <v>1056</v>
      </c>
      <c r="BE5" t="s">
        <v>1015</v>
      </c>
      <c r="BF5" t="s">
        <v>1008</v>
      </c>
      <c r="BG5" t="s">
        <v>987</v>
      </c>
      <c r="BH5" t="s">
        <v>988</v>
      </c>
      <c r="BJ5" t="s">
        <v>868</v>
      </c>
      <c r="BK5" t="s">
        <v>860</v>
      </c>
      <c r="BL5" s="10" t="s">
        <v>820</v>
      </c>
      <c r="BN5" t="s">
        <v>851</v>
      </c>
      <c r="BO5" t="s">
        <v>846</v>
      </c>
      <c r="BP5" t="s">
        <v>839</v>
      </c>
      <c r="BR5" t="s">
        <v>830</v>
      </c>
      <c r="BT5" t="s">
        <v>803</v>
      </c>
      <c r="BV5" t="s">
        <v>817</v>
      </c>
    </row>
    <row r="6" spans="1:74" x14ac:dyDescent="0.25">
      <c r="A6" t="s">
        <v>1886</v>
      </c>
      <c r="B6" t="s">
        <v>1789</v>
      </c>
      <c r="C6" s="13" t="s">
        <v>1780</v>
      </c>
      <c r="E6" t="s">
        <v>1728</v>
      </c>
      <c r="F6" t="s">
        <v>1718</v>
      </c>
      <c r="G6" t="s">
        <v>1306</v>
      </c>
      <c r="H6" t="s">
        <v>819</v>
      </c>
      <c r="I6" t="s">
        <v>847</v>
      </c>
      <c r="J6" t="s">
        <v>1693</v>
      </c>
      <c r="L6" t="s">
        <v>819</v>
      </c>
      <c r="M6" t="s">
        <v>820</v>
      </c>
      <c r="N6" t="s">
        <v>1650</v>
      </c>
      <c r="O6" t="s">
        <v>1647</v>
      </c>
      <c r="P6" t="s">
        <v>820</v>
      </c>
      <c r="Q6" t="s">
        <v>1109</v>
      </c>
      <c r="S6" t="s">
        <v>1423</v>
      </c>
      <c r="T6" t="s">
        <v>820</v>
      </c>
      <c r="U6" t="s">
        <v>954</v>
      </c>
      <c r="X6" t="s">
        <v>1409</v>
      </c>
      <c r="Y6" t="s">
        <v>1393</v>
      </c>
      <c r="Z6" t="s">
        <v>1060</v>
      </c>
      <c r="AA6" t="s">
        <v>1361</v>
      </c>
      <c r="AB6" t="s">
        <v>819</v>
      </c>
      <c r="AC6" t="s">
        <v>1340</v>
      </c>
      <c r="AD6" t="s">
        <v>1335</v>
      </c>
      <c r="AH6" t="s">
        <v>819</v>
      </c>
      <c r="AI6" t="s">
        <v>1324</v>
      </c>
      <c r="AJ6" t="s">
        <v>1298</v>
      </c>
      <c r="AL6" t="s">
        <v>1249</v>
      </c>
      <c r="AM6" t="s">
        <v>1241</v>
      </c>
      <c r="AN6" t="s">
        <v>1186</v>
      </c>
      <c r="AO6" t="s">
        <v>820</v>
      </c>
      <c r="AP6" t="s">
        <v>1169</v>
      </c>
      <c r="AQ6" t="s">
        <v>8976</v>
      </c>
      <c r="AR6" t="s">
        <v>1084</v>
      </c>
      <c r="AS6" t="s">
        <v>1110</v>
      </c>
      <c r="AW6" t="s">
        <v>1101</v>
      </c>
      <c r="AX6" t="s">
        <v>1087</v>
      </c>
      <c r="AY6" t="s">
        <v>782</v>
      </c>
      <c r="AZ6" t="s">
        <v>1072</v>
      </c>
      <c r="BB6" s="9" t="s">
        <v>819</v>
      </c>
      <c r="BC6" s="9" t="s">
        <v>819</v>
      </c>
      <c r="BD6" t="s">
        <v>1057</v>
      </c>
      <c r="BE6" t="s">
        <v>1016</v>
      </c>
      <c r="BF6" s="9" t="s">
        <v>819</v>
      </c>
      <c r="BG6" t="s">
        <v>998</v>
      </c>
      <c r="BH6" t="s">
        <v>989</v>
      </c>
      <c r="BJ6" t="s">
        <v>869</v>
      </c>
      <c r="BK6" t="s">
        <v>861</v>
      </c>
      <c r="BN6" t="s">
        <v>852</v>
      </c>
      <c r="BO6" t="s">
        <v>847</v>
      </c>
      <c r="BP6" t="s">
        <v>840</v>
      </c>
      <c r="BR6" t="s">
        <v>831</v>
      </c>
      <c r="BT6" t="s">
        <v>804</v>
      </c>
      <c r="BV6" t="s">
        <v>818</v>
      </c>
    </row>
    <row r="7" spans="1:74" x14ac:dyDescent="0.25">
      <c r="A7" t="s">
        <v>1887</v>
      </c>
      <c r="B7" t="s">
        <v>1790</v>
      </c>
      <c r="C7" s="14" t="s">
        <v>1781</v>
      </c>
      <c r="E7" t="s">
        <v>1729</v>
      </c>
      <c r="F7" t="s">
        <v>1719</v>
      </c>
      <c r="G7" t="s">
        <v>1509</v>
      </c>
      <c r="H7" t="s">
        <v>820</v>
      </c>
      <c r="I7" t="s">
        <v>819</v>
      </c>
      <c r="J7" t="s">
        <v>1694</v>
      </c>
      <c r="L7" t="s">
        <v>820</v>
      </c>
      <c r="N7" t="s">
        <v>1651</v>
      </c>
      <c r="O7" t="s">
        <v>1648</v>
      </c>
      <c r="Q7" t="s">
        <v>1450</v>
      </c>
      <c r="S7" t="s">
        <v>1424</v>
      </c>
      <c r="U7" t="s">
        <v>961</v>
      </c>
      <c r="X7" t="s">
        <v>1410</v>
      </c>
      <c r="Y7" t="s">
        <v>1394</v>
      </c>
      <c r="Z7" t="s">
        <v>1384</v>
      </c>
      <c r="AA7" t="s">
        <v>1086</v>
      </c>
      <c r="AB7" t="s">
        <v>820</v>
      </c>
      <c r="AC7" t="s">
        <v>1341</v>
      </c>
      <c r="AD7" t="s">
        <v>819</v>
      </c>
      <c r="AH7" t="s">
        <v>820</v>
      </c>
      <c r="AI7" t="s">
        <v>1003</v>
      </c>
      <c r="AJ7" t="s">
        <v>1299</v>
      </c>
      <c r="AL7" t="s">
        <v>1250</v>
      </c>
      <c r="AM7" t="s">
        <v>1242</v>
      </c>
      <c r="AN7" t="s">
        <v>1187</v>
      </c>
      <c r="AP7" t="s">
        <v>1170</v>
      </c>
      <c r="AQ7" t="s">
        <v>8975</v>
      </c>
      <c r="AR7" t="s">
        <v>1116</v>
      </c>
      <c r="AS7" t="s">
        <v>990</v>
      </c>
      <c r="AW7" t="s">
        <v>819</v>
      </c>
      <c r="AX7" t="s">
        <v>1088</v>
      </c>
      <c r="AY7" t="s">
        <v>819</v>
      </c>
      <c r="AZ7" t="s">
        <v>1073</v>
      </c>
      <c r="BB7" s="10" t="s">
        <v>820</v>
      </c>
      <c r="BC7" s="10" t="s">
        <v>820</v>
      </c>
      <c r="BD7" t="s">
        <v>1011</v>
      </c>
      <c r="BE7" t="s">
        <v>1017</v>
      </c>
      <c r="BF7" s="10" t="s">
        <v>820</v>
      </c>
      <c r="BG7" t="s">
        <v>999</v>
      </c>
      <c r="BH7" t="s">
        <v>990</v>
      </c>
      <c r="BJ7" t="s">
        <v>870</v>
      </c>
      <c r="BK7" s="9" t="s">
        <v>819</v>
      </c>
      <c r="BN7" t="s">
        <v>853</v>
      </c>
      <c r="BO7" s="9" t="s">
        <v>819</v>
      </c>
      <c r="BP7" t="s">
        <v>841</v>
      </c>
      <c r="BR7" t="s">
        <v>832</v>
      </c>
      <c r="BT7" t="s">
        <v>805</v>
      </c>
      <c r="BV7" t="s">
        <v>819</v>
      </c>
    </row>
    <row r="8" spans="1:74" x14ac:dyDescent="0.25">
      <c r="A8" t="s">
        <v>1888</v>
      </c>
      <c r="B8" t="s">
        <v>1791</v>
      </c>
      <c r="C8" s="13" t="s">
        <v>1782</v>
      </c>
      <c r="E8" t="s">
        <v>1730</v>
      </c>
      <c r="F8" t="s">
        <v>745</v>
      </c>
      <c r="G8" t="s">
        <v>745</v>
      </c>
      <c r="I8" t="s">
        <v>820</v>
      </c>
      <c r="J8" t="s">
        <v>1695</v>
      </c>
      <c r="N8" t="s">
        <v>1652</v>
      </c>
      <c r="O8" t="s">
        <v>819</v>
      </c>
      <c r="Q8" t="s">
        <v>1625</v>
      </c>
      <c r="S8" t="s">
        <v>869</v>
      </c>
      <c r="U8" t="s">
        <v>1779</v>
      </c>
      <c r="X8" t="s">
        <v>1411</v>
      </c>
      <c r="Y8" t="s">
        <v>1395</v>
      </c>
      <c r="Z8" t="s">
        <v>1385</v>
      </c>
      <c r="AA8" t="s">
        <v>1362</v>
      </c>
      <c r="AC8" t="s">
        <v>1110</v>
      </c>
      <c r="AD8" t="s">
        <v>820</v>
      </c>
      <c r="AI8" t="s">
        <v>819</v>
      </c>
      <c r="AJ8" t="s">
        <v>1300</v>
      </c>
      <c r="AL8" t="s">
        <v>1251</v>
      </c>
      <c r="AM8" t="s">
        <v>1243</v>
      </c>
      <c r="AN8" t="s">
        <v>1188</v>
      </c>
      <c r="AP8" t="s">
        <v>1132</v>
      </c>
      <c r="AQ8" t="s">
        <v>8974</v>
      </c>
      <c r="AR8" t="s">
        <v>1117</v>
      </c>
      <c r="AS8" t="s">
        <v>1111</v>
      </c>
      <c r="AW8" t="s">
        <v>820</v>
      </c>
      <c r="AX8" t="s">
        <v>1025</v>
      </c>
      <c r="AY8" t="s">
        <v>820</v>
      </c>
      <c r="AZ8" t="s">
        <v>1074</v>
      </c>
      <c r="BD8" t="s">
        <v>1058</v>
      </c>
      <c r="BE8" t="s">
        <v>1018</v>
      </c>
      <c r="BG8" t="s">
        <v>1000</v>
      </c>
      <c r="BH8" t="s">
        <v>991</v>
      </c>
      <c r="BJ8" t="s">
        <v>871</v>
      </c>
      <c r="BK8" s="10" t="s">
        <v>820</v>
      </c>
      <c r="BN8" s="9" t="s">
        <v>819</v>
      </c>
      <c r="BO8" s="10" t="s">
        <v>820</v>
      </c>
      <c r="BP8" t="s">
        <v>842</v>
      </c>
      <c r="BR8" t="s">
        <v>833</v>
      </c>
      <c r="BT8" t="s">
        <v>806</v>
      </c>
      <c r="BV8" t="s">
        <v>820</v>
      </c>
    </row>
    <row r="9" spans="1:74" x14ac:dyDescent="0.25">
      <c r="A9" t="s">
        <v>761</v>
      </c>
      <c r="B9" t="s">
        <v>1438</v>
      </c>
      <c r="C9" s="10" t="s">
        <v>1784</v>
      </c>
      <c r="E9" t="s">
        <v>1731</v>
      </c>
      <c r="F9" t="s">
        <v>1720</v>
      </c>
      <c r="G9" t="s">
        <v>1710</v>
      </c>
      <c r="J9" t="s">
        <v>819</v>
      </c>
      <c r="N9" t="s">
        <v>1653</v>
      </c>
      <c r="O9" t="s">
        <v>820</v>
      </c>
      <c r="Q9" t="s">
        <v>1626</v>
      </c>
      <c r="S9" t="s">
        <v>1425</v>
      </c>
      <c r="U9" t="s">
        <v>1780</v>
      </c>
      <c r="X9" t="s">
        <v>1412</v>
      </c>
      <c r="Y9" t="s">
        <v>990</v>
      </c>
      <c r="Z9" t="s">
        <v>1386</v>
      </c>
      <c r="AA9" t="s">
        <v>1363</v>
      </c>
      <c r="AC9" t="s">
        <v>1035</v>
      </c>
      <c r="AI9" t="s">
        <v>820</v>
      </c>
      <c r="AJ9" t="s">
        <v>1301</v>
      </c>
      <c r="AL9" t="s">
        <v>1252</v>
      </c>
      <c r="AM9" t="s">
        <v>1244</v>
      </c>
      <c r="AN9" t="s">
        <v>1189</v>
      </c>
      <c r="AP9" t="s">
        <v>1171</v>
      </c>
      <c r="AQ9" t="s">
        <v>8973</v>
      </c>
      <c r="AR9" t="s">
        <v>1054</v>
      </c>
      <c r="AS9" t="s">
        <v>1112</v>
      </c>
      <c r="AX9" t="s">
        <v>848</v>
      </c>
      <c r="AZ9" t="s">
        <v>1075</v>
      </c>
      <c r="BD9" s="9" t="s">
        <v>819</v>
      </c>
      <c r="BE9" t="s">
        <v>1019</v>
      </c>
      <c r="BG9" t="s">
        <v>1001</v>
      </c>
      <c r="BH9" t="s">
        <v>992</v>
      </c>
      <c r="BJ9" t="s">
        <v>873</v>
      </c>
      <c r="BN9" s="10" t="s">
        <v>820</v>
      </c>
      <c r="BP9" t="s">
        <v>819</v>
      </c>
      <c r="BR9" t="s">
        <v>819</v>
      </c>
      <c r="BT9" t="s">
        <v>807</v>
      </c>
    </row>
    <row r="10" spans="1:74" x14ac:dyDescent="0.25">
      <c r="A10" t="s">
        <v>1093</v>
      </c>
      <c r="B10" t="s">
        <v>1792</v>
      </c>
      <c r="C10" s="10" t="s">
        <v>819</v>
      </c>
      <c r="E10" t="s">
        <v>1732</v>
      </c>
      <c r="F10" t="s">
        <v>1093</v>
      </c>
      <c r="G10" t="s">
        <v>1711</v>
      </c>
      <c r="J10" t="s">
        <v>820</v>
      </c>
      <c r="N10" t="s">
        <v>1464</v>
      </c>
      <c r="Q10" t="s">
        <v>1627</v>
      </c>
      <c r="S10" t="s">
        <v>1426</v>
      </c>
      <c r="U10" t="s">
        <v>1781</v>
      </c>
      <c r="X10" t="s">
        <v>1413</v>
      </c>
      <c r="Y10" t="s">
        <v>1396</v>
      </c>
      <c r="Z10" t="s">
        <v>1387</v>
      </c>
      <c r="AA10" t="s">
        <v>1364</v>
      </c>
      <c r="AC10" t="s">
        <v>1342</v>
      </c>
      <c r="AJ10" t="s">
        <v>778</v>
      </c>
      <c r="AL10" t="s">
        <v>1282</v>
      </c>
      <c r="AM10" t="s">
        <v>819</v>
      </c>
      <c r="AN10" t="s">
        <v>1190</v>
      </c>
      <c r="AP10" t="s">
        <v>1172</v>
      </c>
      <c r="AQ10" t="s">
        <v>1879</v>
      </c>
      <c r="AR10" t="s">
        <v>1118</v>
      </c>
      <c r="AS10" t="s">
        <v>994</v>
      </c>
      <c r="AX10" t="s">
        <v>1089</v>
      </c>
      <c r="AZ10" t="s">
        <v>1076</v>
      </c>
      <c r="BD10" s="10" t="s">
        <v>820</v>
      </c>
      <c r="BE10" t="s">
        <v>1020</v>
      </c>
      <c r="BG10" t="s">
        <v>1002</v>
      </c>
      <c r="BH10" t="s">
        <v>993</v>
      </c>
      <c r="BJ10" t="s">
        <v>875</v>
      </c>
      <c r="BP10" t="s">
        <v>820</v>
      </c>
      <c r="BR10" t="s">
        <v>820</v>
      </c>
      <c r="BT10" t="s">
        <v>808</v>
      </c>
    </row>
    <row r="11" spans="1:74" x14ac:dyDescent="0.25">
      <c r="A11" t="s">
        <v>1889</v>
      </c>
      <c r="B11" t="s">
        <v>1793</v>
      </c>
      <c r="C11" s="10" t="s">
        <v>820</v>
      </c>
      <c r="E11" t="s">
        <v>1733</v>
      </c>
      <c r="F11" t="s">
        <v>1721</v>
      </c>
      <c r="G11" t="s">
        <v>1586</v>
      </c>
      <c r="N11" t="s">
        <v>1654</v>
      </c>
      <c r="Q11" t="s">
        <v>1306</v>
      </c>
      <c r="S11" t="s">
        <v>1427</v>
      </c>
      <c r="U11" t="s">
        <v>1782</v>
      </c>
      <c r="X11" t="s">
        <v>819</v>
      </c>
      <c r="Y11" t="s">
        <v>1397</v>
      </c>
      <c r="Z11" t="s">
        <v>1388</v>
      </c>
      <c r="AA11" t="s">
        <v>1305</v>
      </c>
      <c r="AC11" t="s">
        <v>1343</v>
      </c>
      <c r="AJ11" t="s">
        <v>1126</v>
      </c>
      <c r="AL11" t="s">
        <v>1253</v>
      </c>
      <c r="AM11" t="s">
        <v>820</v>
      </c>
      <c r="AN11" t="s">
        <v>882</v>
      </c>
      <c r="AP11" t="s">
        <v>1173</v>
      </c>
      <c r="AQ11" t="s">
        <v>819</v>
      </c>
      <c r="AR11" t="s">
        <v>1119</v>
      </c>
      <c r="AS11" t="s">
        <v>819</v>
      </c>
      <c r="AX11" t="s">
        <v>1090</v>
      </c>
      <c r="AZ11" t="s">
        <v>1077</v>
      </c>
      <c r="BE11" t="s">
        <v>1021</v>
      </c>
      <c r="BG11" t="s">
        <v>1003</v>
      </c>
      <c r="BH11" t="s">
        <v>994</v>
      </c>
      <c r="BJ11" t="s">
        <v>876</v>
      </c>
      <c r="BT11" t="s">
        <v>809</v>
      </c>
    </row>
    <row r="12" spans="1:74" x14ac:dyDescent="0.25">
      <c r="A12" t="s">
        <v>819</v>
      </c>
      <c r="B12" t="s">
        <v>1794</v>
      </c>
      <c r="E12" t="s">
        <v>1734</v>
      </c>
      <c r="F12" t="s">
        <v>1156</v>
      </c>
      <c r="G12" t="s">
        <v>1064</v>
      </c>
      <c r="N12" t="s">
        <v>1024</v>
      </c>
      <c r="Q12" t="s">
        <v>850</v>
      </c>
      <c r="S12" t="s">
        <v>1428</v>
      </c>
      <c r="U12" t="s">
        <v>1783</v>
      </c>
      <c r="X12" t="s">
        <v>820</v>
      </c>
      <c r="Y12" t="s">
        <v>1398</v>
      </c>
      <c r="Z12" t="s">
        <v>1389</v>
      </c>
      <c r="AA12" t="s">
        <v>1365</v>
      </c>
      <c r="AC12" t="s">
        <v>1344</v>
      </c>
      <c r="AJ12" t="s">
        <v>887</v>
      </c>
      <c r="AL12" t="s">
        <v>1254</v>
      </c>
      <c r="AN12" t="s">
        <v>1191</v>
      </c>
      <c r="AP12" t="s">
        <v>1174</v>
      </c>
      <c r="AQ12" t="s">
        <v>820</v>
      </c>
      <c r="AR12" t="s">
        <v>1120</v>
      </c>
      <c r="AS12" t="s">
        <v>820</v>
      </c>
      <c r="AX12" t="s">
        <v>849</v>
      </c>
      <c r="AZ12" t="s">
        <v>1078</v>
      </c>
      <c r="BE12" t="s">
        <v>1022</v>
      </c>
      <c r="BG12" s="9" t="s">
        <v>819</v>
      </c>
      <c r="BH12" t="s">
        <v>995</v>
      </c>
      <c r="BJ12" t="s">
        <v>877</v>
      </c>
      <c r="BT12" t="s">
        <v>810</v>
      </c>
    </row>
    <row r="13" spans="1:74" x14ac:dyDescent="0.25">
      <c r="A13" t="s">
        <v>820</v>
      </c>
      <c r="B13" t="s">
        <v>1795</v>
      </c>
      <c r="E13" t="s">
        <v>1735</v>
      </c>
      <c r="F13" t="s">
        <v>1722</v>
      </c>
      <c r="G13" t="s">
        <v>1712</v>
      </c>
      <c r="N13" t="s">
        <v>1655</v>
      </c>
      <c r="Q13" t="s">
        <v>1628</v>
      </c>
      <c r="S13" t="s">
        <v>1429</v>
      </c>
      <c r="U13" t="s">
        <v>819</v>
      </c>
      <c r="Y13" t="s">
        <v>1037</v>
      </c>
      <c r="Z13" t="s">
        <v>819</v>
      </c>
      <c r="AA13" t="s">
        <v>1366</v>
      </c>
      <c r="AC13" t="s">
        <v>1345</v>
      </c>
      <c r="AJ13" t="s">
        <v>1302</v>
      </c>
      <c r="AL13" t="s">
        <v>1255</v>
      </c>
      <c r="AN13" t="s">
        <v>1192</v>
      </c>
      <c r="AP13" t="s">
        <v>1175</v>
      </c>
      <c r="AR13" t="s">
        <v>1121</v>
      </c>
      <c r="AX13" t="s">
        <v>1091</v>
      </c>
      <c r="AZ13" s="9" t="s">
        <v>819</v>
      </c>
      <c r="BE13" t="s">
        <v>1023</v>
      </c>
      <c r="BG13" s="10" t="s">
        <v>820</v>
      </c>
      <c r="BH13" t="s">
        <v>996</v>
      </c>
      <c r="BJ13" t="s">
        <v>878</v>
      </c>
      <c r="BT13" t="s">
        <v>811</v>
      </c>
    </row>
    <row r="14" spans="1:74" x14ac:dyDescent="0.25">
      <c r="B14" t="s">
        <v>1796</v>
      </c>
      <c r="E14" t="s">
        <v>1187</v>
      </c>
      <c r="F14" t="s">
        <v>1723</v>
      </c>
      <c r="G14" t="s">
        <v>1713</v>
      </c>
      <c r="N14" t="s">
        <v>1656</v>
      </c>
      <c r="Q14" t="s">
        <v>807</v>
      </c>
      <c r="S14" t="s">
        <v>1430</v>
      </c>
      <c r="U14" t="s">
        <v>820</v>
      </c>
      <c r="Y14" t="s">
        <v>761</v>
      </c>
      <c r="Z14" t="s">
        <v>820</v>
      </c>
      <c r="AA14" t="s">
        <v>1135</v>
      </c>
      <c r="AC14" t="s">
        <v>1346</v>
      </c>
      <c r="AJ14" t="s">
        <v>1303</v>
      </c>
      <c r="AL14" t="s">
        <v>1188</v>
      </c>
      <c r="AN14" t="s">
        <v>1193</v>
      </c>
      <c r="AP14" t="s">
        <v>1176</v>
      </c>
      <c r="AR14" t="s">
        <v>1122</v>
      </c>
      <c r="AX14" t="s">
        <v>1092</v>
      </c>
      <c r="AZ14" s="10" t="s">
        <v>820</v>
      </c>
      <c r="BE14" t="s">
        <v>1024</v>
      </c>
      <c r="BH14" s="9" t="s">
        <v>819</v>
      </c>
      <c r="BJ14" t="s">
        <v>879</v>
      </c>
      <c r="BT14" t="s">
        <v>812</v>
      </c>
    </row>
    <row r="15" spans="1:74" x14ac:dyDescent="0.25">
      <c r="B15" t="s">
        <v>1797</v>
      </c>
      <c r="E15" t="s">
        <v>1736</v>
      </c>
      <c r="F15" t="s">
        <v>1724</v>
      </c>
      <c r="G15" t="s">
        <v>1714</v>
      </c>
      <c r="N15" t="s">
        <v>1477</v>
      </c>
      <c r="Q15" t="s">
        <v>1629</v>
      </c>
      <c r="S15" t="s">
        <v>1431</v>
      </c>
      <c r="Y15" t="s">
        <v>1399</v>
      </c>
      <c r="AA15" t="s">
        <v>1367</v>
      </c>
      <c r="AC15" t="s">
        <v>1347</v>
      </c>
      <c r="AJ15" t="s">
        <v>1304</v>
      </c>
      <c r="AL15" t="s">
        <v>1256</v>
      </c>
      <c r="AN15" t="s">
        <v>1194</v>
      </c>
      <c r="AP15" t="s">
        <v>1177</v>
      </c>
      <c r="AR15" t="s">
        <v>1123</v>
      </c>
      <c r="AX15" t="s">
        <v>1093</v>
      </c>
      <c r="BE15" t="s">
        <v>1025</v>
      </c>
      <c r="BH15" s="10" t="s">
        <v>820</v>
      </c>
      <c r="BJ15" t="s">
        <v>880</v>
      </c>
      <c r="BT15" t="s">
        <v>813</v>
      </c>
    </row>
    <row r="16" spans="1:74" x14ac:dyDescent="0.25">
      <c r="B16" t="s">
        <v>1798</v>
      </c>
      <c r="E16" t="s">
        <v>1737</v>
      </c>
      <c r="F16" t="s">
        <v>785</v>
      </c>
      <c r="G16" t="s">
        <v>819</v>
      </c>
      <c r="N16" t="s">
        <v>1364</v>
      </c>
      <c r="Q16" t="s">
        <v>1562</v>
      </c>
      <c r="S16" t="s">
        <v>1432</v>
      </c>
      <c r="Y16" t="s">
        <v>1400</v>
      </c>
      <c r="AA16" t="s">
        <v>1368</v>
      </c>
      <c r="AC16" t="s">
        <v>1348</v>
      </c>
      <c r="AJ16" t="s">
        <v>1305</v>
      </c>
      <c r="AL16" t="s">
        <v>1257</v>
      </c>
      <c r="AN16" t="s">
        <v>1195</v>
      </c>
      <c r="AP16" t="s">
        <v>1160</v>
      </c>
      <c r="AR16" t="s">
        <v>1124</v>
      </c>
      <c r="AX16" t="s">
        <v>1094</v>
      </c>
      <c r="BE16" t="s">
        <v>1026</v>
      </c>
      <c r="BJ16" t="s">
        <v>882</v>
      </c>
      <c r="BT16" t="s">
        <v>819</v>
      </c>
      <c r="BV16" s="8"/>
    </row>
    <row r="17" spans="2:74" x14ac:dyDescent="0.25">
      <c r="B17" t="s">
        <v>1799</v>
      </c>
      <c r="E17" t="s">
        <v>1738</v>
      </c>
      <c r="F17" t="s">
        <v>819</v>
      </c>
      <c r="G17" t="s">
        <v>820</v>
      </c>
      <c r="N17" t="s">
        <v>1657</v>
      </c>
      <c r="Q17" t="s">
        <v>785</v>
      </c>
      <c r="S17" t="s">
        <v>1433</v>
      </c>
      <c r="Y17" t="s">
        <v>1387</v>
      </c>
      <c r="AA17" t="s">
        <v>1369</v>
      </c>
      <c r="AC17" t="s">
        <v>1349</v>
      </c>
      <c r="AJ17" t="s">
        <v>1306</v>
      </c>
      <c r="AL17" t="s">
        <v>882</v>
      </c>
      <c r="AN17" t="s">
        <v>1196</v>
      </c>
      <c r="AP17" t="s">
        <v>1178</v>
      </c>
      <c r="AR17" t="s">
        <v>1125</v>
      </c>
      <c r="AX17" t="s">
        <v>1095</v>
      </c>
      <c r="BE17" t="s">
        <v>1027</v>
      </c>
      <c r="BJ17" t="s">
        <v>883</v>
      </c>
      <c r="BT17" t="s">
        <v>820</v>
      </c>
      <c r="BV17" s="8"/>
    </row>
    <row r="18" spans="2:74" x14ac:dyDescent="0.25">
      <c r="B18" t="s">
        <v>1800</v>
      </c>
      <c r="E18" t="s">
        <v>1739</v>
      </c>
      <c r="F18" t="s">
        <v>820</v>
      </c>
      <c r="N18" t="s">
        <v>1080</v>
      </c>
      <c r="Q18" t="s">
        <v>819</v>
      </c>
      <c r="S18" t="s">
        <v>1434</v>
      </c>
      <c r="Y18" t="s">
        <v>1401</v>
      </c>
      <c r="AA18" t="s">
        <v>1370</v>
      </c>
      <c r="AC18" t="s">
        <v>1273</v>
      </c>
      <c r="AJ18" t="s">
        <v>1307</v>
      </c>
      <c r="AL18" t="s">
        <v>1258</v>
      </c>
      <c r="AN18" t="s">
        <v>1197</v>
      </c>
      <c r="AP18" t="s">
        <v>1179</v>
      </c>
      <c r="AR18" t="s">
        <v>1126</v>
      </c>
      <c r="AX18" t="s">
        <v>1096</v>
      </c>
      <c r="BE18" t="s">
        <v>1028</v>
      </c>
      <c r="BJ18" t="s">
        <v>884</v>
      </c>
    </row>
    <row r="19" spans="2:74" x14ac:dyDescent="0.25">
      <c r="B19" t="s">
        <v>763</v>
      </c>
      <c r="E19" t="s">
        <v>1740</v>
      </c>
      <c r="N19" t="s">
        <v>1658</v>
      </c>
      <c r="Q19" t="s">
        <v>820</v>
      </c>
      <c r="S19" t="s">
        <v>1435</v>
      </c>
      <c r="Y19" t="s">
        <v>1402</v>
      </c>
      <c r="AA19" t="s">
        <v>743</v>
      </c>
      <c r="AC19" t="s">
        <v>1050</v>
      </c>
      <c r="AJ19" t="s">
        <v>1308</v>
      </c>
      <c r="AL19" t="s">
        <v>1259</v>
      </c>
      <c r="AN19" t="s">
        <v>945</v>
      </c>
      <c r="AP19" t="s">
        <v>1180</v>
      </c>
      <c r="AR19" t="s">
        <v>1127</v>
      </c>
      <c r="AX19" t="s">
        <v>819</v>
      </c>
      <c r="BE19" t="s">
        <v>1029</v>
      </c>
      <c r="BJ19" t="s">
        <v>887</v>
      </c>
      <c r="BK19" t="s">
        <v>823</v>
      </c>
    </row>
    <row r="20" spans="2:74" x14ac:dyDescent="0.25">
      <c r="B20" t="s">
        <v>1801</v>
      </c>
      <c r="E20" t="s">
        <v>1741</v>
      </c>
      <c r="N20" t="s">
        <v>1659</v>
      </c>
      <c r="S20" t="s">
        <v>1436</v>
      </c>
      <c r="Y20" t="s">
        <v>1403</v>
      </c>
      <c r="AA20" t="s">
        <v>1371</v>
      </c>
      <c r="AC20" t="s">
        <v>1350</v>
      </c>
      <c r="AJ20" t="s">
        <v>1309</v>
      </c>
      <c r="AL20" t="s">
        <v>1260</v>
      </c>
      <c r="AN20" t="s">
        <v>1198</v>
      </c>
      <c r="AP20" t="s">
        <v>1181</v>
      </c>
      <c r="AR20" t="s">
        <v>1128</v>
      </c>
      <c r="AX20" t="s">
        <v>820</v>
      </c>
      <c r="BE20" t="s">
        <v>764</v>
      </c>
      <c r="BJ20" t="s">
        <v>888</v>
      </c>
      <c r="BK20" t="s">
        <v>823</v>
      </c>
    </row>
    <row r="21" spans="2:74" x14ac:dyDescent="0.25">
      <c r="B21" t="s">
        <v>1301</v>
      </c>
      <c r="E21" t="s">
        <v>1742</v>
      </c>
      <c r="N21" t="s">
        <v>1660</v>
      </c>
      <c r="S21" t="s">
        <v>1437</v>
      </c>
      <c r="Y21" t="s">
        <v>1404</v>
      </c>
      <c r="AA21" t="s">
        <v>1372</v>
      </c>
      <c r="AC21" t="s">
        <v>1351</v>
      </c>
      <c r="AJ21" t="s">
        <v>1071</v>
      </c>
      <c r="AL21" t="s">
        <v>883</v>
      </c>
      <c r="AN21" t="s">
        <v>1199</v>
      </c>
      <c r="AP21" t="s">
        <v>819</v>
      </c>
      <c r="AR21" t="s">
        <v>1129</v>
      </c>
      <c r="BE21" t="s">
        <v>1030</v>
      </c>
      <c r="BJ21" t="s">
        <v>889</v>
      </c>
      <c r="BK21" t="s">
        <v>823</v>
      </c>
    </row>
    <row r="22" spans="2:74" x14ac:dyDescent="0.25">
      <c r="B22" t="s">
        <v>1802</v>
      </c>
      <c r="E22" t="s">
        <v>883</v>
      </c>
      <c r="N22" t="s">
        <v>1627</v>
      </c>
      <c r="S22" t="s">
        <v>1438</v>
      </c>
      <c r="Y22" t="s">
        <v>819</v>
      </c>
      <c r="AA22" t="s">
        <v>1373</v>
      </c>
      <c r="AC22" t="s">
        <v>1178</v>
      </c>
      <c r="AJ22" t="s">
        <v>1310</v>
      </c>
      <c r="AL22" t="s">
        <v>1261</v>
      </c>
      <c r="AN22" t="s">
        <v>1200</v>
      </c>
      <c r="AP22" t="s">
        <v>820</v>
      </c>
      <c r="AR22" t="s">
        <v>984</v>
      </c>
      <c r="BE22" t="s">
        <v>804</v>
      </c>
      <c r="BJ22" t="s">
        <v>890</v>
      </c>
    </row>
    <row r="23" spans="2:74" x14ac:dyDescent="0.25">
      <c r="B23" t="s">
        <v>1803</v>
      </c>
      <c r="E23" t="s">
        <v>1743</v>
      </c>
      <c r="N23" t="s">
        <v>1661</v>
      </c>
      <c r="S23" t="s">
        <v>1439</v>
      </c>
      <c r="Y23" t="s">
        <v>820</v>
      </c>
      <c r="AA23" t="s">
        <v>759</v>
      </c>
      <c r="AC23" t="s">
        <v>1352</v>
      </c>
      <c r="AJ23" t="s">
        <v>1311</v>
      </c>
      <c r="AL23" t="s">
        <v>1262</v>
      </c>
      <c r="AN23" t="s">
        <v>1201</v>
      </c>
      <c r="AR23" t="s">
        <v>1130</v>
      </c>
      <c r="BE23" t="s">
        <v>1031</v>
      </c>
      <c r="BJ23" t="s">
        <v>891</v>
      </c>
    </row>
    <row r="24" spans="2:74" x14ac:dyDescent="0.25">
      <c r="B24" t="s">
        <v>1804</v>
      </c>
      <c r="E24" t="s">
        <v>1744</v>
      </c>
      <c r="N24" t="s">
        <v>1306</v>
      </c>
      <c r="S24" t="s">
        <v>824</v>
      </c>
      <c r="AA24" t="s">
        <v>1374</v>
      </c>
      <c r="AC24" t="s">
        <v>819</v>
      </c>
      <c r="AJ24" t="s">
        <v>1175</v>
      </c>
      <c r="AL24" t="s">
        <v>1283</v>
      </c>
      <c r="AN24" t="s">
        <v>1202</v>
      </c>
      <c r="AR24" t="s">
        <v>1131</v>
      </c>
      <c r="BE24" t="s">
        <v>1032</v>
      </c>
      <c r="BJ24" t="s">
        <v>892</v>
      </c>
    </row>
    <row r="25" spans="2:74" x14ac:dyDescent="0.25">
      <c r="B25" t="s">
        <v>1805</v>
      </c>
      <c r="E25" t="s">
        <v>887</v>
      </c>
      <c r="N25" t="s">
        <v>1662</v>
      </c>
      <c r="S25" t="s">
        <v>1325</v>
      </c>
      <c r="AA25" t="s">
        <v>1375</v>
      </c>
      <c r="AC25" t="s">
        <v>820</v>
      </c>
      <c r="AJ25" t="s">
        <v>1312</v>
      </c>
      <c r="AL25" t="s">
        <v>1263</v>
      </c>
      <c r="AN25" t="s">
        <v>1203</v>
      </c>
      <c r="AR25" t="s">
        <v>1132</v>
      </c>
      <c r="BE25" t="s">
        <v>1033</v>
      </c>
      <c r="BJ25" t="s">
        <v>894</v>
      </c>
    </row>
    <row r="26" spans="2:74" x14ac:dyDescent="0.25">
      <c r="B26" t="s">
        <v>1464</v>
      </c>
      <c r="E26" t="s">
        <v>1745</v>
      </c>
      <c r="N26" t="s">
        <v>1509</v>
      </c>
      <c r="S26" t="s">
        <v>857</v>
      </c>
      <c r="AA26" t="s">
        <v>1376</v>
      </c>
      <c r="AJ26" t="s">
        <v>1313</v>
      </c>
      <c r="AL26" t="s">
        <v>1284</v>
      </c>
      <c r="AN26" t="s">
        <v>1204</v>
      </c>
      <c r="AR26" t="s">
        <v>1133</v>
      </c>
      <c r="BE26" t="s">
        <v>1034</v>
      </c>
      <c r="BJ26" t="s">
        <v>895</v>
      </c>
    </row>
    <row r="27" spans="2:74" x14ac:dyDescent="0.25">
      <c r="B27" t="s">
        <v>1806</v>
      </c>
      <c r="E27" t="s">
        <v>1746</v>
      </c>
      <c r="N27" t="s">
        <v>1137</v>
      </c>
      <c r="S27" t="s">
        <v>1440</v>
      </c>
      <c r="AA27" t="s">
        <v>1377</v>
      </c>
      <c r="AJ27" t="s">
        <v>1314</v>
      </c>
      <c r="AL27" t="s">
        <v>1285</v>
      </c>
      <c r="AN27" t="s">
        <v>1205</v>
      </c>
      <c r="AR27" t="s">
        <v>1134</v>
      </c>
      <c r="BE27" t="s">
        <v>1035</v>
      </c>
      <c r="BJ27" t="s">
        <v>896</v>
      </c>
    </row>
    <row r="28" spans="2:74" x14ac:dyDescent="0.25">
      <c r="B28" t="s">
        <v>1807</v>
      </c>
      <c r="E28" t="s">
        <v>1747</v>
      </c>
      <c r="N28" t="s">
        <v>1308</v>
      </c>
      <c r="S28" t="s">
        <v>1441</v>
      </c>
      <c r="AA28" t="s">
        <v>1378</v>
      </c>
      <c r="AJ28" t="s">
        <v>1315</v>
      </c>
      <c r="AL28" t="s">
        <v>1264</v>
      </c>
      <c r="AN28" t="s">
        <v>1206</v>
      </c>
      <c r="AR28" t="s">
        <v>1135</v>
      </c>
      <c r="BE28" t="s">
        <v>1036</v>
      </c>
      <c r="BJ28" t="s">
        <v>897</v>
      </c>
    </row>
    <row r="29" spans="2:74" x14ac:dyDescent="0.25">
      <c r="B29" t="s">
        <v>1808</v>
      </c>
      <c r="E29" t="s">
        <v>1333</v>
      </c>
      <c r="N29" t="s">
        <v>805</v>
      </c>
      <c r="S29" t="s">
        <v>1442</v>
      </c>
      <c r="AA29" t="s">
        <v>1379</v>
      </c>
      <c r="AJ29" t="s">
        <v>1316</v>
      </c>
      <c r="AL29" t="s">
        <v>1265</v>
      </c>
      <c r="AN29" t="s">
        <v>1207</v>
      </c>
      <c r="AR29" t="s">
        <v>1136</v>
      </c>
      <c r="BE29" t="s">
        <v>1037</v>
      </c>
      <c r="BJ29" t="s">
        <v>898</v>
      </c>
    </row>
    <row r="30" spans="2:74" x14ac:dyDescent="0.25">
      <c r="B30" t="s">
        <v>1809</v>
      </c>
      <c r="E30" t="s">
        <v>1748</v>
      </c>
      <c r="N30" t="s">
        <v>1663</v>
      </c>
      <c r="S30" t="s">
        <v>1443</v>
      </c>
      <c r="AA30" t="s">
        <v>1380</v>
      </c>
      <c r="AJ30" t="s">
        <v>977</v>
      </c>
      <c r="AL30" t="s">
        <v>1286</v>
      </c>
      <c r="AN30" t="s">
        <v>1208</v>
      </c>
      <c r="AR30" t="s">
        <v>1137</v>
      </c>
      <c r="BE30" t="s">
        <v>1038</v>
      </c>
      <c r="BJ30" t="s">
        <v>899</v>
      </c>
    </row>
    <row r="31" spans="2:74" x14ac:dyDescent="0.25">
      <c r="B31" t="s">
        <v>1086</v>
      </c>
      <c r="E31" t="s">
        <v>1285</v>
      </c>
      <c r="N31" t="s">
        <v>1370</v>
      </c>
      <c r="S31" t="s">
        <v>1444</v>
      </c>
      <c r="AA31" t="s">
        <v>977</v>
      </c>
      <c r="AJ31" t="s">
        <v>1317</v>
      </c>
      <c r="AL31" t="s">
        <v>1266</v>
      </c>
      <c r="AN31" t="s">
        <v>1209</v>
      </c>
      <c r="AR31" t="s">
        <v>1138</v>
      </c>
      <c r="BE31" t="s">
        <v>1039</v>
      </c>
      <c r="BJ31" t="s">
        <v>900</v>
      </c>
    </row>
    <row r="32" spans="2:74" x14ac:dyDescent="0.25">
      <c r="B32" t="s">
        <v>1810</v>
      </c>
      <c r="E32" t="s">
        <v>954</v>
      </c>
      <c r="N32" t="s">
        <v>1664</v>
      </c>
      <c r="S32" t="s">
        <v>1166</v>
      </c>
      <c r="AA32" t="s">
        <v>1381</v>
      </c>
      <c r="AJ32" t="s">
        <v>1318</v>
      </c>
      <c r="AL32" t="s">
        <v>1267</v>
      </c>
      <c r="AN32" t="s">
        <v>1210</v>
      </c>
      <c r="AR32" t="s">
        <v>1139</v>
      </c>
      <c r="BE32" t="s">
        <v>1040</v>
      </c>
      <c r="BJ32" t="s">
        <v>901</v>
      </c>
    </row>
    <row r="33" spans="2:62" x14ac:dyDescent="0.25">
      <c r="B33" t="s">
        <v>1811</v>
      </c>
      <c r="E33" t="s">
        <v>1749</v>
      </c>
      <c r="N33" t="s">
        <v>1519</v>
      </c>
      <c r="S33" t="s">
        <v>1445</v>
      </c>
      <c r="AA33" t="s">
        <v>1053</v>
      </c>
      <c r="AJ33" t="s">
        <v>1319</v>
      </c>
      <c r="AL33" t="s">
        <v>1071</v>
      </c>
      <c r="AN33" t="s">
        <v>1211</v>
      </c>
      <c r="AR33" t="s">
        <v>1140</v>
      </c>
      <c r="BE33" t="s">
        <v>1041</v>
      </c>
      <c r="BJ33" t="s">
        <v>902</v>
      </c>
    </row>
    <row r="34" spans="2:62" x14ac:dyDescent="0.25">
      <c r="B34" t="s">
        <v>1812</v>
      </c>
      <c r="E34" t="s">
        <v>1750</v>
      </c>
      <c r="N34" t="s">
        <v>1665</v>
      </c>
      <c r="S34" t="s">
        <v>1446</v>
      </c>
      <c r="AA34" t="s">
        <v>819</v>
      </c>
      <c r="AJ34" t="s">
        <v>1320</v>
      </c>
      <c r="AL34" t="s">
        <v>1268</v>
      </c>
      <c r="AN34" t="s">
        <v>1212</v>
      </c>
      <c r="AR34" t="s">
        <v>1141</v>
      </c>
      <c r="BE34" t="s">
        <v>1042</v>
      </c>
      <c r="BJ34" t="s">
        <v>903</v>
      </c>
    </row>
    <row r="35" spans="2:62" x14ac:dyDescent="0.25">
      <c r="B35" t="s">
        <v>1813</v>
      </c>
      <c r="E35" t="s">
        <v>1098</v>
      </c>
      <c r="N35" t="s">
        <v>1666</v>
      </c>
      <c r="S35" t="s">
        <v>1447</v>
      </c>
      <c r="AA35" t="s">
        <v>820</v>
      </c>
      <c r="AJ35" t="s">
        <v>819</v>
      </c>
      <c r="AL35" t="s">
        <v>1269</v>
      </c>
      <c r="AN35" t="s">
        <v>1213</v>
      </c>
      <c r="AR35" t="s">
        <v>1142</v>
      </c>
      <c r="BE35" t="s">
        <v>1043</v>
      </c>
      <c r="BJ35" t="s">
        <v>904</v>
      </c>
    </row>
    <row r="36" spans="2:62" x14ac:dyDescent="0.25">
      <c r="B36" t="s">
        <v>1814</v>
      </c>
      <c r="E36" t="s">
        <v>1751</v>
      </c>
      <c r="N36" t="s">
        <v>1667</v>
      </c>
      <c r="S36" t="s">
        <v>1448</v>
      </c>
      <c r="AJ36" t="s">
        <v>820</v>
      </c>
      <c r="AL36" t="s">
        <v>1210</v>
      </c>
      <c r="AN36" t="s">
        <v>1214</v>
      </c>
      <c r="AR36" t="s">
        <v>1143</v>
      </c>
      <c r="BE36" t="s">
        <v>1044</v>
      </c>
      <c r="BJ36" t="s">
        <v>906</v>
      </c>
    </row>
    <row r="37" spans="2:62" x14ac:dyDescent="0.25">
      <c r="B37" t="s">
        <v>1025</v>
      </c>
      <c r="E37" t="s">
        <v>850</v>
      </c>
      <c r="N37" t="s">
        <v>1668</v>
      </c>
      <c r="S37" t="s">
        <v>1449</v>
      </c>
      <c r="AL37" t="s">
        <v>1287</v>
      </c>
      <c r="AN37" t="s">
        <v>1215</v>
      </c>
      <c r="AR37" t="s">
        <v>1144</v>
      </c>
      <c r="BE37" t="s">
        <v>1045</v>
      </c>
      <c r="BJ37" t="s">
        <v>907</v>
      </c>
    </row>
    <row r="38" spans="2:62" x14ac:dyDescent="0.25">
      <c r="B38" t="s">
        <v>1815</v>
      </c>
      <c r="E38" t="s">
        <v>1752</v>
      </c>
      <c r="N38" t="s">
        <v>1311</v>
      </c>
      <c r="S38" t="s">
        <v>1450</v>
      </c>
      <c r="AL38" t="s">
        <v>1092</v>
      </c>
      <c r="AN38" t="s">
        <v>1216</v>
      </c>
      <c r="AR38" t="s">
        <v>1145</v>
      </c>
      <c r="BE38" t="s">
        <v>1046</v>
      </c>
      <c r="BJ38" t="s">
        <v>909</v>
      </c>
    </row>
    <row r="39" spans="2:62" x14ac:dyDescent="0.25">
      <c r="B39" t="s">
        <v>1816</v>
      </c>
      <c r="E39" t="s">
        <v>1753</v>
      </c>
      <c r="N39" t="s">
        <v>1669</v>
      </c>
      <c r="S39" t="s">
        <v>1451</v>
      </c>
      <c r="AL39" t="s">
        <v>807</v>
      </c>
      <c r="AN39" t="s">
        <v>1217</v>
      </c>
      <c r="AR39" t="s">
        <v>1146</v>
      </c>
      <c r="BE39" t="s">
        <v>1047</v>
      </c>
      <c r="BJ39" t="s">
        <v>910</v>
      </c>
    </row>
    <row r="40" spans="2:62" x14ac:dyDescent="0.25">
      <c r="B40" t="s">
        <v>1364</v>
      </c>
      <c r="E40" t="s">
        <v>1754</v>
      </c>
      <c r="N40" t="s">
        <v>1093</v>
      </c>
      <c r="S40" t="s">
        <v>1452</v>
      </c>
      <c r="AL40" t="s">
        <v>901</v>
      </c>
      <c r="AN40" t="s">
        <v>1218</v>
      </c>
      <c r="AR40" t="s">
        <v>1093</v>
      </c>
      <c r="BE40" t="s">
        <v>1048</v>
      </c>
      <c r="BJ40" t="s">
        <v>911</v>
      </c>
    </row>
    <row r="41" spans="2:62" x14ac:dyDescent="0.25">
      <c r="B41" t="s">
        <v>887</v>
      </c>
      <c r="E41" t="s">
        <v>1755</v>
      </c>
      <c r="N41" t="s">
        <v>1670</v>
      </c>
      <c r="S41" t="s">
        <v>1453</v>
      </c>
      <c r="AL41" t="s">
        <v>1288</v>
      </c>
      <c r="AN41" t="s">
        <v>1219</v>
      </c>
      <c r="AR41" t="s">
        <v>807</v>
      </c>
      <c r="BE41" t="s">
        <v>1049</v>
      </c>
      <c r="BJ41" t="s">
        <v>912</v>
      </c>
    </row>
    <row r="42" spans="2:62" x14ac:dyDescent="0.25">
      <c r="B42" t="s">
        <v>1817</v>
      </c>
      <c r="E42" t="s">
        <v>1756</v>
      </c>
      <c r="N42" t="s">
        <v>1671</v>
      </c>
      <c r="S42" t="s">
        <v>1454</v>
      </c>
      <c r="AL42" t="s">
        <v>1270</v>
      </c>
      <c r="AN42" t="s">
        <v>1220</v>
      </c>
      <c r="AR42" t="s">
        <v>1147</v>
      </c>
      <c r="BE42" t="s">
        <v>1050</v>
      </c>
      <c r="BJ42" t="s">
        <v>913</v>
      </c>
    </row>
    <row r="43" spans="2:62" x14ac:dyDescent="0.25">
      <c r="B43" t="s">
        <v>1818</v>
      </c>
      <c r="E43" t="s">
        <v>1757</v>
      </c>
      <c r="N43" t="s">
        <v>1672</v>
      </c>
      <c r="S43" t="s">
        <v>1455</v>
      </c>
      <c r="AL43" t="s">
        <v>1271</v>
      </c>
      <c r="AN43" t="s">
        <v>1221</v>
      </c>
      <c r="AR43" t="s">
        <v>1148</v>
      </c>
      <c r="BE43" t="s">
        <v>1051</v>
      </c>
      <c r="BJ43" t="s">
        <v>914</v>
      </c>
    </row>
    <row r="44" spans="2:62" x14ac:dyDescent="0.25">
      <c r="B44" t="s">
        <v>1819</v>
      </c>
      <c r="E44" t="s">
        <v>1758</v>
      </c>
      <c r="N44" t="s">
        <v>1673</v>
      </c>
      <c r="S44" t="s">
        <v>1456</v>
      </c>
      <c r="AL44" t="s">
        <v>1289</v>
      </c>
      <c r="AN44" t="s">
        <v>967</v>
      </c>
      <c r="AR44" t="s">
        <v>1149</v>
      </c>
      <c r="BE44" t="s">
        <v>1052</v>
      </c>
      <c r="BJ44" t="s">
        <v>917</v>
      </c>
    </row>
    <row r="45" spans="2:62" x14ac:dyDescent="0.25">
      <c r="B45" t="s">
        <v>984</v>
      </c>
      <c r="E45" t="s">
        <v>1270</v>
      </c>
      <c r="N45" t="s">
        <v>1674</v>
      </c>
      <c r="S45" t="s">
        <v>1457</v>
      </c>
      <c r="AL45" t="s">
        <v>1226</v>
      </c>
      <c r="AN45" t="s">
        <v>1222</v>
      </c>
      <c r="AR45" t="s">
        <v>1150</v>
      </c>
      <c r="BE45" t="s">
        <v>769</v>
      </c>
      <c r="BJ45" t="s">
        <v>918</v>
      </c>
    </row>
    <row r="46" spans="2:62" x14ac:dyDescent="0.25">
      <c r="B46" t="s">
        <v>1490</v>
      </c>
      <c r="E46" t="s">
        <v>1759</v>
      </c>
      <c r="N46" t="s">
        <v>1571</v>
      </c>
      <c r="S46" t="s">
        <v>1458</v>
      </c>
      <c r="AL46" t="s">
        <v>1272</v>
      </c>
      <c r="AN46" t="s">
        <v>1223</v>
      </c>
      <c r="AR46" t="s">
        <v>1151</v>
      </c>
      <c r="BE46" t="s">
        <v>1053</v>
      </c>
      <c r="BJ46" t="s">
        <v>919</v>
      </c>
    </row>
    <row r="47" spans="2:62" x14ac:dyDescent="0.25">
      <c r="B47" t="s">
        <v>1820</v>
      </c>
      <c r="E47" t="s">
        <v>1760</v>
      </c>
      <c r="N47" t="s">
        <v>1151</v>
      </c>
      <c r="S47" t="s">
        <v>1459</v>
      </c>
      <c r="AL47" t="s">
        <v>1273</v>
      </c>
      <c r="AN47" t="s">
        <v>1224</v>
      </c>
      <c r="AR47" t="s">
        <v>1152</v>
      </c>
      <c r="BE47" s="9" t="s">
        <v>819</v>
      </c>
      <c r="BJ47" t="s">
        <v>920</v>
      </c>
    </row>
    <row r="48" spans="2:62" x14ac:dyDescent="0.25">
      <c r="B48" t="s">
        <v>1709</v>
      </c>
      <c r="E48" t="s">
        <v>1761</v>
      </c>
      <c r="N48" t="s">
        <v>1387</v>
      </c>
      <c r="S48" t="s">
        <v>1460</v>
      </c>
      <c r="AL48" t="s">
        <v>1274</v>
      </c>
      <c r="AN48" t="s">
        <v>1225</v>
      </c>
      <c r="AR48" t="s">
        <v>1153</v>
      </c>
      <c r="BE48" s="10" t="s">
        <v>820</v>
      </c>
      <c r="BJ48" t="s">
        <v>921</v>
      </c>
    </row>
    <row r="49" spans="2:62" x14ac:dyDescent="0.25">
      <c r="B49" t="s">
        <v>1098</v>
      </c>
      <c r="E49" t="s">
        <v>1762</v>
      </c>
      <c r="N49" t="s">
        <v>759</v>
      </c>
      <c r="S49" t="s">
        <v>1121</v>
      </c>
      <c r="AL49" t="s">
        <v>1275</v>
      </c>
      <c r="AN49" t="s">
        <v>1226</v>
      </c>
      <c r="AR49" t="s">
        <v>1154</v>
      </c>
      <c r="BJ49" t="s">
        <v>922</v>
      </c>
    </row>
    <row r="50" spans="2:62" x14ac:dyDescent="0.25">
      <c r="B50" t="s">
        <v>1135</v>
      </c>
      <c r="E50" t="s">
        <v>777</v>
      </c>
      <c r="N50" t="s">
        <v>1675</v>
      </c>
      <c r="S50" t="s">
        <v>1461</v>
      </c>
      <c r="AL50" t="s">
        <v>1276</v>
      </c>
      <c r="AN50" t="s">
        <v>1227</v>
      </c>
      <c r="AR50" t="s">
        <v>1155</v>
      </c>
      <c r="BJ50" t="s">
        <v>923</v>
      </c>
    </row>
    <row r="51" spans="2:62" x14ac:dyDescent="0.25">
      <c r="B51" t="s">
        <v>1821</v>
      </c>
      <c r="E51" t="s">
        <v>1763</v>
      </c>
      <c r="N51" t="s">
        <v>1676</v>
      </c>
      <c r="S51" t="s">
        <v>1462</v>
      </c>
      <c r="AL51" t="s">
        <v>1277</v>
      </c>
      <c r="AN51" t="s">
        <v>1228</v>
      </c>
      <c r="AR51" t="s">
        <v>1156</v>
      </c>
      <c r="BJ51" t="s">
        <v>924</v>
      </c>
    </row>
    <row r="52" spans="2:62" x14ac:dyDescent="0.25">
      <c r="B52" t="s">
        <v>1242</v>
      </c>
      <c r="E52" t="s">
        <v>1764</v>
      </c>
      <c r="N52" t="s">
        <v>1677</v>
      </c>
      <c r="S52" t="s">
        <v>1463</v>
      </c>
      <c r="AL52" t="s">
        <v>1278</v>
      </c>
      <c r="AN52" t="s">
        <v>1229</v>
      </c>
      <c r="AR52" t="s">
        <v>1157</v>
      </c>
      <c r="BJ52" s="9" t="s">
        <v>819</v>
      </c>
    </row>
    <row r="53" spans="2:62" x14ac:dyDescent="0.25">
      <c r="B53" t="s">
        <v>1822</v>
      </c>
      <c r="E53" t="s">
        <v>907</v>
      </c>
      <c r="N53" t="s">
        <v>1599</v>
      </c>
      <c r="S53" t="s">
        <v>1464</v>
      </c>
      <c r="AL53" t="s">
        <v>977</v>
      </c>
      <c r="AN53" t="s">
        <v>1230</v>
      </c>
      <c r="AR53" t="s">
        <v>1158</v>
      </c>
      <c r="BJ53" s="10" t="s">
        <v>820</v>
      </c>
    </row>
    <row r="54" spans="2:62" x14ac:dyDescent="0.25">
      <c r="B54" t="s">
        <v>1369</v>
      </c>
      <c r="E54" t="s">
        <v>1765</v>
      </c>
      <c r="N54" t="s">
        <v>1678</v>
      </c>
      <c r="S54" t="s">
        <v>1465</v>
      </c>
      <c r="AL54" t="s">
        <v>1279</v>
      </c>
      <c r="AN54" t="s">
        <v>912</v>
      </c>
      <c r="AR54" t="s">
        <v>774</v>
      </c>
    </row>
    <row r="55" spans="2:62" x14ac:dyDescent="0.25">
      <c r="B55" t="s">
        <v>1823</v>
      </c>
      <c r="E55" t="s">
        <v>1766</v>
      </c>
      <c r="N55" t="s">
        <v>1679</v>
      </c>
      <c r="S55" t="s">
        <v>1466</v>
      </c>
      <c r="AL55" t="s">
        <v>1280</v>
      </c>
      <c r="AN55" t="s">
        <v>1231</v>
      </c>
      <c r="AR55" t="s">
        <v>1159</v>
      </c>
    </row>
    <row r="56" spans="2:62" x14ac:dyDescent="0.25">
      <c r="B56" t="s">
        <v>1824</v>
      </c>
      <c r="E56" t="s">
        <v>1767</v>
      </c>
      <c r="N56" t="s">
        <v>977</v>
      </c>
      <c r="S56" t="s">
        <v>1360</v>
      </c>
      <c r="AL56" t="s">
        <v>785</v>
      </c>
      <c r="AN56" t="s">
        <v>1232</v>
      </c>
      <c r="AR56" t="s">
        <v>1160</v>
      </c>
    </row>
    <row r="57" spans="2:62" x14ac:dyDescent="0.25">
      <c r="B57" t="s">
        <v>1825</v>
      </c>
      <c r="E57" t="s">
        <v>1768</v>
      </c>
      <c r="N57" t="s">
        <v>1605</v>
      </c>
      <c r="S57" t="s">
        <v>1467</v>
      </c>
      <c r="AL57" t="s">
        <v>1233</v>
      </c>
      <c r="AN57" t="s">
        <v>1233</v>
      </c>
      <c r="AR57" t="s">
        <v>1161</v>
      </c>
    </row>
    <row r="58" spans="2:62" x14ac:dyDescent="0.25">
      <c r="B58" t="s">
        <v>1826</v>
      </c>
      <c r="E58" t="s">
        <v>1769</v>
      </c>
      <c r="N58" t="s">
        <v>1680</v>
      </c>
      <c r="S58" t="s">
        <v>1468</v>
      </c>
      <c r="AL58" t="s">
        <v>1234</v>
      </c>
      <c r="AN58" t="s">
        <v>1234</v>
      </c>
      <c r="AR58" t="s">
        <v>1162</v>
      </c>
    </row>
    <row r="59" spans="2:62" x14ac:dyDescent="0.25">
      <c r="B59" t="s">
        <v>1827</v>
      </c>
      <c r="E59" t="s">
        <v>1770</v>
      </c>
      <c r="N59" t="s">
        <v>1681</v>
      </c>
      <c r="S59" t="s">
        <v>1469</v>
      </c>
      <c r="AL59" t="s">
        <v>1235</v>
      </c>
      <c r="AN59" t="s">
        <v>1235</v>
      </c>
      <c r="AR59" t="s">
        <v>1163</v>
      </c>
    </row>
    <row r="60" spans="2:62" x14ac:dyDescent="0.25">
      <c r="B60" t="s">
        <v>1828</v>
      </c>
      <c r="E60" t="s">
        <v>1771</v>
      </c>
      <c r="N60" t="s">
        <v>1162</v>
      </c>
      <c r="S60" t="s">
        <v>1470</v>
      </c>
      <c r="AL60" t="s">
        <v>1236</v>
      </c>
      <c r="AN60" t="s">
        <v>1236</v>
      </c>
      <c r="AR60" t="s">
        <v>1164</v>
      </c>
    </row>
    <row r="61" spans="2:62" x14ac:dyDescent="0.25">
      <c r="B61" t="s">
        <v>805</v>
      </c>
      <c r="E61" t="s">
        <v>1772</v>
      </c>
      <c r="N61" t="s">
        <v>1180</v>
      </c>
      <c r="S61" t="s">
        <v>1471</v>
      </c>
      <c r="AL61" t="s">
        <v>1237</v>
      </c>
      <c r="AN61" t="s">
        <v>1237</v>
      </c>
      <c r="AR61" t="s">
        <v>1165</v>
      </c>
    </row>
    <row r="62" spans="2:62" x14ac:dyDescent="0.25">
      <c r="B62" t="s">
        <v>1829</v>
      </c>
      <c r="E62" t="s">
        <v>1773</v>
      </c>
      <c r="N62" t="s">
        <v>1682</v>
      </c>
      <c r="S62" t="s">
        <v>1024</v>
      </c>
      <c r="AL62" t="s">
        <v>1238</v>
      </c>
      <c r="AN62" t="s">
        <v>1238</v>
      </c>
      <c r="AR62" t="s">
        <v>1095</v>
      </c>
    </row>
    <row r="63" spans="2:62" x14ac:dyDescent="0.25">
      <c r="B63" t="s">
        <v>1830</v>
      </c>
      <c r="E63" t="s">
        <v>1774</v>
      </c>
      <c r="N63" t="s">
        <v>819</v>
      </c>
      <c r="S63" t="s">
        <v>1472</v>
      </c>
      <c r="AL63" t="s">
        <v>819</v>
      </c>
      <c r="AN63" t="s">
        <v>819</v>
      </c>
      <c r="AR63" t="s">
        <v>1011</v>
      </c>
    </row>
    <row r="64" spans="2:62" x14ac:dyDescent="0.25">
      <c r="B64" t="s">
        <v>1831</v>
      </c>
      <c r="E64" t="s">
        <v>819</v>
      </c>
      <c r="N64" t="s">
        <v>820</v>
      </c>
      <c r="S64" t="s">
        <v>1473</v>
      </c>
      <c r="AL64" t="s">
        <v>820</v>
      </c>
      <c r="AN64" t="s">
        <v>820</v>
      </c>
      <c r="AR64" t="s">
        <v>819</v>
      </c>
    </row>
    <row r="65" spans="2:74" x14ac:dyDescent="0.25">
      <c r="B65" t="s">
        <v>1033</v>
      </c>
      <c r="E65" t="s">
        <v>820</v>
      </c>
      <c r="S65" t="s">
        <v>1169</v>
      </c>
      <c r="AR65" t="s">
        <v>820</v>
      </c>
    </row>
    <row r="66" spans="2:74" x14ac:dyDescent="0.25">
      <c r="B66" t="s">
        <v>1832</v>
      </c>
      <c r="S66" t="s">
        <v>1474</v>
      </c>
    </row>
    <row r="67" spans="2:74" x14ac:dyDescent="0.25">
      <c r="B67" t="s">
        <v>1833</v>
      </c>
      <c r="S67" t="s">
        <v>1025</v>
      </c>
    </row>
    <row r="68" spans="2:74" x14ac:dyDescent="0.25">
      <c r="B68" t="s">
        <v>1834</v>
      </c>
      <c r="S68" t="s">
        <v>1475</v>
      </c>
    </row>
    <row r="69" spans="2:74" x14ac:dyDescent="0.25">
      <c r="B69" t="s">
        <v>1835</v>
      </c>
      <c r="S69" t="s">
        <v>1476</v>
      </c>
    </row>
    <row r="70" spans="2:74" x14ac:dyDescent="0.25">
      <c r="B70" t="s">
        <v>1836</v>
      </c>
      <c r="S70" t="s">
        <v>1477</v>
      </c>
    </row>
    <row r="71" spans="2:74" x14ac:dyDescent="0.25">
      <c r="B71" t="s">
        <v>1837</v>
      </c>
      <c r="S71" t="s">
        <v>1478</v>
      </c>
    </row>
    <row r="72" spans="2:74" x14ac:dyDescent="0.25">
      <c r="B72" t="s">
        <v>1838</v>
      </c>
      <c r="S72" t="s">
        <v>1479</v>
      </c>
    </row>
    <row r="73" spans="2:74" x14ac:dyDescent="0.25">
      <c r="B73" t="s">
        <v>758</v>
      </c>
      <c r="S73" t="s">
        <v>1364</v>
      </c>
    </row>
    <row r="74" spans="2:74" x14ac:dyDescent="0.25">
      <c r="B74" t="s">
        <v>1839</v>
      </c>
      <c r="S74" t="s">
        <v>884</v>
      </c>
      <c r="BH74" t="s">
        <v>799</v>
      </c>
      <c r="BI74" t="s">
        <v>608</v>
      </c>
      <c r="BJ74" t="s">
        <v>925</v>
      </c>
      <c r="BK74" t="s">
        <v>926</v>
      </c>
      <c r="BL74" t="s">
        <v>864</v>
      </c>
      <c r="BM74" t="s">
        <v>927</v>
      </c>
      <c r="BN74" t="s">
        <v>928</v>
      </c>
      <c r="BO74" t="s">
        <v>929</v>
      </c>
    </row>
    <row r="75" spans="2:74" x14ac:dyDescent="0.25">
      <c r="B75" t="s">
        <v>1840</v>
      </c>
      <c r="S75" t="s">
        <v>1480</v>
      </c>
      <c r="BH75" t="s">
        <v>799</v>
      </c>
      <c r="BI75" t="s">
        <v>608</v>
      </c>
      <c r="BJ75" t="s">
        <v>930</v>
      </c>
      <c r="BK75" t="s">
        <v>931</v>
      </c>
      <c r="BL75">
        <v>1933</v>
      </c>
      <c r="BM75" t="s">
        <v>928</v>
      </c>
    </row>
    <row r="76" spans="2:74" x14ac:dyDescent="0.25">
      <c r="B76" t="s">
        <v>1146</v>
      </c>
      <c r="S76" t="s">
        <v>887</v>
      </c>
    </row>
    <row r="77" spans="2:74" x14ac:dyDescent="0.25">
      <c r="B77" t="s">
        <v>1540</v>
      </c>
      <c r="S77" t="s">
        <v>1080</v>
      </c>
      <c r="BH77" t="s">
        <v>799</v>
      </c>
      <c r="BI77" t="s">
        <v>608</v>
      </c>
      <c r="BJ77" t="s">
        <v>932</v>
      </c>
      <c r="BK77" t="s">
        <v>915</v>
      </c>
      <c r="BL77" t="s">
        <v>864</v>
      </c>
      <c r="BM77" t="s">
        <v>933</v>
      </c>
      <c r="BN77" t="s">
        <v>934</v>
      </c>
      <c r="BO77" t="s">
        <v>935</v>
      </c>
      <c r="BP77" t="s">
        <v>936</v>
      </c>
      <c r="BQ77" t="s">
        <v>932</v>
      </c>
      <c r="BR77" t="s">
        <v>937</v>
      </c>
      <c r="BS77" t="s">
        <v>864</v>
      </c>
      <c r="BT77" t="s">
        <v>933</v>
      </c>
      <c r="BU77" t="s">
        <v>938</v>
      </c>
      <c r="BV77" t="s">
        <v>939</v>
      </c>
    </row>
    <row r="78" spans="2:74" x14ac:dyDescent="0.25">
      <c r="B78" t="s">
        <v>1543</v>
      </c>
      <c r="S78" t="s">
        <v>1481</v>
      </c>
      <c r="BH78" t="s">
        <v>799</v>
      </c>
      <c r="BI78" t="s">
        <v>608</v>
      </c>
      <c r="BJ78" t="s">
        <v>941</v>
      </c>
      <c r="BK78" t="s">
        <v>885</v>
      </c>
      <c r="BL78" t="s">
        <v>886</v>
      </c>
      <c r="BM78">
        <v>1886</v>
      </c>
      <c r="BN78" t="s">
        <v>935</v>
      </c>
      <c r="BO78" t="s">
        <v>608</v>
      </c>
      <c r="BP78" t="s">
        <v>884</v>
      </c>
      <c r="BQ78" t="s">
        <v>885</v>
      </c>
      <c r="BR78" t="s">
        <v>886</v>
      </c>
      <c r="BS78">
        <v>1886</v>
      </c>
      <c r="BT78" t="s">
        <v>942</v>
      </c>
    </row>
    <row r="79" spans="2:74" x14ac:dyDescent="0.25">
      <c r="B79" t="s">
        <v>1841</v>
      </c>
      <c r="S79" t="s">
        <v>1482</v>
      </c>
      <c r="BH79" t="s">
        <v>799</v>
      </c>
      <c r="BI79" t="s">
        <v>608</v>
      </c>
      <c r="BJ79" t="s">
        <v>943</v>
      </c>
      <c r="BK79" t="s">
        <v>915</v>
      </c>
      <c r="BL79" t="s">
        <v>864</v>
      </c>
      <c r="BM79" t="s">
        <v>933</v>
      </c>
      <c r="BN79" t="s">
        <v>934</v>
      </c>
      <c r="BO79" t="s">
        <v>935</v>
      </c>
      <c r="BP79" t="s">
        <v>936</v>
      </c>
      <c r="BQ79" t="s">
        <v>943</v>
      </c>
      <c r="BR79" t="s">
        <v>937</v>
      </c>
      <c r="BS79" t="s">
        <v>864</v>
      </c>
      <c r="BT79" t="s">
        <v>933</v>
      </c>
      <c r="BU79" t="s">
        <v>938</v>
      </c>
      <c r="BV79" t="s">
        <v>939</v>
      </c>
    </row>
    <row r="80" spans="2:74" x14ac:dyDescent="0.25">
      <c r="B80" t="s">
        <v>1842</v>
      </c>
      <c r="S80" t="s">
        <v>1483</v>
      </c>
      <c r="BH80" t="s">
        <v>799</v>
      </c>
      <c r="BI80" t="s">
        <v>608</v>
      </c>
      <c r="BJ80" t="s">
        <v>944</v>
      </c>
      <c r="BK80" t="s">
        <v>872</v>
      </c>
      <c r="BL80">
        <v>1968</v>
      </c>
      <c r="BM80" t="s">
        <v>934</v>
      </c>
      <c r="BN80" t="s">
        <v>587</v>
      </c>
      <c r="BO80" t="s">
        <v>945</v>
      </c>
      <c r="BP80" t="s">
        <v>866</v>
      </c>
      <c r="BQ80">
        <v>1966</v>
      </c>
      <c r="BR80" t="s">
        <v>942</v>
      </c>
    </row>
    <row r="81" spans="2:74" x14ac:dyDescent="0.25">
      <c r="B81" t="s">
        <v>1843</v>
      </c>
      <c r="S81" t="s">
        <v>1484</v>
      </c>
      <c r="BH81" t="s">
        <v>799</v>
      </c>
      <c r="BI81" t="s">
        <v>608</v>
      </c>
      <c r="BJ81" t="s">
        <v>946</v>
      </c>
      <c r="BK81" t="s">
        <v>908</v>
      </c>
      <c r="BL81">
        <v>1905</v>
      </c>
      <c r="BM81" t="s">
        <v>934</v>
      </c>
      <c r="BN81" t="s">
        <v>608</v>
      </c>
      <c r="BO81" t="s">
        <v>892</v>
      </c>
      <c r="BP81" t="s">
        <v>825</v>
      </c>
      <c r="BQ81" t="s">
        <v>864</v>
      </c>
      <c r="BR81" t="s">
        <v>826</v>
      </c>
      <c r="BS81" t="s">
        <v>893</v>
      </c>
      <c r="BT81" t="s">
        <v>942</v>
      </c>
    </row>
    <row r="82" spans="2:74" x14ac:dyDescent="0.25">
      <c r="B82" t="s">
        <v>1844</v>
      </c>
      <c r="S82" t="s">
        <v>1485</v>
      </c>
      <c r="BH82" t="s">
        <v>799</v>
      </c>
      <c r="BI82" t="s">
        <v>608</v>
      </c>
      <c r="BJ82" t="s">
        <v>947</v>
      </c>
      <c r="BK82" t="s">
        <v>948</v>
      </c>
      <c r="BL82">
        <v>1970</v>
      </c>
      <c r="BM82" t="s">
        <v>934</v>
      </c>
      <c r="BN82" t="s">
        <v>608</v>
      </c>
      <c r="BO82" t="s">
        <v>922</v>
      </c>
      <c r="BP82" t="s">
        <v>885</v>
      </c>
      <c r="BQ82" t="s">
        <v>886</v>
      </c>
      <c r="BR82">
        <v>1886</v>
      </c>
      <c r="BS82" t="s">
        <v>942</v>
      </c>
    </row>
    <row r="83" spans="2:74" x14ac:dyDescent="0.25">
      <c r="B83" t="s">
        <v>1548</v>
      </c>
      <c r="S83" t="s">
        <v>1486</v>
      </c>
      <c r="BH83" t="s">
        <v>799</v>
      </c>
      <c r="BI83" t="s">
        <v>608</v>
      </c>
      <c r="BJ83" t="s">
        <v>949</v>
      </c>
      <c r="BK83" t="s">
        <v>908</v>
      </c>
      <c r="BL83">
        <v>1905</v>
      </c>
      <c r="BM83" t="s">
        <v>934</v>
      </c>
      <c r="BN83" t="s">
        <v>950</v>
      </c>
      <c r="BO83" t="s">
        <v>949</v>
      </c>
      <c r="BP83" t="s">
        <v>908</v>
      </c>
      <c r="BQ83">
        <v>1905</v>
      </c>
      <c r="BR83" t="s">
        <v>934</v>
      </c>
      <c r="BS83" t="s">
        <v>935</v>
      </c>
      <c r="BT83" t="s">
        <v>950</v>
      </c>
      <c r="BU83" t="s">
        <v>941</v>
      </c>
      <c r="BV83" t="s">
        <v>885</v>
      </c>
    </row>
    <row r="84" spans="2:74" x14ac:dyDescent="0.25">
      <c r="B84" t="s">
        <v>1845</v>
      </c>
      <c r="S84" t="s">
        <v>1487</v>
      </c>
      <c r="BH84" t="s">
        <v>799</v>
      </c>
      <c r="BI84" t="s">
        <v>608</v>
      </c>
      <c r="BJ84" t="s">
        <v>951</v>
      </c>
      <c r="BK84" t="s">
        <v>915</v>
      </c>
      <c r="BL84" t="s">
        <v>864</v>
      </c>
      <c r="BM84" t="s">
        <v>916</v>
      </c>
      <c r="BN84" t="s">
        <v>934</v>
      </c>
      <c r="BO84" t="s">
        <v>935</v>
      </c>
      <c r="BP84" t="s">
        <v>608</v>
      </c>
      <c r="BQ84" t="s">
        <v>907</v>
      </c>
      <c r="BR84" t="s">
        <v>908</v>
      </c>
      <c r="BS84">
        <v>1903</v>
      </c>
      <c r="BT84" t="s">
        <v>942</v>
      </c>
    </row>
    <row r="85" spans="2:74" x14ac:dyDescent="0.25">
      <c r="B85" t="s">
        <v>1721</v>
      </c>
      <c r="S85" t="s">
        <v>1304</v>
      </c>
      <c r="BH85" t="s">
        <v>799</v>
      </c>
      <c r="BI85" t="s">
        <v>608</v>
      </c>
      <c r="BJ85" t="s">
        <v>952</v>
      </c>
      <c r="BK85" t="s">
        <v>866</v>
      </c>
      <c r="BL85">
        <v>1946</v>
      </c>
      <c r="BM85" t="s">
        <v>934</v>
      </c>
      <c r="BN85" t="s">
        <v>608</v>
      </c>
      <c r="BO85" t="s">
        <v>922</v>
      </c>
      <c r="BP85" t="s">
        <v>885</v>
      </c>
      <c r="BQ85" t="s">
        <v>886</v>
      </c>
      <c r="BR85">
        <v>1886</v>
      </c>
      <c r="BS85" t="s">
        <v>942</v>
      </c>
    </row>
    <row r="86" spans="2:74" x14ac:dyDescent="0.25">
      <c r="B86" t="s">
        <v>1846</v>
      </c>
      <c r="S86" t="s">
        <v>984</v>
      </c>
      <c r="BH86" t="s">
        <v>799</v>
      </c>
      <c r="BI86" t="s">
        <v>608</v>
      </c>
      <c r="BJ86" t="s">
        <v>953</v>
      </c>
      <c r="BK86" t="s">
        <v>874</v>
      </c>
      <c r="BL86">
        <v>1896</v>
      </c>
      <c r="BM86" t="s">
        <v>934</v>
      </c>
      <c r="BN86" t="s">
        <v>608</v>
      </c>
      <c r="BO86" t="s">
        <v>922</v>
      </c>
      <c r="BP86" t="s">
        <v>885</v>
      </c>
      <c r="BQ86" t="s">
        <v>886</v>
      </c>
      <c r="BR86">
        <v>1886</v>
      </c>
      <c r="BS86" t="s">
        <v>942</v>
      </c>
    </row>
    <row r="87" spans="2:74" x14ac:dyDescent="0.25">
      <c r="B87" t="s">
        <v>1561</v>
      </c>
      <c r="S87" t="s">
        <v>1488</v>
      </c>
      <c r="BH87" t="s">
        <v>799</v>
      </c>
      <c r="BI87" t="s">
        <v>608</v>
      </c>
      <c r="BJ87" t="s">
        <v>954</v>
      </c>
      <c r="BK87" t="s">
        <v>874</v>
      </c>
      <c r="BL87">
        <v>1896</v>
      </c>
      <c r="BM87" t="s">
        <v>934</v>
      </c>
      <c r="BN87" t="s">
        <v>608</v>
      </c>
      <c r="BO87" t="s">
        <v>922</v>
      </c>
      <c r="BP87" t="s">
        <v>885</v>
      </c>
      <c r="BQ87" t="s">
        <v>886</v>
      </c>
      <c r="BR87">
        <v>1886</v>
      </c>
      <c r="BS87" t="s">
        <v>942</v>
      </c>
    </row>
    <row r="88" spans="2:74" x14ac:dyDescent="0.25">
      <c r="B88" t="s">
        <v>1847</v>
      </c>
      <c r="S88" t="s">
        <v>1489</v>
      </c>
      <c r="BH88" t="s">
        <v>799</v>
      </c>
      <c r="BI88" t="s">
        <v>608</v>
      </c>
      <c r="BJ88" t="s">
        <v>955</v>
      </c>
      <c r="BK88" t="s">
        <v>866</v>
      </c>
      <c r="BL88">
        <v>1966</v>
      </c>
      <c r="BM88" t="s">
        <v>934</v>
      </c>
      <c r="BN88" t="s">
        <v>608</v>
      </c>
      <c r="BO88" t="s">
        <v>882</v>
      </c>
      <c r="BP88" t="s">
        <v>866</v>
      </c>
      <c r="BQ88">
        <v>1946</v>
      </c>
      <c r="BR88" t="s">
        <v>942</v>
      </c>
    </row>
    <row r="89" spans="2:74" x14ac:dyDescent="0.25">
      <c r="B89" t="s">
        <v>1848</v>
      </c>
      <c r="S89" t="s">
        <v>1490</v>
      </c>
      <c r="BH89" t="s">
        <v>799</v>
      </c>
      <c r="BI89" t="s">
        <v>608</v>
      </c>
      <c r="BJ89" t="s">
        <v>956</v>
      </c>
      <c r="BK89" t="s">
        <v>957</v>
      </c>
      <c r="BL89">
        <v>1903</v>
      </c>
      <c r="BM89" t="s">
        <v>934</v>
      </c>
      <c r="BN89" t="s">
        <v>608</v>
      </c>
      <c r="BO89" t="s">
        <v>892</v>
      </c>
      <c r="BP89" t="s">
        <v>825</v>
      </c>
      <c r="BQ89" t="s">
        <v>864</v>
      </c>
      <c r="BR89" t="s">
        <v>826</v>
      </c>
      <c r="BS89" t="s">
        <v>893</v>
      </c>
      <c r="BT89" t="s">
        <v>942</v>
      </c>
    </row>
    <row r="90" spans="2:74" x14ac:dyDescent="0.25">
      <c r="B90" t="s">
        <v>1849</v>
      </c>
      <c r="S90" t="s">
        <v>1305</v>
      </c>
      <c r="BH90" t="s">
        <v>799</v>
      </c>
      <c r="BI90" t="s">
        <v>608</v>
      </c>
      <c r="BJ90" t="s">
        <v>958</v>
      </c>
      <c r="BK90" t="s">
        <v>872</v>
      </c>
      <c r="BL90">
        <v>1974</v>
      </c>
      <c r="BM90" t="s">
        <v>934</v>
      </c>
      <c r="BN90" t="s">
        <v>608</v>
      </c>
      <c r="BO90" t="s">
        <v>882</v>
      </c>
      <c r="BP90" t="s">
        <v>866</v>
      </c>
      <c r="BQ90">
        <v>1946</v>
      </c>
      <c r="BR90" t="s">
        <v>942</v>
      </c>
    </row>
    <row r="91" spans="2:74" x14ac:dyDescent="0.25">
      <c r="B91" t="s">
        <v>1850</v>
      </c>
      <c r="S91" t="s">
        <v>764</v>
      </c>
      <c r="BH91" t="s">
        <v>799</v>
      </c>
      <c r="BI91" t="s">
        <v>608</v>
      </c>
      <c r="BJ91" t="s">
        <v>959</v>
      </c>
      <c r="BK91" t="s">
        <v>828</v>
      </c>
      <c r="BL91">
        <v>1834</v>
      </c>
      <c r="BM91" t="s">
        <v>934</v>
      </c>
      <c r="BN91" t="s">
        <v>608</v>
      </c>
      <c r="BO91" t="s">
        <v>884</v>
      </c>
      <c r="BP91" t="s">
        <v>885</v>
      </c>
      <c r="BQ91" t="s">
        <v>886</v>
      </c>
      <c r="BR91">
        <v>1886</v>
      </c>
      <c r="BS91" t="s">
        <v>942</v>
      </c>
    </row>
    <row r="92" spans="2:74" x14ac:dyDescent="0.25">
      <c r="B92" t="s">
        <v>1851</v>
      </c>
      <c r="S92" t="s">
        <v>1491</v>
      </c>
      <c r="BH92" t="s">
        <v>799</v>
      </c>
      <c r="BI92" t="s">
        <v>608</v>
      </c>
      <c r="BJ92" t="s">
        <v>960</v>
      </c>
      <c r="BK92" t="s">
        <v>866</v>
      </c>
      <c r="BL92">
        <v>1970</v>
      </c>
      <c r="BM92" t="s">
        <v>934</v>
      </c>
      <c r="BN92" t="s">
        <v>608</v>
      </c>
      <c r="BO92" t="s">
        <v>922</v>
      </c>
      <c r="BP92" t="s">
        <v>885</v>
      </c>
      <c r="BQ92" t="s">
        <v>886</v>
      </c>
      <c r="BR92">
        <v>1886</v>
      </c>
      <c r="BS92" t="s">
        <v>942</v>
      </c>
    </row>
    <row r="93" spans="2:74" x14ac:dyDescent="0.25">
      <c r="B93" t="s">
        <v>1852</v>
      </c>
      <c r="S93" t="s">
        <v>1492</v>
      </c>
      <c r="BH93" t="s">
        <v>799</v>
      </c>
      <c r="BI93" t="s">
        <v>608</v>
      </c>
      <c r="BJ93" t="s">
        <v>961</v>
      </c>
      <c r="BK93" t="s">
        <v>866</v>
      </c>
      <c r="BL93">
        <v>1946</v>
      </c>
      <c r="BM93" t="s">
        <v>934</v>
      </c>
      <c r="BN93" t="s">
        <v>608</v>
      </c>
      <c r="BO93" t="s">
        <v>884</v>
      </c>
      <c r="BP93" t="s">
        <v>885</v>
      </c>
      <c r="BQ93" t="s">
        <v>886</v>
      </c>
      <c r="BR93">
        <v>1886</v>
      </c>
      <c r="BS93" t="s">
        <v>942</v>
      </c>
    </row>
    <row r="94" spans="2:74" x14ac:dyDescent="0.25">
      <c r="B94" t="s">
        <v>1853</v>
      </c>
      <c r="S94" t="s">
        <v>1493</v>
      </c>
      <c r="BH94" t="s">
        <v>799</v>
      </c>
      <c r="BI94" t="s">
        <v>608</v>
      </c>
      <c r="BJ94" t="s">
        <v>962</v>
      </c>
      <c r="BK94" t="s">
        <v>931</v>
      </c>
      <c r="BL94">
        <v>1932</v>
      </c>
      <c r="BM94" t="s">
        <v>934</v>
      </c>
      <c r="BN94" t="s">
        <v>608</v>
      </c>
      <c r="BO94" t="s">
        <v>884</v>
      </c>
      <c r="BP94" t="s">
        <v>885</v>
      </c>
      <c r="BQ94" t="s">
        <v>886</v>
      </c>
      <c r="BR94">
        <v>1886</v>
      </c>
      <c r="BS94" t="s">
        <v>942</v>
      </c>
    </row>
    <row r="95" spans="2:74" x14ac:dyDescent="0.25">
      <c r="B95" t="s">
        <v>1854</v>
      </c>
      <c r="S95" t="s">
        <v>849</v>
      </c>
      <c r="BH95" t="s">
        <v>799</v>
      </c>
      <c r="BI95" t="s">
        <v>608</v>
      </c>
      <c r="BJ95" t="s">
        <v>963</v>
      </c>
      <c r="BK95" t="s">
        <v>964</v>
      </c>
      <c r="BL95">
        <v>1908</v>
      </c>
      <c r="BM95" t="s">
        <v>934</v>
      </c>
      <c r="BN95" t="s">
        <v>608</v>
      </c>
      <c r="BO95" t="s">
        <v>922</v>
      </c>
      <c r="BP95" t="s">
        <v>885</v>
      </c>
      <c r="BQ95" t="s">
        <v>886</v>
      </c>
      <c r="BR95">
        <v>1886</v>
      </c>
      <c r="BS95" t="s">
        <v>942</v>
      </c>
    </row>
    <row r="96" spans="2:74" x14ac:dyDescent="0.25">
      <c r="B96" t="s">
        <v>1855</v>
      </c>
      <c r="S96" t="s">
        <v>1494</v>
      </c>
      <c r="BH96" t="s">
        <v>799</v>
      </c>
      <c r="BI96" t="s">
        <v>608</v>
      </c>
      <c r="BJ96" t="s">
        <v>965</v>
      </c>
      <c r="BK96" t="s">
        <v>874</v>
      </c>
      <c r="BL96">
        <v>1896</v>
      </c>
      <c r="BM96" t="s">
        <v>934</v>
      </c>
      <c r="BN96" t="s">
        <v>608</v>
      </c>
      <c r="BO96" t="s">
        <v>873</v>
      </c>
      <c r="BP96" t="s">
        <v>874</v>
      </c>
      <c r="BQ96">
        <v>1896</v>
      </c>
      <c r="BR96" t="s">
        <v>942</v>
      </c>
    </row>
    <row r="97" spans="2:74" x14ac:dyDescent="0.25">
      <c r="B97" t="s">
        <v>1571</v>
      </c>
      <c r="S97" t="s">
        <v>1495</v>
      </c>
      <c r="BH97" t="s">
        <v>799</v>
      </c>
      <c r="BI97" t="s">
        <v>608</v>
      </c>
      <c r="BJ97" t="s">
        <v>966</v>
      </c>
      <c r="BK97" t="s">
        <v>866</v>
      </c>
      <c r="BL97">
        <v>1958</v>
      </c>
      <c r="BM97" t="s">
        <v>934</v>
      </c>
      <c r="BN97" t="s">
        <v>608</v>
      </c>
      <c r="BO97" t="s">
        <v>878</v>
      </c>
      <c r="BP97" t="s">
        <v>866</v>
      </c>
      <c r="BQ97">
        <v>1946</v>
      </c>
      <c r="BR97" t="s">
        <v>942</v>
      </c>
    </row>
    <row r="98" spans="2:74" x14ac:dyDescent="0.25">
      <c r="B98" t="s">
        <v>1856</v>
      </c>
      <c r="S98" t="s">
        <v>1496</v>
      </c>
      <c r="BH98" t="s">
        <v>799</v>
      </c>
      <c r="BI98" t="s">
        <v>608</v>
      </c>
      <c r="BJ98" t="s">
        <v>967</v>
      </c>
      <c r="BK98" t="s">
        <v>866</v>
      </c>
      <c r="BL98">
        <v>1970</v>
      </c>
      <c r="BM98" t="s">
        <v>934</v>
      </c>
      <c r="BN98" t="s">
        <v>587</v>
      </c>
      <c r="BO98" t="s">
        <v>967</v>
      </c>
      <c r="BP98" t="s">
        <v>905</v>
      </c>
      <c r="BQ98" t="s">
        <v>968</v>
      </c>
      <c r="BR98" t="s">
        <v>939</v>
      </c>
      <c r="BS98" t="s">
        <v>940</v>
      </c>
    </row>
    <row r="99" spans="2:74" x14ac:dyDescent="0.25">
      <c r="B99" t="s">
        <v>1582</v>
      </c>
      <c r="S99" t="s">
        <v>1497</v>
      </c>
      <c r="BH99" t="s">
        <v>799</v>
      </c>
      <c r="BI99" t="s">
        <v>608</v>
      </c>
      <c r="BJ99" t="s">
        <v>969</v>
      </c>
      <c r="BK99" t="s">
        <v>931</v>
      </c>
      <c r="BL99">
        <v>1932</v>
      </c>
      <c r="BM99" t="s">
        <v>934</v>
      </c>
      <c r="BN99" t="s">
        <v>608</v>
      </c>
      <c r="BO99" t="s">
        <v>880</v>
      </c>
      <c r="BP99" t="s">
        <v>881</v>
      </c>
      <c r="BQ99">
        <v>1919</v>
      </c>
      <c r="BR99" t="s">
        <v>942</v>
      </c>
    </row>
    <row r="100" spans="2:74" x14ac:dyDescent="0.25">
      <c r="B100" t="s">
        <v>1244</v>
      </c>
      <c r="S100" t="s">
        <v>1498</v>
      </c>
      <c r="BH100" t="s">
        <v>799</v>
      </c>
      <c r="BI100" t="s">
        <v>608</v>
      </c>
      <c r="BJ100" t="s">
        <v>970</v>
      </c>
      <c r="BK100" t="s">
        <v>971</v>
      </c>
      <c r="BL100" t="s">
        <v>864</v>
      </c>
      <c r="BM100" t="s">
        <v>972</v>
      </c>
      <c r="BN100" t="s">
        <v>934</v>
      </c>
      <c r="BO100" t="s">
        <v>935</v>
      </c>
      <c r="BP100" t="s">
        <v>936</v>
      </c>
      <c r="BQ100" t="s">
        <v>973</v>
      </c>
      <c r="BR100" t="s">
        <v>974</v>
      </c>
      <c r="BS100" t="s">
        <v>864</v>
      </c>
      <c r="BT100" t="s">
        <v>972</v>
      </c>
      <c r="BU100" t="s">
        <v>975</v>
      </c>
      <c r="BV100" t="s">
        <v>939</v>
      </c>
    </row>
    <row r="101" spans="2:74" x14ac:dyDescent="0.25">
      <c r="B101" t="s">
        <v>1857</v>
      </c>
      <c r="S101" t="s">
        <v>1499</v>
      </c>
      <c r="BH101" t="s">
        <v>799</v>
      </c>
      <c r="BI101" t="s">
        <v>608</v>
      </c>
      <c r="BJ101" t="s">
        <v>976</v>
      </c>
      <c r="BK101" t="s">
        <v>874</v>
      </c>
      <c r="BL101">
        <v>1896</v>
      </c>
      <c r="BM101" t="s">
        <v>934</v>
      </c>
      <c r="BN101" t="s">
        <v>608</v>
      </c>
      <c r="BO101" t="s">
        <v>884</v>
      </c>
      <c r="BP101" t="s">
        <v>885</v>
      </c>
      <c r="BQ101" t="s">
        <v>886</v>
      </c>
      <c r="BR101">
        <v>1886</v>
      </c>
      <c r="BS101" t="s">
        <v>942</v>
      </c>
    </row>
    <row r="102" spans="2:74" x14ac:dyDescent="0.25">
      <c r="B102" t="s">
        <v>1858</v>
      </c>
      <c r="S102" t="s">
        <v>1500</v>
      </c>
      <c r="BH102" t="s">
        <v>799</v>
      </c>
      <c r="BI102" t="s">
        <v>608</v>
      </c>
      <c r="BJ102" t="s">
        <v>977</v>
      </c>
      <c r="BK102" t="s">
        <v>908</v>
      </c>
      <c r="BL102">
        <v>1903</v>
      </c>
      <c r="BM102" t="s">
        <v>934</v>
      </c>
      <c r="BN102" t="s">
        <v>608</v>
      </c>
      <c r="BO102" t="s">
        <v>892</v>
      </c>
      <c r="BP102" t="s">
        <v>825</v>
      </c>
      <c r="BQ102" t="s">
        <v>864</v>
      </c>
      <c r="BR102" t="s">
        <v>826</v>
      </c>
      <c r="BS102" t="s">
        <v>893</v>
      </c>
      <c r="BT102" t="s">
        <v>942</v>
      </c>
    </row>
    <row r="103" spans="2:74" x14ac:dyDescent="0.25">
      <c r="B103" t="s">
        <v>1388</v>
      </c>
      <c r="S103" t="s">
        <v>895</v>
      </c>
      <c r="BH103" t="s">
        <v>799</v>
      </c>
      <c r="BI103" t="s">
        <v>608</v>
      </c>
      <c r="BJ103" t="s">
        <v>978</v>
      </c>
      <c r="BK103" t="s">
        <v>979</v>
      </c>
      <c r="BL103">
        <v>1900</v>
      </c>
      <c r="BM103" t="s">
        <v>934</v>
      </c>
      <c r="BN103" t="s">
        <v>936</v>
      </c>
      <c r="BO103" t="s">
        <v>980</v>
      </c>
      <c r="BP103" t="s">
        <v>981</v>
      </c>
      <c r="BQ103" t="s">
        <v>982</v>
      </c>
      <c r="BR103" t="s">
        <v>934</v>
      </c>
      <c r="BS103" t="s">
        <v>935</v>
      </c>
      <c r="BT103" t="s">
        <v>983</v>
      </c>
      <c r="BU103" t="s">
        <v>978</v>
      </c>
      <c r="BV103" t="s">
        <v>981</v>
      </c>
    </row>
    <row r="104" spans="2:74" x14ac:dyDescent="0.25">
      <c r="B104" t="s">
        <v>1859</v>
      </c>
      <c r="S104" t="s">
        <v>1501</v>
      </c>
    </row>
    <row r="105" spans="2:74" x14ac:dyDescent="0.25">
      <c r="B105" t="s">
        <v>1860</v>
      </c>
      <c r="S105" t="s">
        <v>1502</v>
      </c>
    </row>
    <row r="106" spans="2:74" x14ac:dyDescent="0.25">
      <c r="B106" t="s">
        <v>1861</v>
      </c>
      <c r="S106" t="s">
        <v>1503</v>
      </c>
    </row>
    <row r="107" spans="2:74" x14ac:dyDescent="0.25">
      <c r="B107" t="s">
        <v>1862</v>
      </c>
      <c r="S107" t="s">
        <v>1504</v>
      </c>
    </row>
    <row r="108" spans="2:74" x14ac:dyDescent="0.25">
      <c r="B108" t="s">
        <v>1863</v>
      </c>
      <c r="S108" t="s">
        <v>1505</v>
      </c>
    </row>
    <row r="109" spans="2:74" x14ac:dyDescent="0.25">
      <c r="B109" t="s">
        <v>1864</v>
      </c>
      <c r="S109" t="s">
        <v>1506</v>
      </c>
    </row>
    <row r="110" spans="2:74" x14ac:dyDescent="0.25">
      <c r="B110" t="s">
        <v>1865</v>
      </c>
      <c r="S110" t="s">
        <v>1507</v>
      </c>
    </row>
    <row r="111" spans="2:74" x14ac:dyDescent="0.25">
      <c r="B111" t="s">
        <v>1064</v>
      </c>
      <c r="S111" t="s">
        <v>1508</v>
      </c>
    </row>
    <row r="112" spans="2:74" x14ac:dyDescent="0.25">
      <c r="B112" t="s">
        <v>1866</v>
      </c>
      <c r="S112" t="s">
        <v>1509</v>
      </c>
    </row>
    <row r="113" spans="2:19" x14ac:dyDescent="0.25">
      <c r="B113" t="s">
        <v>1867</v>
      </c>
      <c r="S113" t="s">
        <v>1137</v>
      </c>
    </row>
    <row r="114" spans="2:19" x14ac:dyDescent="0.25">
      <c r="B114" t="s">
        <v>1868</v>
      </c>
      <c r="S114" t="s">
        <v>1510</v>
      </c>
    </row>
    <row r="115" spans="2:19" x14ac:dyDescent="0.25">
      <c r="B115" t="s">
        <v>1869</v>
      </c>
      <c r="S115" t="s">
        <v>1511</v>
      </c>
    </row>
    <row r="116" spans="2:19" x14ac:dyDescent="0.25">
      <c r="B116" t="s">
        <v>1177</v>
      </c>
      <c r="S116" t="s">
        <v>1512</v>
      </c>
    </row>
    <row r="117" spans="2:19" x14ac:dyDescent="0.25">
      <c r="B117" t="s">
        <v>1870</v>
      </c>
      <c r="S117" t="s">
        <v>1513</v>
      </c>
    </row>
    <row r="118" spans="2:19" x14ac:dyDescent="0.25">
      <c r="B118" t="s">
        <v>1160</v>
      </c>
      <c r="S118" t="s">
        <v>1514</v>
      </c>
    </row>
    <row r="119" spans="2:19" x14ac:dyDescent="0.25">
      <c r="B119" t="s">
        <v>1871</v>
      </c>
      <c r="S119" t="s">
        <v>1515</v>
      </c>
    </row>
    <row r="120" spans="2:19" x14ac:dyDescent="0.25">
      <c r="B120" t="s">
        <v>781</v>
      </c>
      <c r="S120" t="s">
        <v>1516</v>
      </c>
    </row>
    <row r="121" spans="2:19" x14ac:dyDescent="0.25">
      <c r="B121" t="s">
        <v>1872</v>
      </c>
      <c r="S121" t="s">
        <v>805</v>
      </c>
    </row>
    <row r="122" spans="2:19" x14ac:dyDescent="0.25">
      <c r="B122" t="s">
        <v>1873</v>
      </c>
      <c r="S122" t="s">
        <v>745</v>
      </c>
    </row>
    <row r="123" spans="2:19" x14ac:dyDescent="0.25">
      <c r="B123" t="s">
        <v>1874</v>
      </c>
      <c r="S123" t="s">
        <v>1517</v>
      </c>
    </row>
    <row r="124" spans="2:19" x14ac:dyDescent="0.25">
      <c r="B124" t="s">
        <v>1875</v>
      </c>
      <c r="S124" t="s">
        <v>1370</v>
      </c>
    </row>
    <row r="125" spans="2:19" x14ac:dyDescent="0.25">
      <c r="B125" t="s">
        <v>1178</v>
      </c>
      <c r="S125" t="s">
        <v>1518</v>
      </c>
    </row>
    <row r="126" spans="2:19" x14ac:dyDescent="0.25">
      <c r="B126" t="s">
        <v>977</v>
      </c>
      <c r="S126" t="s">
        <v>1519</v>
      </c>
    </row>
    <row r="127" spans="2:19" x14ac:dyDescent="0.25">
      <c r="B127" t="s">
        <v>782</v>
      </c>
      <c r="S127" t="s">
        <v>1520</v>
      </c>
    </row>
    <row r="128" spans="2:19" x14ac:dyDescent="0.25">
      <c r="B128" t="s">
        <v>1876</v>
      </c>
      <c r="S128" t="s">
        <v>1521</v>
      </c>
    </row>
    <row r="129" spans="2:19" x14ac:dyDescent="0.25">
      <c r="B129" t="s">
        <v>1877</v>
      </c>
      <c r="S129" t="s">
        <v>990</v>
      </c>
    </row>
    <row r="130" spans="2:19" x14ac:dyDescent="0.25">
      <c r="B130" t="s">
        <v>1161</v>
      </c>
      <c r="S130" t="s">
        <v>1522</v>
      </c>
    </row>
    <row r="131" spans="2:19" x14ac:dyDescent="0.25">
      <c r="B131" t="s">
        <v>1687</v>
      </c>
      <c r="S131" t="s">
        <v>1523</v>
      </c>
    </row>
    <row r="132" spans="2:19" x14ac:dyDescent="0.25">
      <c r="B132" t="s">
        <v>1878</v>
      </c>
      <c r="S132" t="s">
        <v>1524</v>
      </c>
    </row>
    <row r="133" spans="2:19" x14ac:dyDescent="0.25">
      <c r="B133" t="s">
        <v>1879</v>
      </c>
      <c r="S133" t="s">
        <v>1036</v>
      </c>
    </row>
    <row r="134" spans="2:19" x14ac:dyDescent="0.25">
      <c r="B134" t="s">
        <v>1381</v>
      </c>
      <c r="S134" t="s">
        <v>1525</v>
      </c>
    </row>
    <row r="135" spans="2:19" x14ac:dyDescent="0.25">
      <c r="B135" t="s">
        <v>1682</v>
      </c>
      <c r="S135" t="s">
        <v>1526</v>
      </c>
    </row>
    <row r="136" spans="2:19" x14ac:dyDescent="0.25">
      <c r="B136" t="s">
        <v>1053</v>
      </c>
      <c r="S136" t="s">
        <v>1527</v>
      </c>
    </row>
    <row r="137" spans="2:19" x14ac:dyDescent="0.25">
      <c r="B137" t="s">
        <v>1880</v>
      </c>
      <c r="S137" t="s">
        <v>1528</v>
      </c>
    </row>
    <row r="138" spans="2:19" x14ac:dyDescent="0.25">
      <c r="B138" t="s">
        <v>1881</v>
      </c>
      <c r="S138" t="s">
        <v>1529</v>
      </c>
    </row>
    <row r="139" spans="2:19" x14ac:dyDescent="0.25">
      <c r="B139" t="s">
        <v>1882</v>
      </c>
      <c r="S139" t="s">
        <v>1530</v>
      </c>
    </row>
    <row r="140" spans="2:19" x14ac:dyDescent="0.25">
      <c r="B140" t="s">
        <v>1883</v>
      </c>
      <c r="S140" t="s">
        <v>1531</v>
      </c>
    </row>
    <row r="141" spans="2:19" x14ac:dyDescent="0.25">
      <c r="B141" t="s">
        <v>819</v>
      </c>
      <c r="S141" t="s">
        <v>1532</v>
      </c>
    </row>
    <row r="142" spans="2:19" x14ac:dyDescent="0.25">
      <c r="B142" t="s">
        <v>820</v>
      </c>
      <c r="S142" t="s">
        <v>1533</v>
      </c>
    </row>
    <row r="143" spans="2:19" x14ac:dyDescent="0.25">
      <c r="S143" t="s">
        <v>761</v>
      </c>
    </row>
    <row r="144" spans="2:19" x14ac:dyDescent="0.25">
      <c r="S144" t="s">
        <v>1534</v>
      </c>
    </row>
    <row r="145" spans="19:19" x14ac:dyDescent="0.25">
      <c r="S145" t="s">
        <v>1535</v>
      </c>
    </row>
    <row r="146" spans="19:19" x14ac:dyDescent="0.25">
      <c r="S146" t="s">
        <v>1536</v>
      </c>
    </row>
    <row r="147" spans="19:19" x14ac:dyDescent="0.25">
      <c r="S147" t="s">
        <v>779</v>
      </c>
    </row>
    <row r="148" spans="19:19" x14ac:dyDescent="0.25">
      <c r="S148" t="s">
        <v>1537</v>
      </c>
    </row>
    <row r="149" spans="19:19" x14ac:dyDescent="0.25">
      <c r="S149" t="s">
        <v>1538</v>
      </c>
    </row>
    <row r="150" spans="19:19" x14ac:dyDescent="0.25">
      <c r="S150" t="s">
        <v>1539</v>
      </c>
    </row>
    <row r="151" spans="19:19" x14ac:dyDescent="0.25">
      <c r="S151" t="s">
        <v>1540</v>
      </c>
    </row>
    <row r="152" spans="19:19" x14ac:dyDescent="0.25">
      <c r="S152" t="s">
        <v>1541</v>
      </c>
    </row>
    <row r="153" spans="19:19" x14ac:dyDescent="0.25">
      <c r="S153" t="s">
        <v>1542</v>
      </c>
    </row>
    <row r="154" spans="19:19" x14ac:dyDescent="0.25">
      <c r="S154" t="s">
        <v>807</v>
      </c>
    </row>
    <row r="155" spans="19:19" x14ac:dyDescent="0.25">
      <c r="S155" t="s">
        <v>1543</v>
      </c>
    </row>
    <row r="156" spans="19:19" x14ac:dyDescent="0.25">
      <c r="S156" t="s">
        <v>1544</v>
      </c>
    </row>
    <row r="157" spans="19:19" x14ac:dyDescent="0.25">
      <c r="S157" t="s">
        <v>962</v>
      </c>
    </row>
    <row r="158" spans="19:19" x14ac:dyDescent="0.25">
      <c r="S158" t="s">
        <v>1545</v>
      </c>
    </row>
    <row r="159" spans="19:19" x14ac:dyDescent="0.25">
      <c r="S159" t="s">
        <v>1546</v>
      </c>
    </row>
    <row r="160" spans="19:19" x14ac:dyDescent="0.25">
      <c r="S160" t="s">
        <v>1547</v>
      </c>
    </row>
    <row r="161" spans="19:19" x14ac:dyDescent="0.25">
      <c r="S161" t="s">
        <v>1548</v>
      </c>
    </row>
    <row r="162" spans="19:19" x14ac:dyDescent="0.25">
      <c r="S162" t="s">
        <v>1549</v>
      </c>
    </row>
    <row r="163" spans="19:19" x14ac:dyDescent="0.25">
      <c r="S163" t="s">
        <v>1042</v>
      </c>
    </row>
    <row r="164" spans="19:19" x14ac:dyDescent="0.25">
      <c r="S164" t="s">
        <v>1550</v>
      </c>
    </row>
    <row r="165" spans="19:19" x14ac:dyDescent="0.25">
      <c r="S165" t="s">
        <v>1551</v>
      </c>
    </row>
    <row r="166" spans="19:19" x14ac:dyDescent="0.25">
      <c r="S166" t="s">
        <v>1552</v>
      </c>
    </row>
    <row r="167" spans="19:19" x14ac:dyDescent="0.25">
      <c r="S167" t="s">
        <v>1553</v>
      </c>
    </row>
    <row r="168" spans="19:19" x14ac:dyDescent="0.25">
      <c r="S168" t="s">
        <v>1554</v>
      </c>
    </row>
    <row r="169" spans="19:19" x14ac:dyDescent="0.25">
      <c r="S169" t="s">
        <v>1555</v>
      </c>
    </row>
    <row r="170" spans="19:19" x14ac:dyDescent="0.25">
      <c r="S170" t="s">
        <v>1556</v>
      </c>
    </row>
    <row r="171" spans="19:19" x14ac:dyDescent="0.25">
      <c r="S171" t="s">
        <v>1149</v>
      </c>
    </row>
    <row r="172" spans="19:19" x14ac:dyDescent="0.25">
      <c r="S172" t="s">
        <v>1557</v>
      </c>
    </row>
    <row r="173" spans="19:19" x14ac:dyDescent="0.25">
      <c r="S173" t="s">
        <v>1558</v>
      </c>
    </row>
    <row r="174" spans="19:19" x14ac:dyDescent="0.25">
      <c r="S174" t="s">
        <v>1559</v>
      </c>
    </row>
    <row r="175" spans="19:19" x14ac:dyDescent="0.25">
      <c r="S175" t="s">
        <v>1560</v>
      </c>
    </row>
    <row r="176" spans="19:19" x14ac:dyDescent="0.25">
      <c r="S176" t="s">
        <v>1399</v>
      </c>
    </row>
    <row r="177" spans="19:19" x14ac:dyDescent="0.25">
      <c r="S177" t="s">
        <v>1561</v>
      </c>
    </row>
    <row r="178" spans="19:19" x14ac:dyDescent="0.25">
      <c r="S178" t="s">
        <v>1562</v>
      </c>
    </row>
    <row r="179" spans="19:19" x14ac:dyDescent="0.25">
      <c r="S179" t="s">
        <v>1563</v>
      </c>
    </row>
    <row r="180" spans="19:19" x14ac:dyDescent="0.25">
      <c r="S180" t="s">
        <v>1563</v>
      </c>
    </row>
    <row r="181" spans="19:19" x14ac:dyDescent="0.25">
      <c r="S181" t="s">
        <v>1564</v>
      </c>
    </row>
    <row r="182" spans="19:19" x14ac:dyDescent="0.25">
      <c r="S182" t="s">
        <v>1385</v>
      </c>
    </row>
    <row r="183" spans="19:19" x14ac:dyDescent="0.25">
      <c r="S183" t="s">
        <v>1565</v>
      </c>
    </row>
    <row r="184" spans="19:19" x14ac:dyDescent="0.25">
      <c r="S184" t="s">
        <v>1566</v>
      </c>
    </row>
    <row r="185" spans="19:19" x14ac:dyDescent="0.25">
      <c r="S185" t="s">
        <v>1567</v>
      </c>
    </row>
    <row r="186" spans="19:19" x14ac:dyDescent="0.25">
      <c r="S186" t="s">
        <v>1568</v>
      </c>
    </row>
    <row r="187" spans="19:19" x14ac:dyDescent="0.25">
      <c r="S187" t="s">
        <v>1569</v>
      </c>
    </row>
    <row r="188" spans="19:19" x14ac:dyDescent="0.25">
      <c r="S188" t="s">
        <v>1570</v>
      </c>
    </row>
    <row r="189" spans="19:19" x14ac:dyDescent="0.25">
      <c r="S189" t="s">
        <v>1571</v>
      </c>
    </row>
    <row r="190" spans="19:19" x14ac:dyDescent="0.25">
      <c r="S190" t="s">
        <v>1572</v>
      </c>
    </row>
    <row r="191" spans="19:19" x14ac:dyDescent="0.25">
      <c r="S191" t="s">
        <v>1573</v>
      </c>
    </row>
    <row r="192" spans="19:19" x14ac:dyDescent="0.25">
      <c r="S192" t="s">
        <v>1574</v>
      </c>
    </row>
    <row r="193" spans="19:19" x14ac:dyDescent="0.25">
      <c r="S193" t="s">
        <v>1010</v>
      </c>
    </row>
    <row r="194" spans="19:19" x14ac:dyDescent="0.25">
      <c r="S194" t="s">
        <v>1575</v>
      </c>
    </row>
    <row r="195" spans="19:19" x14ac:dyDescent="0.25">
      <c r="S195" t="s">
        <v>1576</v>
      </c>
    </row>
    <row r="196" spans="19:19" x14ac:dyDescent="0.25">
      <c r="S196" t="s">
        <v>1577</v>
      </c>
    </row>
    <row r="197" spans="19:19" x14ac:dyDescent="0.25">
      <c r="S197" t="s">
        <v>1578</v>
      </c>
    </row>
    <row r="198" spans="19:19" x14ac:dyDescent="0.25">
      <c r="S198" t="s">
        <v>1579</v>
      </c>
    </row>
    <row r="199" spans="19:19" x14ac:dyDescent="0.25">
      <c r="S199" t="s">
        <v>1580</v>
      </c>
    </row>
    <row r="200" spans="19:19" x14ac:dyDescent="0.25">
      <c r="S200" t="s">
        <v>1581</v>
      </c>
    </row>
    <row r="201" spans="19:19" x14ac:dyDescent="0.25">
      <c r="S201" t="s">
        <v>777</v>
      </c>
    </row>
    <row r="202" spans="19:19" x14ac:dyDescent="0.25">
      <c r="S202" t="s">
        <v>1582</v>
      </c>
    </row>
    <row r="203" spans="19:19" x14ac:dyDescent="0.25">
      <c r="S203" t="s">
        <v>1583</v>
      </c>
    </row>
    <row r="204" spans="19:19" x14ac:dyDescent="0.25">
      <c r="S204" t="s">
        <v>1003</v>
      </c>
    </row>
    <row r="205" spans="19:19" x14ac:dyDescent="0.25">
      <c r="S205" t="s">
        <v>1244</v>
      </c>
    </row>
    <row r="206" spans="19:19" x14ac:dyDescent="0.25">
      <c r="S206" t="s">
        <v>1584</v>
      </c>
    </row>
    <row r="207" spans="19:19" x14ac:dyDescent="0.25">
      <c r="S207" t="s">
        <v>1585</v>
      </c>
    </row>
    <row r="208" spans="19:19" x14ac:dyDescent="0.25">
      <c r="S208" t="s">
        <v>1586</v>
      </c>
    </row>
    <row r="209" spans="19:19" x14ac:dyDescent="0.25">
      <c r="S209" t="s">
        <v>1587</v>
      </c>
    </row>
    <row r="210" spans="19:19" x14ac:dyDescent="0.25">
      <c r="S210" t="s">
        <v>1588</v>
      </c>
    </row>
    <row r="211" spans="19:19" x14ac:dyDescent="0.25">
      <c r="S211" t="s">
        <v>1588</v>
      </c>
    </row>
    <row r="212" spans="19:19" x14ac:dyDescent="0.25">
      <c r="S212" t="s">
        <v>780</v>
      </c>
    </row>
    <row r="213" spans="19:19" x14ac:dyDescent="0.25">
      <c r="S213" t="s">
        <v>1273</v>
      </c>
    </row>
    <row r="214" spans="19:19" x14ac:dyDescent="0.25">
      <c r="S214" t="s">
        <v>1589</v>
      </c>
    </row>
    <row r="215" spans="19:19" x14ac:dyDescent="0.25">
      <c r="S215" t="s">
        <v>1064</v>
      </c>
    </row>
    <row r="216" spans="19:19" x14ac:dyDescent="0.25">
      <c r="S216" t="s">
        <v>1590</v>
      </c>
    </row>
    <row r="217" spans="19:19" x14ac:dyDescent="0.25">
      <c r="S217" t="s">
        <v>1377</v>
      </c>
    </row>
    <row r="218" spans="19:19" x14ac:dyDescent="0.25">
      <c r="S218" t="s">
        <v>1591</v>
      </c>
    </row>
    <row r="219" spans="19:19" x14ac:dyDescent="0.25">
      <c r="S219" t="s">
        <v>1401</v>
      </c>
    </row>
    <row r="220" spans="19:19" x14ac:dyDescent="0.25">
      <c r="S220" t="s">
        <v>1592</v>
      </c>
    </row>
    <row r="221" spans="19:19" x14ac:dyDescent="0.25">
      <c r="S221" t="s">
        <v>1593</v>
      </c>
    </row>
    <row r="222" spans="19:19" x14ac:dyDescent="0.25">
      <c r="S222" t="s">
        <v>1594</v>
      </c>
    </row>
    <row r="223" spans="19:19" x14ac:dyDescent="0.25">
      <c r="S223" t="s">
        <v>1595</v>
      </c>
    </row>
    <row r="224" spans="19:19" x14ac:dyDescent="0.25">
      <c r="S224" t="s">
        <v>1156</v>
      </c>
    </row>
    <row r="225" spans="19:19" x14ac:dyDescent="0.25">
      <c r="S225" t="s">
        <v>1596</v>
      </c>
    </row>
    <row r="226" spans="19:19" x14ac:dyDescent="0.25">
      <c r="S226" t="s">
        <v>1597</v>
      </c>
    </row>
    <row r="227" spans="19:19" x14ac:dyDescent="0.25">
      <c r="S227" t="s">
        <v>1598</v>
      </c>
    </row>
    <row r="228" spans="19:19" x14ac:dyDescent="0.25">
      <c r="S228" t="s">
        <v>1599</v>
      </c>
    </row>
    <row r="229" spans="19:19" x14ac:dyDescent="0.25">
      <c r="S229" t="s">
        <v>1600</v>
      </c>
    </row>
    <row r="230" spans="19:19" x14ac:dyDescent="0.25">
      <c r="S230" t="s">
        <v>1601</v>
      </c>
    </row>
    <row r="231" spans="19:19" x14ac:dyDescent="0.25">
      <c r="S231" t="s">
        <v>1602</v>
      </c>
    </row>
    <row r="232" spans="19:19" x14ac:dyDescent="0.25">
      <c r="S232" t="s">
        <v>1603</v>
      </c>
    </row>
    <row r="233" spans="19:19" x14ac:dyDescent="0.25">
      <c r="S233" t="s">
        <v>1604</v>
      </c>
    </row>
    <row r="234" spans="19:19" x14ac:dyDescent="0.25">
      <c r="S234" t="s">
        <v>1179</v>
      </c>
    </row>
    <row r="235" spans="19:19" x14ac:dyDescent="0.25">
      <c r="S235" t="s">
        <v>977</v>
      </c>
    </row>
    <row r="236" spans="19:19" x14ac:dyDescent="0.25">
      <c r="S236" t="s">
        <v>1605</v>
      </c>
    </row>
    <row r="237" spans="19:19" x14ac:dyDescent="0.25">
      <c r="S237" t="s">
        <v>1606</v>
      </c>
    </row>
    <row r="238" spans="19:19" x14ac:dyDescent="0.25">
      <c r="S238" t="s">
        <v>1318</v>
      </c>
    </row>
    <row r="239" spans="19:19" x14ac:dyDescent="0.25">
      <c r="S239" t="s">
        <v>1607</v>
      </c>
    </row>
    <row r="240" spans="19:19" x14ac:dyDescent="0.25">
      <c r="S240" t="s">
        <v>1608</v>
      </c>
    </row>
    <row r="241" spans="19:19" x14ac:dyDescent="0.25">
      <c r="S241" t="s">
        <v>1609</v>
      </c>
    </row>
    <row r="242" spans="19:19" x14ac:dyDescent="0.25">
      <c r="S242" t="s">
        <v>1610</v>
      </c>
    </row>
    <row r="243" spans="19:19" x14ac:dyDescent="0.25">
      <c r="S243" t="s">
        <v>1319</v>
      </c>
    </row>
    <row r="244" spans="19:19" x14ac:dyDescent="0.25">
      <c r="S244" t="s">
        <v>1611</v>
      </c>
    </row>
    <row r="245" spans="19:19" x14ac:dyDescent="0.25">
      <c r="S245" t="s">
        <v>1612</v>
      </c>
    </row>
    <row r="246" spans="19:19" x14ac:dyDescent="0.25">
      <c r="S246" t="s">
        <v>1613</v>
      </c>
    </row>
    <row r="247" spans="19:19" x14ac:dyDescent="0.25">
      <c r="S247" t="s">
        <v>1614</v>
      </c>
    </row>
    <row r="248" spans="19:19" x14ac:dyDescent="0.25">
      <c r="S248" t="s">
        <v>1615</v>
      </c>
    </row>
    <row r="249" spans="19:19" x14ac:dyDescent="0.25">
      <c r="S249" t="s">
        <v>1616</v>
      </c>
    </row>
    <row r="250" spans="19:19" x14ac:dyDescent="0.25">
      <c r="S250" t="s">
        <v>1617</v>
      </c>
    </row>
    <row r="251" spans="19:19" x14ac:dyDescent="0.25">
      <c r="S251" t="s">
        <v>1618</v>
      </c>
    </row>
    <row r="252" spans="19:19" x14ac:dyDescent="0.25">
      <c r="S252" t="s">
        <v>1619</v>
      </c>
    </row>
    <row r="253" spans="19:19" x14ac:dyDescent="0.25">
      <c r="S253" t="s">
        <v>1620</v>
      </c>
    </row>
    <row r="254" spans="19:19" x14ac:dyDescent="0.25">
      <c r="S254" t="s">
        <v>819</v>
      </c>
    </row>
    <row r="255" spans="19:19" x14ac:dyDescent="0.25">
      <c r="S255" t="s">
        <v>820</v>
      </c>
    </row>
  </sheetData>
  <pageMargins left="0.7" right="0.7" top="0.75" bottom="0.75" header="0.3" footer="0.3"/>
  <tableParts count="74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  <tablePart r:id="rId46"/>
    <tablePart r:id="rId47"/>
    <tablePart r:id="rId48"/>
    <tablePart r:id="rId49"/>
    <tablePart r:id="rId50"/>
    <tablePart r:id="rId51"/>
    <tablePart r:id="rId52"/>
    <tablePart r:id="rId53"/>
    <tablePart r:id="rId54"/>
    <tablePart r:id="rId55"/>
    <tablePart r:id="rId56"/>
    <tablePart r:id="rId57"/>
    <tablePart r:id="rId58"/>
    <tablePart r:id="rId59"/>
    <tablePart r:id="rId60"/>
    <tablePart r:id="rId61"/>
    <tablePart r:id="rId62"/>
    <tablePart r:id="rId63"/>
    <tablePart r:id="rId64"/>
    <tablePart r:id="rId65"/>
    <tablePart r:id="rId66"/>
    <tablePart r:id="rId67"/>
    <tablePart r:id="rId68"/>
    <tablePart r:id="rId69"/>
    <tablePart r:id="rId70"/>
    <tablePart r:id="rId71"/>
    <tablePart r:id="rId72"/>
    <tablePart r:id="rId73"/>
    <tablePart r:id="rId7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34"/>
  <sheetViews>
    <sheetView workbookViewId="0">
      <selection activeCell="E10" sqref="E10"/>
    </sheetView>
  </sheetViews>
  <sheetFormatPr baseColWidth="10" defaultRowHeight="15" x14ac:dyDescent="0.25"/>
  <cols>
    <col min="1" max="1" width="12.5703125" customWidth="1"/>
    <col min="11" max="11" width="41.85546875" customWidth="1"/>
  </cols>
  <sheetData>
    <row r="1" spans="1:14" x14ac:dyDescent="0.25">
      <c r="A1" t="s">
        <v>549</v>
      </c>
      <c r="B1" t="s">
        <v>562</v>
      </c>
    </row>
    <row r="2" spans="1:14" x14ac:dyDescent="0.25">
      <c r="A2" t="s">
        <v>1421</v>
      </c>
      <c r="B2" t="s">
        <v>1631</v>
      </c>
    </row>
    <row r="3" spans="1:14" x14ac:dyDescent="0.25">
      <c r="A3" t="s">
        <v>8945</v>
      </c>
      <c r="B3" t="s">
        <v>1632</v>
      </c>
    </row>
    <row r="4" spans="1:14" x14ac:dyDescent="0.25">
      <c r="A4" t="s">
        <v>1623</v>
      </c>
      <c r="B4" t="s">
        <v>1633</v>
      </c>
    </row>
    <row r="5" spans="1:14" x14ac:dyDescent="0.25">
      <c r="A5" t="s">
        <v>8947</v>
      </c>
      <c r="B5" t="s">
        <v>1634</v>
      </c>
    </row>
    <row r="6" spans="1:14" x14ac:dyDescent="0.25">
      <c r="A6" t="s">
        <v>8948</v>
      </c>
      <c r="B6" t="s">
        <v>1635</v>
      </c>
    </row>
    <row r="7" spans="1:14" x14ac:dyDescent="0.25">
      <c r="A7" t="s">
        <v>8946</v>
      </c>
      <c r="B7" t="s">
        <v>1636</v>
      </c>
    </row>
    <row r="8" spans="1:14" x14ac:dyDescent="0.25">
      <c r="A8" t="s">
        <v>1239</v>
      </c>
      <c r="B8" t="s">
        <v>1637</v>
      </c>
    </row>
    <row r="9" spans="1:14" x14ac:dyDescent="0.25">
      <c r="A9" t="s">
        <v>858</v>
      </c>
      <c r="B9" t="s">
        <v>1035</v>
      </c>
    </row>
    <row r="10" spans="1:14" x14ac:dyDescent="0.25">
      <c r="A10" t="s">
        <v>8949</v>
      </c>
      <c r="B10" t="s">
        <v>1638</v>
      </c>
    </row>
    <row r="11" spans="1:14" x14ac:dyDescent="0.25">
      <c r="A11" t="s">
        <v>8950</v>
      </c>
      <c r="B11" t="s">
        <v>1639</v>
      </c>
    </row>
    <row r="12" spans="1:14" x14ac:dyDescent="0.25">
      <c r="A12" t="s">
        <v>1104</v>
      </c>
      <c r="B12" t="s">
        <v>1640</v>
      </c>
    </row>
    <row r="13" spans="1:14" x14ac:dyDescent="0.25">
      <c r="A13" t="s">
        <v>8951</v>
      </c>
      <c r="B13" t="s">
        <v>1094</v>
      </c>
    </row>
    <row r="14" spans="1:14" x14ac:dyDescent="0.25">
      <c r="A14" t="s">
        <v>8952</v>
      </c>
      <c r="B14" t="s">
        <v>1641</v>
      </c>
    </row>
    <row r="15" spans="1:14" x14ac:dyDescent="0.25">
      <c r="A15" t="s">
        <v>8953</v>
      </c>
      <c r="B15" t="s">
        <v>1642</v>
      </c>
    </row>
    <row r="16" spans="1:14" x14ac:dyDescent="0.25">
      <c r="A16" t="s">
        <v>1138</v>
      </c>
      <c r="B16" t="s">
        <v>819</v>
      </c>
      <c r="M16" t="s">
        <v>8968</v>
      </c>
      <c r="N16" t="s">
        <v>8969</v>
      </c>
    </row>
    <row r="17" spans="1:14" x14ac:dyDescent="0.25">
      <c r="A17" t="s">
        <v>1827</v>
      </c>
      <c r="B17" t="s">
        <v>820</v>
      </c>
    </row>
    <row r="18" spans="1:14" x14ac:dyDescent="0.25">
      <c r="A18" t="s">
        <v>8954</v>
      </c>
    </row>
    <row r="19" spans="1:14" x14ac:dyDescent="0.25">
      <c r="A19" t="s">
        <v>8955</v>
      </c>
    </row>
    <row r="20" spans="1:14" x14ac:dyDescent="0.25">
      <c r="A20" t="s">
        <v>8956</v>
      </c>
    </row>
    <row r="21" spans="1:14" x14ac:dyDescent="0.25">
      <c r="A21" t="s">
        <v>8957</v>
      </c>
      <c r="M21" t="s">
        <v>8971</v>
      </c>
      <c r="N21" t="s">
        <v>8905</v>
      </c>
    </row>
    <row r="22" spans="1:14" x14ac:dyDescent="0.25">
      <c r="A22" t="s">
        <v>1093</v>
      </c>
      <c r="M22" t="s">
        <v>8972</v>
      </c>
      <c r="N22" t="s">
        <v>8906</v>
      </c>
    </row>
    <row r="23" spans="1:14" x14ac:dyDescent="0.25">
      <c r="A23" t="s">
        <v>8958</v>
      </c>
    </row>
    <row r="24" spans="1:14" x14ac:dyDescent="0.25">
      <c r="A24" t="s">
        <v>8959</v>
      </c>
    </row>
    <row r="25" spans="1:14" x14ac:dyDescent="0.25">
      <c r="A25" t="s">
        <v>8960</v>
      </c>
    </row>
    <row r="26" spans="1:14" x14ac:dyDescent="0.25">
      <c r="A26" t="s">
        <v>1151</v>
      </c>
    </row>
    <row r="27" spans="1:14" x14ac:dyDescent="0.25">
      <c r="A27" t="s">
        <v>8961</v>
      </c>
    </row>
    <row r="28" spans="1:14" x14ac:dyDescent="0.25">
      <c r="A28" t="s">
        <v>1064</v>
      </c>
    </row>
    <row r="29" spans="1:14" x14ac:dyDescent="0.25">
      <c r="A29" t="s">
        <v>8962</v>
      </c>
    </row>
    <row r="30" spans="1:14" x14ac:dyDescent="0.25">
      <c r="A30" t="s">
        <v>8963</v>
      </c>
    </row>
    <row r="31" spans="1:14" x14ac:dyDescent="0.25">
      <c r="A31" t="s">
        <v>8964</v>
      </c>
    </row>
    <row r="32" spans="1:14" x14ac:dyDescent="0.25">
      <c r="A32" t="s">
        <v>8965</v>
      </c>
    </row>
    <row r="33" spans="1:1" x14ac:dyDescent="0.25">
      <c r="A33" t="s">
        <v>8966</v>
      </c>
    </row>
    <row r="34" spans="1:1" x14ac:dyDescent="0.25">
      <c r="A34" t="s">
        <v>6571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K552"/>
  <sheetViews>
    <sheetView showZeros="0" view="pageBreakPreview" zoomScale="130" zoomScaleNormal="100" zoomScaleSheetLayoutView="130" workbookViewId="0"/>
  </sheetViews>
  <sheetFormatPr baseColWidth="10" defaultColWidth="10.85546875" defaultRowHeight="15" x14ac:dyDescent="0.25"/>
  <cols>
    <col min="1" max="1" width="2.140625" customWidth="1"/>
    <col min="2" max="2" width="2.85546875" customWidth="1"/>
    <col min="3" max="9" width="3.42578125" customWidth="1"/>
    <col min="10" max="13" width="3.5703125" customWidth="1"/>
    <col min="14" max="17" width="2.7109375" customWidth="1"/>
    <col min="18" max="24" width="4.140625" customWidth="1"/>
    <col min="25" max="26" width="4.7109375" customWidth="1"/>
    <col min="27" max="27" width="3.7109375" customWidth="1"/>
    <col min="28" max="29" width="4.7109375" customWidth="1"/>
    <col min="30" max="30" width="6.140625" customWidth="1"/>
    <col min="31" max="34" width="3.7109375" customWidth="1"/>
    <col min="35" max="35" width="3.5703125" customWidth="1"/>
    <col min="36" max="36" width="3.7109375" customWidth="1"/>
    <col min="37" max="37" width="2.7109375" customWidth="1"/>
    <col min="38" max="38" width="3.85546875" customWidth="1"/>
    <col min="39" max="39" width="5.28515625" style="56" hidden="1" customWidth="1"/>
    <col min="40" max="62" width="14.140625" hidden="1" customWidth="1"/>
    <col min="63" max="63" width="15.5703125" hidden="1" customWidth="1"/>
    <col min="65" max="65" width="11.42578125" customWidth="1"/>
  </cols>
  <sheetData>
    <row r="1" spans="1:63" ht="15.6" customHeight="1" x14ac:dyDescent="0.25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4"/>
      <c r="X1" s="4"/>
      <c r="Y1" s="4"/>
      <c r="Z1" s="4"/>
      <c r="AA1" s="4"/>
      <c r="AB1" s="4"/>
      <c r="AC1" s="4"/>
      <c r="AD1" s="4"/>
      <c r="AE1" s="4" t="s">
        <v>7832</v>
      </c>
      <c r="AF1" s="4"/>
      <c r="AG1" s="4">
        <v>2</v>
      </c>
      <c r="AH1" s="4" t="s">
        <v>7830</v>
      </c>
      <c r="AI1" s="31">
        <v>2</v>
      </c>
      <c r="AJ1" s="4"/>
      <c r="AK1" s="4"/>
      <c r="AL1" s="4"/>
      <c r="AM1" s="4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 t="s">
        <v>22</v>
      </c>
    </row>
    <row r="2" spans="1:63" x14ac:dyDescent="0.25">
      <c r="A2" s="30"/>
      <c r="B2" s="35"/>
      <c r="C2" s="35"/>
      <c r="D2" s="35"/>
      <c r="E2" s="35"/>
      <c r="F2" s="35"/>
      <c r="G2" s="35"/>
      <c r="H2" s="35"/>
      <c r="I2" s="35"/>
      <c r="J2" s="30"/>
      <c r="K2" s="30"/>
      <c r="L2" s="30"/>
      <c r="M2" s="30"/>
      <c r="N2" s="30"/>
      <c r="O2" s="30"/>
      <c r="P2" s="30"/>
      <c r="Q2" s="30"/>
      <c r="R2" s="30"/>
      <c r="S2" s="36"/>
      <c r="T2" s="37"/>
      <c r="U2" s="30"/>
      <c r="V2" s="30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38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 t="s">
        <v>792</v>
      </c>
    </row>
    <row r="3" spans="1:63" ht="14.45" customHeight="1" x14ac:dyDescent="0.25">
      <c r="A3" s="30"/>
      <c r="B3" s="35"/>
      <c r="C3" s="35"/>
      <c r="D3" s="35"/>
      <c r="E3" s="35"/>
      <c r="F3" s="35"/>
      <c r="G3" s="35"/>
      <c r="H3" s="35"/>
      <c r="I3" s="35"/>
      <c r="J3" s="30"/>
      <c r="K3" s="30"/>
      <c r="L3" s="4"/>
      <c r="M3" s="4"/>
      <c r="N3" s="30"/>
      <c r="O3" s="30"/>
      <c r="P3" s="30"/>
      <c r="Q3" s="30"/>
      <c r="R3" s="30"/>
      <c r="S3" s="30"/>
      <c r="T3" s="30"/>
      <c r="U3" s="30"/>
      <c r="V3" s="30"/>
      <c r="W3" s="4"/>
      <c r="X3" s="4"/>
      <c r="Y3" s="4"/>
      <c r="Z3" s="4"/>
      <c r="AA3" s="40"/>
      <c r="AB3" s="392" t="s">
        <v>0</v>
      </c>
      <c r="AC3" s="393"/>
      <c r="AD3" s="394"/>
      <c r="AE3" s="533">
        <f>'ORDEN DE CUARENTENA'!AE3</f>
        <v>0</v>
      </c>
      <c r="AF3" s="534"/>
      <c r="AG3" s="534"/>
      <c r="AH3" s="534"/>
      <c r="AI3" s="534"/>
      <c r="AJ3" s="535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 t="s">
        <v>793</v>
      </c>
    </row>
    <row r="4" spans="1:63" ht="17.45" customHeight="1" x14ac:dyDescent="0.25">
      <c r="A4" s="30"/>
      <c r="B4" s="35"/>
      <c r="C4" s="35"/>
      <c r="D4" s="35"/>
      <c r="E4" s="35"/>
      <c r="F4" s="35"/>
      <c r="G4" s="35"/>
      <c r="H4" s="35"/>
      <c r="I4" s="35"/>
      <c r="J4" s="30"/>
      <c r="K4" s="30"/>
      <c r="L4" s="4"/>
      <c r="M4" s="4"/>
      <c r="N4" s="402" t="s">
        <v>1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  <c r="Y4" s="4"/>
      <c r="Z4" s="4"/>
      <c r="AA4" s="40"/>
      <c r="AB4" s="395"/>
      <c r="AC4" s="396"/>
      <c r="AD4" s="397"/>
      <c r="AE4" s="536"/>
      <c r="AF4" s="537"/>
      <c r="AG4" s="537"/>
      <c r="AH4" s="537"/>
      <c r="AI4" s="537"/>
      <c r="AJ4" s="538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3" ht="18" x14ac:dyDescent="0.25">
      <c r="A5" s="36"/>
      <c r="B5" s="532" t="s">
        <v>7828</v>
      </c>
      <c r="C5" s="532"/>
      <c r="D5" s="532"/>
      <c r="E5" s="532"/>
      <c r="F5" s="532"/>
      <c r="G5" s="532"/>
      <c r="H5" s="532"/>
      <c r="I5" s="532"/>
      <c r="J5" s="532"/>
      <c r="K5" s="532"/>
      <c r="L5" s="532"/>
      <c r="M5" s="532"/>
      <c r="N5" s="532"/>
      <c r="O5" s="532"/>
      <c r="P5" s="532"/>
      <c r="Q5" s="532"/>
      <c r="R5" s="532"/>
      <c r="S5" s="532"/>
      <c r="T5" s="532"/>
      <c r="U5" s="532"/>
      <c r="V5" s="532"/>
      <c r="W5" s="532"/>
      <c r="X5" s="532"/>
      <c r="Y5" s="532"/>
      <c r="Z5" s="532"/>
      <c r="AA5" s="532"/>
      <c r="AB5" s="532"/>
      <c r="AC5" s="532"/>
      <c r="AD5" s="532"/>
      <c r="AE5" s="532"/>
      <c r="AF5" s="532"/>
      <c r="AG5" s="532"/>
      <c r="AH5" s="532"/>
      <c r="AI5" s="41"/>
      <c r="AJ5" s="41"/>
      <c r="AK5" s="41"/>
      <c r="AL5" s="41"/>
      <c r="AM5" s="41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3" ht="15" customHeight="1" x14ac:dyDescent="0.25">
      <c r="A6" s="30"/>
      <c r="B6" s="528" t="s">
        <v>2</v>
      </c>
      <c r="C6" s="528"/>
      <c r="D6" s="528"/>
      <c r="E6" s="528"/>
      <c r="F6" s="528"/>
      <c r="G6" s="528"/>
      <c r="H6" s="528"/>
      <c r="I6" s="539">
        <f>'ORDEN DE CUARENTENA'!I6</f>
        <v>0</v>
      </c>
      <c r="J6" s="539"/>
      <c r="K6" s="539"/>
      <c r="L6" s="539"/>
      <c r="M6" s="539"/>
      <c r="N6" s="539"/>
      <c r="O6" s="540" t="s">
        <v>3</v>
      </c>
      <c r="P6" s="540"/>
      <c r="Q6" s="530">
        <f>'ORDEN DE CUARENTENA'!Q6</f>
        <v>14</v>
      </c>
      <c r="R6" s="530"/>
      <c r="S6" s="530"/>
      <c r="T6" s="530"/>
      <c r="U6" s="530"/>
      <c r="V6" s="57"/>
      <c r="W6" s="57"/>
      <c r="X6" s="57"/>
      <c r="Y6" s="57"/>
      <c r="Z6" s="57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3" x14ac:dyDescent="0.25">
      <c r="A7" s="30"/>
      <c r="B7" s="528" t="s">
        <v>6</v>
      </c>
      <c r="C7" s="528"/>
      <c r="D7" s="528"/>
      <c r="E7" s="528"/>
      <c r="F7" s="528"/>
      <c r="G7" s="528"/>
      <c r="H7" s="530">
        <f>'ORDEN DE CUARENTENA'!H7</f>
        <v>0</v>
      </c>
      <c r="I7" s="530"/>
      <c r="J7" s="530"/>
      <c r="K7" s="530"/>
      <c r="L7" s="530"/>
      <c r="M7" s="530"/>
      <c r="N7" s="530"/>
      <c r="O7" s="403" t="s">
        <v>7</v>
      </c>
      <c r="P7" s="403"/>
      <c r="Q7" s="526">
        <f>'ORDEN DE CUARENTENA'!Q7</f>
        <v>0</v>
      </c>
      <c r="R7" s="526"/>
      <c r="S7" s="526"/>
      <c r="T7" s="526"/>
      <c r="U7" s="526"/>
      <c r="V7" s="57"/>
      <c r="W7" s="57"/>
      <c r="X7" s="57"/>
      <c r="Y7" s="57"/>
      <c r="Z7" s="57"/>
      <c r="AA7" s="59"/>
      <c r="AB7" s="59"/>
      <c r="AC7" s="59"/>
      <c r="AD7" s="59"/>
      <c r="AE7" s="59"/>
      <c r="AF7" s="59"/>
      <c r="AG7" s="60"/>
      <c r="AH7" s="60"/>
      <c r="AI7" s="60"/>
      <c r="AJ7" s="60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3" x14ac:dyDescent="0.25">
      <c r="A8" s="30"/>
      <c r="B8" s="528" t="s">
        <v>9</v>
      </c>
      <c r="C8" s="528"/>
      <c r="D8" s="528"/>
      <c r="E8" s="528"/>
      <c r="F8" s="530">
        <f>'ORDEN DE CUARENTENA'!F8</f>
        <v>0</v>
      </c>
      <c r="G8" s="530"/>
      <c r="H8" s="530"/>
      <c r="I8" s="530"/>
      <c r="J8" s="530"/>
      <c r="K8" s="530"/>
      <c r="L8" s="530"/>
      <c r="M8" s="530"/>
      <c r="N8" s="530"/>
      <c r="O8" s="403" t="s">
        <v>9100</v>
      </c>
      <c r="P8" s="403"/>
      <c r="Q8" s="403"/>
      <c r="R8" s="403"/>
      <c r="S8" s="531">
        <f>'ORDEN DE CUARENTENA'!S8</f>
        <v>0</v>
      </c>
      <c r="T8" s="531"/>
      <c r="U8" s="531"/>
      <c r="V8" s="60"/>
      <c r="W8" s="60"/>
      <c r="X8" s="60"/>
      <c r="Y8" s="29"/>
      <c r="Z8" s="29"/>
      <c r="AA8" s="59"/>
      <c r="AB8" s="59"/>
      <c r="AC8" s="59"/>
      <c r="AD8" s="61"/>
      <c r="AE8" s="62"/>
      <c r="AF8" s="62"/>
      <c r="AG8" s="63"/>
      <c r="AH8" s="63"/>
      <c r="AI8" s="63"/>
      <c r="AJ8" s="63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3" x14ac:dyDescent="0.25">
      <c r="A9" s="30"/>
      <c r="B9" s="528" t="s">
        <v>11</v>
      </c>
      <c r="C9" s="528"/>
      <c r="D9" s="528"/>
      <c r="E9" s="528"/>
      <c r="F9" s="528"/>
      <c r="G9" s="528"/>
      <c r="H9" s="529">
        <f>'ORDEN DE CUARENTENA'!H9</f>
        <v>0</v>
      </c>
      <c r="I9" s="529"/>
      <c r="J9" s="529"/>
      <c r="K9" s="529"/>
      <c r="L9" s="529"/>
      <c r="M9" s="529"/>
      <c r="N9" s="529"/>
      <c r="O9" s="403" t="s">
        <v>9099</v>
      </c>
      <c r="P9" s="403"/>
      <c r="Q9" s="526">
        <f>'ORDEN DE CUARENTENA'!Q9</f>
        <v>0</v>
      </c>
      <c r="R9" s="526"/>
      <c r="S9" s="527"/>
      <c r="T9" s="527"/>
      <c r="U9" s="527"/>
      <c r="V9" s="60"/>
      <c r="W9" s="60"/>
      <c r="X9" s="60"/>
      <c r="Y9" s="29"/>
      <c r="Z9" s="29"/>
      <c r="AA9" s="59"/>
      <c r="AB9" s="59"/>
      <c r="AC9" s="59"/>
      <c r="AD9" s="59"/>
      <c r="AE9" s="59"/>
      <c r="AF9" s="59"/>
      <c r="AG9" s="64"/>
      <c r="AH9" s="64"/>
      <c r="AI9" s="64"/>
      <c r="AJ9" s="6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3" ht="15.75" thickBot="1" x14ac:dyDescent="0.3">
      <c r="A10" s="30"/>
      <c r="B10" s="1"/>
      <c r="C10" s="1"/>
      <c r="D10" s="1"/>
      <c r="E10" s="1"/>
      <c r="F10" s="1"/>
      <c r="G10" s="1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3" ht="16.5" thickTop="1" thickBot="1" x14ac:dyDescent="0.3">
      <c r="A11" s="30"/>
      <c r="B11" s="4"/>
      <c r="C11" s="377" t="s">
        <v>13</v>
      </c>
      <c r="D11" s="378"/>
      <c r="E11" s="378"/>
      <c r="F11" s="378"/>
      <c r="G11" s="378"/>
      <c r="H11" s="378"/>
      <c r="I11" s="378"/>
      <c r="J11" s="378"/>
      <c r="K11" s="378"/>
      <c r="L11" s="378"/>
      <c r="M11" s="378"/>
      <c r="N11" s="378"/>
      <c r="O11" s="378"/>
      <c r="P11" s="378"/>
      <c r="Q11" s="378"/>
      <c r="R11" s="378"/>
      <c r="S11" s="378"/>
      <c r="T11" s="378"/>
      <c r="U11" s="378"/>
      <c r="V11" s="378"/>
      <c r="W11" s="378"/>
      <c r="X11" s="378"/>
      <c r="Y11" s="378"/>
      <c r="Z11" s="378"/>
      <c r="AA11" s="378"/>
      <c r="AB11" s="378"/>
      <c r="AC11" s="378"/>
      <c r="AD11" s="378"/>
      <c r="AE11" s="378"/>
      <c r="AF11" s="379"/>
      <c r="AG11" s="416" t="s">
        <v>9136</v>
      </c>
      <c r="AH11" s="417"/>
      <c r="AI11" s="417"/>
      <c r="AJ11" s="418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3" ht="15" customHeight="1" thickTop="1" x14ac:dyDescent="0.25">
      <c r="A12" s="42"/>
      <c r="B12" s="464" t="s">
        <v>14</v>
      </c>
      <c r="C12" s="466" t="s">
        <v>10225</v>
      </c>
      <c r="D12" s="467"/>
      <c r="E12" s="467"/>
      <c r="F12" s="467"/>
      <c r="G12" s="467"/>
      <c r="H12" s="467"/>
      <c r="I12" s="468"/>
      <c r="J12" s="460" t="s">
        <v>10151</v>
      </c>
      <c r="K12" s="460"/>
      <c r="L12" s="460"/>
      <c r="M12" s="460"/>
      <c r="N12" s="460" t="s">
        <v>22</v>
      </c>
      <c r="O12" s="460"/>
      <c r="P12" s="460"/>
      <c r="Q12" s="460"/>
      <c r="R12" s="462" t="s">
        <v>2178</v>
      </c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3"/>
      <c r="AD12" s="364" t="s">
        <v>15</v>
      </c>
      <c r="AE12" s="365"/>
      <c r="AF12" s="366"/>
      <c r="AG12" s="381" t="s">
        <v>64</v>
      </c>
      <c r="AH12" s="382"/>
      <c r="AI12" s="503" t="s">
        <v>9138</v>
      </c>
      <c r="AJ12" s="504"/>
      <c r="AK12" s="43"/>
      <c r="AL12" s="43"/>
      <c r="AM12" s="43">
        <v>1</v>
      </c>
      <c r="AN12" s="44">
        <v>2</v>
      </c>
      <c r="AO12" s="44">
        <v>3</v>
      </c>
      <c r="AP12" s="44">
        <v>4</v>
      </c>
      <c r="AQ12" s="44">
        <v>5</v>
      </c>
      <c r="AR12" s="44">
        <v>6</v>
      </c>
      <c r="AS12" s="44">
        <v>7</v>
      </c>
      <c r="AT12" s="44">
        <v>8</v>
      </c>
      <c r="AU12" s="44">
        <v>9</v>
      </c>
      <c r="AV12" s="44">
        <v>10</v>
      </c>
      <c r="AW12" s="44">
        <v>11</v>
      </c>
      <c r="AX12" s="44">
        <v>12</v>
      </c>
      <c r="AY12" s="44">
        <v>13</v>
      </c>
      <c r="AZ12" s="44">
        <v>14</v>
      </c>
      <c r="BA12" s="44"/>
      <c r="BB12" s="44"/>
      <c r="BC12" s="44"/>
      <c r="BD12" s="44"/>
      <c r="BE12" s="44"/>
      <c r="BF12" s="45"/>
      <c r="BG12" s="45"/>
      <c r="BH12" s="45"/>
      <c r="BI12" s="45"/>
      <c r="BJ12" s="45"/>
    </row>
    <row r="13" spans="1:63" ht="14.45" customHeight="1" x14ac:dyDescent="0.25">
      <c r="A13" s="42"/>
      <c r="B13" s="465"/>
      <c r="C13" s="469"/>
      <c r="D13" s="470"/>
      <c r="E13" s="470"/>
      <c r="F13" s="470"/>
      <c r="G13" s="470"/>
      <c r="H13" s="470"/>
      <c r="I13" s="471"/>
      <c r="J13" s="461"/>
      <c r="K13" s="461"/>
      <c r="L13" s="461"/>
      <c r="M13" s="461"/>
      <c r="N13" s="461"/>
      <c r="O13" s="461"/>
      <c r="P13" s="461"/>
      <c r="Q13" s="461"/>
      <c r="R13" s="461" t="s">
        <v>796</v>
      </c>
      <c r="S13" s="461"/>
      <c r="T13" s="461"/>
      <c r="U13" s="461"/>
      <c r="V13" s="461"/>
      <c r="W13" s="461"/>
      <c r="X13" s="461"/>
      <c r="Y13" s="510" t="s">
        <v>10152</v>
      </c>
      <c r="Z13" s="510"/>
      <c r="AA13" s="510"/>
      <c r="AB13" s="510"/>
      <c r="AC13" s="511"/>
      <c r="AD13" s="367"/>
      <c r="AE13" s="368"/>
      <c r="AF13" s="369"/>
      <c r="AG13" s="383"/>
      <c r="AH13" s="384"/>
      <c r="AI13" s="505"/>
      <c r="AJ13" s="506"/>
      <c r="AK13" s="43"/>
      <c r="AL13" s="43"/>
      <c r="AM13" s="46" t="s">
        <v>14</v>
      </c>
      <c r="AN13" s="46" t="s">
        <v>795</v>
      </c>
      <c r="AO13" s="46" t="s">
        <v>7810</v>
      </c>
      <c r="AP13" s="46" t="s">
        <v>7813</v>
      </c>
      <c r="AQ13" s="46" t="s">
        <v>7814</v>
      </c>
      <c r="AR13" s="46" t="s">
        <v>7816</v>
      </c>
      <c r="AS13" s="46" t="s">
        <v>7817</v>
      </c>
      <c r="AT13" s="46" t="s">
        <v>7818</v>
      </c>
      <c r="AU13" s="46" t="s">
        <v>7819</v>
      </c>
      <c r="AV13" s="46" t="s">
        <v>7820</v>
      </c>
      <c r="AW13" s="46" t="s">
        <v>7826</v>
      </c>
      <c r="AX13" s="46" t="s">
        <v>10100</v>
      </c>
      <c r="AY13" s="46" t="s">
        <v>10107</v>
      </c>
      <c r="AZ13" s="46" t="s">
        <v>10108</v>
      </c>
      <c r="BA13" s="46" t="s">
        <v>10104</v>
      </c>
      <c r="BB13" s="46" t="s">
        <v>10105</v>
      </c>
      <c r="BC13" s="46" t="s">
        <v>10106</v>
      </c>
      <c r="BD13" s="46"/>
      <c r="BE13" s="218" t="s">
        <v>7816</v>
      </c>
      <c r="BF13" s="218" t="s">
        <v>7817</v>
      </c>
      <c r="BG13" s="218" t="s">
        <v>7818</v>
      </c>
      <c r="BH13" s="218" t="s">
        <v>10100</v>
      </c>
      <c r="BI13" s="220" t="s">
        <v>10107</v>
      </c>
      <c r="BJ13" s="220" t="s">
        <v>10108</v>
      </c>
    </row>
    <row r="14" spans="1:63" x14ac:dyDescent="0.25">
      <c r="A14" s="42"/>
      <c r="B14" s="5">
        <v>46</v>
      </c>
      <c r="C14" s="422"/>
      <c r="D14" s="423"/>
      <c r="E14" s="423"/>
      <c r="F14" s="423"/>
      <c r="G14" s="423"/>
      <c r="H14" s="423"/>
      <c r="I14" s="424"/>
      <c r="J14" s="380"/>
      <c r="K14" s="380"/>
      <c r="L14" s="380"/>
      <c r="M14" s="380"/>
      <c r="N14" s="525" t="e">
        <f>INDEX(AMBIENTE!D$2:D$756,MATCH(R14,AMBIENTE!C$2:C$756,0))</f>
        <v>#N/A</v>
      </c>
      <c r="O14" s="525"/>
      <c r="P14" s="525"/>
      <c r="Q14" s="525"/>
      <c r="R14" s="428"/>
      <c r="S14" s="429"/>
      <c r="T14" s="429"/>
      <c r="U14" s="429"/>
      <c r="V14" s="429"/>
      <c r="W14" s="429"/>
      <c r="X14" s="430"/>
      <c r="Y14" s="374"/>
      <c r="Z14" s="375"/>
      <c r="AA14" s="375"/>
      <c r="AB14" s="375"/>
      <c r="AC14" s="376"/>
      <c r="AD14" s="357"/>
      <c r="AE14" s="358"/>
      <c r="AF14" s="359"/>
      <c r="AG14" s="372" t="str">
        <f>IFERROR(VLOOKUP(Item2[[#This Row],[Concatenado]],CITES[],2,FALSE),"")</f>
        <v/>
      </c>
      <c r="AH14" s="373"/>
      <c r="AI14" s="372" t="str">
        <f>IFERROR(VLOOKUP(Item2[[#This Row],[Concatenado]],SuscepEARs[],2,FALSE),"")</f>
        <v/>
      </c>
      <c r="AJ14" s="373"/>
      <c r="AK14" s="43"/>
      <c r="AL14" s="43"/>
      <c r="AM14" s="46">
        <v>46</v>
      </c>
      <c r="AN14" s="46" t="str">
        <f>CONCATENATE(R14," ",Y14)</f>
        <v xml:space="preserve"> </v>
      </c>
      <c r="AO14" s="46">
        <f t="shared" ref="AO14:AO58" si="0">C14</f>
        <v>0</v>
      </c>
      <c r="AP14" s="46">
        <f t="shared" ref="AP14:AP58" si="1">J14</f>
        <v>0</v>
      </c>
      <c r="AQ14" s="46" t="e">
        <f t="shared" ref="AQ14:AQ58" si="2">N14</f>
        <v>#N/A</v>
      </c>
      <c r="AR14" s="46">
        <f>SUMIF('Acuario (Arribado - mortalidad)'!$B$14:$B$90,ANEXO!B14,'Acuario (Arribado - mortalidad)'!$F$14:$F$90)</f>
        <v>0</v>
      </c>
      <c r="AS14" s="46" t="str">
        <f>IF(AR14&gt;0, IF(SUMIF('Acuario (Arribado - mortalidad)'!$B$14:$B$90,ANEXO!B14,'Acuario (Arribado - mortalidad)'!$K$14:$K$90)=0, "0", SUMIF('Acuario (Arribado - mortalidad)'!$B$14:$B$90,ANEXO!B14,'Acuario (Arribado - mortalidad)'!$K$14:$K$90)),"")</f>
        <v/>
      </c>
      <c r="AT14" s="46">
        <f>IF(AR14 = AS14,"0",SUMIF('Acuario (Arribado - mortalidad)'!$B$14:$B$90,ANEXO!B14,'Acuario (Arribado - mortalidad)'!$G$14:$G$90))</f>
        <v>0</v>
      </c>
      <c r="AU14" s="46" t="str">
        <f>IFERROR(Item2[[#This Row],[mortalidad acumulada]]/Item2[[#This Row],[cantidad arribada]],"")</f>
        <v/>
      </c>
      <c r="AV14" s="46">
        <f>IF(ISTEXT(R14),IF(Item2[[#This Row],[cantidad arribada]]=0,"No llega",Item2[[#This Row],[cantidad arribada]]),)</f>
        <v>0</v>
      </c>
      <c r="AW14" s="46"/>
      <c r="AX14" s="46">
        <f>SUMIF('Acuario (Arribado - mortalidad)'!$B$14:$B$90,ANEXO!B14,'Acuario (Arribado - mortalidad)'!$O$14:$O$90)</f>
        <v>0</v>
      </c>
      <c r="AY14" s="46">
        <f>SUMIF('Acuario (Arribado - mortalidad)'!$B$14:$B$90,ANEXO!B14,'Acuario (Arribado - mortalidad)'!$BG$14:$BG$90)</f>
        <v>0</v>
      </c>
      <c r="AZ14" s="46">
        <f>SUMIF('Acuario (Arribado - mortalidad)'!$B$14:$B$90,ANEXO!B14,'Acuario (Arribado - mortalidad)'!$BH$14:$BH$90)</f>
        <v>0</v>
      </c>
      <c r="BA14" s="46" t="str">
        <f>IFERROR(Item2[[#This Row],[Mortalidad dia 1]]/Item2[[#This Row],[cantidad arribada]],"")</f>
        <v/>
      </c>
      <c r="BB14" s="46" t="str">
        <f>IFERROR(Item2[[#This Row],[Mortalidad 2 a 8  (Sem 1)]]/Item2[[#This Row],[cantidad arribada]],"")</f>
        <v/>
      </c>
      <c r="BC14" s="46" t="str">
        <f>IFERROR(Item2[[#This Row],[Mortalidad 9 a 15 (Sem 2)]]/Item2[[#This Row],[cantidad arribada]],"")</f>
        <v/>
      </c>
      <c r="BD14" s="46"/>
      <c r="BE14" s="219">
        <f>SUMIF('Acuario (Arribado - mortalidad)'!$B$14:$B$90,ANEXO!B14,'Acuario (Arribado - mortalidad)'!$F$14:$F$90)</f>
        <v>0</v>
      </c>
      <c r="BF14" s="219">
        <f>SUMIF('Acuario (Arribado - mortalidad)'!$B$14:$B$90,ANEXO!B14,'Acuario (Arribado - mortalidad)'!$K$14:$K$90)</f>
        <v>0</v>
      </c>
      <c r="BG14" s="219">
        <f>SUMIF('Acuario (Arribado - mortalidad)'!$B$14:$B$90,ANEXO!B14,'Acuario (Arribado - mortalidad)'!$G$14:$G$90)</f>
        <v>0</v>
      </c>
      <c r="BH14" s="219">
        <f>SUMIF('Acuario (Arribado - mortalidad)'!$B$14:$B$90,ANEXO!B14,'Acuario (Arribado - mortalidad)'!$O$14:$O$90)</f>
        <v>0</v>
      </c>
      <c r="BI14" s="219">
        <f>SUMIF('Acuario (Arribado - mortalidad)'!$B$14:$B$90,ANEXO!B14,'Acuario (Arribado - mortalidad)'!$BG$14:$BG$90)</f>
        <v>0</v>
      </c>
      <c r="BJ14" s="219">
        <f>SUMIF('Acuario (Arribado - mortalidad)'!$B$14:$B$90,ANEXO!B14,'Acuario (Arribado - mortalidad)'!$BH$14:$BH$90)</f>
        <v>0</v>
      </c>
      <c r="BK14" s="49" t="str">
        <f>IFERROR(VLOOKUP(R14:AC14,#REF!,2,FALSE),"")</f>
        <v/>
      </c>
    </row>
    <row r="15" spans="1:63" x14ac:dyDescent="0.25">
      <c r="A15" s="42"/>
      <c r="B15" s="5">
        <v>47</v>
      </c>
      <c r="C15" s="422"/>
      <c r="D15" s="423"/>
      <c r="E15" s="423"/>
      <c r="F15" s="423"/>
      <c r="G15" s="423"/>
      <c r="H15" s="423"/>
      <c r="I15" s="424"/>
      <c r="J15" s="380"/>
      <c r="K15" s="380"/>
      <c r="L15" s="380"/>
      <c r="M15" s="380"/>
      <c r="N15" s="525" t="e">
        <f>INDEX(AMBIENTE!D$2:D$756,MATCH(R15,AMBIENTE!C$2:C$756,0))</f>
        <v>#N/A</v>
      </c>
      <c r="O15" s="525"/>
      <c r="P15" s="525"/>
      <c r="Q15" s="525"/>
      <c r="R15" s="428"/>
      <c r="S15" s="429"/>
      <c r="T15" s="429"/>
      <c r="U15" s="429"/>
      <c r="V15" s="429"/>
      <c r="W15" s="429"/>
      <c r="X15" s="430"/>
      <c r="Y15" s="374"/>
      <c r="Z15" s="375"/>
      <c r="AA15" s="375"/>
      <c r="AB15" s="375"/>
      <c r="AC15" s="376"/>
      <c r="AD15" s="357"/>
      <c r="AE15" s="358"/>
      <c r="AF15" s="359"/>
      <c r="AG15" s="372" t="str">
        <f>IFERROR(VLOOKUP(Item2[[#This Row],[Concatenado]],CITES[],2,FALSE),"")</f>
        <v/>
      </c>
      <c r="AH15" s="373"/>
      <c r="AI15" s="372" t="str">
        <f>IFERROR(VLOOKUP(Item2[[#This Row],[Concatenado]],SuscepEARs[],2,FALSE),"")</f>
        <v/>
      </c>
      <c r="AJ15" s="373"/>
      <c r="AK15" s="6"/>
      <c r="AL15" s="43"/>
      <c r="AM15" s="46">
        <v>47</v>
      </c>
      <c r="AN15" s="46" t="str">
        <f>CONCATENATE(R15," ",Y15)</f>
        <v xml:space="preserve"> </v>
      </c>
      <c r="AO15" s="46">
        <f t="shared" si="0"/>
        <v>0</v>
      </c>
      <c r="AP15" s="46">
        <f t="shared" si="1"/>
        <v>0</v>
      </c>
      <c r="AQ15" s="46" t="e">
        <f t="shared" si="2"/>
        <v>#N/A</v>
      </c>
      <c r="AR15" s="46">
        <f>SUMIF('Acuario (Arribado - mortalidad)'!$B$14:$B$90,ANEXO!B15,'Acuario (Arribado - mortalidad)'!$F$14:$F$90)</f>
        <v>0</v>
      </c>
      <c r="AS15" s="46" t="str">
        <f>IF(AR15&gt;0, IF(SUMIF('Acuario (Arribado - mortalidad)'!$B$14:$B$90,ANEXO!B15,'Acuario (Arribado - mortalidad)'!$K$14:$K$90)=0, "0", SUMIF('Acuario (Arribado - mortalidad)'!$B$14:$B$90,ANEXO!B15,'Acuario (Arribado - mortalidad)'!$K$14:$K$90)),"")</f>
        <v/>
      </c>
      <c r="AT15" s="46">
        <f>IF(AR15 = AS15,"0",SUMIF('Acuario (Arribado - mortalidad)'!$B$14:$B$90,ANEXO!B15,'Acuario (Arribado - mortalidad)'!$G$14:$G$90))</f>
        <v>0</v>
      </c>
      <c r="AU15" s="46" t="str">
        <f>IFERROR(Item2[[#This Row],[mortalidad acumulada]]/Item2[[#This Row],[cantidad arribada]],"")</f>
        <v/>
      </c>
      <c r="AV15" s="46">
        <f>IF(ISTEXT(R15),IF(Item2[[#This Row],[cantidad arribada]]=0,"No llega",Item2[[#This Row],[cantidad arribada]]),)</f>
        <v>0</v>
      </c>
      <c r="AW15" s="46"/>
      <c r="AX15" s="46">
        <f>SUMIF('Acuario (Arribado - mortalidad)'!$B$14:$B$90,ANEXO!B15,'Acuario (Arribado - mortalidad)'!$O$14:$O$90)</f>
        <v>0</v>
      </c>
      <c r="AY15" s="46">
        <f>SUMIF('Acuario (Arribado - mortalidad)'!$B$14:$B$90,ANEXO!B15,'Acuario (Arribado - mortalidad)'!$BG$14:$BG$90)</f>
        <v>0</v>
      </c>
      <c r="AZ15" s="46">
        <f>SUMIF('Acuario (Arribado - mortalidad)'!$B$14:$B$90,ANEXO!B15,'Acuario (Arribado - mortalidad)'!$BH$14:$BH$90)</f>
        <v>0</v>
      </c>
      <c r="BA15" s="46" t="str">
        <f>IFERROR(Item2[[#This Row],[Mortalidad dia 1]]/Item2[[#This Row],[cantidad arribada]],"")</f>
        <v/>
      </c>
      <c r="BB15" s="46" t="str">
        <f>IFERROR(Item2[[#This Row],[Mortalidad 2 a 8  (Sem 1)]]/Item2[[#This Row],[cantidad arribada]],"")</f>
        <v/>
      </c>
      <c r="BC15" s="46" t="str">
        <f>IFERROR(Item2[[#This Row],[Mortalidad 9 a 15 (Sem 2)]]/Item2[[#This Row],[cantidad arribada]],"")</f>
        <v/>
      </c>
      <c r="BD15" s="46"/>
      <c r="BE15" s="219">
        <f>SUMIF('Acuario (Arribado - mortalidad)'!$B$14:$B$90,ANEXO!B15,'Acuario (Arribado - mortalidad)'!$F$14:$F$90)</f>
        <v>0</v>
      </c>
      <c r="BF15" s="219">
        <f>SUMIF('Acuario (Arribado - mortalidad)'!$B$14:$B$90,ANEXO!B15,'Acuario (Arribado - mortalidad)'!$K$14:$K$90)</f>
        <v>0</v>
      </c>
      <c r="BG15" s="219">
        <f>SUMIF('Acuario (Arribado - mortalidad)'!$B$14:$B$90,ANEXO!B15,'Acuario (Arribado - mortalidad)'!$G$14:$G$90)</f>
        <v>0</v>
      </c>
      <c r="BH15" s="219">
        <f>SUMIF('Acuario (Arribado - mortalidad)'!$B$14:$B$90,ANEXO!B15,'Acuario (Arribado - mortalidad)'!$O$14:$O$90)</f>
        <v>0</v>
      </c>
      <c r="BI15" s="219">
        <f>SUMIF('Acuario (Arribado - mortalidad)'!$B$14:$B$90,ANEXO!B15,'Acuario (Arribado - mortalidad)'!$BG$14:$BG$90)</f>
        <v>0</v>
      </c>
      <c r="BJ15" s="219">
        <f>SUMIF('Acuario (Arribado - mortalidad)'!$B$14:$B$90,ANEXO!B15,'Acuario (Arribado - mortalidad)'!$BH$14:$BH$90)</f>
        <v>0</v>
      </c>
      <c r="BK15" s="49" t="str">
        <f>IFERROR(VLOOKUP(AN15,#REF!,2,FALSE),"")</f>
        <v/>
      </c>
    </row>
    <row r="16" spans="1:63" x14ac:dyDescent="0.25">
      <c r="A16" s="42"/>
      <c r="B16" s="5">
        <v>48</v>
      </c>
      <c r="C16" s="422"/>
      <c r="D16" s="423"/>
      <c r="E16" s="423"/>
      <c r="F16" s="423"/>
      <c r="G16" s="423"/>
      <c r="H16" s="423"/>
      <c r="I16" s="424"/>
      <c r="J16" s="380"/>
      <c r="K16" s="380"/>
      <c r="L16" s="380"/>
      <c r="M16" s="380"/>
      <c r="N16" s="525" t="e">
        <f>INDEX(AMBIENTE!D$2:D$756,MATCH(R16,AMBIENTE!C$2:C$756,0))</f>
        <v>#N/A</v>
      </c>
      <c r="O16" s="525"/>
      <c r="P16" s="525"/>
      <c r="Q16" s="525"/>
      <c r="R16" s="428"/>
      <c r="S16" s="429"/>
      <c r="T16" s="429"/>
      <c r="U16" s="429"/>
      <c r="V16" s="429"/>
      <c r="W16" s="429"/>
      <c r="X16" s="430"/>
      <c r="Y16" s="374"/>
      <c r="Z16" s="375"/>
      <c r="AA16" s="375"/>
      <c r="AB16" s="375"/>
      <c r="AC16" s="376"/>
      <c r="AD16" s="357"/>
      <c r="AE16" s="358"/>
      <c r="AF16" s="359"/>
      <c r="AG16" s="372" t="str">
        <f>IFERROR(VLOOKUP(Item2[[#This Row],[Concatenado]],CITES[],2,FALSE),"")</f>
        <v/>
      </c>
      <c r="AH16" s="373"/>
      <c r="AI16" s="372" t="str">
        <f>IFERROR(VLOOKUP(Item2[[#This Row],[Concatenado]],SuscepEARs[],2,FALSE),"")</f>
        <v/>
      </c>
      <c r="AJ16" s="373"/>
      <c r="AK16" s="6"/>
      <c r="AL16" s="43"/>
      <c r="AM16" s="46">
        <v>48</v>
      </c>
      <c r="AN16" s="46" t="str">
        <f t="shared" ref="AN16:AN58" si="3">CONCATENATE(R16," ",Y16)</f>
        <v xml:space="preserve"> </v>
      </c>
      <c r="AO16" s="46">
        <f t="shared" si="0"/>
        <v>0</v>
      </c>
      <c r="AP16" s="46">
        <f t="shared" si="1"/>
        <v>0</v>
      </c>
      <c r="AQ16" s="46" t="e">
        <f t="shared" si="2"/>
        <v>#N/A</v>
      </c>
      <c r="AR16" s="46">
        <f>SUMIF('Acuario (Arribado - mortalidad)'!$B$14:$B$90,ANEXO!B16,'Acuario (Arribado - mortalidad)'!$F$14:$F$90)</f>
        <v>0</v>
      </c>
      <c r="AS16" s="46" t="str">
        <f>IF(AR16&gt;0, IF(SUMIF('Acuario (Arribado - mortalidad)'!$B$14:$B$90,ANEXO!B16,'Acuario (Arribado - mortalidad)'!$K$14:$K$90)=0, "0", SUMIF('Acuario (Arribado - mortalidad)'!$B$14:$B$90,ANEXO!B16,'Acuario (Arribado - mortalidad)'!$K$14:$K$90)),"")</f>
        <v/>
      </c>
      <c r="AT16" s="46">
        <f>IF(AR16 = AS16,"0",SUMIF('Acuario (Arribado - mortalidad)'!$B$14:$B$90,ANEXO!B16,'Acuario (Arribado - mortalidad)'!$G$14:$G$90))</f>
        <v>0</v>
      </c>
      <c r="AU16" s="46" t="str">
        <f>IFERROR(Item2[[#This Row],[mortalidad acumulada]]/Item2[[#This Row],[cantidad arribada]],"")</f>
        <v/>
      </c>
      <c r="AV16" s="46">
        <f>IF(ISTEXT(R16),IF(Item2[[#This Row],[cantidad arribada]]=0,"No llega",Item2[[#This Row],[cantidad arribada]]),)</f>
        <v>0</v>
      </c>
      <c r="AW16" s="46"/>
      <c r="AX16" s="46">
        <f>SUMIF('Acuario (Arribado - mortalidad)'!$B$14:$B$90,ANEXO!B16,'Acuario (Arribado - mortalidad)'!$O$14:$O$90)</f>
        <v>0</v>
      </c>
      <c r="AY16" s="46">
        <f>SUMIF('Acuario (Arribado - mortalidad)'!$B$14:$B$90,ANEXO!B16,'Acuario (Arribado - mortalidad)'!$BG$14:$BG$90)</f>
        <v>0</v>
      </c>
      <c r="AZ16" s="46">
        <f>SUMIF('Acuario (Arribado - mortalidad)'!$B$14:$B$90,ANEXO!B16,'Acuario (Arribado - mortalidad)'!$BH$14:$BH$90)</f>
        <v>0</v>
      </c>
      <c r="BA16" s="46" t="str">
        <f>IFERROR(Item2[[#This Row],[Mortalidad dia 1]]/Item2[[#This Row],[cantidad arribada]],"")</f>
        <v/>
      </c>
      <c r="BB16" s="46" t="str">
        <f>IFERROR(Item2[[#This Row],[Mortalidad 2 a 8  (Sem 1)]]/Item2[[#This Row],[cantidad arribada]],"")</f>
        <v/>
      </c>
      <c r="BC16" s="46" t="str">
        <f>IFERROR(Item2[[#This Row],[Mortalidad 9 a 15 (Sem 2)]]/Item2[[#This Row],[cantidad arribada]],"")</f>
        <v/>
      </c>
      <c r="BD16" s="46"/>
      <c r="BE16" s="219">
        <f>SUMIF('Acuario (Arribado - mortalidad)'!$B$14:$B$90,ANEXO!B16,'Acuario (Arribado - mortalidad)'!$F$14:$F$90)</f>
        <v>0</v>
      </c>
      <c r="BF16" s="219">
        <f>SUMIF('Acuario (Arribado - mortalidad)'!$B$14:$B$90,ANEXO!B16,'Acuario (Arribado - mortalidad)'!$K$14:$K$90)</f>
        <v>0</v>
      </c>
      <c r="BG16" s="219">
        <f>SUMIF('Acuario (Arribado - mortalidad)'!$B$14:$B$90,ANEXO!B16,'Acuario (Arribado - mortalidad)'!$G$14:$G$90)</f>
        <v>0</v>
      </c>
      <c r="BH16" s="219">
        <f>SUMIF('Acuario (Arribado - mortalidad)'!$B$14:$B$90,ANEXO!B16,'Acuario (Arribado - mortalidad)'!$O$14:$O$90)</f>
        <v>0</v>
      </c>
      <c r="BI16" s="219">
        <f>SUMIF('Acuario (Arribado - mortalidad)'!$B$14:$B$90,ANEXO!B16,'Acuario (Arribado - mortalidad)'!$BG$14:$BG$90)</f>
        <v>0</v>
      </c>
      <c r="BJ16" s="219">
        <f>SUMIF('Acuario (Arribado - mortalidad)'!$B$14:$B$90,ANEXO!B16,'Acuario (Arribado - mortalidad)'!$BH$14:$BH$90)</f>
        <v>0</v>
      </c>
      <c r="BK16" s="49" t="str">
        <f>IFERROR(VLOOKUP(AN16,#REF!,2,FALSE),"")</f>
        <v/>
      </c>
    </row>
    <row r="17" spans="1:63" x14ac:dyDescent="0.25">
      <c r="A17" s="42"/>
      <c r="B17" s="5">
        <v>49</v>
      </c>
      <c r="C17" s="422"/>
      <c r="D17" s="423"/>
      <c r="E17" s="423"/>
      <c r="F17" s="423"/>
      <c r="G17" s="423"/>
      <c r="H17" s="423"/>
      <c r="I17" s="424"/>
      <c r="J17" s="380"/>
      <c r="K17" s="380"/>
      <c r="L17" s="380"/>
      <c r="M17" s="380"/>
      <c r="N17" s="525" t="e">
        <f>INDEX(AMBIENTE!D$2:D$756,MATCH(R17,AMBIENTE!C$2:C$756,0))</f>
        <v>#N/A</v>
      </c>
      <c r="O17" s="525"/>
      <c r="P17" s="525"/>
      <c r="Q17" s="525"/>
      <c r="R17" s="428"/>
      <c r="S17" s="429"/>
      <c r="T17" s="429"/>
      <c r="U17" s="429"/>
      <c r="V17" s="429"/>
      <c r="W17" s="429"/>
      <c r="X17" s="430"/>
      <c r="Y17" s="374"/>
      <c r="Z17" s="375"/>
      <c r="AA17" s="375"/>
      <c r="AB17" s="375"/>
      <c r="AC17" s="376"/>
      <c r="AD17" s="357"/>
      <c r="AE17" s="358"/>
      <c r="AF17" s="359"/>
      <c r="AG17" s="372" t="str">
        <f>IFERROR(VLOOKUP(Item2[[#This Row],[Concatenado]],CITES[],2,FALSE),"")</f>
        <v/>
      </c>
      <c r="AH17" s="373"/>
      <c r="AI17" s="372" t="str">
        <f>IFERROR(VLOOKUP(Item2[[#This Row],[Concatenado]],SuscepEARs[],2,FALSE),"")</f>
        <v/>
      </c>
      <c r="AJ17" s="373"/>
      <c r="AK17" s="6"/>
      <c r="AL17" s="43"/>
      <c r="AM17" s="46">
        <v>49</v>
      </c>
      <c r="AN17" s="46" t="str">
        <f t="shared" si="3"/>
        <v xml:space="preserve"> </v>
      </c>
      <c r="AO17" s="46">
        <f t="shared" si="0"/>
        <v>0</v>
      </c>
      <c r="AP17" s="46">
        <f t="shared" si="1"/>
        <v>0</v>
      </c>
      <c r="AQ17" s="46" t="e">
        <f t="shared" si="2"/>
        <v>#N/A</v>
      </c>
      <c r="AR17" s="46">
        <f>SUMIF('Acuario (Arribado - mortalidad)'!$B$14:$B$90,ANEXO!B17,'Acuario (Arribado - mortalidad)'!$F$14:$F$90)</f>
        <v>0</v>
      </c>
      <c r="AS17" s="46" t="str">
        <f>IF(AR17&gt;0, IF(SUMIF('Acuario (Arribado - mortalidad)'!$B$14:$B$90,ANEXO!B17,'Acuario (Arribado - mortalidad)'!$K$14:$K$90)=0, "0", SUMIF('Acuario (Arribado - mortalidad)'!$B$14:$B$90,ANEXO!B17,'Acuario (Arribado - mortalidad)'!$K$14:$K$90)),"")</f>
        <v/>
      </c>
      <c r="AT17" s="46">
        <f>IF(AR17 = AS17,"0",SUMIF('Acuario (Arribado - mortalidad)'!$B$14:$B$90,ANEXO!B17,'Acuario (Arribado - mortalidad)'!$G$14:$G$90))</f>
        <v>0</v>
      </c>
      <c r="AU17" s="46" t="str">
        <f>IFERROR(Item2[[#This Row],[mortalidad acumulada]]/Item2[[#This Row],[cantidad arribada]],"")</f>
        <v/>
      </c>
      <c r="AV17" s="46">
        <f>IF(ISTEXT(R17),IF(Item2[[#This Row],[cantidad arribada]]=0,"No llega",Item2[[#This Row],[cantidad arribada]]),)</f>
        <v>0</v>
      </c>
      <c r="AW17" s="46"/>
      <c r="AX17" s="46">
        <f>SUMIF('Acuario (Arribado - mortalidad)'!$B$14:$B$90,ANEXO!B17,'Acuario (Arribado - mortalidad)'!$O$14:$O$90)</f>
        <v>0</v>
      </c>
      <c r="AY17" s="46">
        <f>SUMIF('Acuario (Arribado - mortalidad)'!$B$14:$B$90,ANEXO!B17,'Acuario (Arribado - mortalidad)'!$BG$14:$BG$90)</f>
        <v>0</v>
      </c>
      <c r="AZ17" s="46">
        <f>SUMIF('Acuario (Arribado - mortalidad)'!$B$14:$B$90,ANEXO!B17,'Acuario (Arribado - mortalidad)'!$BH$14:$BH$90)</f>
        <v>0</v>
      </c>
      <c r="BA17" s="46" t="str">
        <f>IFERROR(Item2[[#This Row],[Mortalidad dia 1]]/Item2[[#This Row],[cantidad arribada]],"")</f>
        <v/>
      </c>
      <c r="BB17" s="46" t="str">
        <f>IFERROR(Item2[[#This Row],[Mortalidad 2 a 8  (Sem 1)]]/Item2[[#This Row],[cantidad arribada]],"")</f>
        <v/>
      </c>
      <c r="BC17" s="46" t="str">
        <f>IFERROR(Item2[[#This Row],[Mortalidad 9 a 15 (Sem 2)]]/Item2[[#This Row],[cantidad arribada]],"")</f>
        <v/>
      </c>
      <c r="BD17" s="46"/>
      <c r="BE17" s="219">
        <f>SUMIF('Acuario (Arribado - mortalidad)'!$B$14:$B$90,ANEXO!B17,'Acuario (Arribado - mortalidad)'!$F$14:$F$90)</f>
        <v>0</v>
      </c>
      <c r="BF17" s="219">
        <f>SUMIF('Acuario (Arribado - mortalidad)'!$B$14:$B$90,ANEXO!B17,'Acuario (Arribado - mortalidad)'!$K$14:$K$90)</f>
        <v>0</v>
      </c>
      <c r="BG17" s="219">
        <f>SUMIF('Acuario (Arribado - mortalidad)'!$B$14:$B$90,ANEXO!B17,'Acuario (Arribado - mortalidad)'!$G$14:$G$90)</f>
        <v>0</v>
      </c>
      <c r="BH17" s="219">
        <f>SUMIF('Acuario (Arribado - mortalidad)'!$B$14:$B$90,ANEXO!B17,'Acuario (Arribado - mortalidad)'!$O$14:$O$90)</f>
        <v>0</v>
      </c>
      <c r="BI17" s="219">
        <f>SUMIF('Acuario (Arribado - mortalidad)'!$B$14:$B$90,ANEXO!B17,'Acuario (Arribado - mortalidad)'!$BG$14:$BG$90)</f>
        <v>0</v>
      </c>
      <c r="BJ17" s="219">
        <f>SUMIF('Acuario (Arribado - mortalidad)'!$B$14:$B$90,ANEXO!B17,'Acuario (Arribado - mortalidad)'!$BH$14:$BH$90)</f>
        <v>0</v>
      </c>
      <c r="BK17" s="49" t="str">
        <f>IFERROR(VLOOKUP(AN17,#REF!,2,FALSE),"")</f>
        <v/>
      </c>
    </row>
    <row r="18" spans="1:63" x14ac:dyDescent="0.25">
      <c r="A18" s="42"/>
      <c r="B18" s="5">
        <v>50</v>
      </c>
      <c r="C18" s="422"/>
      <c r="D18" s="423"/>
      <c r="E18" s="423"/>
      <c r="F18" s="423"/>
      <c r="G18" s="423"/>
      <c r="H18" s="423"/>
      <c r="I18" s="424"/>
      <c r="J18" s="380"/>
      <c r="K18" s="380"/>
      <c r="L18" s="380"/>
      <c r="M18" s="380"/>
      <c r="N18" s="525" t="e">
        <f>INDEX(AMBIENTE!D$2:D$756,MATCH(R18,AMBIENTE!C$2:C$756,0))</f>
        <v>#N/A</v>
      </c>
      <c r="O18" s="525"/>
      <c r="P18" s="525"/>
      <c r="Q18" s="525"/>
      <c r="R18" s="428"/>
      <c r="S18" s="429"/>
      <c r="T18" s="429"/>
      <c r="U18" s="429"/>
      <c r="V18" s="429"/>
      <c r="W18" s="429"/>
      <c r="X18" s="430"/>
      <c r="Y18" s="374"/>
      <c r="Z18" s="375"/>
      <c r="AA18" s="375"/>
      <c r="AB18" s="375"/>
      <c r="AC18" s="376"/>
      <c r="AD18" s="357"/>
      <c r="AE18" s="358"/>
      <c r="AF18" s="359"/>
      <c r="AG18" s="372" t="str">
        <f>IFERROR(VLOOKUP(Item2[[#This Row],[Concatenado]],CITES[],2,FALSE),"")</f>
        <v/>
      </c>
      <c r="AH18" s="373"/>
      <c r="AI18" s="372" t="str">
        <f>IFERROR(VLOOKUP(Item2[[#This Row],[Concatenado]],SuscepEARs[],2,FALSE),"")</f>
        <v/>
      </c>
      <c r="AJ18" s="373"/>
      <c r="AK18" s="6"/>
      <c r="AL18" s="43"/>
      <c r="AM18" s="46">
        <v>50</v>
      </c>
      <c r="AN18" s="46" t="str">
        <f t="shared" si="3"/>
        <v xml:space="preserve"> </v>
      </c>
      <c r="AO18" s="46">
        <f t="shared" si="0"/>
        <v>0</v>
      </c>
      <c r="AP18" s="46">
        <f t="shared" si="1"/>
        <v>0</v>
      </c>
      <c r="AQ18" s="46" t="e">
        <f t="shared" si="2"/>
        <v>#N/A</v>
      </c>
      <c r="AR18" s="46">
        <f>SUMIF('Acuario (Arribado - mortalidad)'!$B$14:$B$90,ANEXO!B18,'Acuario (Arribado - mortalidad)'!$F$14:$F$90)</f>
        <v>0</v>
      </c>
      <c r="AS18" s="46" t="str">
        <f>IF(AR18&gt;0, IF(SUMIF('Acuario (Arribado - mortalidad)'!$B$14:$B$90,ANEXO!B18,'Acuario (Arribado - mortalidad)'!$K$14:$K$90)=0, "0", SUMIF('Acuario (Arribado - mortalidad)'!$B$14:$B$90,ANEXO!B18,'Acuario (Arribado - mortalidad)'!$K$14:$K$90)),"")</f>
        <v/>
      </c>
      <c r="AT18" s="46">
        <f>IF(AR18 = AS18,"0",SUMIF('Acuario (Arribado - mortalidad)'!$B$14:$B$90,ANEXO!B18,'Acuario (Arribado - mortalidad)'!$G$14:$G$90))</f>
        <v>0</v>
      </c>
      <c r="AU18" s="46" t="str">
        <f>IFERROR(Item2[[#This Row],[mortalidad acumulada]]/Item2[[#This Row],[cantidad arribada]],"")</f>
        <v/>
      </c>
      <c r="AV18" s="46">
        <f>IF(ISTEXT(R18),IF(Item2[[#This Row],[cantidad arribada]]=0,"No llega",Item2[[#This Row],[cantidad arribada]]),)</f>
        <v>0</v>
      </c>
      <c r="AW18" s="46"/>
      <c r="AX18" s="46">
        <f>SUMIF('Acuario (Arribado - mortalidad)'!$B$14:$B$90,ANEXO!B18,'Acuario (Arribado - mortalidad)'!$O$14:$O$90)</f>
        <v>0</v>
      </c>
      <c r="AY18" s="46">
        <f>SUMIF('Acuario (Arribado - mortalidad)'!$B$14:$B$90,ANEXO!B18,'Acuario (Arribado - mortalidad)'!$BG$14:$BG$90)</f>
        <v>0</v>
      </c>
      <c r="AZ18" s="46">
        <f>SUMIF('Acuario (Arribado - mortalidad)'!$B$14:$B$90,ANEXO!B18,'Acuario (Arribado - mortalidad)'!$BH$14:$BH$90)</f>
        <v>0</v>
      </c>
      <c r="BA18" s="46" t="str">
        <f>IFERROR(Item2[[#This Row],[Mortalidad dia 1]]/Item2[[#This Row],[cantidad arribada]],"")</f>
        <v/>
      </c>
      <c r="BB18" s="46" t="str">
        <f>IFERROR(Item2[[#This Row],[Mortalidad 2 a 8  (Sem 1)]]/Item2[[#This Row],[cantidad arribada]],"")</f>
        <v/>
      </c>
      <c r="BC18" s="46" t="str">
        <f>IFERROR(Item2[[#This Row],[Mortalidad 9 a 15 (Sem 2)]]/Item2[[#This Row],[cantidad arribada]],"")</f>
        <v/>
      </c>
      <c r="BD18" s="46"/>
      <c r="BE18" s="219">
        <f>SUMIF('Acuario (Arribado - mortalidad)'!$B$14:$B$90,ANEXO!B18,'Acuario (Arribado - mortalidad)'!$F$14:$F$90)</f>
        <v>0</v>
      </c>
      <c r="BF18" s="219">
        <f>SUMIF('Acuario (Arribado - mortalidad)'!$B$14:$B$90,ANEXO!B18,'Acuario (Arribado - mortalidad)'!$K$14:$K$90)</f>
        <v>0</v>
      </c>
      <c r="BG18" s="219">
        <f>SUMIF('Acuario (Arribado - mortalidad)'!$B$14:$B$90,ANEXO!B18,'Acuario (Arribado - mortalidad)'!$G$14:$G$90)</f>
        <v>0</v>
      </c>
      <c r="BH18" s="219">
        <f>SUMIF('Acuario (Arribado - mortalidad)'!$B$14:$B$90,ANEXO!B18,'Acuario (Arribado - mortalidad)'!$O$14:$O$90)</f>
        <v>0</v>
      </c>
      <c r="BI18" s="219">
        <f>SUMIF('Acuario (Arribado - mortalidad)'!$B$14:$B$90,ANEXO!B18,'Acuario (Arribado - mortalidad)'!$BG$14:$BG$90)</f>
        <v>0</v>
      </c>
      <c r="BJ18" s="219">
        <f>SUMIF('Acuario (Arribado - mortalidad)'!$B$14:$B$90,ANEXO!B18,'Acuario (Arribado - mortalidad)'!$BH$14:$BH$90)</f>
        <v>0</v>
      </c>
      <c r="BK18" s="49" t="str">
        <f>IFERROR(VLOOKUP(AN18,#REF!,2,FALSE),"")</f>
        <v/>
      </c>
    </row>
    <row r="19" spans="1:63" x14ac:dyDescent="0.25">
      <c r="A19" s="42"/>
      <c r="B19" s="5">
        <v>51</v>
      </c>
      <c r="C19" s="422"/>
      <c r="D19" s="423"/>
      <c r="E19" s="423"/>
      <c r="F19" s="423"/>
      <c r="G19" s="423"/>
      <c r="H19" s="423"/>
      <c r="I19" s="424"/>
      <c r="J19" s="380"/>
      <c r="K19" s="380"/>
      <c r="L19" s="380"/>
      <c r="M19" s="380"/>
      <c r="N19" s="525" t="e">
        <f>INDEX(AMBIENTE!D$2:D$756,MATCH(R19,AMBIENTE!C$2:C$756,0))</f>
        <v>#N/A</v>
      </c>
      <c r="O19" s="525"/>
      <c r="P19" s="525"/>
      <c r="Q19" s="525"/>
      <c r="R19" s="428"/>
      <c r="S19" s="429"/>
      <c r="T19" s="429"/>
      <c r="U19" s="429"/>
      <c r="V19" s="429"/>
      <c r="W19" s="429"/>
      <c r="X19" s="430"/>
      <c r="Y19" s="374"/>
      <c r="Z19" s="375"/>
      <c r="AA19" s="375"/>
      <c r="AB19" s="375"/>
      <c r="AC19" s="376"/>
      <c r="AD19" s="357"/>
      <c r="AE19" s="358"/>
      <c r="AF19" s="359"/>
      <c r="AG19" s="372" t="str">
        <f>IFERROR(VLOOKUP(Item2[[#This Row],[Concatenado]],CITES[],2,FALSE),"")</f>
        <v/>
      </c>
      <c r="AH19" s="373"/>
      <c r="AI19" s="372" t="str">
        <f>IFERROR(VLOOKUP(Item2[[#This Row],[Concatenado]],SuscepEARs[],2,FALSE),"")</f>
        <v/>
      </c>
      <c r="AJ19" s="373"/>
      <c r="AK19" s="6"/>
      <c r="AL19" s="43"/>
      <c r="AM19" s="46">
        <v>51</v>
      </c>
      <c r="AN19" s="46" t="str">
        <f t="shared" si="3"/>
        <v xml:space="preserve"> </v>
      </c>
      <c r="AO19" s="46">
        <f t="shared" si="0"/>
        <v>0</v>
      </c>
      <c r="AP19" s="46">
        <f t="shared" si="1"/>
        <v>0</v>
      </c>
      <c r="AQ19" s="46" t="e">
        <f t="shared" si="2"/>
        <v>#N/A</v>
      </c>
      <c r="AR19" s="46">
        <f>SUMIF('Acuario (Arribado - mortalidad)'!$B$14:$B$90,ANEXO!B19,'Acuario (Arribado - mortalidad)'!$F$14:$F$90)</f>
        <v>0</v>
      </c>
      <c r="AS19" s="46" t="str">
        <f>IF(AR19&gt;0, IF(SUMIF('Acuario (Arribado - mortalidad)'!$B$14:$B$90,ANEXO!B19,'Acuario (Arribado - mortalidad)'!$K$14:$K$90)=0, "0", SUMIF('Acuario (Arribado - mortalidad)'!$B$14:$B$90,ANEXO!B19,'Acuario (Arribado - mortalidad)'!$K$14:$K$90)),"")</f>
        <v/>
      </c>
      <c r="AT19" s="46">
        <f>IF(AR19 = AS19,"0",SUMIF('Acuario (Arribado - mortalidad)'!$B$14:$B$90,ANEXO!B19,'Acuario (Arribado - mortalidad)'!$G$14:$G$90))</f>
        <v>0</v>
      </c>
      <c r="AU19" s="46" t="str">
        <f>IFERROR(Item2[[#This Row],[mortalidad acumulada]]/Item2[[#This Row],[cantidad arribada]],"")</f>
        <v/>
      </c>
      <c r="AV19" s="46">
        <f>IF(ISTEXT(R19),IF(Item2[[#This Row],[cantidad arribada]]=0,"No llega",Item2[[#This Row],[cantidad arribada]]),)</f>
        <v>0</v>
      </c>
      <c r="AW19" s="46"/>
      <c r="AX19" s="46">
        <f>SUMIF('Acuario (Arribado - mortalidad)'!$B$14:$B$90,ANEXO!B19,'Acuario (Arribado - mortalidad)'!$O$14:$O$90)</f>
        <v>0</v>
      </c>
      <c r="AY19" s="46">
        <f>SUMIF('Acuario (Arribado - mortalidad)'!$B$14:$B$90,ANEXO!B19,'Acuario (Arribado - mortalidad)'!$BG$14:$BG$90)</f>
        <v>0</v>
      </c>
      <c r="AZ19" s="46">
        <f>SUMIF('Acuario (Arribado - mortalidad)'!$B$14:$B$90,ANEXO!B19,'Acuario (Arribado - mortalidad)'!$BH$14:$BH$90)</f>
        <v>0</v>
      </c>
      <c r="BA19" s="46" t="str">
        <f>IFERROR(Item2[[#This Row],[Mortalidad dia 1]]/Item2[[#This Row],[cantidad arribada]],"")</f>
        <v/>
      </c>
      <c r="BB19" s="46" t="str">
        <f>IFERROR(Item2[[#This Row],[Mortalidad 2 a 8  (Sem 1)]]/Item2[[#This Row],[cantidad arribada]],"")</f>
        <v/>
      </c>
      <c r="BC19" s="46" t="str">
        <f>IFERROR(Item2[[#This Row],[Mortalidad 9 a 15 (Sem 2)]]/Item2[[#This Row],[cantidad arribada]],"")</f>
        <v/>
      </c>
      <c r="BD19" s="46"/>
      <c r="BE19" s="219">
        <f>SUMIF('Acuario (Arribado - mortalidad)'!$B$14:$B$90,ANEXO!B19,'Acuario (Arribado - mortalidad)'!$F$14:$F$90)</f>
        <v>0</v>
      </c>
      <c r="BF19" s="219">
        <f>SUMIF('Acuario (Arribado - mortalidad)'!$B$14:$B$90,ANEXO!B19,'Acuario (Arribado - mortalidad)'!$K$14:$K$90)</f>
        <v>0</v>
      </c>
      <c r="BG19" s="219">
        <f>SUMIF('Acuario (Arribado - mortalidad)'!$B$14:$B$90,ANEXO!B19,'Acuario (Arribado - mortalidad)'!$G$14:$G$90)</f>
        <v>0</v>
      </c>
      <c r="BH19" s="219">
        <f>SUMIF('Acuario (Arribado - mortalidad)'!$B$14:$B$90,ANEXO!B19,'Acuario (Arribado - mortalidad)'!$O$14:$O$90)</f>
        <v>0</v>
      </c>
      <c r="BI19" s="219">
        <f>SUMIF('Acuario (Arribado - mortalidad)'!$B$14:$B$90,ANEXO!B19,'Acuario (Arribado - mortalidad)'!$BG$14:$BG$90)</f>
        <v>0</v>
      </c>
      <c r="BJ19" s="219">
        <f>SUMIF('Acuario (Arribado - mortalidad)'!$B$14:$B$90,ANEXO!B19,'Acuario (Arribado - mortalidad)'!$BH$14:$BH$90)</f>
        <v>0</v>
      </c>
      <c r="BK19" s="49" t="str">
        <f>IFERROR(VLOOKUP(AN19,#REF!,2,FALSE),"")</f>
        <v/>
      </c>
    </row>
    <row r="20" spans="1:63" x14ac:dyDescent="0.25">
      <c r="A20" s="42"/>
      <c r="B20" s="5">
        <v>52</v>
      </c>
      <c r="C20" s="422"/>
      <c r="D20" s="423"/>
      <c r="E20" s="423"/>
      <c r="F20" s="423"/>
      <c r="G20" s="423"/>
      <c r="H20" s="423"/>
      <c r="I20" s="424"/>
      <c r="J20" s="422"/>
      <c r="K20" s="423"/>
      <c r="L20" s="423"/>
      <c r="M20" s="424"/>
      <c r="N20" s="525" t="e">
        <f>INDEX(AMBIENTE!D$2:D$756,MATCH(R20,AMBIENTE!C$2:C$756,0))</f>
        <v>#N/A</v>
      </c>
      <c r="O20" s="525"/>
      <c r="P20" s="525"/>
      <c r="Q20" s="525"/>
      <c r="R20" s="428"/>
      <c r="S20" s="429"/>
      <c r="T20" s="429"/>
      <c r="U20" s="429"/>
      <c r="V20" s="429"/>
      <c r="W20" s="429"/>
      <c r="X20" s="430"/>
      <c r="Y20" s="374"/>
      <c r="Z20" s="375"/>
      <c r="AA20" s="375"/>
      <c r="AB20" s="375"/>
      <c r="AC20" s="376"/>
      <c r="AD20" s="357"/>
      <c r="AE20" s="358"/>
      <c r="AF20" s="359"/>
      <c r="AG20" s="372" t="str">
        <f>IFERROR(VLOOKUP(Item2[[#This Row],[Concatenado]],CITES[],2,FALSE),"")</f>
        <v/>
      </c>
      <c r="AH20" s="373"/>
      <c r="AI20" s="372" t="str">
        <f>IFERROR(VLOOKUP(Item2[[#This Row],[Concatenado]],SuscepEARs[],2,FALSE),"")</f>
        <v/>
      </c>
      <c r="AJ20" s="373"/>
      <c r="AK20" s="6"/>
      <c r="AL20" s="43"/>
      <c r="AM20" s="46">
        <v>52</v>
      </c>
      <c r="AN20" s="46" t="str">
        <f t="shared" si="3"/>
        <v xml:space="preserve"> </v>
      </c>
      <c r="AO20" s="46">
        <f t="shared" si="0"/>
        <v>0</v>
      </c>
      <c r="AP20" s="46">
        <f t="shared" si="1"/>
        <v>0</v>
      </c>
      <c r="AQ20" s="46" t="e">
        <f t="shared" si="2"/>
        <v>#N/A</v>
      </c>
      <c r="AR20" s="46">
        <f>SUMIF('Acuario (Arribado - mortalidad)'!$B$14:$B$90,ANEXO!B20,'Acuario (Arribado - mortalidad)'!$F$14:$F$90)</f>
        <v>0</v>
      </c>
      <c r="AS20" s="46" t="str">
        <f>IF(AR20&gt;0, IF(SUMIF('Acuario (Arribado - mortalidad)'!$B$14:$B$90,ANEXO!B20,'Acuario (Arribado - mortalidad)'!$K$14:$K$90)=0, "0", SUMIF('Acuario (Arribado - mortalidad)'!$B$14:$B$90,ANEXO!B20,'Acuario (Arribado - mortalidad)'!$K$14:$K$90)),"")</f>
        <v/>
      </c>
      <c r="AT20" s="46">
        <f>IF(AR20 = AS20,"0",SUMIF('Acuario (Arribado - mortalidad)'!$B$14:$B$90,ANEXO!B20,'Acuario (Arribado - mortalidad)'!$G$14:$G$90))</f>
        <v>0</v>
      </c>
      <c r="AU20" s="46" t="str">
        <f>IFERROR(Item2[[#This Row],[mortalidad acumulada]]/Item2[[#This Row],[cantidad arribada]],"")</f>
        <v/>
      </c>
      <c r="AV20" s="46">
        <f>IF(ISTEXT(R20),IF(Item2[[#This Row],[cantidad arribada]]=0,"No llega",Item2[[#This Row],[cantidad arribada]]),)</f>
        <v>0</v>
      </c>
      <c r="AW20" s="46"/>
      <c r="AX20" s="46">
        <f>SUMIF('Acuario (Arribado - mortalidad)'!$B$14:$B$90,ANEXO!B20,'Acuario (Arribado - mortalidad)'!$O$14:$O$90)</f>
        <v>0</v>
      </c>
      <c r="AY20" s="46">
        <f>SUMIF('Acuario (Arribado - mortalidad)'!$B$14:$B$90,ANEXO!B20,'Acuario (Arribado - mortalidad)'!$BG$14:$BG$90)</f>
        <v>0</v>
      </c>
      <c r="AZ20" s="46">
        <f>SUMIF('Acuario (Arribado - mortalidad)'!$B$14:$B$90,ANEXO!B20,'Acuario (Arribado - mortalidad)'!$BH$14:$BH$90)</f>
        <v>0</v>
      </c>
      <c r="BA20" s="46" t="str">
        <f>IFERROR(Item2[[#This Row],[Mortalidad dia 1]]/Item2[[#This Row],[cantidad arribada]],"")</f>
        <v/>
      </c>
      <c r="BB20" s="46" t="str">
        <f>IFERROR(Item2[[#This Row],[Mortalidad 2 a 8  (Sem 1)]]/Item2[[#This Row],[cantidad arribada]],"")</f>
        <v/>
      </c>
      <c r="BC20" s="46" t="str">
        <f>IFERROR(Item2[[#This Row],[Mortalidad 9 a 15 (Sem 2)]]/Item2[[#This Row],[cantidad arribada]],"")</f>
        <v/>
      </c>
      <c r="BD20" s="46"/>
      <c r="BE20" s="219">
        <f>SUMIF('Acuario (Arribado - mortalidad)'!$B$14:$B$90,ANEXO!B20,'Acuario (Arribado - mortalidad)'!$F$14:$F$90)</f>
        <v>0</v>
      </c>
      <c r="BF20" s="219">
        <f>SUMIF('Acuario (Arribado - mortalidad)'!$B$14:$B$90,ANEXO!B20,'Acuario (Arribado - mortalidad)'!$K$14:$K$90)</f>
        <v>0</v>
      </c>
      <c r="BG20" s="219">
        <f>SUMIF('Acuario (Arribado - mortalidad)'!$B$14:$B$90,ANEXO!B20,'Acuario (Arribado - mortalidad)'!$G$14:$G$90)</f>
        <v>0</v>
      </c>
      <c r="BH20" s="219">
        <f>SUMIF('Acuario (Arribado - mortalidad)'!$B$14:$B$90,ANEXO!B20,'Acuario (Arribado - mortalidad)'!$O$14:$O$90)</f>
        <v>0</v>
      </c>
      <c r="BI20" s="219">
        <f>SUMIF('Acuario (Arribado - mortalidad)'!$B$14:$B$90,ANEXO!B20,'Acuario (Arribado - mortalidad)'!$BG$14:$BG$90)</f>
        <v>0</v>
      </c>
      <c r="BJ20" s="219">
        <f>SUMIF('Acuario (Arribado - mortalidad)'!$B$14:$B$90,ANEXO!B20,'Acuario (Arribado - mortalidad)'!$BH$14:$BH$90)</f>
        <v>0</v>
      </c>
      <c r="BK20" s="49" t="str">
        <f>IFERROR(VLOOKUP(AN20,#REF!,2,FALSE),"")</f>
        <v/>
      </c>
    </row>
    <row r="21" spans="1:63" x14ac:dyDescent="0.25">
      <c r="A21" s="42"/>
      <c r="B21" s="5">
        <v>53</v>
      </c>
      <c r="C21" s="422"/>
      <c r="D21" s="423"/>
      <c r="E21" s="423"/>
      <c r="F21" s="423"/>
      <c r="G21" s="423"/>
      <c r="H21" s="423"/>
      <c r="I21" s="424"/>
      <c r="J21" s="380"/>
      <c r="K21" s="380"/>
      <c r="L21" s="380"/>
      <c r="M21" s="380"/>
      <c r="N21" s="525" t="e">
        <f>INDEX(AMBIENTE!D$2:D$756,MATCH(R21,AMBIENTE!C$2:C$756,0))</f>
        <v>#N/A</v>
      </c>
      <c r="O21" s="525"/>
      <c r="P21" s="525"/>
      <c r="Q21" s="525"/>
      <c r="R21" s="428"/>
      <c r="S21" s="429"/>
      <c r="T21" s="429"/>
      <c r="U21" s="429"/>
      <c r="V21" s="429"/>
      <c r="W21" s="429"/>
      <c r="X21" s="430"/>
      <c r="Y21" s="374"/>
      <c r="Z21" s="375"/>
      <c r="AA21" s="375"/>
      <c r="AB21" s="375"/>
      <c r="AC21" s="376"/>
      <c r="AD21" s="357"/>
      <c r="AE21" s="358"/>
      <c r="AF21" s="359"/>
      <c r="AG21" s="372" t="str">
        <f>IFERROR(VLOOKUP(Item2[[#This Row],[Concatenado]],CITES[],2,FALSE),"")</f>
        <v/>
      </c>
      <c r="AH21" s="373"/>
      <c r="AI21" s="372" t="str">
        <f>IFERROR(VLOOKUP(Item2[[#This Row],[Concatenado]],SuscepEARs[],2,FALSE),"")</f>
        <v/>
      </c>
      <c r="AJ21" s="373"/>
      <c r="AK21" s="6"/>
      <c r="AL21" s="43"/>
      <c r="AM21" s="46">
        <v>53</v>
      </c>
      <c r="AN21" s="46" t="str">
        <f t="shared" si="3"/>
        <v xml:space="preserve"> </v>
      </c>
      <c r="AO21" s="46">
        <f t="shared" si="0"/>
        <v>0</v>
      </c>
      <c r="AP21" s="46">
        <f t="shared" si="1"/>
        <v>0</v>
      </c>
      <c r="AQ21" s="46" t="e">
        <f t="shared" si="2"/>
        <v>#N/A</v>
      </c>
      <c r="AR21" s="46">
        <f>SUMIF('Acuario (Arribado - mortalidad)'!$B$14:$B$90,ANEXO!B21,'Acuario (Arribado - mortalidad)'!$F$14:$F$90)</f>
        <v>0</v>
      </c>
      <c r="AS21" s="46" t="str">
        <f>IF(AR21&gt;0, IF(SUMIF('Acuario (Arribado - mortalidad)'!$B$14:$B$90,ANEXO!B21,'Acuario (Arribado - mortalidad)'!$K$14:$K$90)=0, "0", SUMIF('Acuario (Arribado - mortalidad)'!$B$14:$B$90,ANEXO!B21,'Acuario (Arribado - mortalidad)'!$K$14:$K$90)),"")</f>
        <v/>
      </c>
      <c r="AT21" s="46">
        <f>IF(AR21 = AS21,"0",SUMIF('Acuario (Arribado - mortalidad)'!$B$14:$B$90,ANEXO!B21,'Acuario (Arribado - mortalidad)'!$G$14:$G$90))</f>
        <v>0</v>
      </c>
      <c r="AU21" s="46" t="str">
        <f>IFERROR(Item2[[#This Row],[mortalidad acumulada]]/Item2[[#This Row],[cantidad arribada]],"")</f>
        <v/>
      </c>
      <c r="AV21" s="46">
        <f>IF(ISTEXT(R21),IF(Item2[[#This Row],[cantidad arribada]]=0,"No llega",Item2[[#This Row],[cantidad arribada]]),)</f>
        <v>0</v>
      </c>
      <c r="AW21" s="46"/>
      <c r="AX21" s="46">
        <f>SUMIF('Acuario (Arribado - mortalidad)'!$B$14:$B$90,ANEXO!B21,'Acuario (Arribado - mortalidad)'!$O$14:$O$90)</f>
        <v>0</v>
      </c>
      <c r="AY21" s="46">
        <f>SUMIF('Acuario (Arribado - mortalidad)'!$B$14:$B$90,ANEXO!B21,'Acuario (Arribado - mortalidad)'!$BG$14:$BG$90)</f>
        <v>0</v>
      </c>
      <c r="AZ21" s="46">
        <f>SUMIF('Acuario (Arribado - mortalidad)'!$B$14:$B$90,ANEXO!B21,'Acuario (Arribado - mortalidad)'!$BH$14:$BH$90)</f>
        <v>0</v>
      </c>
      <c r="BA21" s="46" t="str">
        <f>IFERROR(Item2[[#This Row],[Mortalidad dia 1]]/Item2[[#This Row],[cantidad arribada]],"")</f>
        <v/>
      </c>
      <c r="BB21" s="46" t="str">
        <f>IFERROR(Item2[[#This Row],[Mortalidad 2 a 8  (Sem 1)]]/Item2[[#This Row],[cantidad arribada]],"")</f>
        <v/>
      </c>
      <c r="BC21" s="46" t="str">
        <f>IFERROR(Item2[[#This Row],[Mortalidad 9 a 15 (Sem 2)]]/Item2[[#This Row],[cantidad arribada]],"")</f>
        <v/>
      </c>
      <c r="BD21" s="46"/>
      <c r="BE21" s="219">
        <f>SUMIF('Acuario (Arribado - mortalidad)'!$B$14:$B$90,ANEXO!B21,'Acuario (Arribado - mortalidad)'!$F$14:$F$90)</f>
        <v>0</v>
      </c>
      <c r="BF21" s="219">
        <f>SUMIF('Acuario (Arribado - mortalidad)'!$B$14:$B$90,ANEXO!B21,'Acuario (Arribado - mortalidad)'!$K$14:$K$90)</f>
        <v>0</v>
      </c>
      <c r="BG21" s="219">
        <f>SUMIF('Acuario (Arribado - mortalidad)'!$B$14:$B$90,ANEXO!B21,'Acuario (Arribado - mortalidad)'!$G$14:$G$90)</f>
        <v>0</v>
      </c>
      <c r="BH21" s="219">
        <f>SUMIF('Acuario (Arribado - mortalidad)'!$B$14:$B$90,ANEXO!B21,'Acuario (Arribado - mortalidad)'!$O$14:$O$90)</f>
        <v>0</v>
      </c>
      <c r="BI21" s="219">
        <f>SUMIF('Acuario (Arribado - mortalidad)'!$B$14:$B$90,ANEXO!B21,'Acuario (Arribado - mortalidad)'!$BG$14:$BG$90)</f>
        <v>0</v>
      </c>
      <c r="BJ21" s="219">
        <f>SUMIF('Acuario (Arribado - mortalidad)'!$B$14:$B$90,ANEXO!B21,'Acuario (Arribado - mortalidad)'!$BH$14:$BH$90)</f>
        <v>0</v>
      </c>
      <c r="BK21" s="49" t="str">
        <f>IFERROR(VLOOKUP(AN21,#REF!,2,FALSE),"")</f>
        <v/>
      </c>
    </row>
    <row r="22" spans="1:63" x14ac:dyDescent="0.25">
      <c r="A22" s="42"/>
      <c r="B22" s="5">
        <v>54</v>
      </c>
      <c r="C22" s="422"/>
      <c r="D22" s="423"/>
      <c r="E22" s="423"/>
      <c r="F22" s="423"/>
      <c r="G22" s="423"/>
      <c r="H22" s="423"/>
      <c r="I22" s="424"/>
      <c r="J22" s="380"/>
      <c r="K22" s="380"/>
      <c r="L22" s="380"/>
      <c r="M22" s="380"/>
      <c r="N22" s="525" t="e">
        <f>INDEX(AMBIENTE!D$2:D$756,MATCH(R22,AMBIENTE!C$2:C$756,0))</f>
        <v>#N/A</v>
      </c>
      <c r="O22" s="525"/>
      <c r="P22" s="525"/>
      <c r="Q22" s="525"/>
      <c r="R22" s="428"/>
      <c r="S22" s="429"/>
      <c r="T22" s="429"/>
      <c r="U22" s="429"/>
      <c r="V22" s="429"/>
      <c r="W22" s="429"/>
      <c r="X22" s="430"/>
      <c r="Y22" s="374"/>
      <c r="Z22" s="375"/>
      <c r="AA22" s="375"/>
      <c r="AB22" s="375"/>
      <c r="AC22" s="376"/>
      <c r="AD22" s="357"/>
      <c r="AE22" s="358"/>
      <c r="AF22" s="359"/>
      <c r="AG22" s="372" t="str">
        <f>IFERROR(VLOOKUP(Item2[[#This Row],[Concatenado]],CITES[],2,FALSE),"")</f>
        <v/>
      </c>
      <c r="AH22" s="373"/>
      <c r="AI22" s="372" t="str">
        <f>IFERROR(VLOOKUP(Item2[[#This Row],[Concatenado]],SuscepEARs[],2,FALSE),"")</f>
        <v/>
      </c>
      <c r="AJ22" s="373"/>
      <c r="AK22" s="6"/>
      <c r="AL22" s="43"/>
      <c r="AM22" s="46">
        <v>54</v>
      </c>
      <c r="AN22" s="46" t="str">
        <f t="shared" si="3"/>
        <v xml:space="preserve"> </v>
      </c>
      <c r="AO22" s="46">
        <f t="shared" si="0"/>
        <v>0</v>
      </c>
      <c r="AP22" s="46">
        <f t="shared" si="1"/>
        <v>0</v>
      </c>
      <c r="AQ22" s="46" t="e">
        <f t="shared" si="2"/>
        <v>#N/A</v>
      </c>
      <c r="AR22" s="46">
        <f>SUMIF('Acuario (Arribado - mortalidad)'!$B$14:$B$90,ANEXO!B22,'Acuario (Arribado - mortalidad)'!$F$14:$F$90)</f>
        <v>0</v>
      </c>
      <c r="AS22" s="46" t="str">
        <f>IF(AR22&gt;0, IF(SUMIF('Acuario (Arribado - mortalidad)'!$B$14:$B$90,ANEXO!B22,'Acuario (Arribado - mortalidad)'!$K$14:$K$90)=0, "0", SUMIF('Acuario (Arribado - mortalidad)'!$B$14:$B$90,ANEXO!B22,'Acuario (Arribado - mortalidad)'!$K$14:$K$90)),"")</f>
        <v/>
      </c>
      <c r="AT22" s="46">
        <f>IF(AR22 = AS22,"0",SUMIF('Acuario (Arribado - mortalidad)'!$B$14:$B$90,ANEXO!B22,'Acuario (Arribado - mortalidad)'!$G$14:$G$90))</f>
        <v>0</v>
      </c>
      <c r="AU22" s="46" t="str">
        <f>IFERROR(Item2[[#This Row],[mortalidad acumulada]]/Item2[[#This Row],[cantidad arribada]],"")</f>
        <v/>
      </c>
      <c r="AV22" s="46">
        <f>IF(ISTEXT(R22),IF(Item2[[#This Row],[cantidad arribada]]=0,"No llega",Item2[[#This Row],[cantidad arribada]]),)</f>
        <v>0</v>
      </c>
      <c r="AW22" s="46"/>
      <c r="AX22" s="46">
        <f>SUMIF('Acuario (Arribado - mortalidad)'!$B$14:$B$90,ANEXO!B22,'Acuario (Arribado - mortalidad)'!$O$14:$O$90)</f>
        <v>0</v>
      </c>
      <c r="AY22" s="46">
        <f>SUMIF('Acuario (Arribado - mortalidad)'!$B$14:$B$90,ANEXO!B22,'Acuario (Arribado - mortalidad)'!$BG$14:$BG$90)</f>
        <v>0</v>
      </c>
      <c r="AZ22" s="46">
        <f>SUMIF('Acuario (Arribado - mortalidad)'!$B$14:$B$90,ANEXO!B22,'Acuario (Arribado - mortalidad)'!$BH$14:$BH$90)</f>
        <v>0</v>
      </c>
      <c r="BA22" s="46" t="str">
        <f>IFERROR(Item2[[#This Row],[Mortalidad dia 1]]/Item2[[#This Row],[cantidad arribada]],"")</f>
        <v/>
      </c>
      <c r="BB22" s="46" t="str">
        <f>IFERROR(Item2[[#This Row],[Mortalidad 2 a 8  (Sem 1)]]/Item2[[#This Row],[cantidad arribada]],"")</f>
        <v/>
      </c>
      <c r="BC22" s="46" t="str">
        <f>IFERROR(Item2[[#This Row],[Mortalidad 9 a 15 (Sem 2)]]/Item2[[#This Row],[cantidad arribada]],"")</f>
        <v/>
      </c>
      <c r="BD22" s="46"/>
      <c r="BE22" s="219">
        <f>SUMIF('Acuario (Arribado - mortalidad)'!$B$14:$B$90,ANEXO!B22,'Acuario (Arribado - mortalidad)'!$F$14:$F$90)</f>
        <v>0</v>
      </c>
      <c r="BF22" s="219">
        <f>SUMIF('Acuario (Arribado - mortalidad)'!$B$14:$B$90,ANEXO!B22,'Acuario (Arribado - mortalidad)'!$K$14:$K$90)</f>
        <v>0</v>
      </c>
      <c r="BG22" s="219">
        <f>SUMIF('Acuario (Arribado - mortalidad)'!$B$14:$B$90,ANEXO!B22,'Acuario (Arribado - mortalidad)'!$G$14:$G$90)</f>
        <v>0</v>
      </c>
      <c r="BH22" s="219">
        <f>SUMIF('Acuario (Arribado - mortalidad)'!$B$14:$B$90,ANEXO!B22,'Acuario (Arribado - mortalidad)'!$O$14:$O$90)</f>
        <v>0</v>
      </c>
      <c r="BI22" s="219">
        <f>SUMIF('Acuario (Arribado - mortalidad)'!$B$14:$B$90,ANEXO!B22,'Acuario (Arribado - mortalidad)'!$BG$14:$BG$90)</f>
        <v>0</v>
      </c>
      <c r="BJ22" s="219">
        <f>SUMIF('Acuario (Arribado - mortalidad)'!$B$14:$B$90,ANEXO!B22,'Acuario (Arribado - mortalidad)'!$BH$14:$BH$90)</f>
        <v>0</v>
      </c>
      <c r="BK22" s="49" t="str">
        <f>IFERROR(VLOOKUP(AN22,#REF!,2,FALSE),"")</f>
        <v/>
      </c>
    </row>
    <row r="23" spans="1:63" x14ac:dyDescent="0.25">
      <c r="A23" s="42"/>
      <c r="B23" s="5">
        <v>55</v>
      </c>
      <c r="C23" s="422"/>
      <c r="D23" s="423"/>
      <c r="E23" s="423"/>
      <c r="F23" s="423"/>
      <c r="G23" s="423"/>
      <c r="H23" s="423"/>
      <c r="I23" s="424"/>
      <c r="J23" s="380"/>
      <c r="K23" s="380"/>
      <c r="L23" s="380"/>
      <c r="M23" s="380"/>
      <c r="N23" s="525" t="e">
        <f>INDEX(AMBIENTE!D$2:D$756,MATCH(R23,AMBIENTE!C$2:C$756,0))</f>
        <v>#N/A</v>
      </c>
      <c r="O23" s="525"/>
      <c r="P23" s="525"/>
      <c r="Q23" s="525"/>
      <c r="R23" s="428"/>
      <c r="S23" s="429"/>
      <c r="T23" s="429"/>
      <c r="U23" s="429"/>
      <c r="V23" s="429"/>
      <c r="W23" s="429"/>
      <c r="X23" s="430"/>
      <c r="Y23" s="374"/>
      <c r="Z23" s="375"/>
      <c r="AA23" s="375"/>
      <c r="AB23" s="375"/>
      <c r="AC23" s="376"/>
      <c r="AD23" s="357"/>
      <c r="AE23" s="358"/>
      <c r="AF23" s="359"/>
      <c r="AG23" s="372" t="str">
        <f>IFERROR(VLOOKUP(Item2[[#This Row],[Concatenado]],CITES[],2,FALSE),"")</f>
        <v/>
      </c>
      <c r="AH23" s="373"/>
      <c r="AI23" s="372" t="str">
        <f>IFERROR(VLOOKUP(Item2[[#This Row],[Concatenado]],SuscepEARs[],2,FALSE),"")</f>
        <v/>
      </c>
      <c r="AJ23" s="373"/>
      <c r="AK23" s="6"/>
      <c r="AL23" s="43"/>
      <c r="AM23" s="46">
        <v>55</v>
      </c>
      <c r="AN23" s="46" t="str">
        <f t="shared" si="3"/>
        <v xml:space="preserve"> </v>
      </c>
      <c r="AO23" s="46">
        <f t="shared" si="0"/>
        <v>0</v>
      </c>
      <c r="AP23" s="46">
        <f t="shared" si="1"/>
        <v>0</v>
      </c>
      <c r="AQ23" s="46" t="e">
        <f t="shared" si="2"/>
        <v>#N/A</v>
      </c>
      <c r="AR23" s="46">
        <f>SUMIF('Acuario (Arribado - mortalidad)'!$B$14:$B$90,ANEXO!B23,'Acuario (Arribado - mortalidad)'!$F$14:$F$90)</f>
        <v>0</v>
      </c>
      <c r="AS23" s="46" t="str">
        <f>IF(AR23&gt;0, IF(SUMIF('Acuario (Arribado - mortalidad)'!$B$14:$B$90,ANEXO!B23,'Acuario (Arribado - mortalidad)'!$K$14:$K$90)=0, "0", SUMIF('Acuario (Arribado - mortalidad)'!$B$14:$B$90,ANEXO!B23,'Acuario (Arribado - mortalidad)'!$K$14:$K$90)),"")</f>
        <v/>
      </c>
      <c r="AT23" s="46">
        <f>IF(AR23 = AS23,"0",SUMIF('Acuario (Arribado - mortalidad)'!$B$14:$B$90,ANEXO!B23,'Acuario (Arribado - mortalidad)'!$G$14:$G$90))</f>
        <v>0</v>
      </c>
      <c r="AU23" s="46" t="str">
        <f>IFERROR(Item2[[#This Row],[mortalidad acumulada]]/Item2[[#This Row],[cantidad arribada]],"")</f>
        <v/>
      </c>
      <c r="AV23" s="46">
        <f>IF(ISTEXT(R23),IF(Item2[[#This Row],[cantidad arribada]]=0,"No llega",Item2[[#This Row],[cantidad arribada]]),)</f>
        <v>0</v>
      </c>
      <c r="AW23" s="46"/>
      <c r="AX23" s="46">
        <f>SUMIF('Acuario (Arribado - mortalidad)'!$B$14:$B$90,ANEXO!B23,'Acuario (Arribado - mortalidad)'!$O$14:$O$90)</f>
        <v>0</v>
      </c>
      <c r="AY23" s="46">
        <f>SUMIF('Acuario (Arribado - mortalidad)'!$B$14:$B$90,ANEXO!B23,'Acuario (Arribado - mortalidad)'!$BG$14:$BG$90)</f>
        <v>0</v>
      </c>
      <c r="AZ23" s="46">
        <f>SUMIF('Acuario (Arribado - mortalidad)'!$B$14:$B$90,ANEXO!B23,'Acuario (Arribado - mortalidad)'!$BH$14:$BH$90)</f>
        <v>0</v>
      </c>
      <c r="BA23" s="46" t="str">
        <f>IFERROR(Item2[[#This Row],[Mortalidad dia 1]]/Item2[[#This Row],[cantidad arribada]],"")</f>
        <v/>
      </c>
      <c r="BB23" s="46" t="str">
        <f>IFERROR(Item2[[#This Row],[Mortalidad 2 a 8  (Sem 1)]]/Item2[[#This Row],[cantidad arribada]],"")</f>
        <v/>
      </c>
      <c r="BC23" s="46" t="str">
        <f>IFERROR(Item2[[#This Row],[Mortalidad 9 a 15 (Sem 2)]]/Item2[[#This Row],[cantidad arribada]],"")</f>
        <v/>
      </c>
      <c r="BD23" s="46"/>
      <c r="BE23" s="219">
        <f>SUMIF('Acuario (Arribado - mortalidad)'!$B$14:$B$90,ANEXO!B23,'Acuario (Arribado - mortalidad)'!$F$14:$F$90)</f>
        <v>0</v>
      </c>
      <c r="BF23" s="219">
        <f>SUMIF('Acuario (Arribado - mortalidad)'!$B$14:$B$90,ANEXO!B23,'Acuario (Arribado - mortalidad)'!$K$14:$K$90)</f>
        <v>0</v>
      </c>
      <c r="BG23" s="219">
        <f>SUMIF('Acuario (Arribado - mortalidad)'!$B$14:$B$90,ANEXO!B23,'Acuario (Arribado - mortalidad)'!$G$14:$G$90)</f>
        <v>0</v>
      </c>
      <c r="BH23" s="219">
        <f>SUMIF('Acuario (Arribado - mortalidad)'!$B$14:$B$90,ANEXO!B23,'Acuario (Arribado - mortalidad)'!$O$14:$O$90)</f>
        <v>0</v>
      </c>
      <c r="BI23" s="219">
        <f>SUMIF('Acuario (Arribado - mortalidad)'!$B$14:$B$90,ANEXO!B23,'Acuario (Arribado - mortalidad)'!$BG$14:$BG$90)</f>
        <v>0</v>
      </c>
      <c r="BJ23" s="219">
        <f>SUMIF('Acuario (Arribado - mortalidad)'!$B$14:$B$90,ANEXO!B23,'Acuario (Arribado - mortalidad)'!$BH$14:$BH$90)</f>
        <v>0</v>
      </c>
      <c r="BK23" s="49" t="str">
        <f>IFERROR(VLOOKUP(AN23,#REF!,2,FALSE),"")</f>
        <v/>
      </c>
    </row>
    <row r="24" spans="1:63" ht="14.45" customHeight="1" x14ac:dyDescent="0.25">
      <c r="A24" s="42"/>
      <c r="B24" s="5">
        <v>56</v>
      </c>
      <c r="C24" s="422"/>
      <c r="D24" s="423"/>
      <c r="E24" s="423"/>
      <c r="F24" s="423"/>
      <c r="G24" s="423"/>
      <c r="H24" s="423"/>
      <c r="I24" s="424"/>
      <c r="J24" s="380"/>
      <c r="K24" s="380"/>
      <c r="L24" s="380"/>
      <c r="M24" s="380"/>
      <c r="N24" s="525" t="e">
        <f>INDEX(AMBIENTE!D$2:D$756,MATCH(R24,AMBIENTE!C$2:C$756,0))</f>
        <v>#N/A</v>
      </c>
      <c r="O24" s="525"/>
      <c r="P24" s="525"/>
      <c r="Q24" s="525"/>
      <c r="R24" s="428"/>
      <c r="S24" s="429"/>
      <c r="T24" s="429"/>
      <c r="U24" s="429"/>
      <c r="V24" s="429"/>
      <c r="W24" s="429"/>
      <c r="X24" s="430"/>
      <c r="Y24" s="374"/>
      <c r="Z24" s="375"/>
      <c r="AA24" s="375"/>
      <c r="AB24" s="375"/>
      <c r="AC24" s="376"/>
      <c r="AD24" s="357"/>
      <c r="AE24" s="358"/>
      <c r="AF24" s="359"/>
      <c r="AG24" s="372" t="str">
        <f>IFERROR(VLOOKUP(Item2[[#This Row],[Concatenado]],CITES[],2,FALSE),"")</f>
        <v/>
      </c>
      <c r="AH24" s="373"/>
      <c r="AI24" s="372" t="str">
        <f>IFERROR(VLOOKUP(Item2[[#This Row],[Concatenado]],SuscepEARs[],2,FALSE),"")</f>
        <v/>
      </c>
      <c r="AJ24" s="373"/>
      <c r="AK24" s="6"/>
      <c r="AL24" s="43"/>
      <c r="AM24" s="46">
        <v>56</v>
      </c>
      <c r="AN24" s="46" t="str">
        <f t="shared" si="3"/>
        <v xml:space="preserve"> </v>
      </c>
      <c r="AO24" s="46">
        <f t="shared" si="0"/>
        <v>0</v>
      </c>
      <c r="AP24" s="46">
        <f t="shared" si="1"/>
        <v>0</v>
      </c>
      <c r="AQ24" s="46" t="e">
        <f t="shared" si="2"/>
        <v>#N/A</v>
      </c>
      <c r="AR24" s="46">
        <f>SUMIF('Acuario (Arribado - mortalidad)'!$B$14:$B$90,ANEXO!B24,'Acuario (Arribado - mortalidad)'!$F$14:$F$90)</f>
        <v>0</v>
      </c>
      <c r="AS24" s="46" t="str">
        <f>IF(AR24&gt;0, IF(SUMIF('Acuario (Arribado - mortalidad)'!$B$14:$B$90,ANEXO!B24,'Acuario (Arribado - mortalidad)'!$K$14:$K$90)=0, "0", SUMIF('Acuario (Arribado - mortalidad)'!$B$14:$B$90,ANEXO!B24,'Acuario (Arribado - mortalidad)'!$K$14:$K$90)),"")</f>
        <v/>
      </c>
      <c r="AT24" s="46">
        <f>IF(AR24 = AS24,"0",SUMIF('Acuario (Arribado - mortalidad)'!$B$14:$B$90,ANEXO!B24,'Acuario (Arribado - mortalidad)'!$G$14:$G$90))</f>
        <v>0</v>
      </c>
      <c r="AU24" s="46" t="str">
        <f>IFERROR(Item2[[#This Row],[mortalidad acumulada]]/Item2[[#This Row],[cantidad arribada]],"")</f>
        <v/>
      </c>
      <c r="AV24" s="46">
        <f>IF(ISTEXT(R24),IF(Item2[[#This Row],[cantidad arribada]]=0,"No llega",Item2[[#This Row],[cantidad arribada]]),)</f>
        <v>0</v>
      </c>
      <c r="AW24" s="46"/>
      <c r="AX24" s="46">
        <f>SUMIF('Acuario (Arribado - mortalidad)'!$B$14:$B$90,ANEXO!B24,'Acuario (Arribado - mortalidad)'!$O$14:$O$90)</f>
        <v>0</v>
      </c>
      <c r="AY24" s="46">
        <f>SUMIF('Acuario (Arribado - mortalidad)'!$B$14:$B$90,ANEXO!B24,'Acuario (Arribado - mortalidad)'!$BG$14:$BG$90)</f>
        <v>0</v>
      </c>
      <c r="AZ24" s="46">
        <f>SUMIF('Acuario (Arribado - mortalidad)'!$B$14:$B$90,ANEXO!B24,'Acuario (Arribado - mortalidad)'!$BH$14:$BH$90)</f>
        <v>0</v>
      </c>
      <c r="BA24" s="46" t="str">
        <f>IFERROR(Item2[[#This Row],[Mortalidad dia 1]]/Item2[[#This Row],[cantidad arribada]],"")</f>
        <v/>
      </c>
      <c r="BB24" s="46" t="str">
        <f>IFERROR(Item2[[#This Row],[Mortalidad 2 a 8  (Sem 1)]]/Item2[[#This Row],[cantidad arribada]],"")</f>
        <v/>
      </c>
      <c r="BC24" s="46" t="str">
        <f>IFERROR(Item2[[#This Row],[Mortalidad 9 a 15 (Sem 2)]]/Item2[[#This Row],[cantidad arribada]],"")</f>
        <v/>
      </c>
      <c r="BD24" s="46"/>
      <c r="BE24" s="219">
        <f>SUMIF('Acuario (Arribado - mortalidad)'!$B$14:$B$90,ANEXO!B24,'Acuario (Arribado - mortalidad)'!$F$14:$F$90)</f>
        <v>0</v>
      </c>
      <c r="BF24" s="219">
        <f>SUMIF('Acuario (Arribado - mortalidad)'!$B$14:$B$90,ANEXO!B24,'Acuario (Arribado - mortalidad)'!$K$14:$K$90)</f>
        <v>0</v>
      </c>
      <c r="BG24" s="219">
        <f>SUMIF('Acuario (Arribado - mortalidad)'!$B$14:$B$90,ANEXO!B24,'Acuario (Arribado - mortalidad)'!$G$14:$G$90)</f>
        <v>0</v>
      </c>
      <c r="BH24" s="219">
        <f>SUMIF('Acuario (Arribado - mortalidad)'!$B$14:$B$90,ANEXO!B24,'Acuario (Arribado - mortalidad)'!$O$14:$O$90)</f>
        <v>0</v>
      </c>
      <c r="BI24" s="219">
        <f>SUMIF('Acuario (Arribado - mortalidad)'!$B$14:$B$90,ANEXO!B24,'Acuario (Arribado - mortalidad)'!$BG$14:$BG$90)</f>
        <v>0</v>
      </c>
      <c r="BJ24" s="219">
        <f>SUMIF('Acuario (Arribado - mortalidad)'!$B$14:$B$90,ANEXO!B24,'Acuario (Arribado - mortalidad)'!$BH$14:$BH$90)</f>
        <v>0</v>
      </c>
      <c r="BK24" s="49" t="str">
        <f>IFERROR(VLOOKUP(AN24,#REF!,2,FALSE),"")</f>
        <v/>
      </c>
    </row>
    <row r="25" spans="1:63" x14ac:dyDescent="0.25">
      <c r="A25" s="42"/>
      <c r="B25" s="5">
        <v>57</v>
      </c>
      <c r="C25" s="422"/>
      <c r="D25" s="423"/>
      <c r="E25" s="423"/>
      <c r="F25" s="423"/>
      <c r="G25" s="423"/>
      <c r="H25" s="423"/>
      <c r="I25" s="424"/>
      <c r="J25" s="380"/>
      <c r="K25" s="380"/>
      <c r="L25" s="380"/>
      <c r="M25" s="380"/>
      <c r="N25" s="525" t="e">
        <f>INDEX(AMBIENTE!D$2:D$756,MATCH(R25,AMBIENTE!C$2:C$756,0))</f>
        <v>#N/A</v>
      </c>
      <c r="O25" s="525"/>
      <c r="P25" s="525"/>
      <c r="Q25" s="525"/>
      <c r="R25" s="428"/>
      <c r="S25" s="429"/>
      <c r="T25" s="429"/>
      <c r="U25" s="429"/>
      <c r="V25" s="429"/>
      <c r="W25" s="429"/>
      <c r="X25" s="430"/>
      <c r="Y25" s="374"/>
      <c r="Z25" s="375"/>
      <c r="AA25" s="375"/>
      <c r="AB25" s="375"/>
      <c r="AC25" s="376"/>
      <c r="AD25" s="357"/>
      <c r="AE25" s="358"/>
      <c r="AF25" s="359"/>
      <c r="AG25" s="372" t="str">
        <f>IFERROR(VLOOKUP(Item2[[#This Row],[Concatenado]],CITES[],2,FALSE),"")</f>
        <v/>
      </c>
      <c r="AH25" s="373"/>
      <c r="AI25" s="372" t="str">
        <f>IFERROR(VLOOKUP(Item2[[#This Row],[Concatenado]],SuscepEARs[],2,FALSE),"")</f>
        <v/>
      </c>
      <c r="AJ25" s="373"/>
      <c r="AK25" s="6"/>
      <c r="AL25" s="43"/>
      <c r="AM25" s="46">
        <v>57</v>
      </c>
      <c r="AN25" s="46" t="str">
        <f t="shared" si="3"/>
        <v xml:space="preserve"> </v>
      </c>
      <c r="AO25" s="46">
        <f t="shared" si="0"/>
        <v>0</v>
      </c>
      <c r="AP25" s="46">
        <f t="shared" si="1"/>
        <v>0</v>
      </c>
      <c r="AQ25" s="46" t="e">
        <f t="shared" si="2"/>
        <v>#N/A</v>
      </c>
      <c r="AR25" s="46">
        <f>SUMIF('Acuario (Arribado - mortalidad)'!$B$14:$B$90,ANEXO!B25,'Acuario (Arribado - mortalidad)'!$F$14:$F$90)</f>
        <v>0</v>
      </c>
      <c r="AS25" s="46" t="str">
        <f>IF(AR25&gt;0, IF(SUMIF('Acuario (Arribado - mortalidad)'!$B$14:$B$90,ANEXO!B25,'Acuario (Arribado - mortalidad)'!$K$14:$K$90)=0, "0", SUMIF('Acuario (Arribado - mortalidad)'!$B$14:$B$90,ANEXO!B25,'Acuario (Arribado - mortalidad)'!$K$14:$K$90)),"")</f>
        <v/>
      </c>
      <c r="AT25" s="46">
        <f>IF(AR25 = AS25,"0",SUMIF('Acuario (Arribado - mortalidad)'!$B$14:$B$90,ANEXO!B25,'Acuario (Arribado - mortalidad)'!$G$14:$G$90))</f>
        <v>0</v>
      </c>
      <c r="AU25" s="46" t="str">
        <f>IFERROR(Item2[[#This Row],[mortalidad acumulada]]/Item2[[#This Row],[cantidad arribada]],"")</f>
        <v/>
      </c>
      <c r="AV25" s="46">
        <f>IF(ISTEXT(R25),IF(Item2[[#This Row],[cantidad arribada]]=0,"No llega",Item2[[#This Row],[cantidad arribada]]),)</f>
        <v>0</v>
      </c>
      <c r="AW25" s="46"/>
      <c r="AX25" s="46">
        <f>SUMIF('Acuario (Arribado - mortalidad)'!$B$14:$B$90,ANEXO!B25,'Acuario (Arribado - mortalidad)'!$O$14:$O$90)</f>
        <v>0</v>
      </c>
      <c r="AY25" s="46">
        <f>SUMIF('Acuario (Arribado - mortalidad)'!$B$14:$B$90,ANEXO!B25,'Acuario (Arribado - mortalidad)'!$BG$14:$BG$90)</f>
        <v>0</v>
      </c>
      <c r="AZ25" s="46">
        <f>SUMIF('Acuario (Arribado - mortalidad)'!$B$14:$B$90,ANEXO!B25,'Acuario (Arribado - mortalidad)'!$BH$14:$BH$90)</f>
        <v>0</v>
      </c>
      <c r="BA25" s="46" t="str">
        <f>IFERROR(Item2[[#This Row],[Mortalidad dia 1]]/Item2[[#This Row],[cantidad arribada]],"")</f>
        <v/>
      </c>
      <c r="BB25" s="46" t="str">
        <f>IFERROR(Item2[[#This Row],[Mortalidad 2 a 8  (Sem 1)]]/Item2[[#This Row],[cantidad arribada]],"")</f>
        <v/>
      </c>
      <c r="BC25" s="46" t="str">
        <f>IFERROR(Item2[[#This Row],[Mortalidad 9 a 15 (Sem 2)]]/Item2[[#This Row],[cantidad arribada]],"")</f>
        <v/>
      </c>
      <c r="BD25" s="46"/>
      <c r="BE25" s="219">
        <f>SUMIF('Acuario (Arribado - mortalidad)'!$B$14:$B$90,ANEXO!B25,'Acuario (Arribado - mortalidad)'!$F$14:$F$90)</f>
        <v>0</v>
      </c>
      <c r="BF25" s="219">
        <f>SUMIF('Acuario (Arribado - mortalidad)'!$B$14:$B$90,ANEXO!B25,'Acuario (Arribado - mortalidad)'!$K$14:$K$90)</f>
        <v>0</v>
      </c>
      <c r="BG25" s="219">
        <f>SUMIF('Acuario (Arribado - mortalidad)'!$B$14:$B$90,ANEXO!B25,'Acuario (Arribado - mortalidad)'!$G$14:$G$90)</f>
        <v>0</v>
      </c>
      <c r="BH25" s="219">
        <f>SUMIF('Acuario (Arribado - mortalidad)'!$B$14:$B$90,ANEXO!B25,'Acuario (Arribado - mortalidad)'!$O$14:$O$90)</f>
        <v>0</v>
      </c>
      <c r="BI25" s="219">
        <f>SUMIF('Acuario (Arribado - mortalidad)'!$B$14:$B$90,ANEXO!B25,'Acuario (Arribado - mortalidad)'!$BG$14:$BG$90)</f>
        <v>0</v>
      </c>
      <c r="BJ25" s="219">
        <f>SUMIF('Acuario (Arribado - mortalidad)'!$B$14:$B$90,ANEXO!B25,'Acuario (Arribado - mortalidad)'!$BH$14:$BH$90)</f>
        <v>0</v>
      </c>
      <c r="BK25" s="49" t="str">
        <f>IFERROR(VLOOKUP(AN25,#REF!,2,FALSE),"")</f>
        <v/>
      </c>
    </row>
    <row r="26" spans="1:63" x14ac:dyDescent="0.25">
      <c r="A26" s="42"/>
      <c r="B26" s="5">
        <v>58</v>
      </c>
      <c r="C26" s="422"/>
      <c r="D26" s="423"/>
      <c r="E26" s="423"/>
      <c r="F26" s="423"/>
      <c r="G26" s="423"/>
      <c r="H26" s="423"/>
      <c r="I26" s="424"/>
      <c r="J26" s="380"/>
      <c r="K26" s="380"/>
      <c r="L26" s="380"/>
      <c r="M26" s="380"/>
      <c r="N26" s="525" t="e">
        <f>INDEX(AMBIENTE!D$2:D$756,MATCH(R26,AMBIENTE!C$2:C$756,0))</f>
        <v>#N/A</v>
      </c>
      <c r="O26" s="525"/>
      <c r="P26" s="525"/>
      <c r="Q26" s="525"/>
      <c r="R26" s="428"/>
      <c r="S26" s="429"/>
      <c r="T26" s="429"/>
      <c r="U26" s="429"/>
      <c r="V26" s="429"/>
      <c r="W26" s="429"/>
      <c r="X26" s="430"/>
      <c r="Y26" s="374"/>
      <c r="Z26" s="375"/>
      <c r="AA26" s="375"/>
      <c r="AB26" s="375"/>
      <c r="AC26" s="376"/>
      <c r="AD26" s="357"/>
      <c r="AE26" s="358"/>
      <c r="AF26" s="359"/>
      <c r="AG26" s="372" t="str">
        <f>IFERROR(VLOOKUP(Item2[[#This Row],[Concatenado]],CITES[],2,FALSE),"")</f>
        <v/>
      </c>
      <c r="AH26" s="373"/>
      <c r="AI26" s="372" t="str">
        <f>IFERROR(VLOOKUP(Item2[[#This Row],[Concatenado]],SuscepEARs[],2,FALSE),"")</f>
        <v/>
      </c>
      <c r="AJ26" s="373"/>
      <c r="AK26" s="6"/>
      <c r="AL26" s="43"/>
      <c r="AM26" s="46">
        <v>58</v>
      </c>
      <c r="AN26" s="46" t="str">
        <f t="shared" si="3"/>
        <v xml:space="preserve"> </v>
      </c>
      <c r="AO26" s="46">
        <f t="shared" si="0"/>
        <v>0</v>
      </c>
      <c r="AP26" s="46">
        <f t="shared" si="1"/>
        <v>0</v>
      </c>
      <c r="AQ26" s="46" t="e">
        <f t="shared" si="2"/>
        <v>#N/A</v>
      </c>
      <c r="AR26" s="46">
        <f>SUMIF('Acuario (Arribado - mortalidad)'!$B$14:$B$90,ANEXO!B26,'Acuario (Arribado - mortalidad)'!$F$14:$F$90)</f>
        <v>0</v>
      </c>
      <c r="AS26" s="46" t="str">
        <f>IF(AR26&gt;0, IF(SUMIF('Acuario (Arribado - mortalidad)'!$B$14:$B$90,ANEXO!B26,'Acuario (Arribado - mortalidad)'!$K$14:$K$90)=0, "0", SUMIF('Acuario (Arribado - mortalidad)'!$B$14:$B$90,ANEXO!B26,'Acuario (Arribado - mortalidad)'!$K$14:$K$90)),"")</f>
        <v/>
      </c>
      <c r="AT26" s="46">
        <f>IF(AR26 = AS26,"0",SUMIF('Acuario (Arribado - mortalidad)'!$B$14:$B$90,ANEXO!B26,'Acuario (Arribado - mortalidad)'!$G$14:$G$90))</f>
        <v>0</v>
      </c>
      <c r="AU26" s="46" t="str">
        <f>IFERROR(Item2[[#This Row],[mortalidad acumulada]]/Item2[[#This Row],[cantidad arribada]],"")</f>
        <v/>
      </c>
      <c r="AV26" s="46">
        <f>IF(ISTEXT(R26),IF(Item2[[#This Row],[cantidad arribada]]=0,"No llega",Item2[[#This Row],[cantidad arribada]]),)</f>
        <v>0</v>
      </c>
      <c r="AW26" s="46"/>
      <c r="AX26" s="46">
        <f>SUMIF('Acuario (Arribado - mortalidad)'!$B$14:$B$90,ANEXO!B26,'Acuario (Arribado - mortalidad)'!$O$14:$O$90)</f>
        <v>0</v>
      </c>
      <c r="AY26" s="46">
        <f>SUMIF('Acuario (Arribado - mortalidad)'!$B$14:$B$90,ANEXO!B26,'Acuario (Arribado - mortalidad)'!$BG$14:$BG$90)</f>
        <v>0</v>
      </c>
      <c r="AZ26" s="46">
        <f>SUMIF('Acuario (Arribado - mortalidad)'!$B$14:$B$90,ANEXO!B26,'Acuario (Arribado - mortalidad)'!$BH$14:$BH$90)</f>
        <v>0</v>
      </c>
      <c r="BA26" s="46" t="str">
        <f>IFERROR(Item2[[#This Row],[Mortalidad dia 1]]/Item2[[#This Row],[cantidad arribada]],"")</f>
        <v/>
      </c>
      <c r="BB26" s="46" t="str">
        <f>IFERROR(Item2[[#This Row],[Mortalidad 2 a 8  (Sem 1)]]/Item2[[#This Row],[cantidad arribada]],"")</f>
        <v/>
      </c>
      <c r="BC26" s="46" t="str">
        <f>IFERROR(Item2[[#This Row],[Mortalidad 9 a 15 (Sem 2)]]/Item2[[#This Row],[cantidad arribada]],"")</f>
        <v/>
      </c>
      <c r="BD26" s="46"/>
      <c r="BE26" s="219">
        <f>SUMIF('Acuario (Arribado - mortalidad)'!$B$14:$B$90,ANEXO!B26,'Acuario (Arribado - mortalidad)'!$F$14:$F$90)</f>
        <v>0</v>
      </c>
      <c r="BF26" s="219">
        <f>SUMIF('Acuario (Arribado - mortalidad)'!$B$14:$B$90,ANEXO!B26,'Acuario (Arribado - mortalidad)'!$K$14:$K$90)</f>
        <v>0</v>
      </c>
      <c r="BG26" s="219">
        <f>SUMIF('Acuario (Arribado - mortalidad)'!$B$14:$B$90,ANEXO!B26,'Acuario (Arribado - mortalidad)'!$G$14:$G$90)</f>
        <v>0</v>
      </c>
      <c r="BH26" s="219">
        <f>SUMIF('Acuario (Arribado - mortalidad)'!$B$14:$B$90,ANEXO!B26,'Acuario (Arribado - mortalidad)'!$O$14:$O$90)</f>
        <v>0</v>
      </c>
      <c r="BI26" s="219">
        <f>SUMIF('Acuario (Arribado - mortalidad)'!$B$14:$B$90,ANEXO!B26,'Acuario (Arribado - mortalidad)'!$BG$14:$BG$90)</f>
        <v>0</v>
      </c>
      <c r="BJ26" s="219">
        <f>SUMIF('Acuario (Arribado - mortalidad)'!$B$14:$B$90,ANEXO!B26,'Acuario (Arribado - mortalidad)'!$BH$14:$BH$90)</f>
        <v>0</v>
      </c>
      <c r="BK26" s="49" t="str">
        <f>IFERROR(VLOOKUP(AN26,#REF!,2,FALSE),"")</f>
        <v/>
      </c>
    </row>
    <row r="27" spans="1:63" x14ac:dyDescent="0.25">
      <c r="A27" s="42"/>
      <c r="B27" s="5">
        <v>59</v>
      </c>
      <c r="C27" s="422"/>
      <c r="D27" s="423"/>
      <c r="E27" s="423"/>
      <c r="F27" s="423"/>
      <c r="G27" s="423"/>
      <c r="H27" s="423"/>
      <c r="I27" s="424"/>
      <c r="J27" s="380"/>
      <c r="K27" s="380"/>
      <c r="L27" s="380"/>
      <c r="M27" s="380"/>
      <c r="N27" s="525" t="e">
        <f>INDEX(AMBIENTE!D$2:D$756,MATCH(R27,AMBIENTE!C$2:C$756,0))</f>
        <v>#N/A</v>
      </c>
      <c r="O27" s="525"/>
      <c r="P27" s="525"/>
      <c r="Q27" s="525"/>
      <c r="R27" s="428"/>
      <c r="S27" s="429"/>
      <c r="T27" s="429"/>
      <c r="U27" s="429"/>
      <c r="V27" s="429"/>
      <c r="W27" s="429"/>
      <c r="X27" s="430"/>
      <c r="Y27" s="374"/>
      <c r="Z27" s="375"/>
      <c r="AA27" s="375"/>
      <c r="AB27" s="375"/>
      <c r="AC27" s="376"/>
      <c r="AD27" s="357"/>
      <c r="AE27" s="358"/>
      <c r="AF27" s="359"/>
      <c r="AG27" s="372" t="str">
        <f>IFERROR(VLOOKUP(Item2[[#This Row],[Concatenado]],CITES[],2,FALSE),"")</f>
        <v/>
      </c>
      <c r="AH27" s="373"/>
      <c r="AI27" s="372" t="str">
        <f>IFERROR(VLOOKUP(Item2[[#This Row],[Concatenado]],SuscepEARs[],2,FALSE),"")</f>
        <v/>
      </c>
      <c r="AJ27" s="373"/>
      <c r="AK27" s="6"/>
      <c r="AL27" s="43"/>
      <c r="AM27" s="46">
        <v>59</v>
      </c>
      <c r="AN27" s="46" t="str">
        <f t="shared" si="3"/>
        <v xml:space="preserve"> </v>
      </c>
      <c r="AO27" s="46">
        <f t="shared" si="0"/>
        <v>0</v>
      </c>
      <c r="AP27" s="46">
        <f t="shared" si="1"/>
        <v>0</v>
      </c>
      <c r="AQ27" s="46" t="e">
        <f t="shared" si="2"/>
        <v>#N/A</v>
      </c>
      <c r="AR27" s="46">
        <f>SUMIF('Acuario (Arribado - mortalidad)'!$B$14:$B$90,ANEXO!B27,'Acuario (Arribado - mortalidad)'!$F$14:$F$90)</f>
        <v>0</v>
      </c>
      <c r="AS27" s="46" t="str">
        <f>IF(AR27&gt;0, IF(SUMIF('Acuario (Arribado - mortalidad)'!$B$14:$B$90,ANEXO!B27,'Acuario (Arribado - mortalidad)'!$K$14:$K$90)=0, "0", SUMIF('Acuario (Arribado - mortalidad)'!$B$14:$B$90,ANEXO!B27,'Acuario (Arribado - mortalidad)'!$K$14:$K$90)),"")</f>
        <v/>
      </c>
      <c r="AT27" s="46">
        <f>IF(AR27 = AS27,"0",SUMIF('Acuario (Arribado - mortalidad)'!$B$14:$B$90,ANEXO!B27,'Acuario (Arribado - mortalidad)'!$G$14:$G$90))</f>
        <v>0</v>
      </c>
      <c r="AU27" s="46" t="str">
        <f>IFERROR(Item2[[#This Row],[mortalidad acumulada]]/Item2[[#This Row],[cantidad arribada]],"")</f>
        <v/>
      </c>
      <c r="AV27" s="46">
        <f>IF(ISTEXT(R27),IF(Item2[[#This Row],[cantidad arribada]]=0,"No llega",Item2[[#This Row],[cantidad arribada]]),)</f>
        <v>0</v>
      </c>
      <c r="AW27" s="46"/>
      <c r="AX27" s="46">
        <f>SUMIF('Acuario (Arribado - mortalidad)'!$B$14:$B$90,ANEXO!B27,'Acuario (Arribado - mortalidad)'!$O$14:$O$90)</f>
        <v>0</v>
      </c>
      <c r="AY27" s="46">
        <f>SUMIF('Acuario (Arribado - mortalidad)'!$B$14:$B$90,ANEXO!B27,'Acuario (Arribado - mortalidad)'!$BG$14:$BG$90)</f>
        <v>0</v>
      </c>
      <c r="AZ27" s="46">
        <f>SUMIF('Acuario (Arribado - mortalidad)'!$B$14:$B$90,ANEXO!B27,'Acuario (Arribado - mortalidad)'!$BH$14:$BH$90)</f>
        <v>0</v>
      </c>
      <c r="BA27" s="46" t="str">
        <f>IFERROR(Item2[[#This Row],[Mortalidad dia 1]]/Item2[[#This Row],[cantidad arribada]],"")</f>
        <v/>
      </c>
      <c r="BB27" s="46" t="str">
        <f>IFERROR(Item2[[#This Row],[Mortalidad 2 a 8  (Sem 1)]]/Item2[[#This Row],[cantidad arribada]],"")</f>
        <v/>
      </c>
      <c r="BC27" s="46" t="str">
        <f>IFERROR(Item2[[#This Row],[Mortalidad 9 a 15 (Sem 2)]]/Item2[[#This Row],[cantidad arribada]],"")</f>
        <v/>
      </c>
      <c r="BD27" s="46"/>
      <c r="BE27" s="219">
        <f>SUMIF('Acuario (Arribado - mortalidad)'!$B$14:$B$90,ANEXO!B27,'Acuario (Arribado - mortalidad)'!$F$14:$F$90)</f>
        <v>0</v>
      </c>
      <c r="BF27" s="219">
        <f>SUMIF('Acuario (Arribado - mortalidad)'!$B$14:$B$90,ANEXO!B27,'Acuario (Arribado - mortalidad)'!$K$14:$K$90)</f>
        <v>0</v>
      </c>
      <c r="BG27" s="219">
        <f>SUMIF('Acuario (Arribado - mortalidad)'!$B$14:$B$90,ANEXO!B27,'Acuario (Arribado - mortalidad)'!$G$14:$G$90)</f>
        <v>0</v>
      </c>
      <c r="BH27" s="219">
        <f>SUMIF('Acuario (Arribado - mortalidad)'!$B$14:$B$90,ANEXO!B27,'Acuario (Arribado - mortalidad)'!$O$14:$O$90)</f>
        <v>0</v>
      </c>
      <c r="BI27" s="219">
        <f>SUMIF('Acuario (Arribado - mortalidad)'!$B$14:$B$90,ANEXO!B27,'Acuario (Arribado - mortalidad)'!$BG$14:$BG$90)</f>
        <v>0</v>
      </c>
      <c r="BJ27" s="219">
        <f>SUMIF('Acuario (Arribado - mortalidad)'!$B$14:$B$90,ANEXO!B27,'Acuario (Arribado - mortalidad)'!$BH$14:$BH$90)</f>
        <v>0</v>
      </c>
      <c r="BK27" s="49" t="str">
        <f>IFERROR(VLOOKUP(AN27,#REF!,2,FALSE),"")</f>
        <v/>
      </c>
    </row>
    <row r="28" spans="1:63" x14ac:dyDescent="0.25">
      <c r="A28" s="42"/>
      <c r="B28" s="5">
        <v>60</v>
      </c>
      <c r="C28" s="422"/>
      <c r="D28" s="423"/>
      <c r="E28" s="423"/>
      <c r="F28" s="423"/>
      <c r="G28" s="423"/>
      <c r="H28" s="423"/>
      <c r="I28" s="424"/>
      <c r="J28" s="380"/>
      <c r="K28" s="380"/>
      <c r="L28" s="380"/>
      <c r="M28" s="380"/>
      <c r="N28" s="525" t="e">
        <f>INDEX(AMBIENTE!D$2:D$756,MATCH(R28,AMBIENTE!C$2:C$756,0))</f>
        <v>#N/A</v>
      </c>
      <c r="O28" s="525"/>
      <c r="P28" s="525"/>
      <c r="Q28" s="525"/>
      <c r="R28" s="428"/>
      <c r="S28" s="429"/>
      <c r="T28" s="429"/>
      <c r="U28" s="429"/>
      <c r="V28" s="429"/>
      <c r="W28" s="429"/>
      <c r="X28" s="430"/>
      <c r="Y28" s="374"/>
      <c r="Z28" s="375"/>
      <c r="AA28" s="375"/>
      <c r="AB28" s="375"/>
      <c r="AC28" s="376"/>
      <c r="AD28" s="357"/>
      <c r="AE28" s="358"/>
      <c r="AF28" s="359"/>
      <c r="AG28" s="372" t="str">
        <f>IFERROR(VLOOKUP(Item2[[#This Row],[Concatenado]],CITES[],2,FALSE),"")</f>
        <v/>
      </c>
      <c r="AH28" s="373"/>
      <c r="AI28" s="372" t="str">
        <f>IFERROR(VLOOKUP(Item2[[#This Row],[Concatenado]],SuscepEARs[],2,FALSE),"")</f>
        <v/>
      </c>
      <c r="AJ28" s="373"/>
      <c r="AK28" s="6"/>
      <c r="AL28" s="43"/>
      <c r="AM28" s="46">
        <v>60</v>
      </c>
      <c r="AN28" s="46" t="str">
        <f t="shared" si="3"/>
        <v xml:space="preserve"> </v>
      </c>
      <c r="AO28" s="46">
        <f t="shared" si="0"/>
        <v>0</v>
      </c>
      <c r="AP28" s="46">
        <f t="shared" si="1"/>
        <v>0</v>
      </c>
      <c r="AQ28" s="46" t="e">
        <f t="shared" si="2"/>
        <v>#N/A</v>
      </c>
      <c r="AR28" s="46">
        <f>SUMIF('Acuario (Arribado - mortalidad)'!$B$14:$B$90,ANEXO!B28,'Acuario (Arribado - mortalidad)'!$F$14:$F$90)</f>
        <v>0</v>
      </c>
      <c r="AS28" s="46" t="str">
        <f>IF(AR28&gt;0, IF(SUMIF('Acuario (Arribado - mortalidad)'!$B$14:$B$90,ANEXO!B28,'Acuario (Arribado - mortalidad)'!$K$14:$K$90)=0, "0", SUMIF('Acuario (Arribado - mortalidad)'!$B$14:$B$90,ANEXO!B28,'Acuario (Arribado - mortalidad)'!$K$14:$K$90)),"")</f>
        <v/>
      </c>
      <c r="AT28" s="46">
        <f>IF(AR28 = AS28,"0",SUMIF('Acuario (Arribado - mortalidad)'!$B$14:$B$90,ANEXO!B28,'Acuario (Arribado - mortalidad)'!$G$14:$G$90))</f>
        <v>0</v>
      </c>
      <c r="AU28" s="46" t="str">
        <f>IFERROR(Item2[[#This Row],[mortalidad acumulada]]/Item2[[#This Row],[cantidad arribada]],"")</f>
        <v/>
      </c>
      <c r="AV28" s="46">
        <f>IF(ISTEXT(R28),IF(Item2[[#This Row],[cantidad arribada]]=0,"No llega",Item2[[#This Row],[cantidad arribada]]),)</f>
        <v>0</v>
      </c>
      <c r="AW28" s="46"/>
      <c r="AX28" s="46">
        <f>SUMIF('Acuario (Arribado - mortalidad)'!$B$14:$B$90,ANEXO!B28,'Acuario (Arribado - mortalidad)'!$O$14:$O$90)</f>
        <v>0</v>
      </c>
      <c r="AY28" s="46">
        <f>SUMIF('Acuario (Arribado - mortalidad)'!$B$14:$B$90,ANEXO!B28,'Acuario (Arribado - mortalidad)'!$BG$14:$BG$90)</f>
        <v>0</v>
      </c>
      <c r="AZ28" s="46">
        <f>SUMIF('Acuario (Arribado - mortalidad)'!$B$14:$B$90,ANEXO!B28,'Acuario (Arribado - mortalidad)'!$BH$14:$BH$90)</f>
        <v>0</v>
      </c>
      <c r="BA28" s="46" t="str">
        <f>IFERROR(Item2[[#This Row],[Mortalidad dia 1]]/Item2[[#This Row],[cantidad arribada]],"")</f>
        <v/>
      </c>
      <c r="BB28" s="46" t="str">
        <f>IFERROR(Item2[[#This Row],[Mortalidad 2 a 8  (Sem 1)]]/Item2[[#This Row],[cantidad arribada]],"")</f>
        <v/>
      </c>
      <c r="BC28" s="46" t="str">
        <f>IFERROR(Item2[[#This Row],[Mortalidad 9 a 15 (Sem 2)]]/Item2[[#This Row],[cantidad arribada]],"")</f>
        <v/>
      </c>
      <c r="BD28" s="46"/>
      <c r="BE28" s="219">
        <f>SUMIF('Acuario (Arribado - mortalidad)'!$B$14:$B$90,ANEXO!B28,'Acuario (Arribado - mortalidad)'!$F$14:$F$90)</f>
        <v>0</v>
      </c>
      <c r="BF28" s="219">
        <f>SUMIF('Acuario (Arribado - mortalidad)'!$B$14:$B$90,ANEXO!B28,'Acuario (Arribado - mortalidad)'!$K$14:$K$90)</f>
        <v>0</v>
      </c>
      <c r="BG28" s="219">
        <f>SUMIF('Acuario (Arribado - mortalidad)'!$B$14:$B$90,ANEXO!B28,'Acuario (Arribado - mortalidad)'!$G$14:$G$90)</f>
        <v>0</v>
      </c>
      <c r="BH28" s="219">
        <f>SUMIF('Acuario (Arribado - mortalidad)'!$B$14:$B$90,ANEXO!B28,'Acuario (Arribado - mortalidad)'!$O$14:$O$90)</f>
        <v>0</v>
      </c>
      <c r="BI28" s="219">
        <f>SUMIF('Acuario (Arribado - mortalidad)'!$B$14:$B$90,ANEXO!B28,'Acuario (Arribado - mortalidad)'!$BG$14:$BG$90)</f>
        <v>0</v>
      </c>
      <c r="BJ28" s="219">
        <f>SUMIF('Acuario (Arribado - mortalidad)'!$B$14:$B$90,ANEXO!B28,'Acuario (Arribado - mortalidad)'!$BH$14:$BH$90)</f>
        <v>0</v>
      </c>
      <c r="BK28" s="49" t="str">
        <f>IFERROR(VLOOKUP(AN28,#REF!,2,FALSE),"")</f>
        <v/>
      </c>
    </row>
    <row r="29" spans="1:63" x14ac:dyDescent="0.25">
      <c r="A29" s="42"/>
      <c r="B29" s="5">
        <v>61</v>
      </c>
      <c r="C29" s="422"/>
      <c r="D29" s="423"/>
      <c r="E29" s="423"/>
      <c r="F29" s="423"/>
      <c r="G29" s="423"/>
      <c r="H29" s="423"/>
      <c r="I29" s="424"/>
      <c r="J29" s="380"/>
      <c r="K29" s="380"/>
      <c r="L29" s="380"/>
      <c r="M29" s="380"/>
      <c r="N29" s="525" t="e">
        <f>INDEX(AMBIENTE!D$2:D$756,MATCH(R29,AMBIENTE!C$2:C$756,0))</f>
        <v>#N/A</v>
      </c>
      <c r="O29" s="525"/>
      <c r="P29" s="525"/>
      <c r="Q29" s="525"/>
      <c r="R29" s="428"/>
      <c r="S29" s="429"/>
      <c r="T29" s="429"/>
      <c r="U29" s="429"/>
      <c r="V29" s="429"/>
      <c r="W29" s="429"/>
      <c r="X29" s="430"/>
      <c r="Y29" s="374"/>
      <c r="Z29" s="375"/>
      <c r="AA29" s="375"/>
      <c r="AB29" s="375"/>
      <c r="AC29" s="376"/>
      <c r="AD29" s="357"/>
      <c r="AE29" s="358"/>
      <c r="AF29" s="359"/>
      <c r="AG29" s="372" t="str">
        <f>IFERROR(VLOOKUP(Item2[[#This Row],[Concatenado]],CITES[],2,FALSE),"")</f>
        <v/>
      </c>
      <c r="AH29" s="373"/>
      <c r="AI29" s="372" t="str">
        <f>IFERROR(VLOOKUP(Item2[[#This Row],[Concatenado]],SuscepEARs[],2,FALSE),"")</f>
        <v/>
      </c>
      <c r="AJ29" s="373"/>
      <c r="AK29" s="6"/>
      <c r="AL29" s="43"/>
      <c r="AM29" s="46">
        <v>61</v>
      </c>
      <c r="AN29" s="46" t="str">
        <f t="shared" si="3"/>
        <v xml:space="preserve"> </v>
      </c>
      <c r="AO29" s="46">
        <f t="shared" si="0"/>
        <v>0</v>
      </c>
      <c r="AP29" s="46">
        <f t="shared" si="1"/>
        <v>0</v>
      </c>
      <c r="AQ29" s="46" t="e">
        <f t="shared" si="2"/>
        <v>#N/A</v>
      </c>
      <c r="AR29" s="46">
        <f>SUMIF('Acuario (Arribado - mortalidad)'!$B$14:$B$90,ANEXO!B29,'Acuario (Arribado - mortalidad)'!$F$14:$F$90)</f>
        <v>0</v>
      </c>
      <c r="AS29" s="46" t="str">
        <f>IF(AR29&gt;0, IF(SUMIF('Acuario (Arribado - mortalidad)'!$B$14:$B$90,ANEXO!B29,'Acuario (Arribado - mortalidad)'!$K$14:$K$90)=0, "0", SUMIF('Acuario (Arribado - mortalidad)'!$B$14:$B$90,ANEXO!B29,'Acuario (Arribado - mortalidad)'!$K$14:$K$90)),"")</f>
        <v/>
      </c>
      <c r="AT29" s="46">
        <f>IF(AR29 = AS29,"0",SUMIF('Acuario (Arribado - mortalidad)'!$B$14:$B$90,ANEXO!B29,'Acuario (Arribado - mortalidad)'!$G$14:$G$90))</f>
        <v>0</v>
      </c>
      <c r="AU29" s="46" t="str">
        <f>IFERROR(Item2[[#This Row],[mortalidad acumulada]]/Item2[[#This Row],[cantidad arribada]],"")</f>
        <v/>
      </c>
      <c r="AV29" s="46">
        <f>IF(ISTEXT(R29),IF(Item2[[#This Row],[cantidad arribada]]=0,"No llega",Item2[[#This Row],[cantidad arribada]]),)</f>
        <v>0</v>
      </c>
      <c r="AW29" s="46"/>
      <c r="AX29" s="46">
        <f>SUMIF('Acuario (Arribado - mortalidad)'!$B$14:$B$90,ANEXO!B29,'Acuario (Arribado - mortalidad)'!$O$14:$O$90)</f>
        <v>0</v>
      </c>
      <c r="AY29" s="46">
        <f>SUMIF('Acuario (Arribado - mortalidad)'!$B$14:$B$90,ANEXO!B29,'Acuario (Arribado - mortalidad)'!$BG$14:$BG$90)</f>
        <v>0</v>
      </c>
      <c r="AZ29" s="46">
        <f>SUMIF('Acuario (Arribado - mortalidad)'!$B$14:$B$90,ANEXO!B29,'Acuario (Arribado - mortalidad)'!$BH$14:$BH$90)</f>
        <v>0</v>
      </c>
      <c r="BA29" s="46" t="str">
        <f>IFERROR(Item2[[#This Row],[Mortalidad dia 1]]/Item2[[#This Row],[cantidad arribada]],"")</f>
        <v/>
      </c>
      <c r="BB29" s="46" t="str">
        <f>IFERROR(Item2[[#This Row],[Mortalidad 2 a 8  (Sem 1)]]/Item2[[#This Row],[cantidad arribada]],"")</f>
        <v/>
      </c>
      <c r="BC29" s="46" t="str">
        <f>IFERROR(Item2[[#This Row],[Mortalidad 9 a 15 (Sem 2)]]/Item2[[#This Row],[cantidad arribada]],"")</f>
        <v/>
      </c>
      <c r="BD29" s="46"/>
      <c r="BE29" s="219">
        <f>SUMIF('Acuario (Arribado - mortalidad)'!$B$14:$B$90,ANEXO!B29,'Acuario (Arribado - mortalidad)'!$F$14:$F$90)</f>
        <v>0</v>
      </c>
      <c r="BF29" s="219">
        <f>SUMIF('Acuario (Arribado - mortalidad)'!$B$14:$B$90,ANEXO!B29,'Acuario (Arribado - mortalidad)'!$K$14:$K$90)</f>
        <v>0</v>
      </c>
      <c r="BG29" s="219">
        <f>SUMIF('Acuario (Arribado - mortalidad)'!$B$14:$B$90,ANEXO!B29,'Acuario (Arribado - mortalidad)'!$G$14:$G$90)</f>
        <v>0</v>
      </c>
      <c r="BH29" s="219">
        <f>SUMIF('Acuario (Arribado - mortalidad)'!$B$14:$B$90,ANEXO!B29,'Acuario (Arribado - mortalidad)'!$O$14:$O$90)</f>
        <v>0</v>
      </c>
      <c r="BI29" s="219">
        <f>SUMIF('Acuario (Arribado - mortalidad)'!$B$14:$B$90,ANEXO!B29,'Acuario (Arribado - mortalidad)'!$BG$14:$BG$90)</f>
        <v>0</v>
      </c>
      <c r="BJ29" s="219">
        <f>SUMIF('Acuario (Arribado - mortalidad)'!$B$14:$B$90,ANEXO!B29,'Acuario (Arribado - mortalidad)'!$BH$14:$BH$90)</f>
        <v>0</v>
      </c>
      <c r="BK29" s="49" t="str">
        <f>IFERROR(VLOOKUP(AN29,#REF!,2,FALSE),"")</f>
        <v/>
      </c>
    </row>
    <row r="30" spans="1:63" x14ac:dyDescent="0.25">
      <c r="A30" s="42"/>
      <c r="B30" s="5">
        <v>62</v>
      </c>
      <c r="C30" s="422"/>
      <c r="D30" s="423"/>
      <c r="E30" s="423"/>
      <c r="F30" s="423"/>
      <c r="G30" s="423"/>
      <c r="H30" s="423"/>
      <c r="I30" s="424"/>
      <c r="J30" s="380"/>
      <c r="K30" s="380"/>
      <c r="L30" s="380"/>
      <c r="M30" s="380"/>
      <c r="N30" s="525" t="e">
        <f>INDEX(AMBIENTE!D$2:D$756,MATCH(R30,AMBIENTE!C$2:C$756,0))</f>
        <v>#N/A</v>
      </c>
      <c r="O30" s="525"/>
      <c r="P30" s="525"/>
      <c r="Q30" s="525"/>
      <c r="R30" s="428"/>
      <c r="S30" s="429"/>
      <c r="T30" s="429"/>
      <c r="U30" s="429"/>
      <c r="V30" s="429"/>
      <c r="W30" s="429"/>
      <c r="X30" s="430"/>
      <c r="Y30" s="374"/>
      <c r="Z30" s="375"/>
      <c r="AA30" s="375"/>
      <c r="AB30" s="375"/>
      <c r="AC30" s="376"/>
      <c r="AD30" s="357"/>
      <c r="AE30" s="358"/>
      <c r="AF30" s="359"/>
      <c r="AG30" s="372" t="str">
        <f>IFERROR(VLOOKUP(Item2[[#This Row],[Concatenado]],CITES[],2,FALSE),"")</f>
        <v/>
      </c>
      <c r="AH30" s="373"/>
      <c r="AI30" s="372" t="str">
        <f>IFERROR(VLOOKUP(Item2[[#This Row],[Concatenado]],SuscepEARs[],2,FALSE),"")</f>
        <v/>
      </c>
      <c r="AJ30" s="373"/>
      <c r="AK30" s="6"/>
      <c r="AL30" s="43"/>
      <c r="AM30" s="46">
        <v>62</v>
      </c>
      <c r="AN30" s="46" t="str">
        <f t="shared" si="3"/>
        <v xml:space="preserve"> </v>
      </c>
      <c r="AO30" s="46">
        <f t="shared" si="0"/>
        <v>0</v>
      </c>
      <c r="AP30" s="46">
        <f t="shared" si="1"/>
        <v>0</v>
      </c>
      <c r="AQ30" s="46" t="e">
        <f t="shared" si="2"/>
        <v>#N/A</v>
      </c>
      <c r="AR30" s="46">
        <f>SUMIF('Acuario (Arribado - mortalidad)'!$B$14:$B$90,ANEXO!B30,'Acuario (Arribado - mortalidad)'!$F$14:$F$90)</f>
        <v>0</v>
      </c>
      <c r="AS30" s="46" t="str">
        <f>IF(AR30&gt;0, IF(SUMIF('Acuario (Arribado - mortalidad)'!$B$14:$B$90,ANEXO!B30,'Acuario (Arribado - mortalidad)'!$K$14:$K$90)=0, "0", SUMIF('Acuario (Arribado - mortalidad)'!$B$14:$B$90,ANEXO!B30,'Acuario (Arribado - mortalidad)'!$K$14:$K$90)),"")</f>
        <v/>
      </c>
      <c r="AT30" s="46">
        <f>IF(AR30 = AS30,"0",SUMIF('Acuario (Arribado - mortalidad)'!$B$14:$B$90,ANEXO!B30,'Acuario (Arribado - mortalidad)'!$G$14:$G$90))</f>
        <v>0</v>
      </c>
      <c r="AU30" s="46" t="str">
        <f>IFERROR(Item2[[#This Row],[mortalidad acumulada]]/Item2[[#This Row],[cantidad arribada]],"")</f>
        <v/>
      </c>
      <c r="AV30" s="46">
        <f>IF(ISTEXT(R30),IF(Item2[[#This Row],[cantidad arribada]]=0,"No llega",Item2[[#This Row],[cantidad arribada]]),)</f>
        <v>0</v>
      </c>
      <c r="AW30" s="46"/>
      <c r="AX30" s="46">
        <f>SUMIF('Acuario (Arribado - mortalidad)'!$B$14:$B$90,ANEXO!B30,'Acuario (Arribado - mortalidad)'!$O$14:$O$90)</f>
        <v>0</v>
      </c>
      <c r="AY30" s="46">
        <f>SUMIF('Acuario (Arribado - mortalidad)'!$B$14:$B$90,ANEXO!B30,'Acuario (Arribado - mortalidad)'!$BG$14:$BG$90)</f>
        <v>0</v>
      </c>
      <c r="AZ30" s="46">
        <f>SUMIF('Acuario (Arribado - mortalidad)'!$B$14:$B$90,ANEXO!B30,'Acuario (Arribado - mortalidad)'!$BH$14:$BH$90)</f>
        <v>0</v>
      </c>
      <c r="BA30" s="46" t="str">
        <f>IFERROR(Item2[[#This Row],[Mortalidad dia 1]]/Item2[[#This Row],[cantidad arribada]],"")</f>
        <v/>
      </c>
      <c r="BB30" s="46" t="str">
        <f>IFERROR(Item2[[#This Row],[Mortalidad 2 a 8  (Sem 1)]]/Item2[[#This Row],[cantidad arribada]],"")</f>
        <v/>
      </c>
      <c r="BC30" s="46" t="str">
        <f>IFERROR(Item2[[#This Row],[Mortalidad 9 a 15 (Sem 2)]]/Item2[[#This Row],[cantidad arribada]],"")</f>
        <v/>
      </c>
      <c r="BD30" s="46"/>
      <c r="BE30" s="219">
        <f>SUMIF('Acuario (Arribado - mortalidad)'!$B$14:$B$90,ANEXO!B30,'Acuario (Arribado - mortalidad)'!$F$14:$F$90)</f>
        <v>0</v>
      </c>
      <c r="BF30" s="219">
        <f>SUMIF('Acuario (Arribado - mortalidad)'!$B$14:$B$90,ANEXO!B30,'Acuario (Arribado - mortalidad)'!$K$14:$K$90)</f>
        <v>0</v>
      </c>
      <c r="BG30" s="219">
        <f>SUMIF('Acuario (Arribado - mortalidad)'!$B$14:$B$90,ANEXO!B30,'Acuario (Arribado - mortalidad)'!$G$14:$G$90)</f>
        <v>0</v>
      </c>
      <c r="BH30" s="219">
        <f>SUMIF('Acuario (Arribado - mortalidad)'!$B$14:$B$90,ANEXO!B30,'Acuario (Arribado - mortalidad)'!$O$14:$O$90)</f>
        <v>0</v>
      </c>
      <c r="BI30" s="219">
        <f>SUMIF('Acuario (Arribado - mortalidad)'!$B$14:$B$90,ANEXO!B30,'Acuario (Arribado - mortalidad)'!$BG$14:$BG$90)</f>
        <v>0</v>
      </c>
      <c r="BJ30" s="219">
        <f>SUMIF('Acuario (Arribado - mortalidad)'!$B$14:$B$90,ANEXO!B30,'Acuario (Arribado - mortalidad)'!$BH$14:$BH$90)</f>
        <v>0</v>
      </c>
      <c r="BK30" s="49" t="str">
        <f>IFERROR(VLOOKUP(AN30,#REF!,2,FALSE),"")</f>
        <v/>
      </c>
    </row>
    <row r="31" spans="1:63" x14ac:dyDescent="0.25">
      <c r="A31" s="42"/>
      <c r="B31" s="5">
        <v>63</v>
      </c>
      <c r="C31" s="422"/>
      <c r="D31" s="423"/>
      <c r="E31" s="423"/>
      <c r="F31" s="423"/>
      <c r="G31" s="423"/>
      <c r="H31" s="423"/>
      <c r="I31" s="424"/>
      <c r="J31" s="380"/>
      <c r="K31" s="380"/>
      <c r="L31" s="380"/>
      <c r="M31" s="380"/>
      <c r="N31" s="525" t="e">
        <f>INDEX(AMBIENTE!D$2:D$756,MATCH(R31,AMBIENTE!C$2:C$756,0))</f>
        <v>#N/A</v>
      </c>
      <c r="O31" s="525"/>
      <c r="P31" s="525"/>
      <c r="Q31" s="525"/>
      <c r="R31" s="428"/>
      <c r="S31" s="429"/>
      <c r="T31" s="429"/>
      <c r="U31" s="429"/>
      <c r="V31" s="429"/>
      <c r="W31" s="429"/>
      <c r="X31" s="430"/>
      <c r="Y31" s="374"/>
      <c r="Z31" s="375"/>
      <c r="AA31" s="375"/>
      <c r="AB31" s="375"/>
      <c r="AC31" s="376"/>
      <c r="AD31" s="357"/>
      <c r="AE31" s="358"/>
      <c r="AF31" s="359"/>
      <c r="AG31" s="372" t="str">
        <f>IFERROR(VLOOKUP(Item2[[#This Row],[Concatenado]],CITES[],2,FALSE),"")</f>
        <v/>
      </c>
      <c r="AH31" s="373"/>
      <c r="AI31" s="372" t="str">
        <f>IFERROR(VLOOKUP(Item2[[#This Row],[Concatenado]],SuscepEARs[],2,FALSE),"")</f>
        <v/>
      </c>
      <c r="AJ31" s="373"/>
      <c r="AL31" s="43"/>
      <c r="AM31" s="46">
        <v>63</v>
      </c>
      <c r="AN31" s="46" t="str">
        <f t="shared" si="3"/>
        <v xml:space="preserve"> </v>
      </c>
      <c r="AO31" s="46">
        <f t="shared" si="0"/>
        <v>0</v>
      </c>
      <c r="AP31" s="46">
        <f t="shared" si="1"/>
        <v>0</v>
      </c>
      <c r="AQ31" s="46" t="e">
        <f t="shared" si="2"/>
        <v>#N/A</v>
      </c>
      <c r="AR31" s="46">
        <f>SUMIF('Acuario (Arribado - mortalidad)'!$B$14:$B$90,ANEXO!B31,'Acuario (Arribado - mortalidad)'!$F$14:$F$90)</f>
        <v>0</v>
      </c>
      <c r="AS31" s="46" t="str">
        <f>IF(AR31&gt;0, IF(SUMIF('Acuario (Arribado - mortalidad)'!$B$14:$B$90,ANEXO!B31,'Acuario (Arribado - mortalidad)'!$K$14:$K$90)=0, "0", SUMIF('Acuario (Arribado - mortalidad)'!$B$14:$B$90,ANEXO!B31,'Acuario (Arribado - mortalidad)'!$K$14:$K$90)),"")</f>
        <v/>
      </c>
      <c r="AT31" s="46">
        <f>IF(AR31 = AS31,"0",SUMIF('Acuario (Arribado - mortalidad)'!$B$14:$B$90,ANEXO!B31,'Acuario (Arribado - mortalidad)'!$G$14:$G$90))</f>
        <v>0</v>
      </c>
      <c r="AU31" s="46" t="str">
        <f>IFERROR(Item2[[#This Row],[mortalidad acumulada]]/Item2[[#This Row],[cantidad arribada]],"")</f>
        <v/>
      </c>
      <c r="AV31" s="46">
        <f>IF(ISTEXT(R31),IF(Item2[[#This Row],[cantidad arribada]]=0,"No llega",Item2[[#This Row],[cantidad arribada]]),)</f>
        <v>0</v>
      </c>
      <c r="AW31" s="46"/>
      <c r="AX31" s="46">
        <f>SUMIF('Acuario (Arribado - mortalidad)'!$B$14:$B$90,ANEXO!B31,'Acuario (Arribado - mortalidad)'!$O$14:$O$90)</f>
        <v>0</v>
      </c>
      <c r="AY31" s="46">
        <f>SUMIF('Acuario (Arribado - mortalidad)'!$B$14:$B$90,ANEXO!B31,'Acuario (Arribado - mortalidad)'!$BG$14:$BG$90)</f>
        <v>0</v>
      </c>
      <c r="AZ31" s="46">
        <f>SUMIF('Acuario (Arribado - mortalidad)'!$B$14:$B$90,ANEXO!B31,'Acuario (Arribado - mortalidad)'!$BH$14:$BH$90)</f>
        <v>0</v>
      </c>
      <c r="BA31" s="46" t="str">
        <f>IFERROR(Item2[[#This Row],[Mortalidad dia 1]]/Item2[[#This Row],[cantidad arribada]],"")</f>
        <v/>
      </c>
      <c r="BB31" s="46" t="str">
        <f>IFERROR(Item2[[#This Row],[Mortalidad 2 a 8  (Sem 1)]]/Item2[[#This Row],[cantidad arribada]],"")</f>
        <v/>
      </c>
      <c r="BC31" s="46" t="str">
        <f>IFERROR(Item2[[#This Row],[Mortalidad 9 a 15 (Sem 2)]]/Item2[[#This Row],[cantidad arribada]],"")</f>
        <v/>
      </c>
      <c r="BD31" s="46"/>
      <c r="BE31" s="219">
        <f>SUMIF('Acuario (Arribado - mortalidad)'!$B$14:$B$90,ANEXO!B31,'Acuario (Arribado - mortalidad)'!$F$14:$F$90)</f>
        <v>0</v>
      </c>
      <c r="BF31" s="219">
        <f>SUMIF('Acuario (Arribado - mortalidad)'!$B$14:$B$90,ANEXO!B31,'Acuario (Arribado - mortalidad)'!$K$14:$K$90)</f>
        <v>0</v>
      </c>
      <c r="BG31" s="219">
        <f>SUMIF('Acuario (Arribado - mortalidad)'!$B$14:$B$90,ANEXO!B31,'Acuario (Arribado - mortalidad)'!$G$14:$G$90)</f>
        <v>0</v>
      </c>
      <c r="BH31" s="219">
        <f>SUMIF('Acuario (Arribado - mortalidad)'!$B$14:$B$90,ANEXO!B31,'Acuario (Arribado - mortalidad)'!$O$14:$O$90)</f>
        <v>0</v>
      </c>
      <c r="BI31" s="219">
        <f>SUMIF('Acuario (Arribado - mortalidad)'!$B$14:$B$90,ANEXO!B31,'Acuario (Arribado - mortalidad)'!$BG$14:$BG$90)</f>
        <v>0</v>
      </c>
      <c r="BJ31" s="219">
        <f>SUMIF('Acuario (Arribado - mortalidad)'!$B$14:$B$90,ANEXO!B31,'Acuario (Arribado - mortalidad)'!$BH$14:$BH$90)</f>
        <v>0</v>
      </c>
    </row>
    <row r="32" spans="1:63" x14ac:dyDescent="0.25">
      <c r="A32" s="42"/>
      <c r="B32" s="5">
        <v>64</v>
      </c>
      <c r="C32" s="422"/>
      <c r="D32" s="423"/>
      <c r="E32" s="423"/>
      <c r="F32" s="423"/>
      <c r="G32" s="423"/>
      <c r="H32" s="423"/>
      <c r="I32" s="424"/>
      <c r="J32" s="380"/>
      <c r="K32" s="380"/>
      <c r="L32" s="380"/>
      <c r="M32" s="380"/>
      <c r="N32" s="525" t="e">
        <f>INDEX(AMBIENTE!D$2:D$756,MATCH(R32,AMBIENTE!C$2:C$756,0))</f>
        <v>#N/A</v>
      </c>
      <c r="O32" s="525"/>
      <c r="P32" s="525"/>
      <c r="Q32" s="525"/>
      <c r="R32" s="428"/>
      <c r="S32" s="429"/>
      <c r="T32" s="429"/>
      <c r="U32" s="429"/>
      <c r="V32" s="429"/>
      <c r="W32" s="429"/>
      <c r="X32" s="430"/>
      <c r="Y32" s="374"/>
      <c r="Z32" s="375"/>
      <c r="AA32" s="375"/>
      <c r="AB32" s="375"/>
      <c r="AC32" s="376"/>
      <c r="AD32" s="357"/>
      <c r="AE32" s="358"/>
      <c r="AF32" s="359"/>
      <c r="AG32" s="372" t="str">
        <f>IFERROR(VLOOKUP(Item2[[#This Row],[Concatenado]],CITES[],2,FALSE),"")</f>
        <v/>
      </c>
      <c r="AH32" s="373"/>
      <c r="AI32" s="372" t="str">
        <f>IFERROR(VLOOKUP(Item2[[#This Row],[Concatenado]],SuscepEARs[],2,FALSE),"")</f>
        <v/>
      </c>
      <c r="AJ32" s="373"/>
      <c r="AL32" s="43"/>
      <c r="AM32" s="46">
        <v>64</v>
      </c>
      <c r="AN32" s="46" t="str">
        <f t="shared" si="3"/>
        <v xml:space="preserve"> </v>
      </c>
      <c r="AO32" s="46">
        <f t="shared" si="0"/>
        <v>0</v>
      </c>
      <c r="AP32" s="46">
        <f t="shared" si="1"/>
        <v>0</v>
      </c>
      <c r="AQ32" s="46" t="e">
        <f t="shared" si="2"/>
        <v>#N/A</v>
      </c>
      <c r="AR32" s="46">
        <f>SUMIF('Acuario (Arribado - mortalidad)'!$B$14:$B$90,ANEXO!B32,'Acuario (Arribado - mortalidad)'!$F$14:$F$90)</f>
        <v>0</v>
      </c>
      <c r="AS32" s="46" t="str">
        <f>IF(AR32&gt;0, IF(SUMIF('Acuario (Arribado - mortalidad)'!$B$14:$B$90,ANEXO!B32,'Acuario (Arribado - mortalidad)'!$K$14:$K$90)=0, "0", SUMIF('Acuario (Arribado - mortalidad)'!$B$14:$B$90,ANEXO!B32,'Acuario (Arribado - mortalidad)'!$K$14:$K$90)),"")</f>
        <v/>
      </c>
      <c r="AT32" s="46">
        <f>IF(AR32 = AS32,"0",SUMIF('Acuario (Arribado - mortalidad)'!$B$14:$B$90,ANEXO!B32,'Acuario (Arribado - mortalidad)'!$G$14:$G$90))</f>
        <v>0</v>
      </c>
      <c r="AU32" s="46" t="str">
        <f>IFERROR(Item2[[#This Row],[mortalidad acumulada]]/Item2[[#This Row],[cantidad arribada]],"")</f>
        <v/>
      </c>
      <c r="AV32" s="46">
        <f>IF(ISTEXT(R32),IF(Item2[[#This Row],[cantidad arribada]]=0,"No llega",Item2[[#This Row],[cantidad arribada]]),)</f>
        <v>0</v>
      </c>
      <c r="AW32" s="46"/>
      <c r="AX32" s="46">
        <f>SUMIF('Acuario (Arribado - mortalidad)'!$B$14:$B$90,ANEXO!B32,'Acuario (Arribado - mortalidad)'!$O$14:$O$90)</f>
        <v>0</v>
      </c>
      <c r="AY32" s="46">
        <f>SUMIF('Acuario (Arribado - mortalidad)'!$B$14:$B$90,ANEXO!B32,'Acuario (Arribado - mortalidad)'!$BG$14:$BG$90)</f>
        <v>0</v>
      </c>
      <c r="AZ32" s="46">
        <f>SUMIF('Acuario (Arribado - mortalidad)'!$B$14:$B$90,ANEXO!B32,'Acuario (Arribado - mortalidad)'!$BH$14:$BH$90)</f>
        <v>0</v>
      </c>
      <c r="BA32" s="46" t="str">
        <f>IFERROR(Item2[[#This Row],[Mortalidad dia 1]]/Item2[[#This Row],[cantidad arribada]],"")</f>
        <v/>
      </c>
      <c r="BB32" s="46" t="str">
        <f>IFERROR(Item2[[#This Row],[Mortalidad 2 a 8  (Sem 1)]]/Item2[[#This Row],[cantidad arribada]],"")</f>
        <v/>
      </c>
      <c r="BC32" s="46" t="str">
        <f>IFERROR(Item2[[#This Row],[Mortalidad 9 a 15 (Sem 2)]]/Item2[[#This Row],[cantidad arribada]],"")</f>
        <v/>
      </c>
      <c r="BD32" s="46"/>
      <c r="BE32" s="219">
        <f>SUMIF('Acuario (Arribado - mortalidad)'!$B$14:$B$90,ANEXO!B32,'Acuario (Arribado - mortalidad)'!$F$14:$F$90)</f>
        <v>0</v>
      </c>
      <c r="BF32" s="219">
        <f>SUMIF('Acuario (Arribado - mortalidad)'!$B$14:$B$90,ANEXO!B32,'Acuario (Arribado - mortalidad)'!$K$14:$K$90)</f>
        <v>0</v>
      </c>
      <c r="BG32" s="219">
        <f>SUMIF('Acuario (Arribado - mortalidad)'!$B$14:$B$90,ANEXO!B32,'Acuario (Arribado - mortalidad)'!$G$14:$G$90)</f>
        <v>0</v>
      </c>
      <c r="BH32" s="219">
        <f>SUMIF('Acuario (Arribado - mortalidad)'!$B$14:$B$90,ANEXO!B32,'Acuario (Arribado - mortalidad)'!$O$14:$O$90)</f>
        <v>0</v>
      </c>
      <c r="BI32" s="219">
        <f>SUMIF('Acuario (Arribado - mortalidad)'!$B$14:$B$90,ANEXO!B32,'Acuario (Arribado - mortalidad)'!$BG$14:$BG$90)</f>
        <v>0</v>
      </c>
      <c r="BJ32" s="219">
        <f>SUMIF('Acuario (Arribado - mortalidad)'!$B$14:$B$90,ANEXO!B32,'Acuario (Arribado - mortalidad)'!$BH$14:$BH$90)</f>
        <v>0</v>
      </c>
    </row>
    <row r="33" spans="1:62" x14ac:dyDescent="0.25">
      <c r="A33" s="42"/>
      <c r="B33" s="5">
        <v>65</v>
      </c>
      <c r="C33" s="422"/>
      <c r="D33" s="423"/>
      <c r="E33" s="423"/>
      <c r="F33" s="423"/>
      <c r="G33" s="423"/>
      <c r="H33" s="423"/>
      <c r="I33" s="424"/>
      <c r="J33" s="380"/>
      <c r="K33" s="380"/>
      <c r="L33" s="380"/>
      <c r="M33" s="380"/>
      <c r="N33" s="525" t="e">
        <f>INDEX(AMBIENTE!D$2:D$756,MATCH(R33,AMBIENTE!C$2:C$756,0))</f>
        <v>#N/A</v>
      </c>
      <c r="O33" s="525"/>
      <c r="P33" s="525"/>
      <c r="Q33" s="525"/>
      <c r="R33" s="428"/>
      <c r="S33" s="429"/>
      <c r="T33" s="429"/>
      <c r="U33" s="429"/>
      <c r="V33" s="429"/>
      <c r="W33" s="429"/>
      <c r="X33" s="430"/>
      <c r="Y33" s="374"/>
      <c r="Z33" s="375"/>
      <c r="AA33" s="375"/>
      <c r="AB33" s="375"/>
      <c r="AC33" s="376"/>
      <c r="AD33" s="357"/>
      <c r="AE33" s="358"/>
      <c r="AF33" s="359"/>
      <c r="AG33" s="372" t="str">
        <f>IFERROR(VLOOKUP(Item2[[#This Row],[Concatenado]],CITES[],2,FALSE),"")</f>
        <v/>
      </c>
      <c r="AH33" s="373"/>
      <c r="AI33" s="372" t="str">
        <f>IFERROR(VLOOKUP(Item2[[#This Row],[Concatenado]],SuscepEARs[],2,FALSE),"")</f>
        <v/>
      </c>
      <c r="AJ33" s="373"/>
      <c r="AL33" s="43"/>
      <c r="AM33" s="46">
        <v>65</v>
      </c>
      <c r="AN33" s="46" t="str">
        <f t="shared" si="3"/>
        <v xml:space="preserve"> </v>
      </c>
      <c r="AO33" s="46">
        <f t="shared" si="0"/>
        <v>0</v>
      </c>
      <c r="AP33" s="46">
        <f t="shared" si="1"/>
        <v>0</v>
      </c>
      <c r="AQ33" s="46" t="e">
        <f t="shared" si="2"/>
        <v>#N/A</v>
      </c>
      <c r="AR33" s="46">
        <f>SUMIF('Acuario (Arribado - mortalidad)'!$B$14:$B$90,ANEXO!B33,'Acuario (Arribado - mortalidad)'!$F$14:$F$90)</f>
        <v>0</v>
      </c>
      <c r="AS33" s="46" t="str">
        <f>IF(AR33&gt;0, IF(SUMIF('Acuario (Arribado - mortalidad)'!$B$14:$B$90,ANEXO!B33,'Acuario (Arribado - mortalidad)'!$K$14:$K$90)=0, "0", SUMIF('Acuario (Arribado - mortalidad)'!$B$14:$B$90,ANEXO!B33,'Acuario (Arribado - mortalidad)'!$K$14:$K$90)),"")</f>
        <v/>
      </c>
      <c r="AT33" s="46">
        <f>IF(AR33 = AS33,"0",SUMIF('Acuario (Arribado - mortalidad)'!$B$14:$B$90,ANEXO!B33,'Acuario (Arribado - mortalidad)'!$G$14:$G$90))</f>
        <v>0</v>
      </c>
      <c r="AU33" s="46" t="str">
        <f>IFERROR(Item2[[#This Row],[mortalidad acumulada]]/Item2[[#This Row],[cantidad arribada]],"")</f>
        <v/>
      </c>
      <c r="AV33" s="46">
        <f>IF(ISTEXT(R33),IF(Item2[[#This Row],[cantidad arribada]]=0,"No llega",Item2[[#This Row],[cantidad arribada]]),)</f>
        <v>0</v>
      </c>
      <c r="AW33" s="46"/>
      <c r="AX33" s="46">
        <f>SUMIF('Acuario (Arribado - mortalidad)'!$B$14:$B$90,ANEXO!B33,'Acuario (Arribado - mortalidad)'!$O$14:$O$90)</f>
        <v>0</v>
      </c>
      <c r="AY33" s="46">
        <f>SUMIF('Acuario (Arribado - mortalidad)'!$B$14:$B$90,ANEXO!B33,'Acuario (Arribado - mortalidad)'!$BG$14:$BG$90)</f>
        <v>0</v>
      </c>
      <c r="AZ33" s="46">
        <f>SUMIF('Acuario (Arribado - mortalidad)'!$B$14:$B$90,ANEXO!B33,'Acuario (Arribado - mortalidad)'!$BH$14:$BH$90)</f>
        <v>0</v>
      </c>
      <c r="BA33" s="46" t="str">
        <f>IFERROR(Item2[[#This Row],[Mortalidad dia 1]]/Item2[[#This Row],[cantidad arribada]],"")</f>
        <v/>
      </c>
      <c r="BB33" s="46" t="str">
        <f>IFERROR(Item2[[#This Row],[Mortalidad 2 a 8  (Sem 1)]]/Item2[[#This Row],[cantidad arribada]],"")</f>
        <v/>
      </c>
      <c r="BC33" s="46" t="str">
        <f>IFERROR(Item2[[#This Row],[Mortalidad 9 a 15 (Sem 2)]]/Item2[[#This Row],[cantidad arribada]],"")</f>
        <v/>
      </c>
      <c r="BD33" s="46"/>
      <c r="BE33" s="219">
        <f>SUMIF('Acuario (Arribado - mortalidad)'!$B$14:$B$90,ANEXO!B33,'Acuario (Arribado - mortalidad)'!$F$14:$F$90)</f>
        <v>0</v>
      </c>
      <c r="BF33" s="219">
        <f>SUMIF('Acuario (Arribado - mortalidad)'!$B$14:$B$90,ANEXO!B33,'Acuario (Arribado - mortalidad)'!$K$14:$K$90)</f>
        <v>0</v>
      </c>
      <c r="BG33" s="219">
        <f>SUMIF('Acuario (Arribado - mortalidad)'!$B$14:$B$90,ANEXO!B33,'Acuario (Arribado - mortalidad)'!$G$14:$G$90)</f>
        <v>0</v>
      </c>
      <c r="BH33" s="219">
        <f>SUMIF('Acuario (Arribado - mortalidad)'!$B$14:$B$90,ANEXO!B33,'Acuario (Arribado - mortalidad)'!$O$14:$O$90)</f>
        <v>0</v>
      </c>
      <c r="BI33" s="219">
        <f>SUMIF('Acuario (Arribado - mortalidad)'!$B$14:$B$90,ANEXO!B33,'Acuario (Arribado - mortalidad)'!$BG$14:$BG$90)</f>
        <v>0</v>
      </c>
      <c r="BJ33" s="219">
        <f>SUMIF('Acuario (Arribado - mortalidad)'!$B$14:$B$90,ANEXO!B33,'Acuario (Arribado - mortalidad)'!$BH$14:$BH$90)</f>
        <v>0</v>
      </c>
    </row>
    <row r="34" spans="1:62" x14ac:dyDescent="0.25">
      <c r="A34" s="42"/>
      <c r="B34" s="5">
        <v>66</v>
      </c>
      <c r="C34" s="422"/>
      <c r="D34" s="423"/>
      <c r="E34" s="423"/>
      <c r="F34" s="423"/>
      <c r="G34" s="423"/>
      <c r="H34" s="423"/>
      <c r="I34" s="424"/>
      <c r="J34" s="380"/>
      <c r="K34" s="380"/>
      <c r="L34" s="380"/>
      <c r="M34" s="380"/>
      <c r="N34" s="525" t="e">
        <f>INDEX(AMBIENTE!D$2:D$756,MATCH(R34,AMBIENTE!C$2:C$756,0))</f>
        <v>#N/A</v>
      </c>
      <c r="O34" s="525"/>
      <c r="P34" s="525"/>
      <c r="Q34" s="525"/>
      <c r="R34" s="428"/>
      <c r="S34" s="429"/>
      <c r="T34" s="429"/>
      <c r="U34" s="429"/>
      <c r="V34" s="429"/>
      <c r="W34" s="429"/>
      <c r="X34" s="430"/>
      <c r="Y34" s="374"/>
      <c r="Z34" s="375"/>
      <c r="AA34" s="375"/>
      <c r="AB34" s="375"/>
      <c r="AC34" s="376"/>
      <c r="AD34" s="357"/>
      <c r="AE34" s="358"/>
      <c r="AF34" s="359"/>
      <c r="AG34" s="372" t="str">
        <f>IFERROR(VLOOKUP(Item2[[#This Row],[Concatenado]],CITES[],2,FALSE),"")</f>
        <v/>
      </c>
      <c r="AH34" s="373"/>
      <c r="AI34" s="372" t="str">
        <f>IFERROR(VLOOKUP(Item2[[#This Row],[Concatenado]],SuscepEARs[],2,FALSE),"")</f>
        <v/>
      </c>
      <c r="AJ34" s="373"/>
      <c r="AL34" s="43"/>
      <c r="AM34" s="46">
        <v>66</v>
      </c>
      <c r="AN34" s="46" t="str">
        <f t="shared" si="3"/>
        <v xml:space="preserve"> </v>
      </c>
      <c r="AO34" s="46">
        <f t="shared" si="0"/>
        <v>0</v>
      </c>
      <c r="AP34" s="46">
        <f t="shared" si="1"/>
        <v>0</v>
      </c>
      <c r="AQ34" s="46" t="e">
        <f t="shared" si="2"/>
        <v>#N/A</v>
      </c>
      <c r="AR34" s="46">
        <f>SUMIF('Acuario (Arribado - mortalidad)'!$B$14:$B$90,ANEXO!B34,'Acuario (Arribado - mortalidad)'!$F$14:$F$90)</f>
        <v>0</v>
      </c>
      <c r="AS34" s="46" t="str">
        <f>IF(AR34&gt;0, IF(SUMIF('Acuario (Arribado - mortalidad)'!$B$14:$B$90,ANEXO!B34,'Acuario (Arribado - mortalidad)'!$K$14:$K$90)=0, "0", SUMIF('Acuario (Arribado - mortalidad)'!$B$14:$B$90,ANEXO!B34,'Acuario (Arribado - mortalidad)'!$K$14:$K$90)),"")</f>
        <v/>
      </c>
      <c r="AT34" s="46">
        <f>IF(AR34 = AS34,"0",SUMIF('Acuario (Arribado - mortalidad)'!$B$14:$B$90,ANEXO!B34,'Acuario (Arribado - mortalidad)'!$G$14:$G$90))</f>
        <v>0</v>
      </c>
      <c r="AU34" s="46" t="str">
        <f>IFERROR(Item2[[#This Row],[mortalidad acumulada]]/Item2[[#This Row],[cantidad arribada]],"")</f>
        <v/>
      </c>
      <c r="AV34" s="46">
        <f>IF(ISTEXT(R34),IF(Item2[[#This Row],[cantidad arribada]]=0,"No llega",Item2[[#This Row],[cantidad arribada]]),)</f>
        <v>0</v>
      </c>
      <c r="AW34" s="46"/>
      <c r="AX34" s="46">
        <f>SUMIF('Acuario (Arribado - mortalidad)'!$B$14:$B$90,ANEXO!B34,'Acuario (Arribado - mortalidad)'!$O$14:$O$90)</f>
        <v>0</v>
      </c>
      <c r="AY34" s="46">
        <f>SUMIF('Acuario (Arribado - mortalidad)'!$B$14:$B$90,ANEXO!B34,'Acuario (Arribado - mortalidad)'!$BG$14:$BG$90)</f>
        <v>0</v>
      </c>
      <c r="AZ34" s="46">
        <f>SUMIF('Acuario (Arribado - mortalidad)'!$B$14:$B$90,ANEXO!B34,'Acuario (Arribado - mortalidad)'!$BH$14:$BH$90)</f>
        <v>0</v>
      </c>
      <c r="BA34" s="46" t="str">
        <f>IFERROR(Item2[[#This Row],[Mortalidad dia 1]]/Item2[[#This Row],[cantidad arribada]],"")</f>
        <v/>
      </c>
      <c r="BB34" s="46" t="str">
        <f>IFERROR(Item2[[#This Row],[Mortalidad 2 a 8  (Sem 1)]]/Item2[[#This Row],[cantidad arribada]],"")</f>
        <v/>
      </c>
      <c r="BC34" s="46" t="str">
        <f>IFERROR(Item2[[#This Row],[Mortalidad 9 a 15 (Sem 2)]]/Item2[[#This Row],[cantidad arribada]],"")</f>
        <v/>
      </c>
      <c r="BD34" s="46"/>
      <c r="BE34" s="219">
        <f>SUMIF('Acuario (Arribado - mortalidad)'!$B$14:$B$90,ANEXO!B34,'Acuario (Arribado - mortalidad)'!$F$14:$F$90)</f>
        <v>0</v>
      </c>
      <c r="BF34" s="219">
        <f>SUMIF('Acuario (Arribado - mortalidad)'!$B$14:$B$90,ANEXO!B34,'Acuario (Arribado - mortalidad)'!$K$14:$K$90)</f>
        <v>0</v>
      </c>
      <c r="BG34" s="219">
        <f>SUMIF('Acuario (Arribado - mortalidad)'!$B$14:$B$90,ANEXO!B34,'Acuario (Arribado - mortalidad)'!$G$14:$G$90)</f>
        <v>0</v>
      </c>
      <c r="BH34" s="219">
        <f>SUMIF('Acuario (Arribado - mortalidad)'!$B$14:$B$90,ANEXO!B34,'Acuario (Arribado - mortalidad)'!$O$14:$O$90)</f>
        <v>0</v>
      </c>
      <c r="BI34" s="219">
        <f>SUMIF('Acuario (Arribado - mortalidad)'!$B$14:$B$90,ANEXO!B34,'Acuario (Arribado - mortalidad)'!$BG$14:$BG$90)</f>
        <v>0</v>
      </c>
      <c r="BJ34" s="219">
        <f>SUMIF('Acuario (Arribado - mortalidad)'!$B$14:$B$90,ANEXO!B34,'Acuario (Arribado - mortalidad)'!$BH$14:$BH$90)</f>
        <v>0</v>
      </c>
    </row>
    <row r="35" spans="1:62" x14ac:dyDescent="0.25">
      <c r="A35" s="42"/>
      <c r="B35" s="5">
        <v>67</v>
      </c>
      <c r="C35" s="422"/>
      <c r="D35" s="423"/>
      <c r="E35" s="423"/>
      <c r="F35" s="423"/>
      <c r="G35" s="423"/>
      <c r="H35" s="423"/>
      <c r="I35" s="424"/>
      <c r="J35" s="380"/>
      <c r="K35" s="380"/>
      <c r="L35" s="380"/>
      <c r="M35" s="380"/>
      <c r="N35" s="525" t="e">
        <f>INDEX(AMBIENTE!D$2:D$756,MATCH(R35,AMBIENTE!C$2:C$756,0))</f>
        <v>#N/A</v>
      </c>
      <c r="O35" s="525"/>
      <c r="P35" s="525"/>
      <c r="Q35" s="525"/>
      <c r="R35" s="428"/>
      <c r="S35" s="429"/>
      <c r="T35" s="429"/>
      <c r="U35" s="429"/>
      <c r="V35" s="429"/>
      <c r="W35" s="429"/>
      <c r="X35" s="430"/>
      <c r="Y35" s="374"/>
      <c r="Z35" s="375"/>
      <c r="AA35" s="375"/>
      <c r="AB35" s="375"/>
      <c r="AC35" s="376"/>
      <c r="AD35" s="357"/>
      <c r="AE35" s="358"/>
      <c r="AF35" s="359"/>
      <c r="AG35" s="372" t="str">
        <f>IFERROR(VLOOKUP(Item2[[#This Row],[Concatenado]],CITES[],2,FALSE),"")</f>
        <v/>
      </c>
      <c r="AH35" s="373"/>
      <c r="AI35" s="372" t="str">
        <f>IFERROR(VLOOKUP(Item2[[#This Row],[Concatenado]],SuscepEARs[],2,FALSE),"")</f>
        <v/>
      </c>
      <c r="AJ35" s="373"/>
      <c r="AL35" s="43"/>
      <c r="AM35" s="46">
        <v>67</v>
      </c>
      <c r="AN35" s="46" t="str">
        <f t="shared" si="3"/>
        <v xml:space="preserve"> </v>
      </c>
      <c r="AO35" s="46">
        <f t="shared" si="0"/>
        <v>0</v>
      </c>
      <c r="AP35" s="46">
        <f t="shared" si="1"/>
        <v>0</v>
      </c>
      <c r="AQ35" s="46" t="e">
        <f t="shared" si="2"/>
        <v>#N/A</v>
      </c>
      <c r="AR35" s="46">
        <f>SUMIF('Acuario (Arribado - mortalidad)'!$B$14:$B$90,ANEXO!B35,'Acuario (Arribado - mortalidad)'!$F$14:$F$90)</f>
        <v>0</v>
      </c>
      <c r="AS35" s="46" t="str">
        <f>IF(AR35&gt;0, IF(SUMIF('Acuario (Arribado - mortalidad)'!$B$14:$B$90,ANEXO!B35,'Acuario (Arribado - mortalidad)'!$K$14:$K$90)=0, "0", SUMIF('Acuario (Arribado - mortalidad)'!$B$14:$B$90,ANEXO!B35,'Acuario (Arribado - mortalidad)'!$K$14:$K$90)),"")</f>
        <v/>
      </c>
      <c r="AT35" s="46">
        <f>IF(AR35 = AS35,"0",SUMIF('Acuario (Arribado - mortalidad)'!$B$14:$B$90,ANEXO!B35,'Acuario (Arribado - mortalidad)'!$G$14:$G$90))</f>
        <v>0</v>
      </c>
      <c r="AU35" s="46" t="str">
        <f>IFERROR(Item2[[#This Row],[mortalidad acumulada]]/Item2[[#This Row],[cantidad arribada]],"")</f>
        <v/>
      </c>
      <c r="AV35" s="46">
        <f>IF(ISTEXT(R35),IF(Item2[[#This Row],[cantidad arribada]]=0,"No llega",Item2[[#This Row],[cantidad arribada]]),)</f>
        <v>0</v>
      </c>
      <c r="AW35" s="46"/>
      <c r="AX35" s="46">
        <f>SUMIF('Acuario (Arribado - mortalidad)'!$B$14:$B$90,ANEXO!B35,'Acuario (Arribado - mortalidad)'!$O$14:$O$90)</f>
        <v>0</v>
      </c>
      <c r="AY35" s="46">
        <f>SUMIF('Acuario (Arribado - mortalidad)'!$B$14:$B$90,ANEXO!B35,'Acuario (Arribado - mortalidad)'!$BG$14:$BG$90)</f>
        <v>0</v>
      </c>
      <c r="AZ35" s="46">
        <f>SUMIF('Acuario (Arribado - mortalidad)'!$B$14:$B$90,ANEXO!B35,'Acuario (Arribado - mortalidad)'!$BH$14:$BH$90)</f>
        <v>0</v>
      </c>
      <c r="BA35" s="46" t="str">
        <f>IFERROR(Item2[[#This Row],[Mortalidad dia 1]]/Item2[[#This Row],[cantidad arribada]],"")</f>
        <v/>
      </c>
      <c r="BB35" s="46" t="str">
        <f>IFERROR(Item2[[#This Row],[Mortalidad 2 a 8  (Sem 1)]]/Item2[[#This Row],[cantidad arribada]],"")</f>
        <v/>
      </c>
      <c r="BC35" s="46" t="str">
        <f>IFERROR(Item2[[#This Row],[Mortalidad 9 a 15 (Sem 2)]]/Item2[[#This Row],[cantidad arribada]],"")</f>
        <v/>
      </c>
      <c r="BD35" s="46"/>
      <c r="BE35" s="219">
        <f>SUMIF('Acuario (Arribado - mortalidad)'!$B$14:$B$90,ANEXO!B35,'Acuario (Arribado - mortalidad)'!$F$14:$F$90)</f>
        <v>0</v>
      </c>
      <c r="BF35" s="219">
        <f>SUMIF('Acuario (Arribado - mortalidad)'!$B$14:$B$90,ANEXO!B35,'Acuario (Arribado - mortalidad)'!$K$14:$K$90)</f>
        <v>0</v>
      </c>
      <c r="BG35" s="219">
        <f>SUMIF('Acuario (Arribado - mortalidad)'!$B$14:$B$90,ANEXO!B35,'Acuario (Arribado - mortalidad)'!$G$14:$G$90)</f>
        <v>0</v>
      </c>
      <c r="BH35" s="219">
        <f>SUMIF('Acuario (Arribado - mortalidad)'!$B$14:$B$90,ANEXO!B35,'Acuario (Arribado - mortalidad)'!$O$14:$O$90)</f>
        <v>0</v>
      </c>
      <c r="BI35" s="219">
        <f>SUMIF('Acuario (Arribado - mortalidad)'!$B$14:$B$90,ANEXO!B35,'Acuario (Arribado - mortalidad)'!$BG$14:$BG$90)</f>
        <v>0</v>
      </c>
      <c r="BJ35" s="219">
        <f>SUMIF('Acuario (Arribado - mortalidad)'!$B$14:$B$90,ANEXO!B35,'Acuario (Arribado - mortalidad)'!$BH$14:$BH$90)</f>
        <v>0</v>
      </c>
    </row>
    <row r="36" spans="1:62" x14ac:dyDescent="0.25">
      <c r="A36" s="42"/>
      <c r="B36" s="5">
        <v>68</v>
      </c>
      <c r="C36" s="422"/>
      <c r="D36" s="423"/>
      <c r="E36" s="423"/>
      <c r="F36" s="423"/>
      <c r="G36" s="423"/>
      <c r="H36" s="423"/>
      <c r="I36" s="424"/>
      <c r="J36" s="380"/>
      <c r="K36" s="380"/>
      <c r="L36" s="380"/>
      <c r="M36" s="380"/>
      <c r="N36" s="525" t="e">
        <f>INDEX(AMBIENTE!D$2:D$756,MATCH(R36,AMBIENTE!C$2:C$756,0))</f>
        <v>#N/A</v>
      </c>
      <c r="O36" s="525"/>
      <c r="P36" s="525"/>
      <c r="Q36" s="525"/>
      <c r="R36" s="428"/>
      <c r="S36" s="429"/>
      <c r="T36" s="429"/>
      <c r="U36" s="429"/>
      <c r="V36" s="429"/>
      <c r="W36" s="429"/>
      <c r="X36" s="430"/>
      <c r="Y36" s="374"/>
      <c r="Z36" s="375"/>
      <c r="AA36" s="375"/>
      <c r="AB36" s="375"/>
      <c r="AC36" s="376"/>
      <c r="AD36" s="357"/>
      <c r="AE36" s="358"/>
      <c r="AF36" s="359"/>
      <c r="AG36" s="372" t="str">
        <f>IFERROR(VLOOKUP(Item2[[#This Row],[Concatenado]],CITES[],2,FALSE),"")</f>
        <v/>
      </c>
      <c r="AH36" s="373"/>
      <c r="AI36" s="372" t="str">
        <f>IFERROR(VLOOKUP(Item2[[#This Row],[Concatenado]],SuscepEARs[],2,FALSE),"")</f>
        <v/>
      </c>
      <c r="AJ36" s="373"/>
      <c r="AL36" s="43"/>
      <c r="AM36" s="46">
        <v>68</v>
      </c>
      <c r="AN36" s="46" t="str">
        <f t="shared" si="3"/>
        <v xml:space="preserve"> </v>
      </c>
      <c r="AO36" s="46">
        <f t="shared" si="0"/>
        <v>0</v>
      </c>
      <c r="AP36" s="46">
        <f t="shared" si="1"/>
        <v>0</v>
      </c>
      <c r="AQ36" s="46" t="e">
        <f t="shared" si="2"/>
        <v>#N/A</v>
      </c>
      <c r="AR36" s="46">
        <f>SUMIF('Acuario (Arribado - mortalidad)'!$B$14:$B$90,ANEXO!B36,'Acuario (Arribado - mortalidad)'!$F$14:$F$90)</f>
        <v>0</v>
      </c>
      <c r="AS36" s="46" t="str">
        <f>IF(AR36&gt;0, IF(SUMIF('Acuario (Arribado - mortalidad)'!$B$14:$B$90,ANEXO!B36,'Acuario (Arribado - mortalidad)'!$K$14:$K$90)=0, "0", SUMIF('Acuario (Arribado - mortalidad)'!$B$14:$B$90,ANEXO!B36,'Acuario (Arribado - mortalidad)'!$K$14:$K$90)),"")</f>
        <v/>
      </c>
      <c r="AT36" s="46">
        <f>IF(AR36 = AS36,"0",SUMIF('Acuario (Arribado - mortalidad)'!$B$14:$B$90,ANEXO!B36,'Acuario (Arribado - mortalidad)'!$G$14:$G$90))</f>
        <v>0</v>
      </c>
      <c r="AU36" s="46" t="str">
        <f>IFERROR(Item2[[#This Row],[mortalidad acumulada]]/Item2[[#This Row],[cantidad arribada]],"")</f>
        <v/>
      </c>
      <c r="AV36" s="46">
        <f>IF(ISTEXT(R36),IF(Item2[[#This Row],[cantidad arribada]]=0,"No llega",Item2[[#This Row],[cantidad arribada]]),)</f>
        <v>0</v>
      </c>
      <c r="AW36" s="46"/>
      <c r="AX36" s="46">
        <f>SUMIF('Acuario (Arribado - mortalidad)'!$B$14:$B$90,ANEXO!B36,'Acuario (Arribado - mortalidad)'!$O$14:$O$90)</f>
        <v>0</v>
      </c>
      <c r="AY36" s="46">
        <f>SUMIF('Acuario (Arribado - mortalidad)'!$B$14:$B$90,ANEXO!B36,'Acuario (Arribado - mortalidad)'!$BG$14:$BG$90)</f>
        <v>0</v>
      </c>
      <c r="AZ36" s="46">
        <f>SUMIF('Acuario (Arribado - mortalidad)'!$B$14:$B$90,ANEXO!B36,'Acuario (Arribado - mortalidad)'!$BH$14:$BH$90)</f>
        <v>0</v>
      </c>
      <c r="BA36" s="46" t="str">
        <f>IFERROR(Item2[[#This Row],[Mortalidad dia 1]]/Item2[[#This Row],[cantidad arribada]],"")</f>
        <v/>
      </c>
      <c r="BB36" s="46" t="str">
        <f>IFERROR(Item2[[#This Row],[Mortalidad 2 a 8  (Sem 1)]]/Item2[[#This Row],[cantidad arribada]],"")</f>
        <v/>
      </c>
      <c r="BC36" s="46" t="str">
        <f>IFERROR(Item2[[#This Row],[Mortalidad 9 a 15 (Sem 2)]]/Item2[[#This Row],[cantidad arribada]],"")</f>
        <v/>
      </c>
      <c r="BD36" s="46"/>
      <c r="BE36" s="219">
        <f>SUMIF('Acuario (Arribado - mortalidad)'!$B$14:$B$90,ANEXO!B36,'Acuario (Arribado - mortalidad)'!$F$14:$F$90)</f>
        <v>0</v>
      </c>
      <c r="BF36" s="219">
        <f>SUMIF('Acuario (Arribado - mortalidad)'!$B$14:$B$90,ANEXO!B36,'Acuario (Arribado - mortalidad)'!$K$14:$K$90)</f>
        <v>0</v>
      </c>
      <c r="BG36" s="219">
        <f>SUMIF('Acuario (Arribado - mortalidad)'!$B$14:$B$90,ANEXO!B36,'Acuario (Arribado - mortalidad)'!$G$14:$G$90)</f>
        <v>0</v>
      </c>
      <c r="BH36" s="219">
        <f>SUMIF('Acuario (Arribado - mortalidad)'!$B$14:$B$90,ANEXO!B36,'Acuario (Arribado - mortalidad)'!$O$14:$O$90)</f>
        <v>0</v>
      </c>
      <c r="BI36" s="219">
        <f>SUMIF('Acuario (Arribado - mortalidad)'!$B$14:$B$90,ANEXO!B36,'Acuario (Arribado - mortalidad)'!$BG$14:$BG$90)</f>
        <v>0</v>
      </c>
      <c r="BJ36" s="219">
        <f>SUMIF('Acuario (Arribado - mortalidad)'!$B$14:$B$90,ANEXO!B36,'Acuario (Arribado - mortalidad)'!$BH$14:$BH$90)</f>
        <v>0</v>
      </c>
    </row>
    <row r="37" spans="1:62" x14ac:dyDescent="0.25">
      <c r="A37" s="42"/>
      <c r="B37" s="5">
        <v>69</v>
      </c>
      <c r="C37" s="422"/>
      <c r="D37" s="423"/>
      <c r="E37" s="423"/>
      <c r="F37" s="423"/>
      <c r="G37" s="423"/>
      <c r="H37" s="423"/>
      <c r="I37" s="424"/>
      <c r="J37" s="380"/>
      <c r="K37" s="380"/>
      <c r="L37" s="380"/>
      <c r="M37" s="380"/>
      <c r="N37" s="525" t="e">
        <f>INDEX(AMBIENTE!D$2:D$756,MATCH(R37,AMBIENTE!C$2:C$756,0))</f>
        <v>#N/A</v>
      </c>
      <c r="O37" s="525"/>
      <c r="P37" s="525"/>
      <c r="Q37" s="525"/>
      <c r="R37" s="428"/>
      <c r="S37" s="429"/>
      <c r="T37" s="429"/>
      <c r="U37" s="429"/>
      <c r="V37" s="429"/>
      <c r="W37" s="429"/>
      <c r="X37" s="430"/>
      <c r="Y37" s="374"/>
      <c r="Z37" s="375"/>
      <c r="AA37" s="375"/>
      <c r="AB37" s="375"/>
      <c r="AC37" s="376"/>
      <c r="AD37" s="357"/>
      <c r="AE37" s="358"/>
      <c r="AF37" s="359"/>
      <c r="AG37" s="372" t="str">
        <f>IFERROR(VLOOKUP(Item2[[#This Row],[Concatenado]],CITES[],2,FALSE),"")</f>
        <v/>
      </c>
      <c r="AH37" s="373"/>
      <c r="AI37" s="372" t="str">
        <f>IFERROR(VLOOKUP(Item2[[#This Row],[Concatenado]],SuscepEARs[],2,FALSE),"")</f>
        <v/>
      </c>
      <c r="AJ37" s="373"/>
      <c r="AL37" s="43"/>
      <c r="AM37" s="46">
        <v>69</v>
      </c>
      <c r="AN37" s="46" t="str">
        <f t="shared" si="3"/>
        <v xml:space="preserve"> </v>
      </c>
      <c r="AO37" s="46">
        <f t="shared" si="0"/>
        <v>0</v>
      </c>
      <c r="AP37" s="46">
        <f t="shared" si="1"/>
        <v>0</v>
      </c>
      <c r="AQ37" s="46" t="e">
        <f t="shared" si="2"/>
        <v>#N/A</v>
      </c>
      <c r="AR37" s="46">
        <f>SUMIF('Acuario (Arribado - mortalidad)'!$B$14:$B$90,ANEXO!B37,'Acuario (Arribado - mortalidad)'!$F$14:$F$90)</f>
        <v>0</v>
      </c>
      <c r="AS37" s="46" t="str">
        <f>IF(AR37&gt;0, IF(SUMIF('Acuario (Arribado - mortalidad)'!$B$14:$B$90,ANEXO!B37,'Acuario (Arribado - mortalidad)'!$K$14:$K$90)=0, "0", SUMIF('Acuario (Arribado - mortalidad)'!$B$14:$B$90,ANEXO!B37,'Acuario (Arribado - mortalidad)'!$K$14:$K$90)),"")</f>
        <v/>
      </c>
      <c r="AT37" s="46">
        <f>IF(AR37 = AS37,"0",SUMIF('Acuario (Arribado - mortalidad)'!$B$14:$B$90,ANEXO!B37,'Acuario (Arribado - mortalidad)'!$G$14:$G$90))</f>
        <v>0</v>
      </c>
      <c r="AU37" s="46" t="str">
        <f>IFERROR(Item2[[#This Row],[mortalidad acumulada]]/Item2[[#This Row],[cantidad arribada]],"")</f>
        <v/>
      </c>
      <c r="AV37" s="46">
        <f>IF(ISTEXT(R37),IF(Item2[[#This Row],[cantidad arribada]]=0,"No llega",Item2[[#This Row],[cantidad arribada]]),)</f>
        <v>0</v>
      </c>
      <c r="AW37" s="46"/>
      <c r="AX37" s="46">
        <f>SUMIF('Acuario (Arribado - mortalidad)'!$B$14:$B$90,ANEXO!B37,'Acuario (Arribado - mortalidad)'!$O$14:$O$90)</f>
        <v>0</v>
      </c>
      <c r="AY37" s="46">
        <f>SUMIF('Acuario (Arribado - mortalidad)'!$B$14:$B$90,ANEXO!B37,'Acuario (Arribado - mortalidad)'!$BG$14:$BG$90)</f>
        <v>0</v>
      </c>
      <c r="AZ37" s="46">
        <f>SUMIF('Acuario (Arribado - mortalidad)'!$B$14:$B$90,ANEXO!B37,'Acuario (Arribado - mortalidad)'!$BH$14:$BH$90)</f>
        <v>0</v>
      </c>
      <c r="BA37" s="46" t="str">
        <f>IFERROR(Item2[[#This Row],[Mortalidad dia 1]]/Item2[[#This Row],[cantidad arribada]],"")</f>
        <v/>
      </c>
      <c r="BB37" s="46" t="str">
        <f>IFERROR(Item2[[#This Row],[Mortalidad 2 a 8  (Sem 1)]]/Item2[[#This Row],[cantidad arribada]],"")</f>
        <v/>
      </c>
      <c r="BC37" s="46" t="str">
        <f>IFERROR(Item2[[#This Row],[Mortalidad 9 a 15 (Sem 2)]]/Item2[[#This Row],[cantidad arribada]],"")</f>
        <v/>
      </c>
      <c r="BD37" s="46"/>
      <c r="BE37" s="219">
        <f>SUMIF('Acuario (Arribado - mortalidad)'!$B$14:$B$90,ANEXO!B37,'Acuario (Arribado - mortalidad)'!$F$14:$F$90)</f>
        <v>0</v>
      </c>
      <c r="BF37" s="219">
        <f>SUMIF('Acuario (Arribado - mortalidad)'!$B$14:$B$90,ANEXO!B37,'Acuario (Arribado - mortalidad)'!$K$14:$K$90)</f>
        <v>0</v>
      </c>
      <c r="BG37" s="219">
        <f>SUMIF('Acuario (Arribado - mortalidad)'!$B$14:$B$90,ANEXO!B37,'Acuario (Arribado - mortalidad)'!$G$14:$G$90)</f>
        <v>0</v>
      </c>
      <c r="BH37" s="219">
        <f>SUMIF('Acuario (Arribado - mortalidad)'!$B$14:$B$90,ANEXO!B37,'Acuario (Arribado - mortalidad)'!$O$14:$O$90)</f>
        <v>0</v>
      </c>
      <c r="BI37" s="219">
        <f>SUMIF('Acuario (Arribado - mortalidad)'!$B$14:$B$90,ANEXO!B37,'Acuario (Arribado - mortalidad)'!$BG$14:$BG$90)</f>
        <v>0</v>
      </c>
      <c r="BJ37" s="219">
        <f>SUMIF('Acuario (Arribado - mortalidad)'!$B$14:$B$90,ANEXO!B37,'Acuario (Arribado - mortalidad)'!$BH$14:$BH$90)</f>
        <v>0</v>
      </c>
    </row>
    <row r="38" spans="1:62" x14ac:dyDescent="0.25">
      <c r="A38" s="42"/>
      <c r="B38" s="5">
        <v>70</v>
      </c>
      <c r="C38" s="422"/>
      <c r="D38" s="423"/>
      <c r="E38" s="423"/>
      <c r="F38" s="423"/>
      <c r="G38" s="423"/>
      <c r="H38" s="423"/>
      <c r="I38" s="424"/>
      <c r="J38" s="380"/>
      <c r="K38" s="380"/>
      <c r="L38" s="380"/>
      <c r="M38" s="380"/>
      <c r="N38" s="525" t="e">
        <f>INDEX(AMBIENTE!D$2:D$756,MATCH(R38,AMBIENTE!C$2:C$756,0))</f>
        <v>#N/A</v>
      </c>
      <c r="O38" s="525"/>
      <c r="P38" s="525"/>
      <c r="Q38" s="525"/>
      <c r="R38" s="428"/>
      <c r="S38" s="429"/>
      <c r="T38" s="429"/>
      <c r="U38" s="429"/>
      <c r="V38" s="429"/>
      <c r="W38" s="429"/>
      <c r="X38" s="430"/>
      <c r="Y38" s="374"/>
      <c r="Z38" s="375"/>
      <c r="AA38" s="375"/>
      <c r="AB38" s="375"/>
      <c r="AC38" s="376"/>
      <c r="AD38" s="357"/>
      <c r="AE38" s="358"/>
      <c r="AF38" s="359"/>
      <c r="AG38" s="372" t="str">
        <f>IFERROR(VLOOKUP(Item2[[#This Row],[Concatenado]],CITES[],2,FALSE),"")</f>
        <v/>
      </c>
      <c r="AH38" s="373"/>
      <c r="AI38" s="372" t="str">
        <f>IFERROR(VLOOKUP(Item2[[#This Row],[Concatenado]],SuscepEARs[],2,FALSE),"")</f>
        <v/>
      </c>
      <c r="AJ38" s="373"/>
      <c r="AL38" s="43"/>
      <c r="AM38" s="46">
        <v>70</v>
      </c>
      <c r="AN38" s="46" t="str">
        <f t="shared" si="3"/>
        <v xml:space="preserve"> </v>
      </c>
      <c r="AO38" s="46">
        <f t="shared" si="0"/>
        <v>0</v>
      </c>
      <c r="AP38" s="46">
        <f t="shared" si="1"/>
        <v>0</v>
      </c>
      <c r="AQ38" s="46" t="e">
        <f t="shared" si="2"/>
        <v>#N/A</v>
      </c>
      <c r="AR38" s="46">
        <f>SUMIF('Acuario (Arribado - mortalidad)'!$B$14:$B$90,ANEXO!B38,'Acuario (Arribado - mortalidad)'!$F$14:$F$90)</f>
        <v>0</v>
      </c>
      <c r="AS38" s="46" t="str">
        <f>IF(AR38&gt;0, IF(SUMIF('Acuario (Arribado - mortalidad)'!$B$14:$B$90,ANEXO!B38,'Acuario (Arribado - mortalidad)'!$K$14:$K$90)=0, "0", SUMIF('Acuario (Arribado - mortalidad)'!$B$14:$B$90,ANEXO!B38,'Acuario (Arribado - mortalidad)'!$K$14:$K$90)),"")</f>
        <v/>
      </c>
      <c r="AT38" s="46">
        <f>IF(AR38 = AS38,"0",SUMIF('Acuario (Arribado - mortalidad)'!$B$14:$B$90,ANEXO!B38,'Acuario (Arribado - mortalidad)'!$G$14:$G$90))</f>
        <v>0</v>
      </c>
      <c r="AU38" s="46" t="str">
        <f>IFERROR(Item2[[#This Row],[mortalidad acumulada]]/Item2[[#This Row],[cantidad arribada]],"")</f>
        <v/>
      </c>
      <c r="AV38" s="46">
        <f>IF(ISTEXT(R38),IF(Item2[[#This Row],[cantidad arribada]]=0,"No llega",Item2[[#This Row],[cantidad arribada]]),)</f>
        <v>0</v>
      </c>
      <c r="AW38" s="46"/>
      <c r="AX38" s="46">
        <f>SUMIF('Acuario (Arribado - mortalidad)'!$B$14:$B$90,ANEXO!B38,'Acuario (Arribado - mortalidad)'!$O$14:$O$90)</f>
        <v>0</v>
      </c>
      <c r="AY38" s="46">
        <f>SUMIF('Acuario (Arribado - mortalidad)'!$B$14:$B$90,ANEXO!B38,'Acuario (Arribado - mortalidad)'!$BG$14:$BG$90)</f>
        <v>0</v>
      </c>
      <c r="AZ38" s="46">
        <f>SUMIF('Acuario (Arribado - mortalidad)'!$B$14:$B$90,ANEXO!B38,'Acuario (Arribado - mortalidad)'!$BH$14:$BH$90)</f>
        <v>0</v>
      </c>
      <c r="BA38" s="46" t="str">
        <f>IFERROR(Item2[[#This Row],[Mortalidad dia 1]]/Item2[[#This Row],[cantidad arribada]],"")</f>
        <v/>
      </c>
      <c r="BB38" s="46" t="str">
        <f>IFERROR(Item2[[#This Row],[Mortalidad 2 a 8  (Sem 1)]]/Item2[[#This Row],[cantidad arribada]],"")</f>
        <v/>
      </c>
      <c r="BC38" s="46" t="str">
        <f>IFERROR(Item2[[#This Row],[Mortalidad 9 a 15 (Sem 2)]]/Item2[[#This Row],[cantidad arribada]],"")</f>
        <v/>
      </c>
      <c r="BD38" s="46"/>
      <c r="BE38" s="219">
        <f>SUMIF('Acuario (Arribado - mortalidad)'!$B$14:$B$90,ANEXO!B38,'Acuario (Arribado - mortalidad)'!$F$14:$F$90)</f>
        <v>0</v>
      </c>
      <c r="BF38" s="219">
        <f>SUMIF('Acuario (Arribado - mortalidad)'!$B$14:$B$90,ANEXO!B38,'Acuario (Arribado - mortalidad)'!$K$14:$K$90)</f>
        <v>0</v>
      </c>
      <c r="BG38" s="219">
        <f>SUMIF('Acuario (Arribado - mortalidad)'!$B$14:$B$90,ANEXO!B38,'Acuario (Arribado - mortalidad)'!$G$14:$G$90)</f>
        <v>0</v>
      </c>
      <c r="BH38" s="219">
        <f>SUMIF('Acuario (Arribado - mortalidad)'!$B$14:$B$90,ANEXO!B38,'Acuario (Arribado - mortalidad)'!$O$14:$O$90)</f>
        <v>0</v>
      </c>
      <c r="BI38" s="219">
        <f>SUMIF('Acuario (Arribado - mortalidad)'!$B$14:$B$90,ANEXO!B38,'Acuario (Arribado - mortalidad)'!$BG$14:$BG$90)</f>
        <v>0</v>
      </c>
      <c r="BJ38" s="219">
        <f>SUMIF('Acuario (Arribado - mortalidad)'!$B$14:$B$90,ANEXO!B38,'Acuario (Arribado - mortalidad)'!$BH$14:$BH$90)</f>
        <v>0</v>
      </c>
    </row>
    <row r="39" spans="1:62" x14ac:dyDescent="0.25">
      <c r="A39" s="42"/>
      <c r="B39" s="5">
        <v>71</v>
      </c>
      <c r="C39" s="422"/>
      <c r="D39" s="423"/>
      <c r="E39" s="423"/>
      <c r="F39" s="423"/>
      <c r="G39" s="423"/>
      <c r="H39" s="423"/>
      <c r="I39" s="424"/>
      <c r="J39" s="380"/>
      <c r="K39" s="380"/>
      <c r="L39" s="380"/>
      <c r="M39" s="380"/>
      <c r="N39" s="525" t="e">
        <f>INDEX(AMBIENTE!D$2:D$756,MATCH(R39,AMBIENTE!C$2:C$756,0))</f>
        <v>#N/A</v>
      </c>
      <c r="O39" s="525"/>
      <c r="P39" s="525"/>
      <c r="Q39" s="525"/>
      <c r="R39" s="428"/>
      <c r="S39" s="429"/>
      <c r="T39" s="429"/>
      <c r="U39" s="429"/>
      <c r="V39" s="429"/>
      <c r="W39" s="429"/>
      <c r="X39" s="430"/>
      <c r="Y39" s="374"/>
      <c r="Z39" s="375"/>
      <c r="AA39" s="375"/>
      <c r="AB39" s="375"/>
      <c r="AC39" s="376"/>
      <c r="AD39" s="357"/>
      <c r="AE39" s="358"/>
      <c r="AF39" s="359"/>
      <c r="AG39" s="372" t="str">
        <f>IFERROR(VLOOKUP(Item2[[#This Row],[Concatenado]],CITES[],2,FALSE),"")</f>
        <v/>
      </c>
      <c r="AH39" s="373"/>
      <c r="AI39" s="372" t="str">
        <f>IFERROR(VLOOKUP(Item2[[#This Row],[Concatenado]],SuscepEARs[],2,FALSE),"")</f>
        <v/>
      </c>
      <c r="AJ39" s="373"/>
      <c r="AL39" s="43"/>
      <c r="AM39" s="46">
        <v>71</v>
      </c>
      <c r="AN39" s="46" t="str">
        <f t="shared" si="3"/>
        <v xml:space="preserve"> </v>
      </c>
      <c r="AO39" s="46">
        <f t="shared" si="0"/>
        <v>0</v>
      </c>
      <c r="AP39" s="46">
        <f t="shared" si="1"/>
        <v>0</v>
      </c>
      <c r="AQ39" s="46" t="e">
        <f t="shared" si="2"/>
        <v>#N/A</v>
      </c>
      <c r="AR39" s="46">
        <f>SUMIF('Acuario (Arribado - mortalidad)'!$B$14:$B$90,ANEXO!B39,'Acuario (Arribado - mortalidad)'!$F$14:$F$90)</f>
        <v>0</v>
      </c>
      <c r="AS39" s="46" t="str">
        <f>IF(AR39&gt;0, IF(SUMIF('Acuario (Arribado - mortalidad)'!$B$14:$B$90,ANEXO!B39,'Acuario (Arribado - mortalidad)'!$K$14:$K$90)=0, "0", SUMIF('Acuario (Arribado - mortalidad)'!$B$14:$B$90,ANEXO!B39,'Acuario (Arribado - mortalidad)'!$K$14:$K$90)),"")</f>
        <v/>
      </c>
      <c r="AT39" s="46">
        <f>IF(AR39 = AS39,"0",SUMIF('Acuario (Arribado - mortalidad)'!$B$14:$B$90,ANEXO!B39,'Acuario (Arribado - mortalidad)'!$G$14:$G$90))</f>
        <v>0</v>
      </c>
      <c r="AU39" s="46" t="str">
        <f>IFERROR(Item2[[#This Row],[mortalidad acumulada]]/Item2[[#This Row],[cantidad arribada]],"")</f>
        <v/>
      </c>
      <c r="AV39" s="46">
        <f>IF(ISTEXT(R39),IF(Item2[[#This Row],[cantidad arribada]]=0,"No llega",Item2[[#This Row],[cantidad arribada]]),)</f>
        <v>0</v>
      </c>
      <c r="AW39" s="46"/>
      <c r="AX39" s="46">
        <f>SUMIF('Acuario (Arribado - mortalidad)'!$B$14:$B$90,ANEXO!B39,'Acuario (Arribado - mortalidad)'!$O$14:$O$90)</f>
        <v>0</v>
      </c>
      <c r="AY39" s="46">
        <f>SUMIF('Acuario (Arribado - mortalidad)'!$B$14:$B$90,ANEXO!B39,'Acuario (Arribado - mortalidad)'!$BG$14:$BG$90)</f>
        <v>0</v>
      </c>
      <c r="AZ39" s="46">
        <f>SUMIF('Acuario (Arribado - mortalidad)'!$B$14:$B$90,ANEXO!B39,'Acuario (Arribado - mortalidad)'!$BH$14:$BH$90)</f>
        <v>0</v>
      </c>
      <c r="BA39" s="46" t="str">
        <f>IFERROR(Item2[[#This Row],[Mortalidad dia 1]]/Item2[[#This Row],[cantidad arribada]],"")</f>
        <v/>
      </c>
      <c r="BB39" s="46" t="str">
        <f>IFERROR(Item2[[#This Row],[Mortalidad 2 a 8  (Sem 1)]]/Item2[[#This Row],[cantidad arribada]],"")</f>
        <v/>
      </c>
      <c r="BC39" s="46" t="str">
        <f>IFERROR(Item2[[#This Row],[Mortalidad 9 a 15 (Sem 2)]]/Item2[[#This Row],[cantidad arribada]],"")</f>
        <v/>
      </c>
      <c r="BD39" s="46"/>
      <c r="BE39" s="219">
        <f>SUMIF('Acuario (Arribado - mortalidad)'!$B$14:$B$90,ANEXO!B39,'Acuario (Arribado - mortalidad)'!$F$14:$F$90)</f>
        <v>0</v>
      </c>
      <c r="BF39" s="219">
        <f>SUMIF('Acuario (Arribado - mortalidad)'!$B$14:$B$90,ANEXO!B39,'Acuario (Arribado - mortalidad)'!$K$14:$K$90)</f>
        <v>0</v>
      </c>
      <c r="BG39" s="219">
        <f>SUMIF('Acuario (Arribado - mortalidad)'!$B$14:$B$90,ANEXO!B39,'Acuario (Arribado - mortalidad)'!$G$14:$G$90)</f>
        <v>0</v>
      </c>
      <c r="BH39" s="219">
        <f>SUMIF('Acuario (Arribado - mortalidad)'!$B$14:$B$90,ANEXO!B39,'Acuario (Arribado - mortalidad)'!$O$14:$O$90)</f>
        <v>0</v>
      </c>
      <c r="BI39" s="219">
        <f>SUMIF('Acuario (Arribado - mortalidad)'!$B$14:$B$90,ANEXO!B39,'Acuario (Arribado - mortalidad)'!$BG$14:$BG$90)</f>
        <v>0</v>
      </c>
      <c r="BJ39" s="219">
        <f>SUMIF('Acuario (Arribado - mortalidad)'!$B$14:$B$90,ANEXO!B39,'Acuario (Arribado - mortalidad)'!$BH$14:$BH$90)</f>
        <v>0</v>
      </c>
    </row>
    <row r="40" spans="1:62" x14ac:dyDescent="0.25">
      <c r="A40" s="42"/>
      <c r="B40" s="5">
        <v>72</v>
      </c>
      <c r="C40" s="422"/>
      <c r="D40" s="423"/>
      <c r="E40" s="423"/>
      <c r="F40" s="423"/>
      <c r="G40" s="423"/>
      <c r="H40" s="423"/>
      <c r="I40" s="424"/>
      <c r="J40" s="380"/>
      <c r="K40" s="380"/>
      <c r="L40" s="380"/>
      <c r="M40" s="380"/>
      <c r="N40" s="525" t="e">
        <f>INDEX(AMBIENTE!D$2:D$756,MATCH(R40,AMBIENTE!C$2:C$756,0))</f>
        <v>#N/A</v>
      </c>
      <c r="O40" s="525"/>
      <c r="P40" s="525"/>
      <c r="Q40" s="525"/>
      <c r="R40" s="428"/>
      <c r="S40" s="429"/>
      <c r="T40" s="429"/>
      <c r="U40" s="429"/>
      <c r="V40" s="429"/>
      <c r="W40" s="429"/>
      <c r="X40" s="430"/>
      <c r="Y40" s="374"/>
      <c r="Z40" s="375"/>
      <c r="AA40" s="375"/>
      <c r="AB40" s="375"/>
      <c r="AC40" s="376"/>
      <c r="AD40" s="357"/>
      <c r="AE40" s="358"/>
      <c r="AF40" s="359"/>
      <c r="AG40" s="372" t="str">
        <f>IFERROR(VLOOKUP(Item2[[#This Row],[Concatenado]],CITES[],2,FALSE),"")</f>
        <v/>
      </c>
      <c r="AH40" s="373"/>
      <c r="AI40" s="372" t="str">
        <f>IFERROR(VLOOKUP(Item2[[#This Row],[Concatenado]],SuscepEARs[],2,FALSE),"")</f>
        <v/>
      </c>
      <c r="AJ40" s="373"/>
      <c r="AL40" s="43"/>
      <c r="AM40" s="46">
        <v>72</v>
      </c>
      <c r="AN40" s="46" t="str">
        <f t="shared" si="3"/>
        <v xml:space="preserve"> </v>
      </c>
      <c r="AO40" s="46">
        <f t="shared" si="0"/>
        <v>0</v>
      </c>
      <c r="AP40" s="46">
        <f t="shared" si="1"/>
        <v>0</v>
      </c>
      <c r="AQ40" s="46" t="e">
        <f t="shared" si="2"/>
        <v>#N/A</v>
      </c>
      <c r="AR40" s="46">
        <f>SUMIF('Acuario (Arribado - mortalidad)'!$B$14:$B$90,ANEXO!B40,'Acuario (Arribado - mortalidad)'!$F$14:$F$90)</f>
        <v>0</v>
      </c>
      <c r="AS40" s="46" t="str">
        <f>IF(AR40&gt;0, IF(SUMIF('Acuario (Arribado - mortalidad)'!$B$14:$B$90,ANEXO!B40,'Acuario (Arribado - mortalidad)'!$K$14:$K$90)=0, "0", SUMIF('Acuario (Arribado - mortalidad)'!$B$14:$B$90,ANEXO!B40,'Acuario (Arribado - mortalidad)'!$K$14:$K$90)),"")</f>
        <v/>
      </c>
      <c r="AT40" s="46">
        <f>IF(AR40 = AS40,"0",SUMIF('Acuario (Arribado - mortalidad)'!$B$14:$B$90,ANEXO!B40,'Acuario (Arribado - mortalidad)'!$G$14:$G$90))</f>
        <v>0</v>
      </c>
      <c r="AU40" s="46" t="str">
        <f>IFERROR(Item2[[#This Row],[mortalidad acumulada]]/Item2[[#This Row],[cantidad arribada]],"")</f>
        <v/>
      </c>
      <c r="AV40" s="46">
        <f>IF(ISTEXT(R40),IF(Item2[[#This Row],[cantidad arribada]]=0,"No llega",Item2[[#This Row],[cantidad arribada]]),)</f>
        <v>0</v>
      </c>
      <c r="AW40" s="46"/>
      <c r="AX40" s="46">
        <f>SUMIF('Acuario (Arribado - mortalidad)'!$B$14:$B$90,ANEXO!B40,'Acuario (Arribado - mortalidad)'!$O$14:$O$90)</f>
        <v>0</v>
      </c>
      <c r="AY40" s="46">
        <f>SUMIF('Acuario (Arribado - mortalidad)'!$B$14:$B$90,ANEXO!B40,'Acuario (Arribado - mortalidad)'!$BG$14:$BG$90)</f>
        <v>0</v>
      </c>
      <c r="AZ40" s="46">
        <f>SUMIF('Acuario (Arribado - mortalidad)'!$B$14:$B$90,ANEXO!B40,'Acuario (Arribado - mortalidad)'!$BH$14:$BH$90)</f>
        <v>0</v>
      </c>
      <c r="BA40" s="46" t="str">
        <f>IFERROR(Item2[[#This Row],[Mortalidad dia 1]]/Item2[[#This Row],[cantidad arribada]],"")</f>
        <v/>
      </c>
      <c r="BB40" s="46" t="str">
        <f>IFERROR(Item2[[#This Row],[Mortalidad 2 a 8  (Sem 1)]]/Item2[[#This Row],[cantidad arribada]],"")</f>
        <v/>
      </c>
      <c r="BC40" s="46" t="str">
        <f>IFERROR(Item2[[#This Row],[Mortalidad 9 a 15 (Sem 2)]]/Item2[[#This Row],[cantidad arribada]],"")</f>
        <v/>
      </c>
      <c r="BD40" s="46"/>
      <c r="BE40" s="219">
        <f>SUMIF('Acuario (Arribado - mortalidad)'!$B$14:$B$90,ANEXO!B40,'Acuario (Arribado - mortalidad)'!$F$14:$F$90)</f>
        <v>0</v>
      </c>
      <c r="BF40" s="219">
        <f>SUMIF('Acuario (Arribado - mortalidad)'!$B$14:$B$90,ANEXO!B40,'Acuario (Arribado - mortalidad)'!$K$14:$K$90)</f>
        <v>0</v>
      </c>
      <c r="BG40" s="219">
        <f>SUMIF('Acuario (Arribado - mortalidad)'!$B$14:$B$90,ANEXO!B40,'Acuario (Arribado - mortalidad)'!$G$14:$G$90)</f>
        <v>0</v>
      </c>
      <c r="BH40" s="219">
        <f>SUMIF('Acuario (Arribado - mortalidad)'!$B$14:$B$90,ANEXO!B40,'Acuario (Arribado - mortalidad)'!$O$14:$O$90)</f>
        <v>0</v>
      </c>
      <c r="BI40" s="219">
        <f>SUMIF('Acuario (Arribado - mortalidad)'!$B$14:$B$90,ANEXO!B40,'Acuario (Arribado - mortalidad)'!$BG$14:$BG$90)</f>
        <v>0</v>
      </c>
      <c r="BJ40" s="219">
        <f>SUMIF('Acuario (Arribado - mortalidad)'!$B$14:$B$90,ANEXO!B40,'Acuario (Arribado - mortalidad)'!$BH$14:$BH$90)</f>
        <v>0</v>
      </c>
    </row>
    <row r="41" spans="1:62" x14ac:dyDescent="0.25">
      <c r="A41" s="42"/>
      <c r="B41" s="5">
        <v>73</v>
      </c>
      <c r="C41" s="422"/>
      <c r="D41" s="423"/>
      <c r="E41" s="423"/>
      <c r="F41" s="423"/>
      <c r="G41" s="423"/>
      <c r="H41" s="423"/>
      <c r="I41" s="424"/>
      <c r="J41" s="380"/>
      <c r="K41" s="380"/>
      <c r="L41" s="380"/>
      <c r="M41" s="380"/>
      <c r="N41" s="525" t="e">
        <f>INDEX(AMBIENTE!D$2:D$756,MATCH(R41,AMBIENTE!C$2:C$756,0))</f>
        <v>#N/A</v>
      </c>
      <c r="O41" s="525"/>
      <c r="P41" s="525"/>
      <c r="Q41" s="525"/>
      <c r="R41" s="428"/>
      <c r="S41" s="429"/>
      <c r="T41" s="429"/>
      <c r="U41" s="429"/>
      <c r="V41" s="429"/>
      <c r="W41" s="429"/>
      <c r="X41" s="430"/>
      <c r="Y41" s="374"/>
      <c r="Z41" s="375"/>
      <c r="AA41" s="375"/>
      <c r="AB41" s="375"/>
      <c r="AC41" s="376"/>
      <c r="AD41" s="357"/>
      <c r="AE41" s="358"/>
      <c r="AF41" s="359"/>
      <c r="AG41" s="372" t="str">
        <f>IFERROR(VLOOKUP(Item2[[#This Row],[Concatenado]],CITES[],2,FALSE),"")</f>
        <v/>
      </c>
      <c r="AH41" s="373"/>
      <c r="AI41" s="372" t="str">
        <f>IFERROR(VLOOKUP(Item2[[#This Row],[Concatenado]],SuscepEARs[],2,FALSE),"")</f>
        <v/>
      </c>
      <c r="AJ41" s="373"/>
      <c r="AL41" s="43"/>
      <c r="AM41" s="46">
        <v>73</v>
      </c>
      <c r="AN41" s="46" t="str">
        <f t="shared" si="3"/>
        <v xml:space="preserve"> </v>
      </c>
      <c r="AO41" s="46">
        <f t="shared" si="0"/>
        <v>0</v>
      </c>
      <c r="AP41" s="46">
        <f t="shared" si="1"/>
        <v>0</v>
      </c>
      <c r="AQ41" s="46" t="e">
        <f t="shared" si="2"/>
        <v>#N/A</v>
      </c>
      <c r="AR41" s="46">
        <f>SUMIF('Acuario (Arribado - mortalidad)'!$B$14:$B$90,ANEXO!B41,'Acuario (Arribado - mortalidad)'!$F$14:$F$90)</f>
        <v>0</v>
      </c>
      <c r="AS41" s="46" t="str">
        <f>IF(AR41&gt;0, IF(SUMIF('Acuario (Arribado - mortalidad)'!$B$14:$B$90,ANEXO!B41,'Acuario (Arribado - mortalidad)'!$K$14:$K$90)=0, "0", SUMIF('Acuario (Arribado - mortalidad)'!$B$14:$B$90,ANEXO!B41,'Acuario (Arribado - mortalidad)'!$K$14:$K$90)),"")</f>
        <v/>
      </c>
      <c r="AT41" s="46">
        <f>IF(AR41 = AS41,"0",SUMIF('Acuario (Arribado - mortalidad)'!$B$14:$B$90,ANEXO!B41,'Acuario (Arribado - mortalidad)'!$G$14:$G$90))</f>
        <v>0</v>
      </c>
      <c r="AU41" s="46" t="str">
        <f>IFERROR(Item2[[#This Row],[mortalidad acumulada]]/Item2[[#This Row],[cantidad arribada]],"")</f>
        <v/>
      </c>
      <c r="AV41" s="46">
        <f>IF(ISTEXT(R41),IF(Item2[[#This Row],[cantidad arribada]]=0,"No llega",Item2[[#This Row],[cantidad arribada]]),)</f>
        <v>0</v>
      </c>
      <c r="AW41" s="46"/>
      <c r="AX41" s="46">
        <f>SUMIF('Acuario (Arribado - mortalidad)'!$B$14:$B$90,ANEXO!B41,'Acuario (Arribado - mortalidad)'!$O$14:$O$90)</f>
        <v>0</v>
      </c>
      <c r="AY41" s="46">
        <f>SUMIF('Acuario (Arribado - mortalidad)'!$B$14:$B$90,ANEXO!B41,'Acuario (Arribado - mortalidad)'!$BG$14:$BG$90)</f>
        <v>0</v>
      </c>
      <c r="AZ41" s="46">
        <f>SUMIF('Acuario (Arribado - mortalidad)'!$B$14:$B$90,ANEXO!B41,'Acuario (Arribado - mortalidad)'!$BH$14:$BH$90)</f>
        <v>0</v>
      </c>
      <c r="BA41" s="46" t="str">
        <f>IFERROR(Item2[[#This Row],[Mortalidad dia 1]]/Item2[[#This Row],[cantidad arribada]],"")</f>
        <v/>
      </c>
      <c r="BB41" s="46" t="str">
        <f>IFERROR(Item2[[#This Row],[Mortalidad 2 a 8  (Sem 1)]]/Item2[[#This Row],[cantidad arribada]],"")</f>
        <v/>
      </c>
      <c r="BC41" s="46" t="str">
        <f>IFERROR(Item2[[#This Row],[Mortalidad 9 a 15 (Sem 2)]]/Item2[[#This Row],[cantidad arribada]],"")</f>
        <v/>
      </c>
      <c r="BD41" s="46"/>
      <c r="BE41" s="219">
        <f>SUMIF('Acuario (Arribado - mortalidad)'!$B$14:$B$90,ANEXO!B41,'Acuario (Arribado - mortalidad)'!$F$14:$F$90)</f>
        <v>0</v>
      </c>
      <c r="BF41" s="219">
        <f>SUMIF('Acuario (Arribado - mortalidad)'!$B$14:$B$90,ANEXO!B41,'Acuario (Arribado - mortalidad)'!$K$14:$K$90)</f>
        <v>0</v>
      </c>
      <c r="BG41" s="219">
        <f>SUMIF('Acuario (Arribado - mortalidad)'!$B$14:$B$90,ANEXO!B41,'Acuario (Arribado - mortalidad)'!$G$14:$G$90)</f>
        <v>0</v>
      </c>
      <c r="BH41" s="219">
        <f>SUMIF('Acuario (Arribado - mortalidad)'!$B$14:$B$90,ANEXO!B41,'Acuario (Arribado - mortalidad)'!$O$14:$O$90)</f>
        <v>0</v>
      </c>
      <c r="BI41" s="219">
        <f>SUMIF('Acuario (Arribado - mortalidad)'!$B$14:$B$90,ANEXO!B41,'Acuario (Arribado - mortalidad)'!$BG$14:$BG$90)</f>
        <v>0</v>
      </c>
      <c r="BJ41" s="219">
        <f>SUMIF('Acuario (Arribado - mortalidad)'!$B$14:$B$90,ANEXO!B41,'Acuario (Arribado - mortalidad)'!$BH$14:$BH$90)</f>
        <v>0</v>
      </c>
    </row>
    <row r="42" spans="1:62" x14ac:dyDescent="0.25">
      <c r="A42" s="42"/>
      <c r="B42" s="5">
        <v>74</v>
      </c>
      <c r="C42" s="422"/>
      <c r="D42" s="423"/>
      <c r="E42" s="423"/>
      <c r="F42" s="423"/>
      <c r="G42" s="423"/>
      <c r="H42" s="423"/>
      <c r="I42" s="424"/>
      <c r="J42" s="380"/>
      <c r="K42" s="380"/>
      <c r="L42" s="380"/>
      <c r="M42" s="380"/>
      <c r="N42" s="525" t="e">
        <f>INDEX(AMBIENTE!D$2:D$756,MATCH(R42,AMBIENTE!C$2:C$756,0))</f>
        <v>#N/A</v>
      </c>
      <c r="O42" s="525"/>
      <c r="P42" s="525"/>
      <c r="Q42" s="525"/>
      <c r="R42" s="428"/>
      <c r="S42" s="429"/>
      <c r="T42" s="429"/>
      <c r="U42" s="429"/>
      <c r="V42" s="429"/>
      <c r="W42" s="429"/>
      <c r="X42" s="430"/>
      <c r="Y42" s="374"/>
      <c r="Z42" s="375"/>
      <c r="AA42" s="375"/>
      <c r="AB42" s="375"/>
      <c r="AC42" s="376"/>
      <c r="AD42" s="357"/>
      <c r="AE42" s="358"/>
      <c r="AF42" s="359"/>
      <c r="AG42" s="372" t="str">
        <f>IFERROR(VLOOKUP(Item2[[#This Row],[Concatenado]],CITES[],2,FALSE),"")</f>
        <v/>
      </c>
      <c r="AH42" s="373"/>
      <c r="AI42" s="372" t="str">
        <f>IFERROR(VLOOKUP(Item2[[#This Row],[Concatenado]],SuscepEARs[],2,FALSE),"")</f>
        <v/>
      </c>
      <c r="AJ42" s="373"/>
      <c r="AL42" s="43"/>
      <c r="AM42" s="46">
        <v>74</v>
      </c>
      <c r="AN42" s="46" t="str">
        <f t="shared" si="3"/>
        <v xml:space="preserve"> </v>
      </c>
      <c r="AO42" s="46">
        <f t="shared" si="0"/>
        <v>0</v>
      </c>
      <c r="AP42" s="46">
        <f t="shared" si="1"/>
        <v>0</v>
      </c>
      <c r="AQ42" s="46" t="e">
        <f t="shared" si="2"/>
        <v>#N/A</v>
      </c>
      <c r="AR42" s="46">
        <f>SUMIF('Acuario (Arribado - mortalidad)'!$B$14:$B$90,ANEXO!B42,'Acuario (Arribado - mortalidad)'!$F$14:$F$90)</f>
        <v>0</v>
      </c>
      <c r="AS42" s="46" t="str">
        <f>IF(AR42&gt;0, IF(SUMIF('Acuario (Arribado - mortalidad)'!$B$14:$B$90,ANEXO!B42,'Acuario (Arribado - mortalidad)'!$K$14:$K$90)=0, "0", SUMIF('Acuario (Arribado - mortalidad)'!$B$14:$B$90,ANEXO!B42,'Acuario (Arribado - mortalidad)'!$K$14:$K$90)),"")</f>
        <v/>
      </c>
      <c r="AT42" s="46">
        <f>IF(AR42 = AS42,"0",SUMIF('Acuario (Arribado - mortalidad)'!$B$14:$B$90,ANEXO!B42,'Acuario (Arribado - mortalidad)'!$G$14:$G$90))</f>
        <v>0</v>
      </c>
      <c r="AU42" s="46" t="str">
        <f>IFERROR(Item2[[#This Row],[mortalidad acumulada]]/Item2[[#This Row],[cantidad arribada]],"")</f>
        <v/>
      </c>
      <c r="AV42" s="46">
        <f>IF(ISTEXT(R42),IF(Item2[[#This Row],[cantidad arribada]]=0,"No llega",Item2[[#This Row],[cantidad arribada]]),)</f>
        <v>0</v>
      </c>
      <c r="AW42" s="46"/>
      <c r="AX42" s="46">
        <f>SUMIF('Acuario (Arribado - mortalidad)'!$B$14:$B$90,ANEXO!B42,'Acuario (Arribado - mortalidad)'!$O$14:$O$90)</f>
        <v>0</v>
      </c>
      <c r="AY42" s="46">
        <f>SUMIF('Acuario (Arribado - mortalidad)'!$B$14:$B$90,ANEXO!B42,'Acuario (Arribado - mortalidad)'!$BG$14:$BG$90)</f>
        <v>0</v>
      </c>
      <c r="AZ42" s="46">
        <f>SUMIF('Acuario (Arribado - mortalidad)'!$B$14:$B$90,ANEXO!B42,'Acuario (Arribado - mortalidad)'!$BH$14:$BH$90)</f>
        <v>0</v>
      </c>
      <c r="BA42" s="46" t="str">
        <f>IFERROR(Item2[[#This Row],[Mortalidad dia 1]]/Item2[[#This Row],[cantidad arribada]],"")</f>
        <v/>
      </c>
      <c r="BB42" s="46" t="str">
        <f>IFERROR(Item2[[#This Row],[Mortalidad 2 a 8  (Sem 1)]]/Item2[[#This Row],[cantidad arribada]],"")</f>
        <v/>
      </c>
      <c r="BC42" s="46" t="str">
        <f>IFERROR(Item2[[#This Row],[Mortalidad 9 a 15 (Sem 2)]]/Item2[[#This Row],[cantidad arribada]],"")</f>
        <v/>
      </c>
      <c r="BD42" s="46"/>
      <c r="BE42" s="219">
        <f>SUMIF('Acuario (Arribado - mortalidad)'!$B$14:$B$90,ANEXO!B42,'Acuario (Arribado - mortalidad)'!$F$14:$F$90)</f>
        <v>0</v>
      </c>
      <c r="BF42" s="219">
        <f>SUMIF('Acuario (Arribado - mortalidad)'!$B$14:$B$90,ANEXO!B42,'Acuario (Arribado - mortalidad)'!$K$14:$K$90)</f>
        <v>0</v>
      </c>
      <c r="BG42" s="219">
        <f>SUMIF('Acuario (Arribado - mortalidad)'!$B$14:$B$90,ANEXO!B42,'Acuario (Arribado - mortalidad)'!$G$14:$G$90)</f>
        <v>0</v>
      </c>
      <c r="BH42" s="219">
        <f>SUMIF('Acuario (Arribado - mortalidad)'!$B$14:$B$90,ANEXO!B42,'Acuario (Arribado - mortalidad)'!$O$14:$O$90)</f>
        <v>0</v>
      </c>
      <c r="BI42" s="219">
        <f>SUMIF('Acuario (Arribado - mortalidad)'!$B$14:$B$90,ANEXO!B42,'Acuario (Arribado - mortalidad)'!$BG$14:$BG$90)</f>
        <v>0</v>
      </c>
      <c r="BJ42" s="219">
        <f>SUMIF('Acuario (Arribado - mortalidad)'!$B$14:$B$90,ANEXO!B42,'Acuario (Arribado - mortalidad)'!$BH$14:$BH$90)</f>
        <v>0</v>
      </c>
    </row>
    <row r="43" spans="1:62" x14ac:dyDescent="0.25">
      <c r="A43" s="42"/>
      <c r="B43" s="5">
        <v>75</v>
      </c>
      <c r="C43" s="422"/>
      <c r="D43" s="423"/>
      <c r="E43" s="423"/>
      <c r="F43" s="423"/>
      <c r="G43" s="423"/>
      <c r="H43" s="423"/>
      <c r="I43" s="424"/>
      <c r="J43" s="380"/>
      <c r="K43" s="380"/>
      <c r="L43" s="380"/>
      <c r="M43" s="380"/>
      <c r="N43" s="525" t="e">
        <f>INDEX(AMBIENTE!D$2:D$756,MATCH(R43,AMBIENTE!C$2:C$756,0))</f>
        <v>#N/A</v>
      </c>
      <c r="O43" s="525"/>
      <c r="P43" s="525"/>
      <c r="Q43" s="525"/>
      <c r="R43" s="428"/>
      <c r="S43" s="429"/>
      <c r="T43" s="429"/>
      <c r="U43" s="429"/>
      <c r="V43" s="429"/>
      <c r="W43" s="429"/>
      <c r="X43" s="430"/>
      <c r="Y43" s="374"/>
      <c r="Z43" s="375"/>
      <c r="AA43" s="375"/>
      <c r="AB43" s="375"/>
      <c r="AC43" s="376"/>
      <c r="AD43" s="357"/>
      <c r="AE43" s="358"/>
      <c r="AF43" s="359"/>
      <c r="AG43" s="372" t="str">
        <f>IFERROR(VLOOKUP(Item2[[#This Row],[Concatenado]],CITES[],2,FALSE),"")</f>
        <v/>
      </c>
      <c r="AH43" s="373"/>
      <c r="AI43" s="372" t="str">
        <f>IFERROR(VLOOKUP(Item2[[#This Row],[Concatenado]],SuscepEARs[],2,FALSE),"")</f>
        <v/>
      </c>
      <c r="AJ43" s="373"/>
      <c r="AL43" s="43"/>
      <c r="AM43" s="46">
        <v>75</v>
      </c>
      <c r="AN43" s="46" t="str">
        <f t="shared" si="3"/>
        <v xml:space="preserve"> </v>
      </c>
      <c r="AO43" s="46">
        <f t="shared" si="0"/>
        <v>0</v>
      </c>
      <c r="AP43" s="46">
        <f t="shared" si="1"/>
        <v>0</v>
      </c>
      <c r="AQ43" s="46" t="e">
        <f t="shared" si="2"/>
        <v>#N/A</v>
      </c>
      <c r="AR43" s="46">
        <f>SUMIF('Acuario (Arribado - mortalidad)'!$B$14:$B$90,ANEXO!B43,'Acuario (Arribado - mortalidad)'!$F$14:$F$90)</f>
        <v>0</v>
      </c>
      <c r="AS43" s="46" t="str">
        <f>IF(AR43&gt;0, IF(SUMIF('Acuario (Arribado - mortalidad)'!$B$14:$B$90,ANEXO!B43,'Acuario (Arribado - mortalidad)'!$K$14:$K$90)=0, "0", SUMIF('Acuario (Arribado - mortalidad)'!$B$14:$B$90,ANEXO!B43,'Acuario (Arribado - mortalidad)'!$K$14:$K$90)),"")</f>
        <v/>
      </c>
      <c r="AT43" s="46">
        <f>IF(AR43 = AS43,"0",SUMIF('Acuario (Arribado - mortalidad)'!$B$14:$B$90,ANEXO!B43,'Acuario (Arribado - mortalidad)'!$G$14:$G$90))</f>
        <v>0</v>
      </c>
      <c r="AU43" s="46" t="str">
        <f>IFERROR(Item2[[#This Row],[mortalidad acumulada]]/Item2[[#This Row],[cantidad arribada]],"")</f>
        <v/>
      </c>
      <c r="AV43" s="46">
        <f>IF(ISTEXT(R43),IF(Item2[[#This Row],[cantidad arribada]]=0,"No llega",Item2[[#This Row],[cantidad arribada]]),)</f>
        <v>0</v>
      </c>
      <c r="AW43" s="46"/>
      <c r="AX43" s="46">
        <f>SUMIF('Acuario (Arribado - mortalidad)'!$B$14:$B$90,ANEXO!B43,'Acuario (Arribado - mortalidad)'!$O$14:$O$90)</f>
        <v>0</v>
      </c>
      <c r="AY43" s="46">
        <f>SUMIF('Acuario (Arribado - mortalidad)'!$B$14:$B$90,ANEXO!B43,'Acuario (Arribado - mortalidad)'!$BG$14:$BG$90)</f>
        <v>0</v>
      </c>
      <c r="AZ43" s="46">
        <f>SUMIF('Acuario (Arribado - mortalidad)'!$B$14:$B$90,ANEXO!B43,'Acuario (Arribado - mortalidad)'!$BH$14:$BH$90)</f>
        <v>0</v>
      </c>
      <c r="BA43" s="46" t="str">
        <f>IFERROR(Item2[[#This Row],[Mortalidad dia 1]]/Item2[[#This Row],[cantidad arribada]],"")</f>
        <v/>
      </c>
      <c r="BB43" s="46" t="str">
        <f>IFERROR(Item2[[#This Row],[Mortalidad 2 a 8  (Sem 1)]]/Item2[[#This Row],[cantidad arribada]],"")</f>
        <v/>
      </c>
      <c r="BC43" s="46" t="str">
        <f>IFERROR(Item2[[#This Row],[Mortalidad 9 a 15 (Sem 2)]]/Item2[[#This Row],[cantidad arribada]],"")</f>
        <v/>
      </c>
      <c r="BD43" s="46"/>
      <c r="BE43" s="219">
        <f>SUMIF('Acuario (Arribado - mortalidad)'!$B$14:$B$90,ANEXO!B43,'Acuario (Arribado - mortalidad)'!$F$14:$F$90)</f>
        <v>0</v>
      </c>
      <c r="BF43" s="219">
        <f>SUMIF('Acuario (Arribado - mortalidad)'!$B$14:$B$90,ANEXO!B43,'Acuario (Arribado - mortalidad)'!$K$14:$K$90)</f>
        <v>0</v>
      </c>
      <c r="BG43" s="219">
        <f>SUMIF('Acuario (Arribado - mortalidad)'!$B$14:$B$90,ANEXO!B43,'Acuario (Arribado - mortalidad)'!$G$14:$G$90)</f>
        <v>0</v>
      </c>
      <c r="BH43" s="219">
        <f>SUMIF('Acuario (Arribado - mortalidad)'!$B$14:$B$90,ANEXO!B43,'Acuario (Arribado - mortalidad)'!$O$14:$O$90)</f>
        <v>0</v>
      </c>
      <c r="BI43" s="219">
        <f>SUMIF('Acuario (Arribado - mortalidad)'!$B$14:$B$90,ANEXO!B43,'Acuario (Arribado - mortalidad)'!$BG$14:$BG$90)</f>
        <v>0</v>
      </c>
      <c r="BJ43" s="219">
        <f>SUMIF('Acuario (Arribado - mortalidad)'!$B$14:$B$90,ANEXO!B43,'Acuario (Arribado - mortalidad)'!$BH$14:$BH$90)</f>
        <v>0</v>
      </c>
    </row>
    <row r="44" spans="1:62" x14ac:dyDescent="0.25">
      <c r="A44" s="42"/>
      <c r="B44" s="5">
        <v>76</v>
      </c>
      <c r="C44" s="422"/>
      <c r="D44" s="423"/>
      <c r="E44" s="423"/>
      <c r="F44" s="423"/>
      <c r="G44" s="423"/>
      <c r="H44" s="423"/>
      <c r="I44" s="424"/>
      <c r="J44" s="380"/>
      <c r="K44" s="380"/>
      <c r="L44" s="380"/>
      <c r="M44" s="380"/>
      <c r="N44" s="525" t="e">
        <f>INDEX(AMBIENTE!D$2:D$756,MATCH(R44,AMBIENTE!C$2:C$756,0))</f>
        <v>#N/A</v>
      </c>
      <c r="O44" s="525"/>
      <c r="P44" s="525"/>
      <c r="Q44" s="525"/>
      <c r="R44" s="428"/>
      <c r="S44" s="429"/>
      <c r="T44" s="429"/>
      <c r="U44" s="429"/>
      <c r="V44" s="429"/>
      <c r="W44" s="429"/>
      <c r="X44" s="430"/>
      <c r="Y44" s="374"/>
      <c r="Z44" s="375"/>
      <c r="AA44" s="375"/>
      <c r="AB44" s="375"/>
      <c r="AC44" s="376"/>
      <c r="AD44" s="357"/>
      <c r="AE44" s="358"/>
      <c r="AF44" s="359"/>
      <c r="AG44" s="372" t="str">
        <f>IFERROR(VLOOKUP(Item2[[#This Row],[Concatenado]],CITES[],2,FALSE),"")</f>
        <v/>
      </c>
      <c r="AH44" s="373"/>
      <c r="AI44" s="372" t="str">
        <f>IFERROR(VLOOKUP(Item2[[#This Row],[Concatenado]],SuscepEARs[],2,FALSE),"")</f>
        <v/>
      </c>
      <c r="AJ44" s="373"/>
      <c r="AL44" s="43"/>
      <c r="AM44" s="46">
        <v>76</v>
      </c>
      <c r="AN44" s="46" t="str">
        <f t="shared" si="3"/>
        <v xml:space="preserve"> </v>
      </c>
      <c r="AO44" s="46">
        <f t="shared" si="0"/>
        <v>0</v>
      </c>
      <c r="AP44" s="46">
        <f t="shared" si="1"/>
        <v>0</v>
      </c>
      <c r="AQ44" s="46" t="e">
        <f t="shared" si="2"/>
        <v>#N/A</v>
      </c>
      <c r="AR44" s="46">
        <f>SUMIF('Acuario (Arribado - mortalidad)'!$B$14:$B$90,ANEXO!B44,'Acuario (Arribado - mortalidad)'!$F$14:$F$90)</f>
        <v>0</v>
      </c>
      <c r="AS44" s="46" t="str">
        <f>IF(AR44&gt;0, IF(SUMIF('Acuario (Arribado - mortalidad)'!$B$14:$B$90,ANEXO!B44,'Acuario (Arribado - mortalidad)'!$K$14:$K$90)=0, "0", SUMIF('Acuario (Arribado - mortalidad)'!$B$14:$B$90,ANEXO!B44,'Acuario (Arribado - mortalidad)'!$K$14:$K$90)),"")</f>
        <v/>
      </c>
      <c r="AT44" s="46">
        <f>IF(AR44 = AS44,"0",SUMIF('Acuario (Arribado - mortalidad)'!$B$14:$B$90,ANEXO!B44,'Acuario (Arribado - mortalidad)'!$G$14:$G$90))</f>
        <v>0</v>
      </c>
      <c r="AU44" s="46" t="str">
        <f>IFERROR(Item2[[#This Row],[mortalidad acumulada]]/Item2[[#This Row],[cantidad arribada]],"")</f>
        <v/>
      </c>
      <c r="AV44" s="46">
        <f>IF(ISTEXT(R44),IF(Item2[[#This Row],[cantidad arribada]]=0,"No llega",Item2[[#This Row],[cantidad arribada]]),)</f>
        <v>0</v>
      </c>
      <c r="AW44" s="46"/>
      <c r="AX44" s="46">
        <f>SUMIF('Acuario (Arribado - mortalidad)'!$B$14:$B$90,ANEXO!B44,'Acuario (Arribado - mortalidad)'!$O$14:$O$90)</f>
        <v>0</v>
      </c>
      <c r="AY44" s="46">
        <f>SUMIF('Acuario (Arribado - mortalidad)'!$B$14:$B$90,ANEXO!B44,'Acuario (Arribado - mortalidad)'!$BG$14:$BG$90)</f>
        <v>0</v>
      </c>
      <c r="AZ44" s="46">
        <f>SUMIF('Acuario (Arribado - mortalidad)'!$B$14:$B$90,ANEXO!B44,'Acuario (Arribado - mortalidad)'!$BH$14:$BH$90)</f>
        <v>0</v>
      </c>
      <c r="BA44" s="46" t="str">
        <f>IFERROR(Item2[[#This Row],[Mortalidad dia 1]]/Item2[[#This Row],[cantidad arribada]],"")</f>
        <v/>
      </c>
      <c r="BB44" s="46" t="str">
        <f>IFERROR(Item2[[#This Row],[Mortalidad 2 a 8  (Sem 1)]]/Item2[[#This Row],[cantidad arribada]],"")</f>
        <v/>
      </c>
      <c r="BC44" s="46" t="str">
        <f>IFERROR(Item2[[#This Row],[Mortalidad 9 a 15 (Sem 2)]]/Item2[[#This Row],[cantidad arribada]],"")</f>
        <v/>
      </c>
      <c r="BD44" s="46"/>
      <c r="BE44" s="219">
        <f>SUMIF('Acuario (Arribado - mortalidad)'!$B$14:$B$90,ANEXO!B44,'Acuario (Arribado - mortalidad)'!$F$14:$F$90)</f>
        <v>0</v>
      </c>
      <c r="BF44" s="219">
        <f>SUMIF('Acuario (Arribado - mortalidad)'!$B$14:$B$90,ANEXO!B44,'Acuario (Arribado - mortalidad)'!$K$14:$K$90)</f>
        <v>0</v>
      </c>
      <c r="BG44" s="219">
        <f>SUMIF('Acuario (Arribado - mortalidad)'!$B$14:$B$90,ANEXO!B44,'Acuario (Arribado - mortalidad)'!$G$14:$G$90)</f>
        <v>0</v>
      </c>
      <c r="BH44" s="219">
        <f>SUMIF('Acuario (Arribado - mortalidad)'!$B$14:$B$90,ANEXO!B44,'Acuario (Arribado - mortalidad)'!$O$14:$O$90)</f>
        <v>0</v>
      </c>
      <c r="BI44" s="219">
        <f>SUMIF('Acuario (Arribado - mortalidad)'!$B$14:$B$90,ANEXO!B44,'Acuario (Arribado - mortalidad)'!$BG$14:$BG$90)</f>
        <v>0</v>
      </c>
      <c r="BJ44" s="219">
        <f>SUMIF('Acuario (Arribado - mortalidad)'!$B$14:$B$90,ANEXO!B44,'Acuario (Arribado - mortalidad)'!$BH$14:$BH$90)</f>
        <v>0</v>
      </c>
    </row>
    <row r="45" spans="1:62" x14ac:dyDescent="0.25">
      <c r="A45" s="42"/>
      <c r="B45" s="5">
        <v>77</v>
      </c>
      <c r="C45" s="422"/>
      <c r="D45" s="423"/>
      <c r="E45" s="423"/>
      <c r="F45" s="423"/>
      <c r="G45" s="423"/>
      <c r="H45" s="423"/>
      <c r="I45" s="424"/>
      <c r="J45" s="380"/>
      <c r="K45" s="380"/>
      <c r="L45" s="380"/>
      <c r="M45" s="380"/>
      <c r="N45" s="525" t="e">
        <f>INDEX(AMBIENTE!D$2:D$756,MATCH(R45,AMBIENTE!C$2:C$756,0))</f>
        <v>#N/A</v>
      </c>
      <c r="O45" s="525"/>
      <c r="P45" s="525"/>
      <c r="Q45" s="525"/>
      <c r="R45" s="428"/>
      <c r="S45" s="429"/>
      <c r="T45" s="429"/>
      <c r="U45" s="429"/>
      <c r="V45" s="429"/>
      <c r="W45" s="429"/>
      <c r="X45" s="430"/>
      <c r="Y45" s="374"/>
      <c r="Z45" s="375"/>
      <c r="AA45" s="375"/>
      <c r="AB45" s="375"/>
      <c r="AC45" s="376"/>
      <c r="AD45" s="357"/>
      <c r="AE45" s="358"/>
      <c r="AF45" s="359"/>
      <c r="AG45" s="372" t="str">
        <f>IFERROR(VLOOKUP(Item2[[#This Row],[Concatenado]],CITES[],2,FALSE),"")</f>
        <v/>
      </c>
      <c r="AH45" s="373"/>
      <c r="AI45" s="372" t="str">
        <f>IFERROR(VLOOKUP(Item2[[#This Row],[Concatenado]],SuscepEARs[],2,FALSE),"")</f>
        <v/>
      </c>
      <c r="AJ45" s="373"/>
      <c r="AL45" s="43"/>
      <c r="AM45" s="46">
        <v>77</v>
      </c>
      <c r="AN45" s="46" t="str">
        <f t="shared" si="3"/>
        <v xml:space="preserve"> </v>
      </c>
      <c r="AO45" s="46">
        <f t="shared" si="0"/>
        <v>0</v>
      </c>
      <c r="AP45" s="46">
        <f t="shared" si="1"/>
        <v>0</v>
      </c>
      <c r="AQ45" s="46" t="e">
        <f t="shared" si="2"/>
        <v>#N/A</v>
      </c>
      <c r="AR45" s="46">
        <f>SUMIF('Acuario (Arribado - mortalidad)'!$B$14:$B$90,ANEXO!B45,'Acuario (Arribado - mortalidad)'!$F$14:$F$90)</f>
        <v>0</v>
      </c>
      <c r="AS45" s="46" t="str">
        <f>IF(AR45&gt;0, IF(SUMIF('Acuario (Arribado - mortalidad)'!$B$14:$B$90,ANEXO!B45,'Acuario (Arribado - mortalidad)'!$K$14:$K$90)=0, "0", SUMIF('Acuario (Arribado - mortalidad)'!$B$14:$B$90,ANEXO!B45,'Acuario (Arribado - mortalidad)'!$K$14:$K$90)),"")</f>
        <v/>
      </c>
      <c r="AT45" s="46">
        <f>IF(AR45 = AS45,"0",SUMIF('Acuario (Arribado - mortalidad)'!$B$14:$B$90,ANEXO!B45,'Acuario (Arribado - mortalidad)'!$G$14:$G$90))</f>
        <v>0</v>
      </c>
      <c r="AU45" s="46" t="str">
        <f>IFERROR(Item2[[#This Row],[mortalidad acumulada]]/Item2[[#This Row],[cantidad arribada]],"")</f>
        <v/>
      </c>
      <c r="AV45" s="46">
        <f>IF(ISTEXT(R45),IF(Item2[[#This Row],[cantidad arribada]]=0,"No llega",Item2[[#This Row],[cantidad arribada]]),)</f>
        <v>0</v>
      </c>
      <c r="AW45" s="46"/>
      <c r="AX45" s="46">
        <f>SUMIF('Acuario (Arribado - mortalidad)'!$B$14:$B$90,ANEXO!B45,'Acuario (Arribado - mortalidad)'!$O$14:$O$90)</f>
        <v>0</v>
      </c>
      <c r="AY45" s="46">
        <f>SUMIF('Acuario (Arribado - mortalidad)'!$B$14:$B$90,ANEXO!B45,'Acuario (Arribado - mortalidad)'!$BG$14:$BG$90)</f>
        <v>0</v>
      </c>
      <c r="AZ45" s="46">
        <f>SUMIF('Acuario (Arribado - mortalidad)'!$B$14:$B$90,ANEXO!B45,'Acuario (Arribado - mortalidad)'!$BH$14:$BH$90)</f>
        <v>0</v>
      </c>
      <c r="BA45" s="46" t="str">
        <f>IFERROR(Item2[[#This Row],[Mortalidad dia 1]]/Item2[[#This Row],[cantidad arribada]],"")</f>
        <v/>
      </c>
      <c r="BB45" s="46" t="str">
        <f>IFERROR(Item2[[#This Row],[Mortalidad 2 a 8  (Sem 1)]]/Item2[[#This Row],[cantidad arribada]],"")</f>
        <v/>
      </c>
      <c r="BC45" s="46" t="str">
        <f>IFERROR(Item2[[#This Row],[Mortalidad 9 a 15 (Sem 2)]]/Item2[[#This Row],[cantidad arribada]],"")</f>
        <v/>
      </c>
      <c r="BD45" s="46"/>
      <c r="BE45" s="219">
        <f>SUMIF('Acuario (Arribado - mortalidad)'!$B$14:$B$90,ANEXO!B45,'Acuario (Arribado - mortalidad)'!$F$14:$F$90)</f>
        <v>0</v>
      </c>
      <c r="BF45" s="219">
        <f>SUMIF('Acuario (Arribado - mortalidad)'!$B$14:$B$90,ANEXO!B45,'Acuario (Arribado - mortalidad)'!$K$14:$K$90)</f>
        <v>0</v>
      </c>
      <c r="BG45" s="219">
        <f>SUMIF('Acuario (Arribado - mortalidad)'!$B$14:$B$90,ANEXO!B45,'Acuario (Arribado - mortalidad)'!$G$14:$G$90)</f>
        <v>0</v>
      </c>
      <c r="BH45" s="219">
        <f>SUMIF('Acuario (Arribado - mortalidad)'!$B$14:$B$90,ANEXO!B45,'Acuario (Arribado - mortalidad)'!$O$14:$O$90)</f>
        <v>0</v>
      </c>
      <c r="BI45" s="219">
        <f>SUMIF('Acuario (Arribado - mortalidad)'!$B$14:$B$90,ANEXO!B45,'Acuario (Arribado - mortalidad)'!$BG$14:$BG$90)</f>
        <v>0</v>
      </c>
      <c r="BJ45" s="219">
        <f>SUMIF('Acuario (Arribado - mortalidad)'!$B$14:$B$90,ANEXO!B45,'Acuario (Arribado - mortalidad)'!$BH$14:$BH$90)</f>
        <v>0</v>
      </c>
    </row>
    <row r="46" spans="1:62" x14ac:dyDescent="0.25">
      <c r="A46" s="42"/>
      <c r="B46" s="5">
        <v>78</v>
      </c>
      <c r="C46" s="422"/>
      <c r="D46" s="423"/>
      <c r="E46" s="423"/>
      <c r="F46" s="423"/>
      <c r="G46" s="423"/>
      <c r="H46" s="423"/>
      <c r="I46" s="424"/>
      <c r="J46" s="380"/>
      <c r="K46" s="380"/>
      <c r="L46" s="380"/>
      <c r="M46" s="380"/>
      <c r="N46" s="525" t="e">
        <f>INDEX(AMBIENTE!D$2:D$756,MATCH(R46,AMBIENTE!C$2:C$756,0))</f>
        <v>#N/A</v>
      </c>
      <c r="O46" s="525"/>
      <c r="P46" s="525"/>
      <c r="Q46" s="525"/>
      <c r="R46" s="428"/>
      <c r="S46" s="429"/>
      <c r="T46" s="429"/>
      <c r="U46" s="429"/>
      <c r="V46" s="429"/>
      <c r="W46" s="429"/>
      <c r="X46" s="430"/>
      <c r="Y46" s="374"/>
      <c r="Z46" s="375"/>
      <c r="AA46" s="375"/>
      <c r="AB46" s="375"/>
      <c r="AC46" s="376"/>
      <c r="AD46" s="357"/>
      <c r="AE46" s="358"/>
      <c r="AF46" s="359"/>
      <c r="AG46" s="372" t="str">
        <f>IFERROR(VLOOKUP(Item2[[#This Row],[Concatenado]],CITES[],2,FALSE),"")</f>
        <v/>
      </c>
      <c r="AH46" s="373"/>
      <c r="AI46" s="372" t="str">
        <f>IFERROR(VLOOKUP(Item2[[#This Row],[Concatenado]],SuscepEARs[],2,FALSE),"")</f>
        <v/>
      </c>
      <c r="AJ46" s="373"/>
      <c r="AL46" s="43"/>
      <c r="AM46" s="46">
        <v>78</v>
      </c>
      <c r="AN46" s="46" t="str">
        <f t="shared" si="3"/>
        <v xml:space="preserve"> </v>
      </c>
      <c r="AO46" s="46">
        <f t="shared" si="0"/>
        <v>0</v>
      </c>
      <c r="AP46" s="46">
        <f t="shared" si="1"/>
        <v>0</v>
      </c>
      <c r="AQ46" s="46" t="e">
        <f t="shared" si="2"/>
        <v>#N/A</v>
      </c>
      <c r="AR46" s="46">
        <f>SUMIF('Acuario (Arribado - mortalidad)'!$B$14:$B$90,ANEXO!B46,'Acuario (Arribado - mortalidad)'!$F$14:$F$90)</f>
        <v>0</v>
      </c>
      <c r="AS46" s="46" t="str">
        <f>IF(AR46&gt;0, IF(SUMIF('Acuario (Arribado - mortalidad)'!$B$14:$B$90,ANEXO!B46,'Acuario (Arribado - mortalidad)'!$K$14:$K$90)=0, "0", SUMIF('Acuario (Arribado - mortalidad)'!$B$14:$B$90,ANEXO!B46,'Acuario (Arribado - mortalidad)'!$K$14:$K$90)),"")</f>
        <v/>
      </c>
      <c r="AT46" s="46">
        <f>IF(AR46 = AS46,"0",SUMIF('Acuario (Arribado - mortalidad)'!$B$14:$B$90,ANEXO!B46,'Acuario (Arribado - mortalidad)'!$G$14:$G$90))</f>
        <v>0</v>
      </c>
      <c r="AU46" s="46" t="str">
        <f>IFERROR(Item2[[#This Row],[mortalidad acumulada]]/Item2[[#This Row],[cantidad arribada]],"")</f>
        <v/>
      </c>
      <c r="AV46" s="46">
        <f>IF(ISTEXT(R46),IF(Item2[[#This Row],[cantidad arribada]]=0,"No llega",Item2[[#This Row],[cantidad arribada]]),)</f>
        <v>0</v>
      </c>
      <c r="AW46" s="46"/>
      <c r="AX46" s="46">
        <f>SUMIF('Acuario (Arribado - mortalidad)'!$B$14:$B$90,ANEXO!B46,'Acuario (Arribado - mortalidad)'!$O$14:$O$90)</f>
        <v>0</v>
      </c>
      <c r="AY46" s="46">
        <f>SUMIF('Acuario (Arribado - mortalidad)'!$B$14:$B$90,ANEXO!B46,'Acuario (Arribado - mortalidad)'!$BG$14:$BG$90)</f>
        <v>0</v>
      </c>
      <c r="AZ46" s="46">
        <f>SUMIF('Acuario (Arribado - mortalidad)'!$B$14:$B$90,ANEXO!B46,'Acuario (Arribado - mortalidad)'!$BH$14:$BH$90)</f>
        <v>0</v>
      </c>
      <c r="BA46" s="46" t="str">
        <f>IFERROR(Item2[[#This Row],[Mortalidad dia 1]]/Item2[[#This Row],[cantidad arribada]],"")</f>
        <v/>
      </c>
      <c r="BB46" s="46" t="str">
        <f>IFERROR(Item2[[#This Row],[Mortalidad 2 a 8  (Sem 1)]]/Item2[[#This Row],[cantidad arribada]],"")</f>
        <v/>
      </c>
      <c r="BC46" s="46" t="str">
        <f>IFERROR(Item2[[#This Row],[Mortalidad 9 a 15 (Sem 2)]]/Item2[[#This Row],[cantidad arribada]],"")</f>
        <v/>
      </c>
      <c r="BD46" s="46"/>
      <c r="BE46" s="219">
        <f>SUMIF('Acuario (Arribado - mortalidad)'!$B$14:$B$90,ANEXO!B46,'Acuario (Arribado - mortalidad)'!$F$14:$F$90)</f>
        <v>0</v>
      </c>
      <c r="BF46" s="219">
        <f>SUMIF('Acuario (Arribado - mortalidad)'!$B$14:$B$90,ANEXO!B46,'Acuario (Arribado - mortalidad)'!$K$14:$K$90)</f>
        <v>0</v>
      </c>
      <c r="BG46" s="219">
        <f>SUMIF('Acuario (Arribado - mortalidad)'!$B$14:$B$90,ANEXO!B46,'Acuario (Arribado - mortalidad)'!$G$14:$G$90)</f>
        <v>0</v>
      </c>
      <c r="BH46" s="219">
        <f>SUMIF('Acuario (Arribado - mortalidad)'!$B$14:$B$90,ANEXO!B46,'Acuario (Arribado - mortalidad)'!$O$14:$O$90)</f>
        <v>0</v>
      </c>
      <c r="BI46" s="219">
        <f>SUMIF('Acuario (Arribado - mortalidad)'!$B$14:$B$90,ANEXO!B46,'Acuario (Arribado - mortalidad)'!$BG$14:$BG$90)</f>
        <v>0</v>
      </c>
      <c r="BJ46" s="219">
        <f>SUMIF('Acuario (Arribado - mortalidad)'!$B$14:$B$90,ANEXO!B46,'Acuario (Arribado - mortalidad)'!$BH$14:$BH$90)</f>
        <v>0</v>
      </c>
    </row>
    <row r="47" spans="1:62" x14ac:dyDescent="0.25">
      <c r="A47" s="42"/>
      <c r="B47" s="5">
        <v>79</v>
      </c>
      <c r="C47" s="422"/>
      <c r="D47" s="423"/>
      <c r="E47" s="423"/>
      <c r="F47" s="423"/>
      <c r="G47" s="423"/>
      <c r="H47" s="423"/>
      <c r="I47" s="424"/>
      <c r="J47" s="380"/>
      <c r="K47" s="380"/>
      <c r="L47" s="380"/>
      <c r="M47" s="380"/>
      <c r="N47" s="525" t="e">
        <f>INDEX(AMBIENTE!D$2:D$756,MATCH(R47,AMBIENTE!C$2:C$756,0))</f>
        <v>#N/A</v>
      </c>
      <c r="O47" s="525"/>
      <c r="P47" s="525"/>
      <c r="Q47" s="525"/>
      <c r="R47" s="428"/>
      <c r="S47" s="429"/>
      <c r="T47" s="429"/>
      <c r="U47" s="429"/>
      <c r="V47" s="429"/>
      <c r="W47" s="429"/>
      <c r="X47" s="430"/>
      <c r="Y47" s="374"/>
      <c r="Z47" s="375"/>
      <c r="AA47" s="375"/>
      <c r="AB47" s="375"/>
      <c r="AC47" s="376"/>
      <c r="AD47" s="357"/>
      <c r="AE47" s="358"/>
      <c r="AF47" s="359"/>
      <c r="AG47" s="372" t="str">
        <f>IFERROR(VLOOKUP(Item2[[#This Row],[Concatenado]],CITES[],2,FALSE),"")</f>
        <v/>
      </c>
      <c r="AH47" s="373"/>
      <c r="AI47" s="372" t="str">
        <f>IFERROR(VLOOKUP(Item2[[#This Row],[Concatenado]],SuscepEARs[],2,FALSE),"")</f>
        <v/>
      </c>
      <c r="AJ47" s="373"/>
      <c r="AL47" s="43"/>
      <c r="AM47" s="46">
        <v>79</v>
      </c>
      <c r="AN47" s="46" t="str">
        <f t="shared" si="3"/>
        <v xml:space="preserve"> </v>
      </c>
      <c r="AO47" s="46">
        <f t="shared" si="0"/>
        <v>0</v>
      </c>
      <c r="AP47" s="46">
        <f t="shared" si="1"/>
        <v>0</v>
      </c>
      <c r="AQ47" s="46" t="e">
        <f t="shared" si="2"/>
        <v>#N/A</v>
      </c>
      <c r="AR47" s="46">
        <f>SUMIF('Acuario (Arribado - mortalidad)'!$B$14:$B$90,ANEXO!B47,'Acuario (Arribado - mortalidad)'!$F$14:$F$90)</f>
        <v>0</v>
      </c>
      <c r="AS47" s="46" t="str">
        <f>IF(AR47&gt;0, IF(SUMIF('Acuario (Arribado - mortalidad)'!$B$14:$B$90,ANEXO!B47,'Acuario (Arribado - mortalidad)'!$K$14:$K$90)=0, "0", SUMIF('Acuario (Arribado - mortalidad)'!$B$14:$B$90,ANEXO!B47,'Acuario (Arribado - mortalidad)'!$K$14:$K$90)),"")</f>
        <v/>
      </c>
      <c r="AT47" s="46">
        <f>IF(AR47 = AS47,"0",SUMIF('Acuario (Arribado - mortalidad)'!$B$14:$B$90,ANEXO!B47,'Acuario (Arribado - mortalidad)'!$G$14:$G$90))</f>
        <v>0</v>
      </c>
      <c r="AU47" s="46" t="str">
        <f>IFERROR(Item2[[#This Row],[mortalidad acumulada]]/Item2[[#This Row],[cantidad arribada]],"")</f>
        <v/>
      </c>
      <c r="AV47" s="46">
        <f>IF(ISTEXT(R47),IF(Item2[[#This Row],[cantidad arribada]]=0,"No llega",Item2[[#This Row],[cantidad arribada]]),)</f>
        <v>0</v>
      </c>
      <c r="AW47" s="46"/>
      <c r="AX47" s="46">
        <f>SUMIF('Acuario (Arribado - mortalidad)'!$B$14:$B$90,ANEXO!B47,'Acuario (Arribado - mortalidad)'!$O$14:$O$90)</f>
        <v>0</v>
      </c>
      <c r="AY47" s="46">
        <f>SUMIF('Acuario (Arribado - mortalidad)'!$B$14:$B$90,ANEXO!B47,'Acuario (Arribado - mortalidad)'!$BG$14:$BG$90)</f>
        <v>0</v>
      </c>
      <c r="AZ47" s="46">
        <f>SUMIF('Acuario (Arribado - mortalidad)'!$B$14:$B$90,ANEXO!B47,'Acuario (Arribado - mortalidad)'!$BH$14:$BH$90)</f>
        <v>0</v>
      </c>
      <c r="BA47" s="46" t="str">
        <f>IFERROR(Item2[[#This Row],[Mortalidad dia 1]]/Item2[[#This Row],[cantidad arribada]],"")</f>
        <v/>
      </c>
      <c r="BB47" s="46" t="str">
        <f>IFERROR(Item2[[#This Row],[Mortalidad 2 a 8  (Sem 1)]]/Item2[[#This Row],[cantidad arribada]],"")</f>
        <v/>
      </c>
      <c r="BC47" s="46" t="str">
        <f>IFERROR(Item2[[#This Row],[Mortalidad 9 a 15 (Sem 2)]]/Item2[[#This Row],[cantidad arribada]],"")</f>
        <v/>
      </c>
      <c r="BD47" s="46"/>
      <c r="BE47" s="219">
        <f>SUMIF('Acuario (Arribado - mortalidad)'!$B$14:$B$90,ANEXO!B47,'Acuario (Arribado - mortalidad)'!$F$14:$F$90)</f>
        <v>0</v>
      </c>
      <c r="BF47" s="219">
        <f>SUMIF('Acuario (Arribado - mortalidad)'!$B$14:$B$90,ANEXO!B47,'Acuario (Arribado - mortalidad)'!$K$14:$K$90)</f>
        <v>0</v>
      </c>
      <c r="BG47" s="219">
        <f>SUMIF('Acuario (Arribado - mortalidad)'!$B$14:$B$90,ANEXO!B47,'Acuario (Arribado - mortalidad)'!$G$14:$G$90)</f>
        <v>0</v>
      </c>
      <c r="BH47" s="219">
        <f>SUMIF('Acuario (Arribado - mortalidad)'!$B$14:$B$90,ANEXO!B47,'Acuario (Arribado - mortalidad)'!$O$14:$O$90)</f>
        <v>0</v>
      </c>
      <c r="BI47" s="219">
        <f>SUMIF('Acuario (Arribado - mortalidad)'!$B$14:$B$90,ANEXO!B47,'Acuario (Arribado - mortalidad)'!$BG$14:$BG$90)</f>
        <v>0</v>
      </c>
      <c r="BJ47" s="219">
        <f>SUMIF('Acuario (Arribado - mortalidad)'!$B$14:$B$90,ANEXO!B47,'Acuario (Arribado - mortalidad)'!$BH$14:$BH$90)</f>
        <v>0</v>
      </c>
    </row>
    <row r="48" spans="1:62" x14ac:dyDescent="0.25">
      <c r="A48" s="42"/>
      <c r="B48" s="5">
        <v>80</v>
      </c>
      <c r="C48" s="422"/>
      <c r="D48" s="423"/>
      <c r="E48" s="423"/>
      <c r="F48" s="423"/>
      <c r="G48" s="423"/>
      <c r="H48" s="423"/>
      <c r="I48" s="424"/>
      <c r="J48" s="380"/>
      <c r="K48" s="380"/>
      <c r="L48" s="380"/>
      <c r="M48" s="380"/>
      <c r="N48" s="525" t="e">
        <f>INDEX(AMBIENTE!D$2:D$756,MATCH(R48,AMBIENTE!C$2:C$756,0))</f>
        <v>#N/A</v>
      </c>
      <c r="O48" s="525"/>
      <c r="P48" s="525"/>
      <c r="Q48" s="525"/>
      <c r="R48" s="428"/>
      <c r="S48" s="429"/>
      <c r="T48" s="429"/>
      <c r="U48" s="429"/>
      <c r="V48" s="429"/>
      <c r="W48" s="429"/>
      <c r="X48" s="430"/>
      <c r="Y48" s="374"/>
      <c r="Z48" s="375"/>
      <c r="AA48" s="375"/>
      <c r="AB48" s="375"/>
      <c r="AC48" s="376"/>
      <c r="AD48" s="357"/>
      <c r="AE48" s="358"/>
      <c r="AF48" s="359"/>
      <c r="AG48" s="372" t="str">
        <f>IFERROR(VLOOKUP(Item2[[#This Row],[Concatenado]],CITES[],2,FALSE),"")</f>
        <v/>
      </c>
      <c r="AH48" s="373"/>
      <c r="AI48" s="372" t="str">
        <f>IFERROR(VLOOKUP(Item2[[#This Row],[Concatenado]],SuscepEARs[],2,FALSE),"")</f>
        <v/>
      </c>
      <c r="AJ48" s="373"/>
      <c r="AL48" s="43"/>
      <c r="AM48" s="46">
        <v>80</v>
      </c>
      <c r="AN48" s="46" t="str">
        <f t="shared" si="3"/>
        <v xml:space="preserve"> </v>
      </c>
      <c r="AO48" s="46">
        <f t="shared" si="0"/>
        <v>0</v>
      </c>
      <c r="AP48" s="46">
        <f t="shared" si="1"/>
        <v>0</v>
      </c>
      <c r="AQ48" s="46" t="e">
        <f t="shared" si="2"/>
        <v>#N/A</v>
      </c>
      <c r="AR48" s="46">
        <f>SUMIF('Acuario (Arribado - mortalidad)'!$B$14:$B$90,ANEXO!B48,'Acuario (Arribado - mortalidad)'!$F$14:$F$90)</f>
        <v>0</v>
      </c>
      <c r="AS48" s="46" t="str">
        <f>IF(AR48&gt;0, IF(SUMIF('Acuario (Arribado - mortalidad)'!$B$14:$B$90,ANEXO!B48,'Acuario (Arribado - mortalidad)'!$K$14:$K$90)=0, "0", SUMIF('Acuario (Arribado - mortalidad)'!$B$14:$B$90,ANEXO!B48,'Acuario (Arribado - mortalidad)'!$K$14:$K$90)),"")</f>
        <v/>
      </c>
      <c r="AT48" s="46">
        <f>IF(AR48 = AS48,"0",SUMIF('Acuario (Arribado - mortalidad)'!$B$14:$B$90,ANEXO!B48,'Acuario (Arribado - mortalidad)'!$G$14:$G$90))</f>
        <v>0</v>
      </c>
      <c r="AU48" s="46" t="str">
        <f>IFERROR(Item2[[#This Row],[mortalidad acumulada]]/Item2[[#This Row],[cantidad arribada]],"")</f>
        <v/>
      </c>
      <c r="AV48" s="46">
        <f>IF(ISTEXT(R48),IF(Item2[[#This Row],[cantidad arribada]]=0,"No llega",Item2[[#This Row],[cantidad arribada]]),)</f>
        <v>0</v>
      </c>
      <c r="AW48" s="46"/>
      <c r="AX48" s="46">
        <f>SUMIF('Acuario (Arribado - mortalidad)'!$B$14:$B$90,ANEXO!B48,'Acuario (Arribado - mortalidad)'!$O$14:$O$90)</f>
        <v>0</v>
      </c>
      <c r="AY48" s="46">
        <f>SUMIF('Acuario (Arribado - mortalidad)'!$B$14:$B$90,ANEXO!B48,'Acuario (Arribado - mortalidad)'!$BG$14:$BG$90)</f>
        <v>0</v>
      </c>
      <c r="AZ48" s="46">
        <f>SUMIF('Acuario (Arribado - mortalidad)'!$B$14:$B$90,ANEXO!B48,'Acuario (Arribado - mortalidad)'!$BH$14:$BH$90)</f>
        <v>0</v>
      </c>
      <c r="BA48" s="46" t="str">
        <f>IFERROR(Item2[[#This Row],[Mortalidad dia 1]]/Item2[[#This Row],[cantidad arribada]],"")</f>
        <v/>
      </c>
      <c r="BB48" s="46" t="str">
        <f>IFERROR(Item2[[#This Row],[Mortalidad 2 a 8  (Sem 1)]]/Item2[[#This Row],[cantidad arribada]],"")</f>
        <v/>
      </c>
      <c r="BC48" s="46" t="str">
        <f>IFERROR(Item2[[#This Row],[Mortalidad 9 a 15 (Sem 2)]]/Item2[[#This Row],[cantidad arribada]],"")</f>
        <v/>
      </c>
      <c r="BD48" s="46"/>
      <c r="BE48" s="219">
        <f>SUMIF('Acuario (Arribado - mortalidad)'!$B$14:$B$90,ANEXO!B48,'Acuario (Arribado - mortalidad)'!$F$14:$F$90)</f>
        <v>0</v>
      </c>
      <c r="BF48" s="219">
        <f>SUMIF('Acuario (Arribado - mortalidad)'!$B$14:$B$90,ANEXO!B48,'Acuario (Arribado - mortalidad)'!$K$14:$K$90)</f>
        <v>0</v>
      </c>
      <c r="BG48" s="219">
        <f>SUMIF('Acuario (Arribado - mortalidad)'!$B$14:$B$90,ANEXO!B48,'Acuario (Arribado - mortalidad)'!$G$14:$G$90)</f>
        <v>0</v>
      </c>
      <c r="BH48" s="219">
        <f>SUMIF('Acuario (Arribado - mortalidad)'!$B$14:$B$90,ANEXO!B48,'Acuario (Arribado - mortalidad)'!$O$14:$O$90)</f>
        <v>0</v>
      </c>
      <c r="BI48" s="219">
        <f>SUMIF('Acuario (Arribado - mortalidad)'!$B$14:$B$90,ANEXO!B48,'Acuario (Arribado - mortalidad)'!$BG$14:$BG$90)</f>
        <v>0</v>
      </c>
      <c r="BJ48" s="219">
        <f>SUMIF('Acuario (Arribado - mortalidad)'!$B$14:$B$90,ANEXO!B48,'Acuario (Arribado - mortalidad)'!$BH$14:$BH$90)</f>
        <v>0</v>
      </c>
    </row>
    <row r="49" spans="1:62" x14ac:dyDescent="0.25">
      <c r="A49" s="42"/>
      <c r="B49" s="5">
        <v>81</v>
      </c>
      <c r="C49" s="422"/>
      <c r="D49" s="423"/>
      <c r="E49" s="423"/>
      <c r="F49" s="423"/>
      <c r="G49" s="423"/>
      <c r="H49" s="423"/>
      <c r="I49" s="424"/>
      <c r="J49" s="380"/>
      <c r="K49" s="380"/>
      <c r="L49" s="380"/>
      <c r="M49" s="380"/>
      <c r="N49" s="525" t="e">
        <f>INDEX(AMBIENTE!D$2:D$756,MATCH(R49,AMBIENTE!C$2:C$756,0))</f>
        <v>#N/A</v>
      </c>
      <c r="O49" s="525"/>
      <c r="P49" s="525"/>
      <c r="Q49" s="525"/>
      <c r="R49" s="428"/>
      <c r="S49" s="429"/>
      <c r="T49" s="429"/>
      <c r="U49" s="429"/>
      <c r="V49" s="429"/>
      <c r="W49" s="429"/>
      <c r="X49" s="430"/>
      <c r="Y49" s="374"/>
      <c r="Z49" s="375"/>
      <c r="AA49" s="375"/>
      <c r="AB49" s="375"/>
      <c r="AC49" s="376"/>
      <c r="AD49" s="357"/>
      <c r="AE49" s="358"/>
      <c r="AF49" s="359"/>
      <c r="AG49" s="372" t="str">
        <f>IFERROR(VLOOKUP(Item2[[#This Row],[Concatenado]],CITES[],2,FALSE),"")</f>
        <v/>
      </c>
      <c r="AH49" s="373"/>
      <c r="AI49" s="372" t="str">
        <f>IFERROR(VLOOKUP(Item2[[#This Row],[Concatenado]],SuscepEARs[],2,FALSE),"")</f>
        <v/>
      </c>
      <c r="AJ49" s="373"/>
      <c r="AL49" s="43"/>
      <c r="AM49" s="46">
        <v>81</v>
      </c>
      <c r="AN49" s="46" t="str">
        <f t="shared" si="3"/>
        <v xml:space="preserve"> </v>
      </c>
      <c r="AO49" s="46">
        <f t="shared" si="0"/>
        <v>0</v>
      </c>
      <c r="AP49" s="46">
        <f t="shared" si="1"/>
        <v>0</v>
      </c>
      <c r="AQ49" s="46" t="e">
        <f t="shared" si="2"/>
        <v>#N/A</v>
      </c>
      <c r="AR49" s="46">
        <f>SUMIF('Acuario (Arribado - mortalidad)'!$B$14:$B$90,ANEXO!B49,'Acuario (Arribado - mortalidad)'!$F$14:$F$90)</f>
        <v>0</v>
      </c>
      <c r="AS49" s="46" t="str">
        <f>IF(AR49&gt;0, IF(SUMIF('Acuario (Arribado - mortalidad)'!$B$14:$B$90,ANEXO!B49,'Acuario (Arribado - mortalidad)'!$K$14:$K$90)=0, "0", SUMIF('Acuario (Arribado - mortalidad)'!$B$14:$B$90,ANEXO!B49,'Acuario (Arribado - mortalidad)'!$K$14:$K$90)),"")</f>
        <v/>
      </c>
      <c r="AT49" s="46">
        <f>IF(AR49 = AS49,"0",SUMIF('Acuario (Arribado - mortalidad)'!$B$14:$B$90,ANEXO!B49,'Acuario (Arribado - mortalidad)'!$G$14:$G$90))</f>
        <v>0</v>
      </c>
      <c r="AU49" s="46" t="str">
        <f>IFERROR(Item2[[#This Row],[mortalidad acumulada]]/Item2[[#This Row],[cantidad arribada]],"")</f>
        <v/>
      </c>
      <c r="AV49" s="46">
        <f>IF(ISTEXT(R49),IF(Item2[[#This Row],[cantidad arribada]]=0,"No llega",Item2[[#This Row],[cantidad arribada]]),)</f>
        <v>0</v>
      </c>
      <c r="AW49" s="46"/>
      <c r="AX49" s="46">
        <f>SUMIF('Acuario (Arribado - mortalidad)'!$B$14:$B$90,ANEXO!B49,'Acuario (Arribado - mortalidad)'!$O$14:$O$90)</f>
        <v>0</v>
      </c>
      <c r="AY49" s="46">
        <f>SUMIF('Acuario (Arribado - mortalidad)'!$B$14:$B$90,ANEXO!B49,'Acuario (Arribado - mortalidad)'!$BG$14:$BG$90)</f>
        <v>0</v>
      </c>
      <c r="AZ49" s="46">
        <f>SUMIF('Acuario (Arribado - mortalidad)'!$B$14:$B$90,ANEXO!B49,'Acuario (Arribado - mortalidad)'!$BH$14:$BH$90)</f>
        <v>0</v>
      </c>
      <c r="BA49" s="46" t="str">
        <f>IFERROR(Item2[[#This Row],[Mortalidad dia 1]]/Item2[[#This Row],[cantidad arribada]],"")</f>
        <v/>
      </c>
      <c r="BB49" s="46" t="str">
        <f>IFERROR(Item2[[#This Row],[Mortalidad 2 a 8  (Sem 1)]]/Item2[[#This Row],[cantidad arribada]],"")</f>
        <v/>
      </c>
      <c r="BC49" s="46" t="str">
        <f>IFERROR(Item2[[#This Row],[Mortalidad 9 a 15 (Sem 2)]]/Item2[[#This Row],[cantidad arribada]],"")</f>
        <v/>
      </c>
      <c r="BD49" s="46"/>
      <c r="BE49" s="219">
        <f>SUMIF('Acuario (Arribado - mortalidad)'!$B$14:$B$90,ANEXO!B49,'Acuario (Arribado - mortalidad)'!$F$14:$F$90)</f>
        <v>0</v>
      </c>
      <c r="BF49" s="219">
        <f>SUMIF('Acuario (Arribado - mortalidad)'!$B$14:$B$90,ANEXO!B49,'Acuario (Arribado - mortalidad)'!$K$14:$K$90)</f>
        <v>0</v>
      </c>
      <c r="BG49" s="219">
        <f>SUMIF('Acuario (Arribado - mortalidad)'!$B$14:$B$90,ANEXO!B49,'Acuario (Arribado - mortalidad)'!$G$14:$G$90)</f>
        <v>0</v>
      </c>
      <c r="BH49" s="219">
        <f>SUMIF('Acuario (Arribado - mortalidad)'!$B$14:$B$90,ANEXO!B49,'Acuario (Arribado - mortalidad)'!$O$14:$O$90)</f>
        <v>0</v>
      </c>
      <c r="BI49" s="219">
        <f>SUMIF('Acuario (Arribado - mortalidad)'!$B$14:$B$90,ANEXO!B49,'Acuario (Arribado - mortalidad)'!$BG$14:$BG$90)</f>
        <v>0</v>
      </c>
      <c r="BJ49" s="219">
        <f>SUMIF('Acuario (Arribado - mortalidad)'!$B$14:$B$90,ANEXO!B49,'Acuario (Arribado - mortalidad)'!$BH$14:$BH$90)</f>
        <v>0</v>
      </c>
    </row>
    <row r="50" spans="1:62" x14ac:dyDescent="0.25">
      <c r="A50" s="42"/>
      <c r="B50" s="5">
        <v>82</v>
      </c>
      <c r="C50" s="422"/>
      <c r="D50" s="423"/>
      <c r="E50" s="423"/>
      <c r="F50" s="423"/>
      <c r="G50" s="423"/>
      <c r="H50" s="423"/>
      <c r="I50" s="424"/>
      <c r="J50" s="380"/>
      <c r="K50" s="380"/>
      <c r="L50" s="380"/>
      <c r="M50" s="380"/>
      <c r="N50" s="525" t="e">
        <f>INDEX(AMBIENTE!D$2:D$756,MATCH(R50,AMBIENTE!C$2:C$756,0))</f>
        <v>#N/A</v>
      </c>
      <c r="O50" s="525"/>
      <c r="P50" s="525"/>
      <c r="Q50" s="525"/>
      <c r="R50" s="428"/>
      <c r="S50" s="429"/>
      <c r="T50" s="429"/>
      <c r="U50" s="429"/>
      <c r="V50" s="429"/>
      <c r="W50" s="429"/>
      <c r="X50" s="430"/>
      <c r="Y50" s="374"/>
      <c r="Z50" s="375"/>
      <c r="AA50" s="375"/>
      <c r="AB50" s="375"/>
      <c r="AC50" s="376"/>
      <c r="AD50" s="357"/>
      <c r="AE50" s="358"/>
      <c r="AF50" s="359"/>
      <c r="AG50" s="372" t="str">
        <f>IFERROR(VLOOKUP(Item2[[#This Row],[Concatenado]],CITES[],2,FALSE),"")</f>
        <v/>
      </c>
      <c r="AH50" s="373"/>
      <c r="AI50" s="372" t="str">
        <f>IFERROR(VLOOKUP(Item2[[#This Row],[Concatenado]],SuscepEARs[],2,FALSE),"")</f>
        <v/>
      </c>
      <c r="AJ50" s="373"/>
      <c r="AL50" s="43"/>
      <c r="AM50" s="46">
        <v>82</v>
      </c>
      <c r="AN50" s="46" t="str">
        <f t="shared" si="3"/>
        <v xml:space="preserve"> </v>
      </c>
      <c r="AO50" s="46">
        <f t="shared" si="0"/>
        <v>0</v>
      </c>
      <c r="AP50" s="46">
        <f t="shared" si="1"/>
        <v>0</v>
      </c>
      <c r="AQ50" s="46" t="e">
        <f t="shared" si="2"/>
        <v>#N/A</v>
      </c>
      <c r="AR50" s="46">
        <f>SUMIF('Acuario (Arribado - mortalidad)'!$B$14:$B$90,ANEXO!B50,'Acuario (Arribado - mortalidad)'!$F$14:$F$90)</f>
        <v>0</v>
      </c>
      <c r="AS50" s="46" t="str">
        <f>IF(AR50&gt;0, IF(SUMIF('Acuario (Arribado - mortalidad)'!$B$14:$B$90,ANEXO!B50,'Acuario (Arribado - mortalidad)'!$K$14:$K$90)=0, "0", SUMIF('Acuario (Arribado - mortalidad)'!$B$14:$B$90,ANEXO!B50,'Acuario (Arribado - mortalidad)'!$K$14:$K$90)),"")</f>
        <v/>
      </c>
      <c r="AT50" s="46">
        <f>IF(AR50 = AS50,"0",SUMIF('Acuario (Arribado - mortalidad)'!$B$14:$B$90,ANEXO!B50,'Acuario (Arribado - mortalidad)'!$G$14:$G$90))</f>
        <v>0</v>
      </c>
      <c r="AU50" s="46" t="str">
        <f>IFERROR(Item2[[#This Row],[mortalidad acumulada]]/Item2[[#This Row],[cantidad arribada]],"")</f>
        <v/>
      </c>
      <c r="AV50" s="46">
        <f>IF(ISTEXT(R50),IF(Item2[[#This Row],[cantidad arribada]]=0,"No llega",Item2[[#This Row],[cantidad arribada]]),)</f>
        <v>0</v>
      </c>
      <c r="AW50" s="46"/>
      <c r="AX50" s="46">
        <f>SUMIF('Acuario (Arribado - mortalidad)'!$B$14:$B$90,ANEXO!B50,'Acuario (Arribado - mortalidad)'!$O$14:$O$90)</f>
        <v>0</v>
      </c>
      <c r="AY50" s="46">
        <f>SUMIF('Acuario (Arribado - mortalidad)'!$B$14:$B$90,ANEXO!B50,'Acuario (Arribado - mortalidad)'!$BG$14:$BG$90)</f>
        <v>0</v>
      </c>
      <c r="AZ50" s="46">
        <f>SUMIF('Acuario (Arribado - mortalidad)'!$B$14:$B$90,ANEXO!B50,'Acuario (Arribado - mortalidad)'!$BH$14:$BH$90)</f>
        <v>0</v>
      </c>
      <c r="BA50" s="46" t="str">
        <f>IFERROR(Item2[[#This Row],[Mortalidad dia 1]]/Item2[[#This Row],[cantidad arribada]],"")</f>
        <v/>
      </c>
      <c r="BB50" s="46" t="str">
        <f>IFERROR(Item2[[#This Row],[Mortalidad 2 a 8  (Sem 1)]]/Item2[[#This Row],[cantidad arribada]],"")</f>
        <v/>
      </c>
      <c r="BC50" s="46" t="str">
        <f>IFERROR(Item2[[#This Row],[Mortalidad 9 a 15 (Sem 2)]]/Item2[[#This Row],[cantidad arribada]],"")</f>
        <v/>
      </c>
      <c r="BD50" s="46"/>
      <c r="BE50" s="219">
        <f>SUMIF('Acuario (Arribado - mortalidad)'!$B$14:$B$90,ANEXO!B50,'Acuario (Arribado - mortalidad)'!$F$14:$F$90)</f>
        <v>0</v>
      </c>
      <c r="BF50" s="219">
        <f>SUMIF('Acuario (Arribado - mortalidad)'!$B$14:$B$90,ANEXO!B50,'Acuario (Arribado - mortalidad)'!$K$14:$K$90)</f>
        <v>0</v>
      </c>
      <c r="BG50" s="219">
        <f>SUMIF('Acuario (Arribado - mortalidad)'!$B$14:$B$90,ANEXO!B50,'Acuario (Arribado - mortalidad)'!$G$14:$G$90)</f>
        <v>0</v>
      </c>
      <c r="BH50" s="219">
        <f>SUMIF('Acuario (Arribado - mortalidad)'!$B$14:$B$90,ANEXO!B50,'Acuario (Arribado - mortalidad)'!$O$14:$O$90)</f>
        <v>0</v>
      </c>
      <c r="BI50" s="219">
        <f>SUMIF('Acuario (Arribado - mortalidad)'!$B$14:$B$90,ANEXO!B50,'Acuario (Arribado - mortalidad)'!$BG$14:$BG$90)</f>
        <v>0</v>
      </c>
      <c r="BJ50" s="219">
        <f>SUMIF('Acuario (Arribado - mortalidad)'!$B$14:$B$90,ANEXO!B50,'Acuario (Arribado - mortalidad)'!$BH$14:$BH$90)</f>
        <v>0</v>
      </c>
    </row>
    <row r="51" spans="1:62" x14ac:dyDescent="0.25">
      <c r="A51" s="42"/>
      <c r="B51" s="5">
        <v>83</v>
      </c>
      <c r="C51" s="422"/>
      <c r="D51" s="423"/>
      <c r="E51" s="423"/>
      <c r="F51" s="423"/>
      <c r="G51" s="423"/>
      <c r="H51" s="423"/>
      <c r="I51" s="424"/>
      <c r="J51" s="380"/>
      <c r="K51" s="380"/>
      <c r="L51" s="380"/>
      <c r="M51" s="380"/>
      <c r="N51" s="525" t="e">
        <f>INDEX(AMBIENTE!D$2:D$756,MATCH(R51,AMBIENTE!C$2:C$756,0))</f>
        <v>#N/A</v>
      </c>
      <c r="O51" s="525"/>
      <c r="P51" s="525"/>
      <c r="Q51" s="525"/>
      <c r="R51" s="428"/>
      <c r="S51" s="429"/>
      <c r="T51" s="429"/>
      <c r="U51" s="429"/>
      <c r="V51" s="429"/>
      <c r="W51" s="429"/>
      <c r="X51" s="430"/>
      <c r="Y51" s="374"/>
      <c r="Z51" s="375"/>
      <c r="AA51" s="375"/>
      <c r="AB51" s="375"/>
      <c r="AC51" s="376"/>
      <c r="AD51" s="357"/>
      <c r="AE51" s="358"/>
      <c r="AF51" s="359"/>
      <c r="AG51" s="372" t="str">
        <f>IFERROR(VLOOKUP(Item2[[#This Row],[Concatenado]],CITES[],2,FALSE),"")</f>
        <v/>
      </c>
      <c r="AH51" s="373"/>
      <c r="AI51" s="372" t="str">
        <f>IFERROR(VLOOKUP(Item2[[#This Row],[Concatenado]],SuscepEARs[],2,FALSE),"")</f>
        <v/>
      </c>
      <c r="AJ51" s="373"/>
      <c r="AL51" s="43"/>
      <c r="AM51" s="46">
        <v>83</v>
      </c>
      <c r="AN51" s="46" t="str">
        <f t="shared" si="3"/>
        <v xml:space="preserve"> </v>
      </c>
      <c r="AO51" s="46">
        <f t="shared" si="0"/>
        <v>0</v>
      </c>
      <c r="AP51" s="46">
        <f t="shared" si="1"/>
        <v>0</v>
      </c>
      <c r="AQ51" s="46" t="e">
        <f t="shared" si="2"/>
        <v>#N/A</v>
      </c>
      <c r="AR51" s="46">
        <f>SUMIF('Acuario (Arribado - mortalidad)'!$B$14:$B$90,ANEXO!B51,'Acuario (Arribado - mortalidad)'!$F$14:$F$90)</f>
        <v>0</v>
      </c>
      <c r="AS51" s="46" t="str">
        <f>IF(AR51&gt;0, IF(SUMIF('Acuario (Arribado - mortalidad)'!$B$14:$B$90,ANEXO!B51,'Acuario (Arribado - mortalidad)'!$K$14:$K$90)=0, "0", SUMIF('Acuario (Arribado - mortalidad)'!$B$14:$B$90,ANEXO!B51,'Acuario (Arribado - mortalidad)'!$K$14:$K$90)),"")</f>
        <v/>
      </c>
      <c r="AT51" s="46">
        <f>IF(AR51 = AS51,"0",SUMIF('Acuario (Arribado - mortalidad)'!$B$14:$B$90,ANEXO!B51,'Acuario (Arribado - mortalidad)'!$G$14:$G$90))</f>
        <v>0</v>
      </c>
      <c r="AU51" s="46" t="str">
        <f>IFERROR(Item2[[#This Row],[mortalidad acumulada]]/Item2[[#This Row],[cantidad arribada]],"")</f>
        <v/>
      </c>
      <c r="AV51" s="46">
        <f>IF(ISTEXT(R51),IF(Item2[[#This Row],[cantidad arribada]]=0,"No llega",Item2[[#This Row],[cantidad arribada]]),)</f>
        <v>0</v>
      </c>
      <c r="AW51" s="46"/>
      <c r="AX51" s="46">
        <f>SUMIF('Acuario (Arribado - mortalidad)'!$B$14:$B$90,ANEXO!B51,'Acuario (Arribado - mortalidad)'!$O$14:$O$90)</f>
        <v>0</v>
      </c>
      <c r="AY51" s="46">
        <f>SUMIF('Acuario (Arribado - mortalidad)'!$B$14:$B$90,ANEXO!B51,'Acuario (Arribado - mortalidad)'!$BG$14:$BG$90)</f>
        <v>0</v>
      </c>
      <c r="AZ51" s="46">
        <f>SUMIF('Acuario (Arribado - mortalidad)'!$B$14:$B$90,ANEXO!B51,'Acuario (Arribado - mortalidad)'!$BH$14:$BH$90)</f>
        <v>0</v>
      </c>
      <c r="BA51" s="46" t="str">
        <f>IFERROR(Item2[[#This Row],[Mortalidad dia 1]]/Item2[[#This Row],[cantidad arribada]],"")</f>
        <v/>
      </c>
      <c r="BB51" s="46" t="str">
        <f>IFERROR(Item2[[#This Row],[Mortalidad 2 a 8  (Sem 1)]]/Item2[[#This Row],[cantidad arribada]],"")</f>
        <v/>
      </c>
      <c r="BC51" s="46" t="str">
        <f>IFERROR(Item2[[#This Row],[Mortalidad 9 a 15 (Sem 2)]]/Item2[[#This Row],[cantidad arribada]],"")</f>
        <v/>
      </c>
      <c r="BD51" s="46"/>
      <c r="BE51" s="219">
        <f>SUMIF('Acuario (Arribado - mortalidad)'!$B$14:$B$90,ANEXO!B51,'Acuario (Arribado - mortalidad)'!$F$14:$F$90)</f>
        <v>0</v>
      </c>
      <c r="BF51" s="219">
        <f>SUMIF('Acuario (Arribado - mortalidad)'!$B$14:$B$90,ANEXO!B51,'Acuario (Arribado - mortalidad)'!$K$14:$K$90)</f>
        <v>0</v>
      </c>
      <c r="BG51" s="219">
        <f>SUMIF('Acuario (Arribado - mortalidad)'!$B$14:$B$90,ANEXO!B51,'Acuario (Arribado - mortalidad)'!$G$14:$G$90)</f>
        <v>0</v>
      </c>
      <c r="BH51" s="219">
        <f>SUMIF('Acuario (Arribado - mortalidad)'!$B$14:$B$90,ANEXO!B51,'Acuario (Arribado - mortalidad)'!$O$14:$O$90)</f>
        <v>0</v>
      </c>
      <c r="BI51" s="219">
        <f>SUMIF('Acuario (Arribado - mortalidad)'!$B$14:$B$90,ANEXO!B51,'Acuario (Arribado - mortalidad)'!$BG$14:$BG$90)</f>
        <v>0</v>
      </c>
      <c r="BJ51" s="219">
        <f>SUMIF('Acuario (Arribado - mortalidad)'!$B$14:$B$90,ANEXO!B51,'Acuario (Arribado - mortalidad)'!$BH$14:$BH$90)</f>
        <v>0</v>
      </c>
    </row>
    <row r="52" spans="1:62" x14ac:dyDescent="0.25">
      <c r="A52" s="42"/>
      <c r="B52" s="5">
        <v>84</v>
      </c>
      <c r="C52" s="422"/>
      <c r="D52" s="423"/>
      <c r="E52" s="423"/>
      <c r="F52" s="423"/>
      <c r="G52" s="423"/>
      <c r="H52" s="423"/>
      <c r="I52" s="424"/>
      <c r="J52" s="380"/>
      <c r="K52" s="380"/>
      <c r="L52" s="380"/>
      <c r="M52" s="380"/>
      <c r="N52" s="525" t="e">
        <f>INDEX(AMBIENTE!D$2:D$756,MATCH(R52,AMBIENTE!C$2:C$756,0))</f>
        <v>#N/A</v>
      </c>
      <c r="O52" s="525"/>
      <c r="P52" s="525"/>
      <c r="Q52" s="525"/>
      <c r="R52" s="428"/>
      <c r="S52" s="429"/>
      <c r="T52" s="429"/>
      <c r="U52" s="429"/>
      <c r="V52" s="429"/>
      <c r="W52" s="429"/>
      <c r="X52" s="430"/>
      <c r="Y52" s="374"/>
      <c r="Z52" s="375"/>
      <c r="AA52" s="375"/>
      <c r="AB52" s="375"/>
      <c r="AC52" s="376"/>
      <c r="AD52" s="357"/>
      <c r="AE52" s="358"/>
      <c r="AF52" s="359"/>
      <c r="AG52" s="372" t="str">
        <f>IFERROR(VLOOKUP(Item2[[#This Row],[Concatenado]],CITES[],2,FALSE),"")</f>
        <v/>
      </c>
      <c r="AH52" s="373"/>
      <c r="AI52" s="372" t="str">
        <f>IFERROR(VLOOKUP(Item2[[#This Row],[Concatenado]],SuscepEARs[],2,FALSE),"")</f>
        <v/>
      </c>
      <c r="AJ52" s="373"/>
      <c r="AL52" s="43"/>
      <c r="AM52" s="46">
        <v>84</v>
      </c>
      <c r="AN52" s="46" t="str">
        <f t="shared" si="3"/>
        <v xml:space="preserve"> </v>
      </c>
      <c r="AO52" s="46">
        <f t="shared" si="0"/>
        <v>0</v>
      </c>
      <c r="AP52" s="46">
        <f t="shared" si="1"/>
        <v>0</v>
      </c>
      <c r="AQ52" s="46" t="e">
        <f t="shared" si="2"/>
        <v>#N/A</v>
      </c>
      <c r="AR52" s="46">
        <f>SUMIF('Acuario (Arribado - mortalidad)'!$B$14:$B$90,ANEXO!B52,'Acuario (Arribado - mortalidad)'!$F$14:$F$90)</f>
        <v>0</v>
      </c>
      <c r="AS52" s="46" t="str">
        <f>IF(AR52&gt;0, IF(SUMIF('Acuario (Arribado - mortalidad)'!$B$14:$B$90,ANEXO!B52,'Acuario (Arribado - mortalidad)'!$K$14:$K$90)=0, "0", SUMIF('Acuario (Arribado - mortalidad)'!$B$14:$B$90,ANEXO!B52,'Acuario (Arribado - mortalidad)'!$K$14:$K$90)),"")</f>
        <v/>
      </c>
      <c r="AT52" s="46">
        <f>IF(AR52 = AS52,"0",SUMIF('Acuario (Arribado - mortalidad)'!$B$14:$B$90,ANEXO!B52,'Acuario (Arribado - mortalidad)'!$G$14:$G$90))</f>
        <v>0</v>
      </c>
      <c r="AU52" s="46" t="str">
        <f>IFERROR(Item2[[#This Row],[mortalidad acumulada]]/Item2[[#This Row],[cantidad arribada]],"")</f>
        <v/>
      </c>
      <c r="AV52" s="46">
        <f>IF(ISTEXT(R52),IF(Item2[[#This Row],[cantidad arribada]]=0,"No llega",Item2[[#This Row],[cantidad arribada]]),)</f>
        <v>0</v>
      </c>
      <c r="AW52" s="46"/>
      <c r="AX52" s="46">
        <f>SUMIF('Acuario (Arribado - mortalidad)'!$B$14:$B$90,ANEXO!B52,'Acuario (Arribado - mortalidad)'!$O$14:$O$90)</f>
        <v>0</v>
      </c>
      <c r="AY52" s="46">
        <f>SUMIF('Acuario (Arribado - mortalidad)'!$B$14:$B$90,ANEXO!B52,'Acuario (Arribado - mortalidad)'!$BG$14:$BG$90)</f>
        <v>0</v>
      </c>
      <c r="AZ52" s="46">
        <f>SUMIF('Acuario (Arribado - mortalidad)'!$B$14:$B$90,ANEXO!B52,'Acuario (Arribado - mortalidad)'!$BH$14:$BH$90)</f>
        <v>0</v>
      </c>
      <c r="BA52" s="46" t="str">
        <f>IFERROR(Item2[[#This Row],[Mortalidad dia 1]]/Item2[[#This Row],[cantidad arribada]],"")</f>
        <v/>
      </c>
      <c r="BB52" s="46" t="str">
        <f>IFERROR(Item2[[#This Row],[Mortalidad 2 a 8  (Sem 1)]]/Item2[[#This Row],[cantidad arribada]],"")</f>
        <v/>
      </c>
      <c r="BC52" s="46" t="str">
        <f>IFERROR(Item2[[#This Row],[Mortalidad 9 a 15 (Sem 2)]]/Item2[[#This Row],[cantidad arribada]],"")</f>
        <v/>
      </c>
      <c r="BD52" s="46"/>
      <c r="BE52" s="219">
        <f>SUMIF('Acuario (Arribado - mortalidad)'!$B$14:$B$90,ANEXO!B52,'Acuario (Arribado - mortalidad)'!$F$14:$F$90)</f>
        <v>0</v>
      </c>
      <c r="BF52" s="219">
        <f>SUMIF('Acuario (Arribado - mortalidad)'!$B$14:$B$90,ANEXO!B52,'Acuario (Arribado - mortalidad)'!$K$14:$K$90)</f>
        <v>0</v>
      </c>
      <c r="BG52" s="219">
        <f>SUMIF('Acuario (Arribado - mortalidad)'!$B$14:$B$90,ANEXO!B52,'Acuario (Arribado - mortalidad)'!$G$14:$G$90)</f>
        <v>0</v>
      </c>
      <c r="BH52" s="219">
        <f>SUMIF('Acuario (Arribado - mortalidad)'!$B$14:$B$90,ANEXO!B52,'Acuario (Arribado - mortalidad)'!$O$14:$O$90)</f>
        <v>0</v>
      </c>
      <c r="BI52" s="219">
        <f>SUMIF('Acuario (Arribado - mortalidad)'!$B$14:$B$90,ANEXO!B52,'Acuario (Arribado - mortalidad)'!$BG$14:$BG$90)</f>
        <v>0</v>
      </c>
      <c r="BJ52" s="219">
        <f>SUMIF('Acuario (Arribado - mortalidad)'!$B$14:$B$90,ANEXO!B52,'Acuario (Arribado - mortalidad)'!$BH$14:$BH$90)</f>
        <v>0</v>
      </c>
    </row>
    <row r="53" spans="1:62" x14ac:dyDescent="0.25">
      <c r="A53" s="42"/>
      <c r="B53" s="5">
        <v>85</v>
      </c>
      <c r="C53" s="422"/>
      <c r="D53" s="423"/>
      <c r="E53" s="423"/>
      <c r="F53" s="423"/>
      <c r="G53" s="423"/>
      <c r="H53" s="423"/>
      <c r="I53" s="424"/>
      <c r="J53" s="380"/>
      <c r="K53" s="380"/>
      <c r="L53" s="380"/>
      <c r="M53" s="380"/>
      <c r="N53" s="525" t="e">
        <f>INDEX(AMBIENTE!D$2:D$756,MATCH(R53,AMBIENTE!C$2:C$756,0))</f>
        <v>#N/A</v>
      </c>
      <c r="O53" s="525"/>
      <c r="P53" s="525"/>
      <c r="Q53" s="525"/>
      <c r="R53" s="428"/>
      <c r="S53" s="429"/>
      <c r="T53" s="429"/>
      <c r="U53" s="429"/>
      <c r="V53" s="429"/>
      <c r="W53" s="429"/>
      <c r="X53" s="430"/>
      <c r="Y53" s="374"/>
      <c r="Z53" s="375"/>
      <c r="AA53" s="375"/>
      <c r="AB53" s="375"/>
      <c r="AC53" s="376"/>
      <c r="AD53" s="357"/>
      <c r="AE53" s="358"/>
      <c r="AF53" s="359"/>
      <c r="AG53" s="372" t="str">
        <f>IFERROR(VLOOKUP(Item2[[#This Row],[Concatenado]],CITES[],2,FALSE),"")</f>
        <v/>
      </c>
      <c r="AH53" s="373"/>
      <c r="AI53" s="372" t="str">
        <f>IFERROR(VLOOKUP(Item2[[#This Row],[Concatenado]],SuscepEARs[],2,FALSE),"")</f>
        <v/>
      </c>
      <c r="AJ53" s="373"/>
      <c r="AL53" s="43"/>
      <c r="AM53" s="46">
        <v>85</v>
      </c>
      <c r="AN53" s="46" t="str">
        <f t="shared" si="3"/>
        <v xml:space="preserve"> </v>
      </c>
      <c r="AO53" s="46">
        <f t="shared" si="0"/>
        <v>0</v>
      </c>
      <c r="AP53" s="46">
        <f t="shared" si="1"/>
        <v>0</v>
      </c>
      <c r="AQ53" s="46" t="e">
        <f t="shared" si="2"/>
        <v>#N/A</v>
      </c>
      <c r="AR53" s="46">
        <f>SUMIF('Acuario (Arribado - mortalidad)'!$B$14:$B$90,ANEXO!B53,'Acuario (Arribado - mortalidad)'!$F$14:$F$90)</f>
        <v>0</v>
      </c>
      <c r="AS53" s="46" t="str">
        <f>IF(AR53&gt;0, IF(SUMIF('Acuario (Arribado - mortalidad)'!$B$14:$B$90,ANEXO!B53,'Acuario (Arribado - mortalidad)'!$K$14:$K$90)=0, "0", SUMIF('Acuario (Arribado - mortalidad)'!$B$14:$B$90,ANEXO!B53,'Acuario (Arribado - mortalidad)'!$K$14:$K$90)),"")</f>
        <v/>
      </c>
      <c r="AT53" s="46">
        <f>IF(AR53 = AS53,"0",SUMIF('Acuario (Arribado - mortalidad)'!$B$14:$B$90,ANEXO!B53,'Acuario (Arribado - mortalidad)'!$G$14:$G$90))</f>
        <v>0</v>
      </c>
      <c r="AU53" s="46" t="str">
        <f>IFERROR(Item2[[#This Row],[mortalidad acumulada]]/Item2[[#This Row],[cantidad arribada]],"")</f>
        <v/>
      </c>
      <c r="AV53" s="46">
        <f>IF(ISTEXT(R53),IF(Item2[[#This Row],[cantidad arribada]]=0,"No llega",Item2[[#This Row],[cantidad arribada]]),)</f>
        <v>0</v>
      </c>
      <c r="AW53" s="46"/>
      <c r="AX53" s="46">
        <f>SUMIF('Acuario (Arribado - mortalidad)'!$B$14:$B$90,ANEXO!B53,'Acuario (Arribado - mortalidad)'!$O$14:$O$90)</f>
        <v>0</v>
      </c>
      <c r="AY53" s="46">
        <f>SUMIF('Acuario (Arribado - mortalidad)'!$B$14:$B$90,ANEXO!B53,'Acuario (Arribado - mortalidad)'!$BG$14:$BG$90)</f>
        <v>0</v>
      </c>
      <c r="AZ53" s="46">
        <f>SUMIF('Acuario (Arribado - mortalidad)'!$B$14:$B$90,ANEXO!B53,'Acuario (Arribado - mortalidad)'!$BH$14:$BH$90)</f>
        <v>0</v>
      </c>
      <c r="BA53" s="46" t="str">
        <f>IFERROR(Item2[[#This Row],[Mortalidad dia 1]]/Item2[[#This Row],[cantidad arribada]],"")</f>
        <v/>
      </c>
      <c r="BB53" s="46" t="str">
        <f>IFERROR(Item2[[#This Row],[Mortalidad 2 a 8  (Sem 1)]]/Item2[[#This Row],[cantidad arribada]],"")</f>
        <v/>
      </c>
      <c r="BC53" s="46" t="str">
        <f>IFERROR(Item2[[#This Row],[Mortalidad 9 a 15 (Sem 2)]]/Item2[[#This Row],[cantidad arribada]],"")</f>
        <v/>
      </c>
      <c r="BD53" s="46"/>
      <c r="BE53" s="219">
        <f>SUMIF('Acuario (Arribado - mortalidad)'!$B$14:$B$90,ANEXO!B53,'Acuario (Arribado - mortalidad)'!$F$14:$F$90)</f>
        <v>0</v>
      </c>
      <c r="BF53" s="219">
        <f>SUMIF('Acuario (Arribado - mortalidad)'!$B$14:$B$90,ANEXO!B53,'Acuario (Arribado - mortalidad)'!$K$14:$K$90)</f>
        <v>0</v>
      </c>
      <c r="BG53" s="219">
        <f>SUMIF('Acuario (Arribado - mortalidad)'!$B$14:$B$90,ANEXO!B53,'Acuario (Arribado - mortalidad)'!$G$14:$G$90)</f>
        <v>0</v>
      </c>
      <c r="BH53" s="219">
        <f>SUMIF('Acuario (Arribado - mortalidad)'!$B$14:$B$90,ANEXO!B53,'Acuario (Arribado - mortalidad)'!$O$14:$O$90)</f>
        <v>0</v>
      </c>
      <c r="BI53" s="219">
        <f>SUMIF('Acuario (Arribado - mortalidad)'!$B$14:$B$90,ANEXO!B53,'Acuario (Arribado - mortalidad)'!$BG$14:$BG$90)</f>
        <v>0</v>
      </c>
      <c r="BJ53" s="219">
        <f>SUMIF('Acuario (Arribado - mortalidad)'!$B$14:$B$90,ANEXO!B53,'Acuario (Arribado - mortalidad)'!$BH$14:$BH$90)</f>
        <v>0</v>
      </c>
    </row>
    <row r="54" spans="1:62" x14ac:dyDescent="0.25">
      <c r="A54" s="42"/>
      <c r="B54" s="5">
        <v>86</v>
      </c>
      <c r="C54" s="422"/>
      <c r="D54" s="423"/>
      <c r="E54" s="423"/>
      <c r="F54" s="423"/>
      <c r="G54" s="423"/>
      <c r="H54" s="423"/>
      <c r="I54" s="424"/>
      <c r="J54" s="380"/>
      <c r="K54" s="380"/>
      <c r="L54" s="380"/>
      <c r="M54" s="380"/>
      <c r="N54" s="525" t="e">
        <f>INDEX(AMBIENTE!D$2:D$756,MATCH(R54,AMBIENTE!C$2:C$756,0))</f>
        <v>#N/A</v>
      </c>
      <c r="O54" s="525"/>
      <c r="P54" s="525"/>
      <c r="Q54" s="525"/>
      <c r="R54" s="428"/>
      <c r="S54" s="429"/>
      <c r="T54" s="429"/>
      <c r="U54" s="429"/>
      <c r="V54" s="429"/>
      <c r="W54" s="429"/>
      <c r="X54" s="430"/>
      <c r="Y54" s="374"/>
      <c r="Z54" s="375"/>
      <c r="AA54" s="375"/>
      <c r="AB54" s="375"/>
      <c r="AC54" s="376"/>
      <c r="AD54" s="357"/>
      <c r="AE54" s="358"/>
      <c r="AF54" s="359"/>
      <c r="AG54" s="372" t="str">
        <f>IFERROR(VLOOKUP(Item2[[#This Row],[Concatenado]],CITES[],2,FALSE),"")</f>
        <v/>
      </c>
      <c r="AH54" s="373"/>
      <c r="AI54" s="372" t="str">
        <f>IFERROR(VLOOKUP(Item2[[#This Row],[Concatenado]],SuscepEARs[],2,FALSE),"")</f>
        <v/>
      </c>
      <c r="AJ54" s="373"/>
      <c r="AK54" s="50"/>
      <c r="AL54" s="43"/>
      <c r="AM54" s="46">
        <v>86</v>
      </c>
      <c r="AN54" s="46" t="str">
        <f t="shared" si="3"/>
        <v xml:space="preserve"> </v>
      </c>
      <c r="AO54" s="46">
        <f t="shared" si="0"/>
        <v>0</v>
      </c>
      <c r="AP54" s="46">
        <f t="shared" si="1"/>
        <v>0</v>
      </c>
      <c r="AQ54" s="46" t="e">
        <f t="shared" si="2"/>
        <v>#N/A</v>
      </c>
      <c r="AR54" s="46">
        <f>SUMIF('Acuario (Arribado - mortalidad)'!$B$14:$B$90,ANEXO!B54,'Acuario (Arribado - mortalidad)'!$F$14:$F$90)</f>
        <v>0</v>
      </c>
      <c r="AS54" s="46" t="str">
        <f>IF(AR54&gt;0, IF(SUMIF('Acuario (Arribado - mortalidad)'!$B$14:$B$90,ANEXO!B54,'Acuario (Arribado - mortalidad)'!$K$14:$K$90)=0, "0", SUMIF('Acuario (Arribado - mortalidad)'!$B$14:$B$90,ANEXO!B54,'Acuario (Arribado - mortalidad)'!$K$14:$K$90)),"")</f>
        <v/>
      </c>
      <c r="AT54" s="46">
        <f>IF(AR54 = AS54,"0",SUMIF('Acuario (Arribado - mortalidad)'!$B$14:$B$90,ANEXO!B54,'Acuario (Arribado - mortalidad)'!$G$14:$G$90))</f>
        <v>0</v>
      </c>
      <c r="AU54" s="46" t="str">
        <f>IFERROR(Item2[[#This Row],[mortalidad acumulada]]/Item2[[#This Row],[cantidad arribada]],"")</f>
        <v/>
      </c>
      <c r="AV54" s="46">
        <f>IF(ISTEXT(R54),IF(Item2[[#This Row],[cantidad arribada]]=0,"No llega",Item2[[#This Row],[cantidad arribada]]),)</f>
        <v>0</v>
      </c>
      <c r="AW54" s="46"/>
      <c r="AX54" s="46">
        <f>SUMIF('Acuario (Arribado - mortalidad)'!$B$14:$B$90,ANEXO!B54,'Acuario (Arribado - mortalidad)'!$O$14:$O$90)</f>
        <v>0</v>
      </c>
      <c r="AY54" s="46">
        <f>SUMIF('Acuario (Arribado - mortalidad)'!$B$14:$B$90,ANEXO!B54,'Acuario (Arribado - mortalidad)'!$BG$14:$BG$90)</f>
        <v>0</v>
      </c>
      <c r="AZ54" s="46">
        <f>SUMIF('Acuario (Arribado - mortalidad)'!$B$14:$B$90,ANEXO!B54,'Acuario (Arribado - mortalidad)'!$BH$14:$BH$90)</f>
        <v>0</v>
      </c>
      <c r="BA54" s="46" t="str">
        <f>IFERROR(Item2[[#This Row],[Mortalidad dia 1]]/Item2[[#This Row],[cantidad arribada]],"")</f>
        <v/>
      </c>
      <c r="BB54" s="46" t="str">
        <f>IFERROR(Item2[[#This Row],[Mortalidad 2 a 8  (Sem 1)]]/Item2[[#This Row],[cantidad arribada]],"")</f>
        <v/>
      </c>
      <c r="BC54" s="46" t="str">
        <f>IFERROR(Item2[[#This Row],[Mortalidad 9 a 15 (Sem 2)]]/Item2[[#This Row],[cantidad arribada]],"")</f>
        <v/>
      </c>
      <c r="BD54" s="46"/>
      <c r="BE54" s="219">
        <f>SUMIF('Acuario (Arribado - mortalidad)'!$B$14:$B$90,ANEXO!B54,'Acuario (Arribado - mortalidad)'!$F$14:$F$90)</f>
        <v>0</v>
      </c>
      <c r="BF54" s="219">
        <f>SUMIF('Acuario (Arribado - mortalidad)'!$B$14:$B$90,ANEXO!B54,'Acuario (Arribado - mortalidad)'!$K$14:$K$90)</f>
        <v>0</v>
      </c>
      <c r="BG54" s="219">
        <f>SUMIF('Acuario (Arribado - mortalidad)'!$B$14:$B$90,ANEXO!B54,'Acuario (Arribado - mortalidad)'!$G$14:$G$90)</f>
        <v>0</v>
      </c>
      <c r="BH54" s="219">
        <f>SUMIF('Acuario (Arribado - mortalidad)'!$B$14:$B$90,ANEXO!B54,'Acuario (Arribado - mortalidad)'!$O$14:$O$90)</f>
        <v>0</v>
      </c>
      <c r="BI54" s="219">
        <f>SUMIF('Acuario (Arribado - mortalidad)'!$B$14:$B$90,ANEXO!B54,'Acuario (Arribado - mortalidad)'!$BG$14:$BG$90)</f>
        <v>0</v>
      </c>
      <c r="BJ54" s="219">
        <f>SUMIF('Acuario (Arribado - mortalidad)'!$B$14:$B$90,ANEXO!B54,'Acuario (Arribado - mortalidad)'!$BH$14:$BH$90)</f>
        <v>0</v>
      </c>
    </row>
    <row r="55" spans="1:62" x14ac:dyDescent="0.25">
      <c r="A55" s="42"/>
      <c r="B55" s="5">
        <v>87</v>
      </c>
      <c r="C55" s="422"/>
      <c r="D55" s="423"/>
      <c r="E55" s="423"/>
      <c r="F55" s="423"/>
      <c r="G55" s="423"/>
      <c r="H55" s="423"/>
      <c r="I55" s="424"/>
      <c r="J55" s="380"/>
      <c r="K55" s="380"/>
      <c r="L55" s="380"/>
      <c r="M55" s="380"/>
      <c r="N55" s="525" t="e">
        <f>INDEX(AMBIENTE!D$2:D$756,MATCH(R55,AMBIENTE!C$2:C$756,0))</f>
        <v>#N/A</v>
      </c>
      <c r="O55" s="525"/>
      <c r="P55" s="525"/>
      <c r="Q55" s="525"/>
      <c r="R55" s="428"/>
      <c r="S55" s="429"/>
      <c r="T55" s="429"/>
      <c r="U55" s="429"/>
      <c r="V55" s="429"/>
      <c r="W55" s="429"/>
      <c r="X55" s="430"/>
      <c r="Y55" s="374"/>
      <c r="Z55" s="375"/>
      <c r="AA55" s="375"/>
      <c r="AB55" s="375"/>
      <c r="AC55" s="376"/>
      <c r="AD55" s="357"/>
      <c r="AE55" s="358"/>
      <c r="AF55" s="359"/>
      <c r="AG55" s="372" t="str">
        <f>IFERROR(VLOOKUP(Item2[[#This Row],[Concatenado]],CITES[],2,FALSE),"")</f>
        <v/>
      </c>
      <c r="AH55" s="373"/>
      <c r="AI55" s="372" t="str">
        <f>IFERROR(VLOOKUP(Item2[[#This Row],[Concatenado]],SuscepEARs[],2,FALSE),"")</f>
        <v/>
      </c>
      <c r="AJ55" s="373"/>
      <c r="AK55" s="50"/>
      <c r="AL55" s="43"/>
      <c r="AM55" s="46">
        <v>87</v>
      </c>
      <c r="AN55" s="46" t="str">
        <f t="shared" si="3"/>
        <v xml:space="preserve"> </v>
      </c>
      <c r="AO55" s="46">
        <f t="shared" si="0"/>
        <v>0</v>
      </c>
      <c r="AP55" s="46">
        <f t="shared" si="1"/>
        <v>0</v>
      </c>
      <c r="AQ55" s="46" t="e">
        <f t="shared" si="2"/>
        <v>#N/A</v>
      </c>
      <c r="AR55" s="46">
        <f>SUMIF('Acuario (Arribado - mortalidad)'!$B$14:$B$90,ANEXO!B55,'Acuario (Arribado - mortalidad)'!$F$14:$F$90)</f>
        <v>0</v>
      </c>
      <c r="AS55" s="46" t="str">
        <f>IF(AR55&gt;0, IF(SUMIF('Acuario (Arribado - mortalidad)'!$B$14:$B$90,ANEXO!B55,'Acuario (Arribado - mortalidad)'!$K$14:$K$90)=0, "0", SUMIF('Acuario (Arribado - mortalidad)'!$B$14:$B$90,ANEXO!B55,'Acuario (Arribado - mortalidad)'!$K$14:$K$90)),"")</f>
        <v/>
      </c>
      <c r="AT55" s="46">
        <f>IF(AR55 = AS55,"0",SUMIF('Acuario (Arribado - mortalidad)'!$B$14:$B$90,ANEXO!B55,'Acuario (Arribado - mortalidad)'!$G$14:$G$90))</f>
        <v>0</v>
      </c>
      <c r="AU55" s="46" t="str">
        <f>IFERROR(Item2[[#This Row],[mortalidad acumulada]]/Item2[[#This Row],[cantidad arribada]],"")</f>
        <v/>
      </c>
      <c r="AV55" s="46">
        <f>IF(ISTEXT(R55),IF(Item2[[#This Row],[cantidad arribada]]=0,"No llega",Item2[[#This Row],[cantidad arribada]]),)</f>
        <v>0</v>
      </c>
      <c r="AW55" s="46"/>
      <c r="AX55" s="46">
        <f>SUMIF('Acuario (Arribado - mortalidad)'!$B$14:$B$90,ANEXO!B55,'Acuario (Arribado - mortalidad)'!$O$14:$O$90)</f>
        <v>0</v>
      </c>
      <c r="AY55" s="46">
        <f>SUMIF('Acuario (Arribado - mortalidad)'!$B$14:$B$90,ANEXO!B55,'Acuario (Arribado - mortalidad)'!$BG$14:$BG$90)</f>
        <v>0</v>
      </c>
      <c r="AZ55" s="46">
        <f>SUMIF('Acuario (Arribado - mortalidad)'!$B$14:$B$90,ANEXO!B55,'Acuario (Arribado - mortalidad)'!$BH$14:$BH$90)</f>
        <v>0</v>
      </c>
      <c r="BA55" s="46" t="str">
        <f>IFERROR(Item2[[#This Row],[Mortalidad dia 1]]/Item2[[#This Row],[cantidad arribada]],"")</f>
        <v/>
      </c>
      <c r="BB55" s="46" t="str">
        <f>IFERROR(Item2[[#This Row],[Mortalidad 2 a 8  (Sem 1)]]/Item2[[#This Row],[cantidad arribada]],"")</f>
        <v/>
      </c>
      <c r="BC55" s="46" t="str">
        <f>IFERROR(Item2[[#This Row],[Mortalidad 9 a 15 (Sem 2)]]/Item2[[#This Row],[cantidad arribada]],"")</f>
        <v/>
      </c>
      <c r="BD55" s="46"/>
      <c r="BE55" s="219">
        <f>SUMIF('Acuario (Arribado - mortalidad)'!$B$14:$B$90,ANEXO!B55,'Acuario (Arribado - mortalidad)'!$F$14:$F$90)</f>
        <v>0</v>
      </c>
      <c r="BF55" s="219">
        <f>SUMIF('Acuario (Arribado - mortalidad)'!$B$14:$B$90,ANEXO!B55,'Acuario (Arribado - mortalidad)'!$K$14:$K$90)</f>
        <v>0</v>
      </c>
      <c r="BG55" s="219">
        <f>SUMIF('Acuario (Arribado - mortalidad)'!$B$14:$B$90,ANEXO!B55,'Acuario (Arribado - mortalidad)'!$G$14:$G$90)</f>
        <v>0</v>
      </c>
      <c r="BH55" s="219">
        <f>SUMIF('Acuario (Arribado - mortalidad)'!$B$14:$B$90,ANEXO!B55,'Acuario (Arribado - mortalidad)'!$O$14:$O$90)</f>
        <v>0</v>
      </c>
      <c r="BI55" s="219">
        <f>SUMIF('Acuario (Arribado - mortalidad)'!$B$14:$B$90,ANEXO!B55,'Acuario (Arribado - mortalidad)'!$BG$14:$BG$90)</f>
        <v>0</v>
      </c>
      <c r="BJ55" s="219">
        <f>SUMIF('Acuario (Arribado - mortalidad)'!$B$14:$B$90,ANEXO!B55,'Acuario (Arribado - mortalidad)'!$BH$14:$BH$90)</f>
        <v>0</v>
      </c>
    </row>
    <row r="56" spans="1:62" x14ac:dyDescent="0.25">
      <c r="A56" s="42"/>
      <c r="B56" s="5">
        <v>88</v>
      </c>
      <c r="C56" s="422"/>
      <c r="D56" s="423"/>
      <c r="E56" s="423"/>
      <c r="F56" s="423"/>
      <c r="G56" s="423"/>
      <c r="H56" s="423"/>
      <c r="I56" s="424"/>
      <c r="J56" s="380"/>
      <c r="K56" s="380"/>
      <c r="L56" s="380"/>
      <c r="M56" s="380"/>
      <c r="N56" s="525" t="e">
        <f>INDEX(AMBIENTE!D$2:D$756,MATCH(R56,AMBIENTE!C$2:C$756,0))</f>
        <v>#N/A</v>
      </c>
      <c r="O56" s="525"/>
      <c r="P56" s="525"/>
      <c r="Q56" s="525"/>
      <c r="R56" s="428"/>
      <c r="S56" s="429"/>
      <c r="T56" s="429"/>
      <c r="U56" s="429"/>
      <c r="V56" s="429"/>
      <c r="W56" s="429"/>
      <c r="X56" s="430"/>
      <c r="Y56" s="374"/>
      <c r="Z56" s="375"/>
      <c r="AA56" s="375"/>
      <c r="AB56" s="375"/>
      <c r="AC56" s="376"/>
      <c r="AD56" s="357"/>
      <c r="AE56" s="358"/>
      <c r="AF56" s="359"/>
      <c r="AG56" s="372" t="str">
        <f>IFERROR(VLOOKUP(Item2[[#This Row],[Concatenado]],CITES[],2,FALSE),"")</f>
        <v/>
      </c>
      <c r="AH56" s="373"/>
      <c r="AI56" s="372" t="str">
        <f>IFERROR(VLOOKUP(Item2[[#This Row],[Concatenado]],SuscepEARs[],2,FALSE),"")</f>
        <v/>
      </c>
      <c r="AJ56" s="373"/>
      <c r="AK56" s="50"/>
      <c r="AL56" s="43"/>
      <c r="AM56" s="46">
        <v>88</v>
      </c>
      <c r="AN56" s="46" t="str">
        <f t="shared" si="3"/>
        <v xml:space="preserve"> </v>
      </c>
      <c r="AO56" s="46">
        <f t="shared" si="0"/>
        <v>0</v>
      </c>
      <c r="AP56" s="46">
        <f t="shared" si="1"/>
        <v>0</v>
      </c>
      <c r="AQ56" s="46" t="e">
        <f t="shared" si="2"/>
        <v>#N/A</v>
      </c>
      <c r="AR56" s="46">
        <f>SUMIF('Acuario (Arribado - mortalidad)'!$B$14:$B$90,ANEXO!B56,'Acuario (Arribado - mortalidad)'!$F$14:$F$90)</f>
        <v>0</v>
      </c>
      <c r="AS56" s="46" t="str">
        <f>IF(AR56&gt;0, IF(SUMIF('Acuario (Arribado - mortalidad)'!$B$14:$B$90,ANEXO!B56,'Acuario (Arribado - mortalidad)'!$K$14:$K$90)=0, "0", SUMIF('Acuario (Arribado - mortalidad)'!$B$14:$B$90,ANEXO!B56,'Acuario (Arribado - mortalidad)'!$K$14:$K$90)),"")</f>
        <v/>
      </c>
      <c r="AT56" s="46">
        <f>IF(AR56 = AS56,"0",SUMIF('Acuario (Arribado - mortalidad)'!$B$14:$B$90,ANEXO!B56,'Acuario (Arribado - mortalidad)'!$G$14:$G$90))</f>
        <v>0</v>
      </c>
      <c r="AU56" s="46" t="str">
        <f>IFERROR(Item2[[#This Row],[mortalidad acumulada]]/Item2[[#This Row],[cantidad arribada]],"")</f>
        <v/>
      </c>
      <c r="AV56" s="46">
        <f>IF(ISTEXT(R56),IF(Item2[[#This Row],[cantidad arribada]]=0,"No llega",Item2[[#This Row],[cantidad arribada]]),)</f>
        <v>0</v>
      </c>
      <c r="AW56" s="46"/>
      <c r="AX56" s="46">
        <f>SUMIF('Acuario (Arribado - mortalidad)'!$B$14:$B$90,ANEXO!B56,'Acuario (Arribado - mortalidad)'!$O$14:$O$90)</f>
        <v>0</v>
      </c>
      <c r="AY56" s="46">
        <f>SUMIF('Acuario (Arribado - mortalidad)'!$B$14:$B$90,ANEXO!B56,'Acuario (Arribado - mortalidad)'!$BG$14:$BG$90)</f>
        <v>0</v>
      </c>
      <c r="AZ56" s="46">
        <f>SUMIF('Acuario (Arribado - mortalidad)'!$B$14:$B$90,ANEXO!B56,'Acuario (Arribado - mortalidad)'!$BH$14:$BH$90)</f>
        <v>0</v>
      </c>
      <c r="BA56" s="46" t="str">
        <f>IFERROR(Item2[[#This Row],[Mortalidad dia 1]]/Item2[[#This Row],[cantidad arribada]],"")</f>
        <v/>
      </c>
      <c r="BB56" s="46" t="str">
        <f>IFERROR(Item2[[#This Row],[Mortalidad 2 a 8  (Sem 1)]]/Item2[[#This Row],[cantidad arribada]],"")</f>
        <v/>
      </c>
      <c r="BC56" s="46" t="str">
        <f>IFERROR(Item2[[#This Row],[Mortalidad 9 a 15 (Sem 2)]]/Item2[[#This Row],[cantidad arribada]],"")</f>
        <v/>
      </c>
      <c r="BD56" s="46"/>
      <c r="BE56" s="219">
        <f>SUMIF('Acuario (Arribado - mortalidad)'!$B$14:$B$90,ANEXO!B56,'Acuario (Arribado - mortalidad)'!$F$14:$F$90)</f>
        <v>0</v>
      </c>
      <c r="BF56" s="219">
        <f>SUMIF('Acuario (Arribado - mortalidad)'!$B$14:$B$90,ANEXO!B56,'Acuario (Arribado - mortalidad)'!$K$14:$K$90)</f>
        <v>0</v>
      </c>
      <c r="BG56" s="219">
        <f>SUMIF('Acuario (Arribado - mortalidad)'!$B$14:$B$90,ANEXO!B56,'Acuario (Arribado - mortalidad)'!$G$14:$G$90)</f>
        <v>0</v>
      </c>
      <c r="BH56" s="219">
        <f>SUMIF('Acuario (Arribado - mortalidad)'!$B$14:$B$90,ANEXO!B56,'Acuario (Arribado - mortalidad)'!$O$14:$O$90)</f>
        <v>0</v>
      </c>
      <c r="BI56" s="219">
        <f>SUMIF('Acuario (Arribado - mortalidad)'!$B$14:$B$90,ANEXO!B56,'Acuario (Arribado - mortalidad)'!$BG$14:$BG$90)</f>
        <v>0</v>
      </c>
      <c r="BJ56" s="219">
        <f>SUMIF('Acuario (Arribado - mortalidad)'!$B$14:$B$90,ANEXO!B56,'Acuario (Arribado - mortalidad)'!$BH$14:$BH$90)</f>
        <v>0</v>
      </c>
    </row>
    <row r="57" spans="1:62" x14ac:dyDescent="0.25">
      <c r="A57" s="42"/>
      <c r="B57" s="5">
        <v>89</v>
      </c>
      <c r="C57" s="422"/>
      <c r="D57" s="423"/>
      <c r="E57" s="423"/>
      <c r="F57" s="423"/>
      <c r="G57" s="423"/>
      <c r="H57" s="423"/>
      <c r="I57" s="424"/>
      <c r="J57" s="380"/>
      <c r="K57" s="380"/>
      <c r="L57" s="380"/>
      <c r="M57" s="380"/>
      <c r="N57" s="525" t="e">
        <f>INDEX(AMBIENTE!D$2:D$756,MATCH(R57,AMBIENTE!C$2:C$756,0))</f>
        <v>#N/A</v>
      </c>
      <c r="O57" s="525"/>
      <c r="P57" s="525"/>
      <c r="Q57" s="525"/>
      <c r="R57" s="428"/>
      <c r="S57" s="429"/>
      <c r="T57" s="429"/>
      <c r="U57" s="429"/>
      <c r="V57" s="429"/>
      <c r="W57" s="429"/>
      <c r="X57" s="430"/>
      <c r="Y57" s="374"/>
      <c r="Z57" s="375"/>
      <c r="AA57" s="375"/>
      <c r="AB57" s="375"/>
      <c r="AC57" s="376"/>
      <c r="AD57" s="357"/>
      <c r="AE57" s="358"/>
      <c r="AF57" s="359"/>
      <c r="AG57" s="372" t="str">
        <f>IFERROR(VLOOKUP(Item2[[#This Row],[Concatenado]],CITES[],2,FALSE),"")</f>
        <v/>
      </c>
      <c r="AH57" s="373"/>
      <c r="AI57" s="372" t="str">
        <f>IFERROR(VLOOKUP(Item2[[#This Row],[Concatenado]],SuscepEARs[],2,FALSE),"")</f>
        <v/>
      </c>
      <c r="AJ57" s="373"/>
      <c r="AK57" s="50"/>
      <c r="AL57" s="43"/>
      <c r="AM57" s="46">
        <v>89</v>
      </c>
      <c r="AN57" s="46" t="str">
        <f t="shared" si="3"/>
        <v xml:space="preserve"> </v>
      </c>
      <c r="AO57" s="46">
        <f t="shared" si="0"/>
        <v>0</v>
      </c>
      <c r="AP57" s="46">
        <f t="shared" si="1"/>
        <v>0</v>
      </c>
      <c r="AQ57" s="46" t="e">
        <f t="shared" si="2"/>
        <v>#N/A</v>
      </c>
      <c r="AR57" s="46">
        <f>SUMIF('Acuario (Arribado - mortalidad)'!$B$14:$B$90,ANEXO!B57,'Acuario (Arribado - mortalidad)'!$F$14:$F$90)</f>
        <v>0</v>
      </c>
      <c r="AS57" s="46" t="str">
        <f>IF(AR57&gt;0, IF(SUMIF('Acuario (Arribado - mortalidad)'!$B$14:$B$90,ANEXO!B57,'Acuario (Arribado - mortalidad)'!$K$14:$K$90)=0, "0", SUMIF('Acuario (Arribado - mortalidad)'!$B$14:$B$90,ANEXO!B57,'Acuario (Arribado - mortalidad)'!$K$14:$K$90)),"")</f>
        <v/>
      </c>
      <c r="AT57" s="46">
        <f>IF(AR57 = AS57,"0",SUMIF('Acuario (Arribado - mortalidad)'!$B$14:$B$90,ANEXO!B57,'Acuario (Arribado - mortalidad)'!$G$14:$G$90))</f>
        <v>0</v>
      </c>
      <c r="AU57" s="46" t="str">
        <f>IFERROR(Item2[[#This Row],[mortalidad acumulada]]/Item2[[#This Row],[cantidad arribada]],"")</f>
        <v/>
      </c>
      <c r="AV57" s="46">
        <f>IF(ISTEXT(R57),IF(Item2[[#This Row],[cantidad arribada]]=0,"No llega",Item2[[#This Row],[cantidad arribada]]),)</f>
        <v>0</v>
      </c>
      <c r="AW57" s="46"/>
      <c r="AX57" s="46">
        <f>SUMIF('Acuario (Arribado - mortalidad)'!$B$14:$B$90,ANEXO!B57,'Acuario (Arribado - mortalidad)'!$O$14:$O$90)</f>
        <v>0</v>
      </c>
      <c r="AY57" s="46">
        <f>SUMIF('Acuario (Arribado - mortalidad)'!$B$14:$B$90,ANEXO!B57,'Acuario (Arribado - mortalidad)'!$BG$14:$BG$90)</f>
        <v>0</v>
      </c>
      <c r="AZ57" s="46">
        <f>SUMIF('Acuario (Arribado - mortalidad)'!$B$14:$B$90,ANEXO!B57,'Acuario (Arribado - mortalidad)'!$BH$14:$BH$90)</f>
        <v>0</v>
      </c>
      <c r="BA57" s="46" t="str">
        <f>IFERROR(Item2[[#This Row],[Mortalidad dia 1]]/Item2[[#This Row],[cantidad arribada]],"")</f>
        <v/>
      </c>
      <c r="BB57" s="46" t="str">
        <f>IFERROR(Item2[[#This Row],[Mortalidad 2 a 8  (Sem 1)]]/Item2[[#This Row],[cantidad arribada]],"")</f>
        <v/>
      </c>
      <c r="BC57" s="46" t="str">
        <f>IFERROR(Item2[[#This Row],[Mortalidad 9 a 15 (Sem 2)]]/Item2[[#This Row],[cantidad arribada]],"")</f>
        <v/>
      </c>
      <c r="BD57" s="46"/>
      <c r="BE57" s="219">
        <f>SUMIF('Acuario (Arribado - mortalidad)'!$B$14:$B$90,ANEXO!B57,'Acuario (Arribado - mortalidad)'!$F$14:$F$90)</f>
        <v>0</v>
      </c>
      <c r="BF57" s="219">
        <f>SUMIF('Acuario (Arribado - mortalidad)'!$B$14:$B$90,ANEXO!B57,'Acuario (Arribado - mortalidad)'!$K$14:$K$90)</f>
        <v>0</v>
      </c>
      <c r="BG57" s="219">
        <f>SUMIF('Acuario (Arribado - mortalidad)'!$B$14:$B$90,ANEXO!B57,'Acuario (Arribado - mortalidad)'!$G$14:$G$90)</f>
        <v>0</v>
      </c>
      <c r="BH57" s="219">
        <f>SUMIF('Acuario (Arribado - mortalidad)'!$B$14:$B$90,ANEXO!B57,'Acuario (Arribado - mortalidad)'!$O$14:$O$90)</f>
        <v>0</v>
      </c>
      <c r="BI57" s="219">
        <f>SUMIF('Acuario (Arribado - mortalidad)'!$B$14:$B$90,ANEXO!B57,'Acuario (Arribado - mortalidad)'!$BG$14:$BG$90)</f>
        <v>0</v>
      </c>
      <c r="BJ57" s="219">
        <f>SUMIF('Acuario (Arribado - mortalidad)'!$B$14:$B$90,ANEXO!B57,'Acuario (Arribado - mortalidad)'!$BH$14:$BH$90)</f>
        <v>0</v>
      </c>
    </row>
    <row r="58" spans="1:62" ht="15.75" thickBot="1" x14ac:dyDescent="0.3">
      <c r="A58" s="42"/>
      <c r="B58" s="16">
        <v>90</v>
      </c>
      <c r="C58" s="475"/>
      <c r="D58" s="476"/>
      <c r="E58" s="476"/>
      <c r="F58" s="476"/>
      <c r="G58" s="476"/>
      <c r="H58" s="476"/>
      <c r="I58" s="477"/>
      <c r="J58" s="478"/>
      <c r="K58" s="478"/>
      <c r="L58" s="478"/>
      <c r="M58" s="478"/>
      <c r="N58" s="524" t="e">
        <f>INDEX(AMBIENTE!D$2:D$756,MATCH(R58,AMBIENTE!C$2:C$756,0))</f>
        <v>#N/A</v>
      </c>
      <c r="O58" s="524"/>
      <c r="P58" s="524"/>
      <c r="Q58" s="524"/>
      <c r="R58" s="482"/>
      <c r="S58" s="483"/>
      <c r="T58" s="483"/>
      <c r="U58" s="483"/>
      <c r="V58" s="483"/>
      <c r="W58" s="483"/>
      <c r="X58" s="484"/>
      <c r="Y58" s="485"/>
      <c r="Z58" s="486"/>
      <c r="AA58" s="486"/>
      <c r="AB58" s="486"/>
      <c r="AC58" s="487"/>
      <c r="AD58" s="360"/>
      <c r="AE58" s="361"/>
      <c r="AF58" s="362"/>
      <c r="AG58" s="372" t="str">
        <f>IFERROR(VLOOKUP(Item2[[#This Row],[Concatenado]],CITES[],2,FALSE),"")</f>
        <v/>
      </c>
      <c r="AH58" s="373"/>
      <c r="AI58" s="372" t="str">
        <f>IFERROR(VLOOKUP(Item2[[#This Row],[Concatenado]],SuscepEARs[],2,FALSE),"")</f>
        <v/>
      </c>
      <c r="AJ58" s="373"/>
      <c r="AK58" s="50"/>
      <c r="AL58" s="43"/>
      <c r="AM58" s="46">
        <v>90</v>
      </c>
      <c r="AN58" s="46" t="str">
        <f t="shared" si="3"/>
        <v xml:space="preserve"> </v>
      </c>
      <c r="AO58" s="46">
        <f t="shared" si="0"/>
        <v>0</v>
      </c>
      <c r="AP58" s="46">
        <f t="shared" si="1"/>
        <v>0</v>
      </c>
      <c r="AQ58" s="46" t="e">
        <f t="shared" si="2"/>
        <v>#N/A</v>
      </c>
      <c r="AR58" s="46">
        <f>SUMIF('Acuario (Arribado - mortalidad)'!$B$14:$B$90,ANEXO!B58,'Acuario (Arribado - mortalidad)'!$F$14:$F$90)</f>
        <v>0</v>
      </c>
      <c r="AS58" s="46" t="str">
        <f>IF(AR58&gt;0, IF(SUMIF('Acuario (Arribado - mortalidad)'!$B$14:$B$90,ANEXO!B58,'Acuario (Arribado - mortalidad)'!$K$14:$K$90)=0, "0", SUMIF('Acuario (Arribado - mortalidad)'!$B$14:$B$90,ANEXO!B58,'Acuario (Arribado - mortalidad)'!$K$14:$K$90)),"")</f>
        <v/>
      </c>
      <c r="AT58" s="46">
        <f>IF(AR58 = AS58,"0",SUMIF('Acuario (Arribado - mortalidad)'!$B$14:$B$90,ANEXO!B58,'Acuario (Arribado - mortalidad)'!$G$14:$G$90))</f>
        <v>0</v>
      </c>
      <c r="AU58" s="46" t="str">
        <f>IFERROR(Item2[[#This Row],[mortalidad acumulada]]/Item2[[#This Row],[cantidad arribada]],"")</f>
        <v/>
      </c>
      <c r="AV58" s="46">
        <f>IF(ISTEXT(R58),IF(Item2[[#This Row],[cantidad arribada]]=0,"No llega",Item2[[#This Row],[cantidad arribada]]),)</f>
        <v>0</v>
      </c>
      <c r="AW58" s="46"/>
      <c r="AX58" s="46">
        <f>SUMIF('Acuario (Arribado - mortalidad)'!$B$14:$B$90,ANEXO!B58,'Acuario (Arribado - mortalidad)'!$O$14:$O$90)</f>
        <v>0</v>
      </c>
      <c r="AY58" s="46">
        <f>SUMIF('Acuario (Arribado - mortalidad)'!$B$14:$B$90,ANEXO!B58,'Acuario (Arribado - mortalidad)'!$BG$14:$BG$90)</f>
        <v>0</v>
      </c>
      <c r="AZ58" s="46">
        <f>SUMIF('Acuario (Arribado - mortalidad)'!$B$14:$B$90,ANEXO!B58,'Acuario (Arribado - mortalidad)'!$BH$14:$BH$90)</f>
        <v>0</v>
      </c>
      <c r="BA58" s="46" t="str">
        <f>IFERROR(Item2[[#This Row],[Mortalidad dia 1]]/Item2[[#This Row],[cantidad arribada]],"")</f>
        <v/>
      </c>
      <c r="BB58" s="46" t="str">
        <f>IFERROR(Item2[[#This Row],[Mortalidad 2 a 8  (Sem 1)]]/Item2[[#This Row],[cantidad arribada]],"")</f>
        <v/>
      </c>
      <c r="BC58" s="46" t="str">
        <f>IFERROR(Item2[[#This Row],[Mortalidad 9 a 15 (Sem 2)]]/Item2[[#This Row],[cantidad arribada]],"")</f>
        <v/>
      </c>
      <c r="BD58" s="46"/>
      <c r="BE58" s="219">
        <f>SUMIF('Acuario (Arribado - mortalidad)'!$B$14:$B$90,ANEXO!B58,'Acuario (Arribado - mortalidad)'!$F$14:$F$90)</f>
        <v>0</v>
      </c>
      <c r="BF58" s="219">
        <f>SUMIF('Acuario (Arribado - mortalidad)'!$B$14:$B$90,ANEXO!B58,'Acuario (Arribado - mortalidad)'!$K$14:$K$90)</f>
        <v>0</v>
      </c>
      <c r="BG58" s="219">
        <f>SUMIF('Acuario (Arribado - mortalidad)'!$B$14:$B$90,ANEXO!B58,'Acuario (Arribado - mortalidad)'!$G$14:$G$90)</f>
        <v>0</v>
      </c>
      <c r="BH58" s="219">
        <f>SUMIF('Acuario (Arribado - mortalidad)'!$B$14:$B$90,ANEXO!B58,'Acuario (Arribado - mortalidad)'!$O$14:$O$90)</f>
        <v>0</v>
      </c>
      <c r="BI58" s="219">
        <f>SUMIF('Acuario (Arribado - mortalidad)'!$B$14:$B$90,ANEXO!B58,'Acuario (Arribado - mortalidad)'!$BG$14:$BG$90)</f>
        <v>0</v>
      </c>
      <c r="BJ58" s="219">
        <f>SUMIF('Acuario (Arribado - mortalidad)'!$B$14:$B$90,ANEXO!B58,'Acuario (Arribado - mortalidad)'!$BH$14:$BH$90)</f>
        <v>0</v>
      </c>
    </row>
    <row r="59" spans="1:62" ht="15.75" thickTop="1" x14ac:dyDescent="0.25">
      <c r="A59" s="51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363">
        <f>SUM(AD14:AF58)</f>
        <v>0</v>
      </c>
      <c r="AE59" s="363"/>
      <c r="AF59" s="363"/>
      <c r="AG59" s="419">
        <f>COUNTBLANK(AG14:AH58)</f>
        <v>90</v>
      </c>
      <c r="AH59" s="419"/>
      <c r="AI59" s="419">
        <f>COUNTBLANK(AI14:AJ58)</f>
        <v>90</v>
      </c>
      <c r="AJ59" s="419"/>
      <c r="AK59" s="52"/>
      <c r="AL59" s="52"/>
      <c r="AM59" s="46"/>
      <c r="AR59">
        <f>SUBTOTAL(109,Item2[cantidad arribada])</f>
        <v>0</v>
      </c>
      <c r="AS59">
        <f>SUBTOTAL(109,Item2[mortalidad acumulada])</f>
        <v>0</v>
      </c>
      <c r="AT59">
        <f>SUBTOTAL(109,Item2[saldo])</f>
        <v>0</v>
      </c>
      <c r="AU59" t="e">
        <f>SUBTOTAL(101,Item2[porcentaje mortalidad])</f>
        <v>#DIV/0!</v>
      </c>
      <c r="AV59">
        <f>SUBTOTAL(109,Item2[Arribada resumen])</f>
        <v>0</v>
      </c>
      <c r="AX59">
        <f>SUBTOTAL(109,Item2[Mortalidad dia 1])</f>
        <v>0</v>
      </c>
      <c r="AY59">
        <f>SUBTOTAL(109,Item2[Mortalidad 2 a 8  (Sem 1)])</f>
        <v>0</v>
      </c>
      <c r="AZ59">
        <f>SUBTOTAL(109,Item2[Mortalidad 9 a 15 (Sem 2)])</f>
        <v>0</v>
      </c>
      <c r="BA59" t="e">
        <f>SUBTOTAL(101,Item2[% mort dia 1])</f>
        <v>#DIV/0!</v>
      </c>
      <c r="BB59" t="e">
        <f>SUBTOTAL(101,Item2[% mort sem 1])</f>
        <v>#DIV/0!</v>
      </c>
      <c r="BC59" t="e">
        <f>SUBTOTAL(101,Item2[% mort sem 2])</f>
        <v>#DIV/0!</v>
      </c>
    </row>
    <row r="60" spans="1:62" ht="15" customHeight="1" thickBot="1" x14ac:dyDescent="0.3">
      <c r="A60" s="53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52"/>
      <c r="T60" s="512" t="s">
        <v>7836</v>
      </c>
      <c r="U60" s="512"/>
      <c r="V60" s="512"/>
      <c r="W60" s="512"/>
      <c r="X60" s="512"/>
      <c r="Y60" s="512"/>
      <c r="Z60" s="512"/>
      <c r="AA60" s="512"/>
      <c r="AB60" s="512"/>
      <c r="AC60" s="512"/>
      <c r="AD60" s="512"/>
      <c r="AE60" s="512"/>
      <c r="AF60" s="512"/>
      <c r="AG60" s="512"/>
      <c r="AH60" s="512"/>
      <c r="AI60" s="512"/>
      <c r="AJ60" s="512"/>
      <c r="AK60" s="52"/>
      <c r="AL60" s="52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ht="15" customHeight="1" thickTop="1" thickBot="1" x14ac:dyDescent="0.3">
      <c r="A61" s="53"/>
      <c r="B61" s="502" t="s">
        <v>16</v>
      </c>
      <c r="C61" s="502"/>
      <c r="D61" s="502"/>
      <c r="E61" s="502"/>
      <c r="F61" s="502"/>
      <c r="G61" s="502"/>
      <c r="H61" s="502"/>
      <c r="I61" s="502"/>
      <c r="J61" s="502"/>
      <c r="K61" s="502"/>
      <c r="L61" s="502"/>
      <c r="M61" s="502"/>
      <c r="N61" s="502"/>
      <c r="O61" s="502"/>
      <c r="P61" s="502"/>
      <c r="Q61" s="502"/>
      <c r="R61" s="502"/>
      <c r="S61" s="52"/>
      <c r="T61" s="513"/>
      <c r="U61" s="513"/>
      <c r="V61" s="513"/>
      <c r="W61" s="513"/>
      <c r="X61" s="513"/>
      <c r="Y61" s="513"/>
      <c r="Z61" s="513"/>
      <c r="AA61" s="513"/>
      <c r="AB61" s="513"/>
      <c r="AC61" s="513"/>
      <c r="AD61" s="513"/>
      <c r="AE61" s="513"/>
      <c r="AF61" s="513"/>
      <c r="AG61" s="513"/>
      <c r="AH61" s="513"/>
      <c r="AI61" s="513"/>
      <c r="AJ61" s="513"/>
      <c r="AK61" s="52"/>
      <c r="AL61" s="52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ht="15.75" thickTop="1" x14ac:dyDescent="0.25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66"/>
      <c r="T62" s="514" t="s">
        <v>7835</v>
      </c>
      <c r="U62" s="508"/>
      <c r="V62" s="508"/>
      <c r="W62" s="515"/>
      <c r="X62" s="507" t="s">
        <v>7808</v>
      </c>
      <c r="Y62" s="508"/>
      <c r="Z62" s="509"/>
      <c r="AA62" s="70" t="s">
        <v>14</v>
      </c>
      <c r="AB62" s="514" t="s">
        <v>7835</v>
      </c>
      <c r="AC62" s="508"/>
      <c r="AD62" s="508"/>
      <c r="AE62" s="515"/>
      <c r="AF62" s="507" t="s">
        <v>7808</v>
      </c>
      <c r="AG62" s="508"/>
      <c r="AH62" s="508"/>
      <c r="AI62" s="509"/>
      <c r="AJ62" s="70" t="s">
        <v>14</v>
      </c>
      <c r="AK62" s="52"/>
      <c r="AL62" s="52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25">
      <c r="A63" s="53"/>
      <c r="B63" s="54"/>
      <c r="C63" s="54"/>
      <c r="D63" s="54"/>
      <c r="E63" s="54"/>
      <c r="F63" s="54"/>
      <c r="G63" s="54"/>
      <c r="H63" s="54"/>
      <c r="I63" s="54"/>
      <c r="J63" s="53"/>
      <c r="K63" s="53"/>
      <c r="L63" s="53"/>
      <c r="M63" s="53"/>
      <c r="N63" s="53"/>
      <c r="O63" s="53"/>
      <c r="P63" s="53"/>
      <c r="Q63" s="53"/>
      <c r="R63" s="53"/>
      <c r="S63" s="67"/>
      <c r="T63" s="516"/>
      <c r="U63" s="517"/>
      <c r="V63" s="517"/>
      <c r="W63" s="518"/>
      <c r="X63" s="519"/>
      <c r="Y63" s="517"/>
      <c r="Z63" s="520"/>
      <c r="AA63" s="68"/>
      <c r="AB63" s="516"/>
      <c r="AC63" s="517"/>
      <c r="AD63" s="517"/>
      <c r="AE63" s="518"/>
      <c r="AF63" s="519"/>
      <c r="AG63" s="517"/>
      <c r="AH63" s="517"/>
      <c r="AI63" s="520"/>
      <c r="AJ63" s="68"/>
      <c r="AK63" s="52"/>
      <c r="AL63" s="52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ht="14.45" customHeight="1" x14ac:dyDescent="0.25">
      <c r="A64" s="50"/>
      <c r="B64" s="438"/>
      <c r="C64" s="438"/>
      <c r="D64" s="438"/>
      <c r="E64" s="438"/>
      <c r="F64" s="438"/>
      <c r="G64" s="438"/>
      <c r="H64" s="438"/>
      <c r="I64" s="438"/>
      <c r="J64" s="438"/>
      <c r="K64" s="438"/>
      <c r="L64" s="438"/>
      <c r="M64" s="438"/>
      <c r="N64" s="438"/>
      <c r="O64" s="438"/>
      <c r="P64" s="438"/>
      <c r="Q64" s="438"/>
      <c r="R64" s="438"/>
      <c r="S64" s="52"/>
      <c r="T64" s="521"/>
      <c r="U64" s="522"/>
      <c r="V64" s="522"/>
      <c r="W64" s="523"/>
      <c r="X64" s="519"/>
      <c r="Y64" s="517"/>
      <c r="Z64" s="520"/>
      <c r="AA64" s="68"/>
      <c r="AB64" s="516"/>
      <c r="AC64" s="517"/>
      <c r="AD64" s="517"/>
      <c r="AE64" s="518"/>
      <c r="AF64" s="519"/>
      <c r="AG64" s="517"/>
      <c r="AH64" s="517"/>
      <c r="AI64" s="520"/>
      <c r="AJ64" s="68"/>
      <c r="AK64" s="50"/>
      <c r="AL64" s="50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38" x14ac:dyDescent="0.25">
      <c r="A65" s="50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0"/>
      <c r="T65" s="516"/>
      <c r="U65" s="517"/>
      <c r="V65" s="517"/>
      <c r="W65" s="518"/>
      <c r="X65" s="519"/>
      <c r="Y65" s="517"/>
      <c r="Z65" s="520"/>
      <c r="AA65" s="68"/>
      <c r="AB65" s="516"/>
      <c r="AC65" s="517"/>
      <c r="AD65" s="517"/>
      <c r="AE65" s="518"/>
      <c r="AF65" s="519"/>
      <c r="AG65" s="517"/>
      <c r="AH65" s="517"/>
      <c r="AI65" s="520"/>
      <c r="AJ65" s="68"/>
      <c r="AK65" s="50"/>
      <c r="AL65" s="50"/>
    </row>
    <row r="66" spans="1:38" ht="15.75" thickBot="1" x14ac:dyDescent="0.3">
      <c r="A66" s="50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0"/>
      <c r="T66" s="544"/>
      <c r="U66" s="545"/>
      <c r="V66" s="545"/>
      <c r="W66" s="546"/>
      <c r="X66" s="547"/>
      <c r="Y66" s="545"/>
      <c r="Z66" s="548"/>
      <c r="AA66" s="69"/>
      <c r="AB66" s="544"/>
      <c r="AC66" s="545"/>
      <c r="AD66" s="545"/>
      <c r="AE66" s="546"/>
      <c r="AF66" s="547"/>
      <c r="AG66" s="545"/>
      <c r="AH66" s="545"/>
      <c r="AI66" s="548"/>
      <c r="AJ66" s="69"/>
      <c r="AK66" s="50"/>
      <c r="AL66" s="50"/>
    </row>
    <row r="67" spans="1:38" ht="15.75" thickTop="1" x14ac:dyDescent="0.25">
      <c r="A67" s="50"/>
      <c r="B67" s="54"/>
      <c r="C67" s="54"/>
      <c r="D67" s="54"/>
      <c r="E67" s="54"/>
      <c r="F67" s="54"/>
      <c r="G67" s="54"/>
      <c r="H67" s="54"/>
      <c r="I67" s="54"/>
      <c r="J67" s="53"/>
      <c r="K67" s="53"/>
      <c r="L67" s="53"/>
      <c r="M67" s="53"/>
      <c r="N67" s="53"/>
      <c r="O67" s="53"/>
      <c r="P67" s="53"/>
      <c r="Q67" s="53"/>
      <c r="R67" s="53"/>
      <c r="S67" s="50"/>
      <c r="T67" s="50"/>
      <c r="U67" s="541" t="s">
        <v>17</v>
      </c>
      <c r="V67" s="541"/>
      <c r="W67" s="541"/>
      <c r="X67" s="541"/>
      <c r="Y67" s="541"/>
      <c r="Z67" s="541"/>
      <c r="AA67" s="541"/>
      <c r="AB67" s="541"/>
      <c r="AC67" s="541"/>
      <c r="AD67" s="541"/>
      <c r="AE67" s="541"/>
      <c r="AF67" s="541"/>
      <c r="AG67" s="541"/>
      <c r="AH67" s="541"/>
      <c r="AI67" s="541"/>
      <c r="AJ67" s="541"/>
      <c r="AK67" s="50"/>
      <c r="AL67" s="50"/>
    </row>
    <row r="68" spans="1:38" ht="14.45" customHeight="1" x14ac:dyDescent="0.25">
      <c r="A68" s="50"/>
      <c r="B68" s="446"/>
      <c r="C68" s="446"/>
      <c r="D68" s="446"/>
      <c r="E68" s="446"/>
      <c r="F68" s="446"/>
      <c r="G68" s="446"/>
      <c r="H68" s="446"/>
      <c r="I68" s="446"/>
      <c r="J68" s="446"/>
      <c r="K68" s="55"/>
      <c r="L68" s="52"/>
      <c r="M68" s="52"/>
      <c r="N68" s="52"/>
      <c r="O68" s="52"/>
      <c r="P68" s="446"/>
      <c r="Q68" s="446"/>
      <c r="R68" s="446"/>
      <c r="S68" s="50"/>
      <c r="T68" s="50"/>
      <c r="U68" s="440" t="s">
        <v>18</v>
      </c>
      <c r="V68" s="542"/>
      <c r="W68" s="542"/>
      <c r="X68" s="442">
        <f>I6+14</f>
        <v>14</v>
      </c>
      <c r="Y68" s="442"/>
      <c r="Z68" s="442"/>
      <c r="AA68" s="442"/>
      <c r="AB68" s="442"/>
      <c r="AC68" s="443" t="s">
        <v>21</v>
      </c>
      <c r="AD68" s="443"/>
      <c r="AE68" s="443"/>
      <c r="AF68" s="443"/>
      <c r="AG68" s="443"/>
      <c r="AH68" s="443"/>
      <c r="AI68" s="443"/>
      <c r="AJ68" s="543"/>
      <c r="AK68" s="50"/>
    </row>
    <row r="69" spans="1:38" ht="15" customHeight="1" x14ac:dyDescent="0.25">
      <c r="A69" s="50"/>
      <c r="B69" s="447"/>
      <c r="C69" s="447"/>
      <c r="D69" s="447"/>
      <c r="E69" s="447"/>
      <c r="F69" s="447"/>
      <c r="G69" s="447"/>
      <c r="H69" s="447"/>
      <c r="I69" s="447"/>
      <c r="J69" s="447"/>
      <c r="K69" s="53"/>
      <c r="L69" s="447"/>
      <c r="M69" s="447"/>
      <c r="N69" s="447"/>
      <c r="O69" s="447"/>
      <c r="P69" s="447"/>
      <c r="Q69" s="447"/>
      <c r="R69" s="447"/>
      <c r="S69" s="50"/>
      <c r="T69" s="50"/>
      <c r="U69" s="432" t="str">
        <f>'ORDEN DE CUARENTENA'!U69:AJ71</f>
        <v xml:space="preserve"> de  levantamiento  de  cuarentena,   adjuntando  el  archivo  Excel  con  la   información registrada en las hojas "Acuario (Arribado-mortalidad)" y "Tratamientos-Eventos", mas fotografias de mortalidad por especie.  Luego de esto Sernapesca  programará visita de levantamiento a  partir del día hábil siguiente.</v>
      </c>
      <c r="V69" s="433"/>
      <c r="W69" s="433"/>
      <c r="X69" s="433"/>
      <c r="Y69" s="433"/>
      <c r="Z69" s="433"/>
      <c r="AA69" s="433"/>
      <c r="AB69" s="433"/>
      <c r="AC69" s="433"/>
      <c r="AD69" s="433"/>
      <c r="AE69" s="433"/>
      <c r="AF69" s="433"/>
      <c r="AG69" s="433"/>
      <c r="AH69" s="433"/>
      <c r="AI69" s="433"/>
      <c r="AJ69" s="434"/>
      <c r="AK69" s="50"/>
    </row>
    <row r="70" spans="1:38" x14ac:dyDescent="0.25">
      <c r="A70" s="50"/>
      <c r="B70" s="431" t="s">
        <v>19</v>
      </c>
      <c r="C70" s="431"/>
      <c r="D70" s="431"/>
      <c r="E70" s="431"/>
      <c r="F70" s="431"/>
      <c r="G70" s="431"/>
      <c r="H70" s="431"/>
      <c r="I70" s="431"/>
      <c r="J70" s="431"/>
      <c r="K70" s="53"/>
      <c r="L70" s="431" t="s">
        <v>20</v>
      </c>
      <c r="M70" s="431"/>
      <c r="N70" s="431"/>
      <c r="O70" s="431"/>
      <c r="P70" s="431"/>
      <c r="Q70" s="431"/>
      <c r="R70" s="431"/>
      <c r="S70" s="431"/>
      <c r="T70" s="50"/>
      <c r="U70" s="432"/>
      <c r="V70" s="433"/>
      <c r="W70" s="433"/>
      <c r="X70" s="433"/>
      <c r="Y70" s="433"/>
      <c r="Z70" s="433"/>
      <c r="AA70" s="433"/>
      <c r="AB70" s="433"/>
      <c r="AC70" s="433"/>
      <c r="AD70" s="433"/>
      <c r="AE70" s="433"/>
      <c r="AF70" s="433"/>
      <c r="AG70" s="433"/>
      <c r="AH70" s="433"/>
      <c r="AI70" s="433"/>
      <c r="AJ70" s="434"/>
      <c r="AK70" s="50"/>
    </row>
    <row r="71" spans="1:38" x14ac:dyDescent="0.25">
      <c r="A71" s="50"/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435"/>
      <c r="V71" s="436"/>
      <c r="W71" s="436"/>
      <c r="X71" s="436"/>
      <c r="Y71" s="436"/>
      <c r="Z71" s="436"/>
      <c r="AA71" s="436"/>
      <c r="AB71" s="436"/>
      <c r="AC71" s="436"/>
      <c r="AD71" s="436"/>
      <c r="AE71" s="436"/>
      <c r="AF71" s="436"/>
      <c r="AG71" s="436"/>
      <c r="AH71" s="436"/>
      <c r="AI71" s="436"/>
      <c r="AJ71" s="437"/>
      <c r="AK71" s="50"/>
    </row>
    <row r="72" spans="1:38" x14ac:dyDescent="0.25">
      <c r="A72" s="50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</sheetData>
  <sheetProtection password="CCA7" sheet="1" objects="1" scenarios="1"/>
  <mergeCells count="429">
    <mergeCell ref="T65:W65"/>
    <mergeCell ref="X65:Z65"/>
    <mergeCell ref="AB65:AE65"/>
    <mergeCell ref="AF65:AI65"/>
    <mergeCell ref="T66:W66"/>
    <mergeCell ref="X66:Z66"/>
    <mergeCell ref="AB66:AE66"/>
    <mergeCell ref="AF66:AI66"/>
    <mergeCell ref="B68:J68"/>
    <mergeCell ref="P68:R68"/>
    <mergeCell ref="B69:J69"/>
    <mergeCell ref="L69:R69"/>
    <mergeCell ref="B70:J70"/>
    <mergeCell ref="L70:S70"/>
    <mergeCell ref="U67:AJ67"/>
    <mergeCell ref="U68:W68"/>
    <mergeCell ref="X68:AB68"/>
    <mergeCell ref="AC68:AJ68"/>
    <mergeCell ref="U69:AJ71"/>
    <mergeCell ref="N4:X4"/>
    <mergeCell ref="B5:AH5"/>
    <mergeCell ref="B6:H6"/>
    <mergeCell ref="AB3:AD4"/>
    <mergeCell ref="AE3:AJ4"/>
    <mergeCell ref="I6:N6"/>
    <mergeCell ref="O6:P6"/>
    <mergeCell ref="Q6:U6"/>
    <mergeCell ref="Q7:U7"/>
    <mergeCell ref="Q9:U9"/>
    <mergeCell ref="B9:G9"/>
    <mergeCell ref="H9:N9"/>
    <mergeCell ref="O9:P9"/>
    <mergeCell ref="B8:E8"/>
    <mergeCell ref="F8:N8"/>
    <mergeCell ref="B7:G7"/>
    <mergeCell ref="H7:N7"/>
    <mergeCell ref="O7:P7"/>
    <mergeCell ref="O8:R8"/>
    <mergeCell ref="S8:U8"/>
    <mergeCell ref="C11:AF11"/>
    <mergeCell ref="AG11:AJ11"/>
    <mergeCell ref="B12:B13"/>
    <mergeCell ref="C12:I13"/>
    <mergeCell ref="J12:M13"/>
    <mergeCell ref="N12:Q13"/>
    <mergeCell ref="R12:AC12"/>
    <mergeCell ref="AG12:AH13"/>
    <mergeCell ref="AI12:AJ13"/>
    <mergeCell ref="R13:X13"/>
    <mergeCell ref="Y13:AC13"/>
    <mergeCell ref="AD12:AF13"/>
    <mergeCell ref="C14:I14"/>
    <mergeCell ref="J14:M14"/>
    <mergeCell ref="N14:Q14"/>
    <mergeCell ref="R14:X14"/>
    <mergeCell ref="Y14:AC14"/>
    <mergeCell ref="AG14:AH14"/>
    <mergeCell ref="AI14:AJ14"/>
    <mergeCell ref="C15:I15"/>
    <mergeCell ref="J15:M15"/>
    <mergeCell ref="N15:Q15"/>
    <mergeCell ref="R15:X15"/>
    <mergeCell ref="Y15:AC15"/>
    <mergeCell ref="AG15:AH15"/>
    <mergeCell ref="AI15:AJ15"/>
    <mergeCell ref="AD14:AF14"/>
    <mergeCell ref="AD15:AF15"/>
    <mergeCell ref="AG16:AH16"/>
    <mergeCell ref="AI16:AJ16"/>
    <mergeCell ref="C17:I17"/>
    <mergeCell ref="J17:M17"/>
    <mergeCell ref="N17:Q17"/>
    <mergeCell ref="R17:X17"/>
    <mergeCell ref="Y17:AC17"/>
    <mergeCell ref="AG17:AH17"/>
    <mergeCell ref="AI17:AJ17"/>
    <mergeCell ref="C16:I16"/>
    <mergeCell ref="J16:M16"/>
    <mergeCell ref="N16:Q16"/>
    <mergeCell ref="R16:X16"/>
    <mergeCell ref="Y16:AC16"/>
    <mergeCell ref="AD16:AF16"/>
    <mergeCell ref="AD17:AF17"/>
    <mergeCell ref="AG18:AH18"/>
    <mergeCell ref="AI18:AJ18"/>
    <mergeCell ref="C19:I19"/>
    <mergeCell ref="J19:M19"/>
    <mergeCell ref="N19:Q19"/>
    <mergeCell ref="R19:X19"/>
    <mergeCell ref="Y19:AC19"/>
    <mergeCell ref="AG19:AH19"/>
    <mergeCell ref="AI19:AJ19"/>
    <mergeCell ref="C18:I18"/>
    <mergeCell ref="J18:M18"/>
    <mergeCell ref="N18:Q18"/>
    <mergeCell ref="R18:X18"/>
    <mergeCell ref="Y18:AC18"/>
    <mergeCell ref="AD18:AF18"/>
    <mergeCell ref="AD19:AF19"/>
    <mergeCell ref="AG20:AH20"/>
    <mergeCell ref="AI20:AJ20"/>
    <mergeCell ref="C21:I21"/>
    <mergeCell ref="J21:M21"/>
    <mergeCell ref="N21:Q21"/>
    <mergeCell ref="R21:X21"/>
    <mergeCell ref="Y21:AC21"/>
    <mergeCell ref="AG21:AH21"/>
    <mergeCell ref="AI21:AJ21"/>
    <mergeCell ref="C20:I20"/>
    <mergeCell ref="J20:M20"/>
    <mergeCell ref="N20:Q20"/>
    <mergeCell ref="R20:X20"/>
    <mergeCell ref="Y20:AC20"/>
    <mergeCell ref="AD20:AF20"/>
    <mergeCell ref="AD21:AF21"/>
    <mergeCell ref="AG22:AH22"/>
    <mergeCell ref="AI22:AJ22"/>
    <mergeCell ref="C23:I23"/>
    <mergeCell ref="J23:M23"/>
    <mergeCell ref="N23:Q23"/>
    <mergeCell ref="R23:X23"/>
    <mergeCell ref="Y23:AC23"/>
    <mergeCell ref="AG23:AH23"/>
    <mergeCell ref="AI23:AJ23"/>
    <mergeCell ref="C22:I22"/>
    <mergeCell ref="J22:M22"/>
    <mergeCell ref="N22:Q22"/>
    <mergeCell ref="R22:X22"/>
    <mergeCell ref="Y22:AC22"/>
    <mergeCell ref="AD22:AF22"/>
    <mergeCell ref="AD23:AF23"/>
    <mergeCell ref="C25:I25"/>
    <mergeCell ref="J25:M25"/>
    <mergeCell ref="N25:Q25"/>
    <mergeCell ref="R25:X25"/>
    <mergeCell ref="Y25:AC25"/>
    <mergeCell ref="AG25:AH25"/>
    <mergeCell ref="C24:I24"/>
    <mergeCell ref="J24:M24"/>
    <mergeCell ref="N24:Q24"/>
    <mergeCell ref="R24:X24"/>
    <mergeCell ref="Y24:AC24"/>
    <mergeCell ref="AD24:AF24"/>
    <mergeCell ref="AD25:AF25"/>
    <mergeCell ref="AG26:AH26"/>
    <mergeCell ref="AI26:AJ26"/>
    <mergeCell ref="Y27:AC27"/>
    <mergeCell ref="AG27:AH27"/>
    <mergeCell ref="AI27:AJ27"/>
    <mergeCell ref="AG24:AH24"/>
    <mergeCell ref="AI24:AJ24"/>
    <mergeCell ref="AI25:AJ25"/>
    <mergeCell ref="AD26:AF26"/>
    <mergeCell ref="AD27:AF27"/>
    <mergeCell ref="C27:I27"/>
    <mergeCell ref="J27:M27"/>
    <mergeCell ref="N27:Q27"/>
    <mergeCell ref="R27:X27"/>
    <mergeCell ref="C26:I26"/>
    <mergeCell ref="J26:M26"/>
    <mergeCell ref="N26:Q26"/>
    <mergeCell ref="R26:X26"/>
    <mergeCell ref="Y26:AC26"/>
    <mergeCell ref="AG28:AH28"/>
    <mergeCell ref="AI28:AJ28"/>
    <mergeCell ref="C29:I29"/>
    <mergeCell ref="J29:M29"/>
    <mergeCell ref="N29:Q29"/>
    <mergeCell ref="R29:X29"/>
    <mergeCell ref="Y29:AC29"/>
    <mergeCell ref="AG29:AH29"/>
    <mergeCell ref="AI29:AJ29"/>
    <mergeCell ref="C28:I28"/>
    <mergeCell ref="J28:M28"/>
    <mergeCell ref="N28:Q28"/>
    <mergeCell ref="R28:X28"/>
    <mergeCell ref="Y28:AC28"/>
    <mergeCell ref="AD28:AF28"/>
    <mergeCell ref="AD29:AF29"/>
    <mergeCell ref="AG30:AH30"/>
    <mergeCell ref="AI30:AJ30"/>
    <mergeCell ref="C31:I31"/>
    <mergeCell ref="J31:M31"/>
    <mergeCell ref="N31:Q31"/>
    <mergeCell ref="R31:X31"/>
    <mergeCell ref="Y31:AC31"/>
    <mergeCell ref="AG31:AH31"/>
    <mergeCell ref="AI31:AJ31"/>
    <mergeCell ref="C30:I30"/>
    <mergeCell ref="J30:M30"/>
    <mergeCell ref="N30:Q30"/>
    <mergeCell ref="R30:X30"/>
    <mergeCell ref="Y30:AC30"/>
    <mergeCell ref="AD30:AF30"/>
    <mergeCell ref="AD31:AF31"/>
    <mergeCell ref="AG32:AH32"/>
    <mergeCell ref="AI32:AJ32"/>
    <mergeCell ref="C33:I33"/>
    <mergeCell ref="J33:M33"/>
    <mergeCell ref="N33:Q33"/>
    <mergeCell ref="R33:X33"/>
    <mergeCell ref="Y33:AC33"/>
    <mergeCell ref="AG33:AH33"/>
    <mergeCell ref="AI33:AJ33"/>
    <mergeCell ref="C32:I32"/>
    <mergeCell ref="J32:M32"/>
    <mergeCell ref="N32:Q32"/>
    <mergeCell ref="R32:X32"/>
    <mergeCell ref="Y32:AC32"/>
    <mergeCell ref="AD32:AF32"/>
    <mergeCell ref="AD33:AF33"/>
    <mergeCell ref="AG34:AH34"/>
    <mergeCell ref="AI34:AJ34"/>
    <mergeCell ref="C35:I35"/>
    <mergeCell ref="J35:M35"/>
    <mergeCell ref="N35:Q35"/>
    <mergeCell ref="R35:X35"/>
    <mergeCell ref="Y35:AC35"/>
    <mergeCell ref="AG35:AH35"/>
    <mergeCell ref="AI35:AJ35"/>
    <mergeCell ref="C34:I34"/>
    <mergeCell ref="J34:M34"/>
    <mergeCell ref="N34:Q34"/>
    <mergeCell ref="R34:X34"/>
    <mergeCell ref="Y34:AC34"/>
    <mergeCell ref="AD34:AF34"/>
    <mergeCell ref="AD35:AF35"/>
    <mergeCell ref="AG36:AH36"/>
    <mergeCell ref="AI36:AJ36"/>
    <mergeCell ref="C37:I37"/>
    <mergeCell ref="J37:M37"/>
    <mergeCell ref="N37:Q37"/>
    <mergeCell ref="R37:X37"/>
    <mergeCell ref="Y37:AC37"/>
    <mergeCell ref="AG37:AH37"/>
    <mergeCell ref="AI37:AJ37"/>
    <mergeCell ref="C36:I36"/>
    <mergeCell ref="J36:M36"/>
    <mergeCell ref="N36:Q36"/>
    <mergeCell ref="R36:X36"/>
    <mergeCell ref="Y36:AC36"/>
    <mergeCell ref="AD36:AF36"/>
    <mergeCell ref="AD37:AF37"/>
    <mergeCell ref="AG38:AH38"/>
    <mergeCell ref="AI38:AJ38"/>
    <mergeCell ref="C39:I39"/>
    <mergeCell ref="J39:M39"/>
    <mergeCell ref="N39:Q39"/>
    <mergeCell ref="R39:X39"/>
    <mergeCell ref="Y39:AC39"/>
    <mergeCell ref="AG39:AH39"/>
    <mergeCell ref="AI39:AJ39"/>
    <mergeCell ref="C38:I38"/>
    <mergeCell ref="J38:M38"/>
    <mergeCell ref="N38:Q38"/>
    <mergeCell ref="R38:X38"/>
    <mergeCell ref="Y38:AC38"/>
    <mergeCell ref="AD38:AF38"/>
    <mergeCell ref="AD39:AF39"/>
    <mergeCell ref="AG40:AH40"/>
    <mergeCell ref="AI40:AJ40"/>
    <mergeCell ref="C41:I41"/>
    <mergeCell ref="J41:M41"/>
    <mergeCell ref="N41:Q41"/>
    <mergeCell ref="R41:X41"/>
    <mergeCell ref="Y41:AC41"/>
    <mergeCell ref="AG41:AH41"/>
    <mergeCell ref="AI41:AJ41"/>
    <mergeCell ref="C40:I40"/>
    <mergeCell ref="J40:M40"/>
    <mergeCell ref="N40:Q40"/>
    <mergeCell ref="R40:X40"/>
    <mergeCell ref="Y40:AC40"/>
    <mergeCell ref="AD40:AF40"/>
    <mergeCell ref="AD41:AF41"/>
    <mergeCell ref="AG42:AH42"/>
    <mergeCell ref="AI42:AJ42"/>
    <mergeCell ref="C43:I43"/>
    <mergeCell ref="J43:M43"/>
    <mergeCell ref="N43:Q43"/>
    <mergeCell ref="R43:X43"/>
    <mergeCell ref="Y43:AC43"/>
    <mergeCell ref="AG43:AH43"/>
    <mergeCell ref="AI43:AJ43"/>
    <mergeCell ref="C42:I42"/>
    <mergeCell ref="J42:M42"/>
    <mergeCell ref="N42:Q42"/>
    <mergeCell ref="R42:X42"/>
    <mergeCell ref="Y42:AC42"/>
    <mergeCell ref="AD42:AF42"/>
    <mergeCell ref="AD43:AF43"/>
    <mergeCell ref="AG44:AH44"/>
    <mergeCell ref="AI44:AJ44"/>
    <mergeCell ref="C45:I45"/>
    <mergeCell ref="J45:M45"/>
    <mergeCell ref="N45:Q45"/>
    <mergeCell ref="R45:X45"/>
    <mergeCell ref="Y45:AC45"/>
    <mergeCell ref="AG45:AH45"/>
    <mergeCell ref="AI45:AJ45"/>
    <mergeCell ref="C44:I44"/>
    <mergeCell ref="J44:M44"/>
    <mergeCell ref="N44:Q44"/>
    <mergeCell ref="R44:X44"/>
    <mergeCell ref="Y44:AC44"/>
    <mergeCell ref="AD44:AF44"/>
    <mergeCell ref="AD45:AF45"/>
    <mergeCell ref="AG46:AH46"/>
    <mergeCell ref="AI46:AJ46"/>
    <mergeCell ref="C47:I47"/>
    <mergeCell ref="J47:M47"/>
    <mergeCell ref="N47:Q47"/>
    <mergeCell ref="R47:X47"/>
    <mergeCell ref="Y47:AC47"/>
    <mergeCell ref="AG47:AH47"/>
    <mergeCell ref="AI47:AJ47"/>
    <mergeCell ref="C46:I46"/>
    <mergeCell ref="J46:M46"/>
    <mergeCell ref="N46:Q46"/>
    <mergeCell ref="R46:X46"/>
    <mergeCell ref="Y46:AC46"/>
    <mergeCell ref="AD46:AF46"/>
    <mergeCell ref="AD47:AF47"/>
    <mergeCell ref="AG48:AH48"/>
    <mergeCell ref="AI48:AJ48"/>
    <mergeCell ref="C49:I49"/>
    <mergeCell ref="J49:M49"/>
    <mergeCell ref="N49:Q49"/>
    <mergeCell ref="R49:X49"/>
    <mergeCell ref="Y49:AC49"/>
    <mergeCell ref="AG49:AH49"/>
    <mergeCell ref="AI49:AJ49"/>
    <mergeCell ref="C48:I48"/>
    <mergeCell ref="J48:M48"/>
    <mergeCell ref="N48:Q48"/>
    <mergeCell ref="R48:X48"/>
    <mergeCell ref="Y48:AC48"/>
    <mergeCell ref="AD48:AF48"/>
    <mergeCell ref="AD49:AF49"/>
    <mergeCell ref="AG50:AH50"/>
    <mergeCell ref="AI50:AJ50"/>
    <mergeCell ref="C51:I51"/>
    <mergeCell ref="J51:M51"/>
    <mergeCell ref="N51:Q51"/>
    <mergeCell ref="R51:X51"/>
    <mergeCell ref="Y51:AC51"/>
    <mergeCell ref="AG51:AH51"/>
    <mergeCell ref="AI51:AJ51"/>
    <mergeCell ref="C50:I50"/>
    <mergeCell ref="J50:M50"/>
    <mergeCell ref="N50:Q50"/>
    <mergeCell ref="R50:X50"/>
    <mergeCell ref="Y50:AC50"/>
    <mergeCell ref="AD50:AF50"/>
    <mergeCell ref="AD51:AF51"/>
    <mergeCell ref="AG52:AH52"/>
    <mergeCell ref="AI52:AJ52"/>
    <mergeCell ref="C53:I53"/>
    <mergeCell ref="J53:M53"/>
    <mergeCell ref="N53:Q53"/>
    <mergeCell ref="R53:X53"/>
    <mergeCell ref="Y53:AC53"/>
    <mergeCell ref="AG53:AH53"/>
    <mergeCell ref="AI53:AJ53"/>
    <mergeCell ref="C52:I52"/>
    <mergeCell ref="J52:M52"/>
    <mergeCell ref="N52:Q52"/>
    <mergeCell ref="R52:X52"/>
    <mergeCell ref="Y52:AC52"/>
    <mergeCell ref="AD52:AF52"/>
    <mergeCell ref="AD53:AF53"/>
    <mergeCell ref="AG54:AH54"/>
    <mergeCell ref="AI54:AJ54"/>
    <mergeCell ref="C55:I55"/>
    <mergeCell ref="J55:M55"/>
    <mergeCell ref="N55:Q55"/>
    <mergeCell ref="R55:X55"/>
    <mergeCell ref="Y55:AC55"/>
    <mergeCell ref="AG55:AH55"/>
    <mergeCell ref="AI55:AJ55"/>
    <mergeCell ref="C54:I54"/>
    <mergeCell ref="J54:M54"/>
    <mergeCell ref="N54:Q54"/>
    <mergeCell ref="R54:X54"/>
    <mergeCell ref="Y54:AC54"/>
    <mergeCell ref="AD54:AF54"/>
    <mergeCell ref="AD55:AF55"/>
    <mergeCell ref="AG56:AH56"/>
    <mergeCell ref="AI56:AJ56"/>
    <mergeCell ref="C57:I57"/>
    <mergeCell ref="J57:M57"/>
    <mergeCell ref="N57:Q57"/>
    <mergeCell ref="R57:X57"/>
    <mergeCell ref="Y57:AC57"/>
    <mergeCell ref="AG57:AH57"/>
    <mergeCell ref="AI57:AJ57"/>
    <mergeCell ref="C56:I56"/>
    <mergeCell ref="J56:M56"/>
    <mergeCell ref="N56:Q56"/>
    <mergeCell ref="R56:X56"/>
    <mergeCell ref="Y56:AC56"/>
    <mergeCell ref="AD56:AF56"/>
    <mergeCell ref="AD57:AF57"/>
    <mergeCell ref="AG58:AH58"/>
    <mergeCell ref="AI58:AJ58"/>
    <mergeCell ref="AG59:AH59"/>
    <mergeCell ref="AI59:AJ59"/>
    <mergeCell ref="C58:I58"/>
    <mergeCell ref="J58:M58"/>
    <mergeCell ref="N58:Q58"/>
    <mergeCell ref="R58:X58"/>
    <mergeCell ref="Y58:AC58"/>
    <mergeCell ref="AD58:AF58"/>
    <mergeCell ref="AD59:AF59"/>
    <mergeCell ref="T60:AJ61"/>
    <mergeCell ref="B64:R64"/>
    <mergeCell ref="T62:W62"/>
    <mergeCell ref="X62:Z62"/>
    <mergeCell ref="AB62:AE62"/>
    <mergeCell ref="AF62:AI62"/>
    <mergeCell ref="T63:W63"/>
    <mergeCell ref="X63:Z63"/>
    <mergeCell ref="AB63:AE63"/>
    <mergeCell ref="AF63:AI63"/>
    <mergeCell ref="T64:W64"/>
    <mergeCell ref="X64:Z64"/>
    <mergeCell ref="AB64:AE64"/>
    <mergeCell ref="AF64:AI64"/>
    <mergeCell ref="B61:R61"/>
  </mergeCells>
  <conditionalFormatting sqref="N14:Q58">
    <cfRule type="expression" dxfId="28" priority="3">
      <formula>ISERROR($N14:$Q58)</formula>
    </cfRule>
  </conditionalFormatting>
  <conditionalFormatting sqref="P6:Q6">
    <cfRule type="expression" dxfId="27" priority="7">
      <formula>$I$6=0</formula>
    </cfRule>
  </conditionalFormatting>
  <conditionalFormatting sqref="X63">
    <cfRule type="expression" dxfId="26" priority="11">
      <formula>$I$6=0</formula>
    </cfRule>
  </conditionalFormatting>
  <conditionalFormatting sqref="X67:AB68">
    <cfRule type="expression" dxfId="25" priority="5">
      <formula>$I$6=0</formula>
    </cfRule>
  </conditionalFormatting>
  <conditionalFormatting sqref="AE8:AF8">
    <cfRule type="expression" dxfId="24" priority="8">
      <formula>$AG$8&gt;$AG$7</formula>
    </cfRule>
  </conditionalFormatting>
  <conditionalFormatting sqref="AG7:AG9">
    <cfRule type="cellIs" dxfId="23" priority="9" stopIfTrue="1" operator="equal">
      <formula>0</formula>
    </cfRule>
  </conditionalFormatting>
  <conditionalFormatting sqref="AK15:AK29">
    <cfRule type="cellIs" dxfId="22" priority="12" stopIfTrue="1" operator="equal">
      <formula>0</formula>
    </cfRule>
  </conditionalFormatting>
  <dataValidations xWindow="664" yWindow="462" count="8">
    <dataValidation errorStyle="warning" allowBlank="1" promptTitle="Importante" prompt="Seleccione de lista desplegable, o escriba nombre científico." sqref="BK14:BK30 AD15:AD58" xr:uid="{00000000-0002-0000-0400-000000000000}"/>
    <dataValidation showInputMessage="1" showErrorMessage="1" sqref="Q6" xr:uid="{00000000-0002-0000-0400-000001000000}"/>
    <dataValidation errorTitle="Indique Valor Lógico!" error="Este documento permite un máximo de 5 anexos. Favor indique número de anexos usados (entre 0 y 5)." promptTitle="AVISO" prompt="Indique el número de anexos que complementan esta Orden de Cuarentena (valores de 0 a 5)." sqref="Y8:Z9" xr:uid="{00000000-0002-0000-0400-000002000000}"/>
    <dataValidation type="custom" allowBlank="1" showInputMessage="1" showErrorMessage="1" sqref="R58:X58" xr:uid="{00000000-0002-0000-0400-000003000000}">
      <formula1>INDIRECT($J58)</formula1>
    </dataValidation>
    <dataValidation type="list" allowBlank="1" showInputMessage="1" showErrorMessage="1" errorTitle="Atención" error="Sólo se puede seleccionar una especie de la lista desplegable." promptTitle="Importante" prompt="Para que se muestre lista desplegable con especies debe seleccionar el el género en la columna anterior." sqref="Y14:AC58" xr:uid="{00000000-0002-0000-0400-000004000000}">
      <formula1>INDIRECT($R14)</formula1>
    </dataValidation>
    <dataValidation type="list" allowBlank="1" showInputMessage="1" showErrorMessage="1" errorTitle="Atención" error="Sólo se puede seleccionar un genero o especie de la lista desplegable. Si no ve lista, primero seleccione lista en columna Grupo." promptTitle="Importante" prompt="Para que se muestre lista desplegable con géneros o especies autorizadas segùn resolución debe primero seleccionar el grupo al que pertenece la especie." sqref="R15:X57" xr:uid="{00000000-0002-0000-0400-000005000000}">
      <formula1>INDIRECT($J15)</formula1>
    </dataValidation>
    <dataValidation type="list" allowBlank="1" showInputMessage="1" showErrorMessage="1" errorTitle="Atención" error="Sólo se puede seleccionar un genero o especie de la lista desplegable. Si no ve lista, primero seleccione lista en columna Grupo." promptTitle="Importante" prompt="Para que se muestre lista desplegable con géneros o especies autorizadas segùn resolución debe primero seleccionar el grupo al que pertenece la especie._x000a_" sqref="R14:X14" xr:uid="{00000000-0002-0000-0400-000006000000}">
      <formula1>INDIRECT($J14)</formula1>
    </dataValidation>
    <dataValidation errorStyle="information" allowBlank="1" errorTitle="Atención" error="Solo debe seleccionar los ambientes de la lista desplegable." promptTitle="Seleccione ambiente" prompt="Seleccionar ambiente al cual la especie a declarar será mantenida._x000a_" sqref="N14:Q58" xr:uid="{00000000-0002-0000-0400-000007000000}"/>
  </dataValidations>
  <pageMargins left="0.7" right="0.7" top="0.75" bottom="0.75" header="0.3" footer="0.3"/>
  <pageSetup scale="64" orientation="portrait" r:id="rId1"/>
  <rowBreaks count="1" manualBreakCount="1">
    <brk id="72" max="16383" man="1"/>
  </rowBreaks>
  <colBreaks count="1" manualBreakCount="1">
    <brk id="37" max="70" man="1"/>
  </colBreaks>
  <ignoredErrors>
    <ignoredError sqref="N17:Q58 N14:Q16" evalError="1"/>
  </ignoredErrors>
  <drawing r:id="rId2"/>
  <legacyDrawing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xWindow="664" yWindow="462" count="1">
        <x14:dataValidation type="list" allowBlank="1" showErrorMessage="1" errorTitle="Atención" error="Sólo se puede seleccionar un grupo de la lista desplegable." promptTitle="Importante" prompt="Seleccione de lista desplegable el grupo al que pertenece la especie a declarar." xr:uid="{00000000-0002-0000-0400-000008000000}">
          <x14:formula1>
            <xm:f>'ORDEN DE CUARENTENA'!$BN$1:$BV$1</xm:f>
          </x14:formula1>
          <xm:sqref>J14:M58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L113"/>
  <sheetViews>
    <sheetView view="pageBreakPreview" zoomScaleNormal="80" zoomScaleSheetLayoutView="100" workbookViewId="0">
      <pane xSplit="14" ySplit="13" topLeftCell="O14" activePane="bottomRight" state="frozen"/>
      <selection pane="topRight" activeCell="N1" sqref="N1"/>
      <selection pane="bottomLeft" activeCell="A14" sqref="A14"/>
      <selection pane="bottomRight" activeCell="S6" sqref="S6:T7"/>
    </sheetView>
  </sheetViews>
  <sheetFormatPr baseColWidth="10" defaultRowHeight="15" x14ac:dyDescent="0.25"/>
  <cols>
    <col min="1" max="1" width="1.85546875" customWidth="1"/>
    <col min="2" max="3" width="7.42578125" style="17" customWidth="1"/>
    <col min="4" max="4" width="21.42578125" style="21" customWidth="1"/>
    <col min="5" max="5" width="22.5703125" style="22" customWidth="1"/>
    <col min="6" max="6" width="9.140625" style="17" customWidth="1"/>
    <col min="7" max="7" width="7.85546875" style="17" customWidth="1"/>
    <col min="8" max="8" width="6.7109375" style="17" customWidth="1"/>
    <col min="9" max="9" width="8.140625" style="17" customWidth="1"/>
    <col min="10" max="10" width="11.85546875" style="17" customWidth="1"/>
    <col min="11" max="11" width="6.7109375" style="17" customWidth="1"/>
    <col min="12" max="12" width="6.140625" style="17" customWidth="1"/>
    <col min="13" max="13" width="16.85546875" style="17" customWidth="1"/>
    <col min="14" max="14" width="5.85546875" style="17" customWidth="1"/>
    <col min="15" max="34" width="6.140625" style="17" customWidth="1"/>
    <col min="35" max="45" width="6.140625" customWidth="1"/>
    <col min="46" max="46" width="18.42578125" customWidth="1"/>
    <col min="47" max="48" width="14.140625" customWidth="1"/>
    <col min="49" max="49" width="6.85546875" customWidth="1"/>
    <col min="50" max="51" width="14.5703125" customWidth="1"/>
    <col min="52" max="52" width="6.7109375" customWidth="1"/>
    <col min="53" max="54" width="13.28515625" customWidth="1"/>
    <col min="55" max="55" width="6.7109375" customWidth="1"/>
    <col min="56" max="56" width="14.28515625" customWidth="1"/>
    <col min="57" max="57" width="6.7109375" customWidth="1"/>
    <col min="58" max="58" width="14.28515625" customWidth="1"/>
    <col min="59" max="59" width="11.85546875" customWidth="1"/>
    <col min="60" max="60" width="10.85546875" customWidth="1"/>
    <col min="61" max="61" width="11.42578125" customWidth="1"/>
    <col min="62" max="62" width="15.5703125" customWidth="1"/>
    <col min="63" max="65" width="12.140625" customWidth="1"/>
    <col min="66" max="68" width="10" customWidth="1"/>
    <col min="69" max="73" width="11" customWidth="1"/>
  </cols>
  <sheetData>
    <row r="1" spans="1:64" ht="27" x14ac:dyDescent="0.35">
      <c r="B1" s="549" t="s">
        <v>8898</v>
      </c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AZ1" s="185"/>
      <c r="BA1" s="185"/>
      <c r="BB1" s="185"/>
      <c r="BC1" s="185"/>
      <c r="BD1" s="185"/>
      <c r="BE1" s="185"/>
      <c r="BF1" s="185"/>
      <c r="BG1" s="185"/>
      <c r="BH1" s="185"/>
      <c r="BI1" s="185"/>
    </row>
    <row r="2" spans="1:64" ht="14.45" customHeight="1" x14ac:dyDescent="0.25">
      <c r="B2" s="232"/>
      <c r="D2" s="232"/>
      <c r="E2" s="233"/>
      <c r="F2" s="232"/>
      <c r="H2" s="232"/>
      <c r="I2" s="232"/>
      <c r="J2" s="232"/>
      <c r="K2" s="232"/>
      <c r="L2" s="232"/>
      <c r="M2" s="232"/>
      <c r="O2" s="564" t="s">
        <v>10137</v>
      </c>
      <c r="P2" s="565"/>
      <c r="Q2" s="555">
        <f>COUNTIF('ORDEN DE CUARENTENA'!R14:X58,"&lt;&gt;")+ COUNTIF(ANEXO!R14:X58,"&lt;&gt;")</f>
        <v>0</v>
      </c>
      <c r="R2" s="564" t="s">
        <v>10308</v>
      </c>
      <c r="S2" s="565"/>
      <c r="T2" s="555">
        <f>SUM((FREQUENCY(B14:B90,B14:B90)&gt;0)*1)</f>
        <v>0</v>
      </c>
      <c r="BI2" s="123" t="s">
        <v>8889</v>
      </c>
      <c r="BK2" t="s">
        <v>10226</v>
      </c>
      <c r="BL2" t="s">
        <v>10315</v>
      </c>
    </row>
    <row r="3" spans="1:64" ht="14.45" customHeight="1" x14ac:dyDescent="0.25">
      <c r="A3" s="355" t="s">
        <v>10313</v>
      </c>
      <c r="B3" s="552" t="s">
        <v>8894</v>
      </c>
      <c r="C3" s="552"/>
      <c r="D3" s="552"/>
      <c r="E3" s="552"/>
      <c r="F3" s="552"/>
      <c r="G3" s="552"/>
      <c r="H3" s="552"/>
      <c r="I3" s="552"/>
      <c r="J3" s="552"/>
      <c r="K3" s="552"/>
      <c r="L3" s="552"/>
      <c r="M3" s="552"/>
      <c r="N3" s="155"/>
      <c r="O3" s="566"/>
      <c r="P3" s="567"/>
      <c r="Q3" s="556"/>
      <c r="R3" s="566"/>
      <c r="S3" s="567"/>
      <c r="T3" s="556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BI3" s="123" t="s">
        <v>10068</v>
      </c>
      <c r="BK3" t="s">
        <v>10227</v>
      </c>
      <c r="BL3" t="s">
        <v>10316</v>
      </c>
    </row>
    <row r="4" spans="1:64" ht="18" customHeight="1" x14ac:dyDescent="0.25">
      <c r="B4" s="552"/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155"/>
      <c r="O4" s="557" t="s">
        <v>8</v>
      </c>
      <c r="P4" s="557"/>
      <c r="Q4" s="557"/>
      <c r="R4" s="559">
        <f>F91</f>
        <v>0</v>
      </c>
      <c r="S4" s="559"/>
      <c r="T4" s="559"/>
      <c r="Y4" s="119"/>
      <c r="Z4" s="119"/>
      <c r="AA4" s="119"/>
      <c r="AB4" s="25"/>
      <c r="AC4" s="25"/>
      <c r="AD4" s="25"/>
      <c r="AE4" s="25"/>
      <c r="AF4" s="25"/>
      <c r="AG4" s="25"/>
      <c r="AH4" s="25"/>
      <c r="BI4" s="123" t="s">
        <v>8890</v>
      </c>
    </row>
    <row r="5" spans="1:64" ht="14.45" customHeight="1" x14ac:dyDescent="0.25">
      <c r="B5" s="552"/>
      <c r="C5" s="552"/>
      <c r="D5" s="552"/>
      <c r="E5" s="552"/>
      <c r="F5" s="552"/>
      <c r="G5" s="552"/>
      <c r="H5" s="552"/>
      <c r="I5" s="552"/>
      <c r="J5" s="552"/>
      <c r="K5" s="552"/>
      <c r="L5" s="552"/>
      <c r="M5" s="552"/>
      <c r="N5" s="155"/>
      <c r="O5" s="557"/>
      <c r="P5" s="557"/>
      <c r="Q5" s="557"/>
      <c r="R5" s="559"/>
      <c r="S5" s="559"/>
      <c r="T5" s="559"/>
      <c r="U5"/>
      <c r="V5"/>
      <c r="W5"/>
      <c r="X5"/>
      <c r="Y5"/>
      <c r="Z5"/>
      <c r="AA5"/>
      <c r="AB5" s="25"/>
      <c r="AC5" s="25"/>
      <c r="AD5" s="25"/>
      <c r="AE5" s="25"/>
      <c r="AF5" s="25"/>
      <c r="AG5" s="25"/>
      <c r="AH5" s="25"/>
      <c r="BI5" s="123" t="s">
        <v>8891</v>
      </c>
    </row>
    <row r="6" spans="1:64" s="349" customFormat="1" ht="15" customHeight="1" x14ac:dyDescent="0.25">
      <c r="A6" s="355" t="s">
        <v>10313</v>
      </c>
      <c r="B6" s="554" t="s">
        <v>10309</v>
      </c>
      <c r="C6" s="554"/>
      <c r="D6" s="554"/>
      <c r="E6" s="554"/>
      <c r="F6" s="554"/>
      <c r="G6" s="554"/>
      <c r="H6" s="554"/>
      <c r="I6" s="554"/>
      <c r="J6" s="554"/>
      <c r="K6" s="554"/>
      <c r="L6" s="554"/>
      <c r="M6" s="554"/>
      <c r="N6" s="348"/>
      <c r="O6" s="558" t="s">
        <v>10</v>
      </c>
      <c r="P6" s="558"/>
      <c r="Q6" s="561">
        <f>Item[[#Totals],[mortalidad acumulada]]+Item2[[#Totals],[mortalidad acumulada]]</f>
        <v>0</v>
      </c>
      <c r="R6" s="562" t="s">
        <v>7831</v>
      </c>
      <c r="S6" s="563" t="str">
        <f>IF(Q6=0,"",Q6/R4)</f>
        <v/>
      </c>
      <c r="T6" s="563"/>
      <c r="AB6" s="350"/>
      <c r="AC6" s="350"/>
      <c r="AD6" s="350"/>
      <c r="AE6" s="350"/>
      <c r="AF6" s="350"/>
      <c r="AG6" s="350"/>
      <c r="AH6" s="350"/>
      <c r="BI6" s="351" t="s">
        <v>8893</v>
      </c>
    </row>
    <row r="7" spans="1:64" s="349" customFormat="1" ht="14.25" customHeight="1" x14ac:dyDescent="0.25">
      <c r="A7" s="355" t="s">
        <v>10313</v>
      </c>
      <c r="B7" s="553" t="s">
        <v>7827</v>
      </c>
      <c r="C7" s="553"/>
      <c r="D7" s="553"/>
      <c r="E7" s="553"/>
      <c r="F7" s="553"/>
      <c r="G7" s="553"/>
      <c r="H7" s="553"/>
      <c r="I7" s="553"/>
      <c r="J7" s="553"/>
      <c r="K7" s="553"/>
      <c r="L7" s="553"/>
      <c r="M7" s="553"/>
      <c r="N7" s="350"/>
      <c r="O7" s="558"/>
      <c r="P7" s="558"/>
      <c r="Q7" s="561"/>
      <c r="R7" s="562"/>
      <c r="S7" s="563"/>
      <c r="T7" s="563"/>
      <c r="U7" s="352"/>
      <c r="V7" s="352"/>
      <c r="W7" s="352"/>
      <c r="X7" s="352"/>
      <c r="Y7" s="353"/>
      <c r="Z7" s="353"/>
      <c r="AA7" s="353"/>
      <c r="AB7" s="352"/>
      <c r="AC7" s="352"/>
      <c r="AD7" s="352"/>
      <c r="AE7" s="352"/>
      <c r="AF7" s="352"/>
      <c r="AG7" s="352"/>
      <c r="AH7" s="352"/>
      <c r="BI7" s="351" t="s">
        <v>8892</v>
      </c>
    </row>
    <row r="8" spans="1:64" ht="15.75" customHeight="1" x14ac:dyDescent="0.25">
      <c r="B8" s="354" t="s">
        <v>10310</v>
      </c>
      <c r="N8" s="26"/>
      <c r="O8" s="557" t="s">
        <v>12</v>
      </c>
      <c r="P8" s="557"/>
      <c r="Q8" s="557"/>
      <c r="R8" s="560">
        <f>G91</f>
        <v>0</v>
      </c>
      <c r="S8" s="560"/>
      <c r="T8" s="560"/>
      <c r="Y8" s="120"/>
      <c r="Z8" s="120"/>
      <c r="AA8" s="120"/>
      <c r="BI8" s="122" t="s">
        <v>10297</v>
      </c>
    </row>
    <row r="9" spans="1:64" ht="14.45" customHeight="1" x14ac:dyDescent="0.25">
      <c r="A9" s="355" t="s">
        <v>10313</v>
      </c>
      <c r="B9" s="550" t="s">
        <v>10318</v>
      </c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148"/>
      <c r="O9" s="557"/>
      <c r="P9" s="557"/>
      <c r="Q9" s="557"/>
      <c r="R9" s="560"/>
      <c r="S9" s="560"/>
      <c r="T9" s="560"/>
      <c r="AZ9" s="122"/>
      <c r="BA9" s="122"/>
      <c r="BB9" s="122"/>
      <c r="BC9" s="122"/>
      <c r="BD9" s="122"/>
      <c r="BE9" s="122"/>
      <c r="BF9" s="122"/>
      <c r="BG9" s="122"/>
      <c r="BH9" s="122"/>
    </row>
    <row r="10" spans="1:64" ht="15" customHeight="1" x14ac:dyDescent="0.25"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148"/>
      <c r="O10" s="26"/>
      <c r="P10" s="26"/>
      <c r="Q10" s="26"/>
      <c r="R10" s="26"/>
      <c r="S10" s="26"/>
      <c r="T10" s="26"/>
      <c r="U10" s="26"/>
      <c r="AZ10" s="122"/>
      <c r="BA10" s="122"/>
      <c r="BB10" s="122"/>
      <c r="BC10" s="122"/>
      <c r="BD10" s="122"/>
      <c r="BE10" s="122"/>
      <c r="BF10" s="122"/>
      <c r="BG10" s="122"/>
      <c r="BH10" s="122"/>
    </row>
    <row r="11" spans="1:64" x14ac:dyDescent="0.25">
      <c r="A11" s="355" t="s">
        <v>10313</v>
      </c>
      <c r="B11" s="551" t="s">
        <v>10312</v>
      </c>
      <c r="C11" s="551"/>
      <c r="D11" s="551"/>
      <c r="E11" s="551"/>
      <c r="F11" s="551"/>
      <c r="G11" s="551"/>
      <c r="H11" s="551"/>
      <c r="I11" s="551"/>
      <c r="J11" s="551"/>
      <c r="K11" s="551"/>
      <c r="L11" s="551"/>
      <c r="M11" s="551"/>
      <c r="O11" s="20">
        <f>O12</f>
        <v>0</v>
      </c>
      <c r="P11" s="20">
        <f t="shared" ref="P11:AR11" si="0">P12</f>
        <v>1</v>
      </c>
      <c r="Q11" s="20">
        <f t="shared" si="0"/>
        <v>2</v>
      </c>
      <c r="R11" s="20">
        <f t="shared" si="0"/>
        <v>3</v>
      </c>
      <c r="S11" s="20">
        <f t="shared" si="0"/>
        <v>4</v>
      </c>
      <c r="T11" s="20">
        <f t="shared" si="0"/>
        <v>5</v>
      </c>
      <c r="U11" s="20">
        <f t="shared" si="0"/>
        <v>6</v>
      </c>
      <c r="V11" s="20">
        <f t="shared" si="0"/>
        <v>7</v>
      </c>
      <c r="W11" s="20">
        <f t="shared" si="0"/>
        <v>8</v>
      </c>
      <c r="X11" s="20">
        <f t="shared" si="0"/>
        <v>9</v>
      </c>
      <c r="Y11" s="20">
        <f t="shared" si="0"/>
        <v>10</v>
      </c>
      <c r="Z11" s="20">
        <f t="shared" si="0"/>
        <v>11</v>
      </c>
      <c r="AA11" s="20">
        <f t="shared" si="0"/>
        <v>12</v>
      </c>
      <c r="AB11" s="20">
        <f t="shared" si="0"/>
        <v>13</v>
      </c>
      <c r="AC11" s="156">
        <f t="shared" si="0"/>
        <v>14</v>
      </c>
      <c r="AD11" s="20">
        <f t="shared" si="0"/>
        <v>15</v>
      </c>
      <c r="AE11" s="20">
        <f t="shared" si="0"/>
        <v>16</v>
      </c>
      <c r="AF11" s="20">
        <f t="shared" si="0"/>
        <v>17</v>
      </c>
      <c r="AG11" s="20">
        <f t="shared" si="0"/>
        <v>18</v>
      </c>
      <c r="AH11" s="20">
        <f t="shared" si="0"/>
        <v>19</v>
      </c>
      <c r="AI11" s="20">
        <f t="shared" si="0"/>
        <v>20</v>
      </c>
      <c r="AJ11" s="20">
        <f t="shared" si="0"/>
        <v>21</v>
      </c>
      <c r="AK11" s="20">
        <f t="shared" si="0"/>
        <v>22</v>
      </c>
      <c r="AL11" s="20">
        <f t="shared" si="0"/>
        <v>23</v>
      </c>
      <c r="AM11" s="20">
        <f t="shared" si="0"/>
        <v>24</v>
      </c>
      <c r="AN11" s="20">
        <f t="shared" si="0"/>
        <v>25</v>
      </c>
      <c r="AO11" s="20">
        <f t="shared" si="0"/>
        <v>26</v>
      </c>
      <c r="AP11" s="20">
        <f t="shared" si="0"/>
        <v>27</v>
      </c>
      <c r="AQ11" s="20">
        <f t="shared" si="0"/>
        <v>28</v>
      </c>
      <c r="AR11" s="20">
        <f t="shared" si="0"/>
        <v>29</v>
      </c>
      <c r="AZ11" s="122"/>
      <c r="BA11" s="122"/>
      <c r="BB11" s="122"/>
      <c r="BC11" s="122"/>
      <c r="BD11" s="122"/>
      <c r="BE11" s="122"/>
      <c r="BF11" s="122"/>
      <c r="BG11" s="122"/>
      <c r="BH11" s="122"/>
    </row>
    <row r="12" spans="1:64" x14ac:dyDescent="0.25">
      <c r="B12" s="27"/>
      <c r="C12" s="123"/>
      <c r="D12" s="124"/>
      <c r="E12" s="124"/>
      <c r="F12" s="125"/>
      <c r="G12" s="126"/>
      <c r="H12" s="125"/>
      <c r="I12" s="125"/>
      <c r="J12" s="125"/>
      <c r="K12" s="126"/>
      <c r="L12" s="126"/>
      <c r="M12" s="126"/>
      <c r="N12" s="126"/>
      <c r="O12" s="19">
        <f>('ORDEN DE CUARENTENA'!I6-1)+O13</f>
        <v>0</v>
      </c>
      <c r="P12" s="19">
        <f>('ORDEN DE CUARENTENA'!I6-1)+P13</f>
        <v>1</v>
      </c>
      <c r="Q12" s="19">
        <f>('ORDEN DE CUARENTENA'!I6-1)+Q13</f>
        <v>2</v>
      </c>
      <c r="R12" s="19">
        <f>('ORDEN DE CUARENTENA'!I6-1)+R13</f>
        <v>3</v>
      </c>
      <c r="S12" s="19">
        <f>('ORDEN DE CUARENTENA'!I6-1)+S13</f>
        <v>4</v>
      </c>
      <c r="T12" s="19">
        <f>('ORDEN DE CUARENTENA'!I6-1)+T13</f>
        <v>5</v>
      </c>
      <c r="U12" s="19">
        <f>('ORDEN DE CUARENTENA'!I6-1)+U13</f>
        <v>6</v>
      </c>
      <c r="V12" s="19">
        <f>('ORDEN DE CUARENTENA'!I6-1)+V13</f>
        <v>7</v>
      </c>
      <c r="W12" s="19">
        <f>('ORDEN DE CUARENTENA'!I6-1)+W13</f>
        <v>8</v>
      </c>
      <c r="X12" s="19">
        <f>('ORDEN DE CUARENTENA'!I6-1)+X13</f>
        <v>9</v>
      </c>
      <c r="Y12" s="19">
        <f>('ORDEN DE CUARENTENA'!I6-1)+Y13</f>
        <v>10</v>
      </c>
      <c r="Z12" s="19">
        <f>('ORDEN DE CUARENTENA'!I6-1)+Z13</f>
        <v>11</v>
      </c>
      <c r="AA12" s="19">
        <f>('ORDEN DE CUARENTENA'!I6-1)+AA13</f>
        <v>12</v>
      </c>
      <c r="AB12" s="19">
        <f>('ORDEN DE CUARENTENA'!I6-1)+AB13</f>
        <v>13</v>
      </c>
      <c r="AC12" s="157">
        <f>('ORDEN DE CUARENTENA'!I6-1)+AC13</f>
        <v>14</v>
      </c>
      <c r="AD12" s="19">
        <f>('ORDEN DE CUARENTENA'!I6-1)+AD13</f>
        <v>15</v>
      </c>
      <c r="AE12" s="19">
        <f>('ORDEN DE CUARENTENA'!I6-1)+AE13</f>
        <v>16</v>
      </c>
      <c r="AF12" s="19">
        <f>('ORDEN DE CUARENTENA'!I6-1)+AF13</f>
        <v>17</v>
      </c>
      <c r="AG12" s="19">
        <f>('ORDEN DE CUARENTENA'!I6-1)+AG13</f>
        <v>18</v>
      </c>
      <c r="AH12" s="19">
        <f>('ORDEN DE CUARENTENA'!I6-1)+AH13</f>
        <v>19</v>
      </c>
      <c r="AI12" s="19">
        <f>('ORDEN DE CUARENTENA'!I6-1)+AI13</f>
        <v>20</v>
      </c>
      <c r="AJ12" s="19">
        <f>('ORDEN DE CUARENTENA'!I6-1)+AJ13</f>
        <v>21</v>
      </c>
      <c r="AK12" s="19">
        <f>('ORDEN DE CUARENTENA'!I6-1)+AK13</f>
        <v>22</v>
      </c>
      <c r="AL12" s="19">
        <f>('ORDEN DE CUARENTENA'!I6-1)+AL13</f>
        <v>23</v>
      </c>
      <c r="AM12" s="19">
        <f>('ORDEN DE CUARENTENA'!I6-1)+AM13</f>
        <v>24</v>
      </c>
      <c r="AN12" s="19">
        <f>('ORDEN DE CUARENTENA'!I6-1)+AN13</f>
        <v>25</v>
      </c>
      <c r="AO12" s="19">
        <f>('ORDEN DE CUARENTENA'!I6-1)+AO13</f>
        <v>26</v>
      </c>
      <c r="AP12" s="19">
        <f>('ORDEN DE CUARENTENA'!I6-1)+AP13</f>
        <v>27</v>
      </c>
      <c r="AQ12" s="19">
        <f>('ORDEN DE CUARENTENA'!I6-1)+AQ13</f>
        <v>28</v>
      </c>
      <c r="AR12" s="19">
        <f>('ORDEN DE CUARENTENA'!I6-1)+AR13</f>
        <v>29</v>
      </c>
      <c r="AZ12" s="122"/>
      <c r="BA12" s="122"/>
      <c r="BB12" s="122"/>
      <c r="BC12" s="122"/>
      <c r="BD12" s="122"/>
      <c r="BE12" s="122"/>
      <c r="BF12" s="122"/>
      <c r="BG12" s="122"/>
      <c r="BH12" s="122"/>
    </row>
    <row r="13" spans="1:64" ht="38.25" customHeight="1" x14ac:dyDescent="0.25">
      <c r="B13" s="131" t="s">
        <v>7807</v>
      </c>
      <c r="C13" s="128" t="s">
        <v>7806</v>
      </c>
      <c r="D13" s="132" t="s">
        <v>7811</v>
      </c>
      <c r="E13" s="132" t="s">
        <v>7808</v>
      </c>
      <c r="F13" s="142" t="s">
        <v>7825</v>
      </c>
      <c r="G13" s="128" t="s">
        <v>7812</v>
      </c>
      <c r="H13" s="142" t="s">
        <v>10155</v>
      </c>
      <c r="I13" s="142" t="s">
        <v>10314</v>
      </c>
      <c r="J13" s="142" t="s">
        <v>10228</v>
      </c>
      <c r="K13" s="128" t="s">
        <v>8888</v>
      </c>
      <c r="L13" s="128" t="s">
        <v>8872</v>
      </c>
      <c r="M13" s="217" t="s">
        <v>10146</v>
      </c>
      <c r="N13" s="128" t="s">
        <v>8873</v>
      </c>
      <c r="O13" s="18">
        <v>1</v>
      </c>
      <c r="P13" s="18">
        <v>2</v>
      </c>
      <c r="Q13" s="18">
        <v>3</v>
      </c>
      <c r="R13" s="18">
        <v>4</v>
      </c>
      <c r="S13" s="18">
        <v>5</v>
      </c>
      <c r="T13" s="18">
        <v>6</v>
      </c>
      <c r="U13" s="18">
        <v>7</v>
      </c>
      <c r="V13" s="18">
        <v>8</v>
      </c>
      <c r="W13" s="18">
        <v>9</v>
      </c>
      <c r="X13" s="18">
        <v>10</v>
      </c>
      <c r="Y13" s="18">
        <v>11</v>
      </c>
      <c r="Z13" s="18">
        <v>12</v>
      </c>
      <c r="AA13" s="18">
        <v>13</v>
      </c>
      <c r="AB13" s="18">
        <v>14</v>
      </c>
      <c r="AC13" s="158">
        <v>15</v>
      </c>
      <c r="AD13" s="18">
        <v>16</v>
      </c>
      <c r="AE13" s="18">
        <v>17</v>
      </c>
      <c r="AF13" s="18">
        <v>18</v>
      </c>
      <c r="AG13" s="18">
        <v>19</v>
      </c>
      <c r="AH13" s="18">
        <v>20</v>
      </c>
      <c r="AI13" s="18">
        <v>21</v>
      </c>
      <c r="AJ13" s="18">
        <v>22</v>
      </c>
      <c r="AK13" s="18">
        <v>23</v>
      </c>
      <c r="AL13" s="18">
        <v>24</v>
      </c>
      <c r="AM13" s="18">
        <v>25</v>
      </c>
      <c r="AN13" s="18">
        <v>26</v>
      </c>
      <c r="AO13" s="18">
        <v>27</v>
      </c>
      <c r="AP13" s="18">
        <v>28</v>
      </c>
      <c r="AQ13" s="18">
        <v>29</v>
      </c>
      <c r="AR13" s="18">
        <v>30</v>
      </c>
      <c r="AS13" s="128" t="s">
        <v>8873</v>
      </c>
      <c r="AT13" s="128" t="s">
        <v>10288</v>
      </c>
      <c r="AU13" s="128" t="s">
        <v>9039</v>
      </c>
      <c r="AV13" s="128" t="s">
        <v>9060</v>
      </c>
      <c r="AW13" s="142" t="s">
        <v>9089</v>
      </c>
      <c r="AX13" s="142" t="s">
        <v>9054</v>
      </c>
      <c r="AY13" s="128" t="s">
        <v>9064</v>
      </c>
      <c r="AZ13" s="142" t="s">
        <v>9057</v>
      </c>
      <c r="BA13" s="142" t="s">
        <v>9058</v>
      </c>
      <c r="BB13" s="142" t="s">
        <v>9066</v>
      </c>
      <c r="BC13" s="142" t="s">
        <v>9053</v>
      </c>
      <c r="BD13" s="142" t="s">
        <v>9052</v>
      </c>
      <c r="BE13" s="142" t="s">
        <v>9056</v>
      </c>
      <c r="BF13" s="142" t="s">
        <v>9059</v>
      </c>
      <c r="BG13" s="142" t="s">
        <v>10102</v>
      </c>
      <c r="BH13" s="142" t="s">
        <v>10103</v>
      </c>
      <c r="BI13" s="222"/>
    </row>
    <row r="14" spans="1:64" ht="18" customHeight="1" x14ac:dyDescent="0.25">
      <c r="B14" s="284"/>
      <c r="C14" s="284"/>
      <c r="D14" s="285" t="str">
        <f>IFERROR(VLOOKUP(B14,Item[],3,FALSE),IFERROR(VLOOKUP(B14,Item2[],3,FALSE),""))</f>
        <v/>
      </c>
      <c r="E14" s="286" t="str">
        <f>IFERROR(VLOOKUP(B14,Item[],2,FALSE),IFERROR(VLOOKUP(B14,Item2[],2,FALSE),""))</f>
        <v/>
      </c>
      <c r="F14" s="287"/>
      <c r="G14" s="288" t="str">
        <f t="shared" ref="G14:G45" si="1">IF(F14&gt;0,IFERROR(F14-K14,F14),"")</f>
        <v/>
      </c>
      <c r="H14" s="287"/>
      <c r="I14" s="287"/>
      <c r="J14" s="287"/>
      <c r="K14" s="288" t="str">
        <f t="shared" ref="K14:K45" si="2">IF(B14&gt;0,SUM(O14:AR14),"")</f>
        <v/>
      </c>
      <c r="L14" s="289" t="str">
        <f>IFERROR(K14/F14,"")</f>
        <v/>
      </c>
      <c r="M14" s="287"/>
      <c r="N14" s="288" t="str">
        <f>AS14</f>
        <v/>
      </c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  <c r="AD14" s="284"/>
      <c r="AE14" s="284"/>
      <c r="AF14" s="284"/>
      <c r="AG14" s="284"/>
      <c r="AH14" s="284"/>
      <c r="AI14" s="284"/>
      <c r="AJ14" s="284"/>
      <c r="AK14" s="284"/>
      <c r="AL14" s="284"/>
      <c r="AM14" s="284"/>
      <c r="AN14" s="284"/>
      <c r="AO14" s="284"/>
      <c r="AP14" s="284"/>
      <c r="AQ14" s="284"/>
      <c r="AR14" s="284"/>
      <c r="AS14" s="290" t="str">
        <f>IF(C14&lt;&gt;0,IFERROR(IF(COUNTIF(AcuariosTto[],C14),"SI",""),""),"")</f>
        <v/>
      </c>
      <c r="AT14" s="154">
        <f>IFERROR(INDEX(AcuariosTto[SignoTTo],MATCH(C14,AcuariosTto[AcuariosTTo],0)),"")</f>
        <v>0</v>
      </c>
      <c r="AU14" s="154">
        <f>IFERROR(INDEX(AcuariosTto[TipoProd],MATCH(C14,AcuariosTto[AcuariosTTo],0)),"")</f>
        <v>0</v>
      </c>
      <c r="AV14" s="154">
        <f>IFERROR(INDEX(AcuariosTto[NomProd],MATCH(C14,AcuariosTto[AcuariosTTo],0)),"")</f>
        <v>0</v>
      </c>
      <c r="AW14" s="18" t="str">
        <f>IF(B14&lt;&gt;0,IFERROR(IF(COUNTIF(ItemOcPreven[],B14),"SI",""),""),"")</f>
        <v/>
      </c>
      <c r="AX14" s="18">
        <f>IFERROR(INDEX(ItemOcPreven[TipoProPrev],MATCH(B14,ItemOcPreven[ItemOcPreven],0)),"")</f>
        <v>0</v>
      </c>
      <c r="AY14" s="18">
        <f>IFERROR(INDEX(ItemOcPreven[NomProPrev],MATCH(B14,ItemOcPreven[ItemOcPreven],0)),"")</f>
        <v>0</v>
      </c>
      <c r="AZ14" s="18" t="str">
        <f>IF(B14&lt;&gt;0,IFERROR(IF(COUNTIF(PrevTodas[],"SI"),"SI",""),""),"")</f>
        <v/>
      </c>
      <c r="BA14" s="154" t="str">
        <f>IFERROR(INDEX(ItemOcPreven[TipoProPrev],MATCH(AZ14,PrevTodas[PrevTodas],0)),"")</f>
        <v/>
      </c>
      <c r="BB14" s="154" t="str">
        <f>IFERROR(INDEX(ItemOcPreven[NomProPrev],MATCH(AZ14,PrevTodas[PrevTodas],0)),"")</f>
        <v/>
      </c>
      <c r="BC14" s="18" t="str">
        <f>IF(B14&lt;&gt;0,IFERROR(IF(COUNTIF(ItemOcEvto[],B14),"SI",""),""),"")</f>
        <v/>
      </c>
      <c r="BD14" s="154">
        <f>IFERROR(INDEX(ItemOcEvto[TipoEvto],MATCH(B14,ItemOcEvto[ItemOcEvto],0)),"")</f>
        <v>0</v>
      </c>
      <c r="BE14" s="18" t="str">
        <f>IF(B14&lt;&gt;0,IFERROR(IF(COUNTIF(EvtoTodas[],"SI"),"SI",""),""),"")</f>
        <v/>
      </c>
      <c r="BF14" s="154" t="str">
        <f>IFERROR(INDEX(ItemOcEvto[TipoEvto],MATCH(BE14,EvtoTodas[EvtoTodas],0)),"")</f>
        <v/>
      </c>
      <c r="BG14" s="154">
        <f>SUM(P14:V14)</f>
        <v>0</v>
      </c>
      <c r="BH14" s="154">
        <f>SUM(W14:AC14)</f>
        <v>0</v>
      </c>
      <c r="BI14" s="223"/>
    </row>
    <row r="15" spans="1:64" ht="18" customHeight="1" x14ac:dyDescent="0.25">
      <c r="B15" s="284"/>
      <c r="C15" s="284"/>
      <c r="D15" s="285" t="str">
        <f>IFERROR(VLOOKUP(B15,Item[],3,FALSE),IFERROR(VLOOKUP(B15,Item2[],3,FALSE),""))</f>
        <v/>
      </c>
      <c r="E15" s="286" t="str">
        <f>IFERROR(VLOOKUP(B15,Item[],2,FALSE),IFERROR(VLOOKUP(B15,Item2[],2,FALSE),""))</f>
        <v/>
      </c>
      <c r="F15" s="287"/>
      <c r="G15" s="288" t="str">
        <f t="shared" si="1"/>
        <v/>
      </c>
      <c r="H15" s="287"/>
      <c r="I15" s="287"/>
      <c r="J15" s="287"/>
      <c r="K15" s="288" t="str">
        <f t="shared" si="2"/>
        <v/>
      </c>
      <c r="L15" s="289" t="str">
        <f>IFERROR(K15/F15,"")</f>
        <v/>
      </c>
      <c r="M15" s="287"/>
      <c r="N15" s="288" t="str">
        <f t="shared" ref="N15:N78" si="3">AS15</f>
        <v/>
      </c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  <c r="AD15" s="284"/>
      <c r="AE15" s="284"/>
      <c r="AF15" s="284"/>
      <c r="AG15" s="284"/>
      <c r="AH15" s="284"/>
      <c r="AI15" s="284"/>
      <c r="AJ15" s="284"/>
      <c r="AK15" s="284"/>
      <c r="AL15" s="284"/>
      <c r="AM15" s="284"/>
      <c r="AN15" s="284"/>
      <c r="AO15" s="284"/>
      <c r="AP15" s="284"/>
      <c r="AQ15" s="284"/>
      <c r="AR15" s="284"/>
      <c r="AS15" s="290" t="str">
        <f>IF(C15&lt;&gt;0,IFERROR(IF(COUNTIF(AcuariosTto[],C15),"SI",""),""),"")</f>
        <v/>
      </c>
      <c r="AT15" s="154">
        <f>IFERROR(INDEX(AcuariosTto[SignoTTo],MATCH(C15,AcuariosTto[AcuariosTTo],0)),"")</f>
        <v>0</v>
      </c>
      <c r="AU15" s="154">
        <f>IFERROR(INDEX(AcuariosTto[TipoProd],MATCH(C15,AcuariosTto[AcuariosTTo],0)),"")</f>
        <v>0</v>
      </c>
      <c r="AV15" s="154">
        <f>IFERROR(INDEX(AcuariosTto[NomProd],MATCH(C15,AcuariosTto[AcuariosTTo],0)),"")</f>
        <v>0</v>
      </c>
      <c r="AW15" s="18" t="str">
        <f>IF(B15&lt;&gt;0,IFERROR(IF(COUNTIF(ItemOcPreven[],B15),"SI",""),""),"")</f>
        <v/>
      </c>
      <c r="AX15" s="18">
        <f>IFERROR(INDEX(ItemOcPreven[TipoProPrev],MATCH(B15,ItemOcPreven[ItemOcPreven],0)),"")</f>
        <v>0</v>
      </c>
      <c r="AY15" s="18">
        <f>IFERROR(INDEX(ItemOcPreven[NomProPrev],MATCH(B15,ItemOcPreven[ItemOcPreven],0)),"")</f>
        <v>0</v>
      </c>
      <c r="AZ15" s="18" t="str">
        <f>IF(B15&lt;&gt;0,IFERROR(IF(COUNTIF(PrevTodas[],"SI"),"SI",""),""),"")</f>
        <v/>
      </c>
      <c r="BA15" s="154" t="str">
        <f>IFERROR(INDEX(ItemOcPreven[TipoProPrev],MATCH(AZ15,PrevTodas[PrevTodas],0)),"")</f>
        <v/>
      </c>
      <c r="BB15" s="154" t="str">
        <f>IFERROR(INDEX(ItemOcPreven[NomProPrev],MATCH(AZ15,PrevTodas[PrevTodas],0)),"")</f>
        <v/>
      </c>
      <c r="BC15" s="18" t="str">
        <f>IF(B15&lt;&gt;0,IFERROR(IF(COUNTIF(ItemOcEvto[],B15),"SI",""),""),"")</f>
        <v/>
      </c>
      <c r="BD15" s="154">
        <f>IFERROR(INDEX(ItemOcEvto[TipoEvto],MATCH(B15,ItemOcEvto[ItemOcEvto],0)),"")</f>
        <v>0</v>
      </c>
      <c r="BE15" s="18" t="str">
        <f>IF(B15&lt;&gt;0,IFERROR(IF(COUNTIF(EvtoTodas[],"SI"),"SI",""),""),"")</f>
        <v/>
      </c>
      <c r="BF15" s="154" t="str">
        <f>IFERROR(INDEX(ItemOcEvto[TipoEvto],MATCH(BE15,EvtoTodas[EvtoTodas],0)),"")</f>
        <v/>
      </c>
      <c r="BG15" s="154">
        <f t="shared" ref="BG15:BG78" si="4">SUM(P15:V15)</f>
        <v>0</v>
      </c>
      <c r="BH15" s="154">
        <f t="shared" ref="BH15:BH78" si="5">SUM(W15:AC15)</f>
        <v>0</v>
      </c>
      <c r="BI15" s="223"/>
    </row>
    <row r="16" spans="1:64" ht="18" customHeight="1" x14ac:dyDescent="0.25">
      <c r="B16" s="284"/>
      <c r="C16" s="284"/>
      <c r="D16" s="285" t="str">
        <f>IFERROR(VLOOKUP(B16,Item[],3,FALSE),IFERROR(VLOOKUP(B16,Item2[],3,FALSE),""))</f>
        <v/>
      </c>
      <c r="E16" s="286" t="str">
        <f>IFERROR(VLOOKUP(B16,Item[],2,FALSE),IFERROR(VLOOKUP(B16,Item2[],2,FALSE),""))</f>
        <v/>
      </c>
      <c r="F16" s="287"/>
      <c r="G16" s="288" t="str">
        <f t="shared" si="1"/>
        <v/>
      </c>
      <c r="H16" s="287"/>
      <c r="I16" s="287"/>
      <c r="J16" s="287"/>
      <c r="K16" s="288" t="str">
        <f t="shared" si="2"/>
        <v/>
      </c>
      <c r="L16" s="289" t="str">
        <f>IFERROR(K16/F16,"")</f>
        <v/>
      </c>
      <c r="M16" s="287"/>
      <c r="N16" s="288" t="str">
        <f t="shared" si="3"/>
        <v/>
      </c>
      <c r="O16" s="284"/>
      <c r="P16" s="284"/>
      <c r="Q16" s="284"/>
      <c r="R16" s="284"/>
      <c r="S16" s="284"/>
      <c r="T16" s="284"/>
      <c r="U16" s="284"/>
      <c r="V16" s="284"/>
      <c r="W16" s="284"/>
      <c r="X16" s="284"/>
      <c r="Y16" s="284"/>
      <c r="Z16" s="284"/>
      <c r="AA16" s="284"/>
      <c r="AB16" s="284"/>
      <c r="AC16" s="284"/>
      <c r="AD16" s="284"/>
      <c r="AE16" s="284"/>
      <c r="AF16" s="284"/>
      <c r="AG16" s="284"/>
      <c r="AH16" s="284"/>
      <c r="AI16" s="284"/>
      <c r="AJ16" s="284"/>
      <c r="AK16" s="284"/>
      <c r="AL16" s="284"/>
      <c r="AM16" s="284"/>
      <c r="AN16" s="284"/>
      <c r="AO16" s="284"/>
      <c r="AP16" s="284"/>
      <c r="AQ16" s="284"/>
      <c r="AR16" s="284"/>
      <c r="AS16" s="290" t="str">
        <f>IF(C16&lt;&gt;0,IFERROR(IF(COUNTIF(AcuariosTto[],C16),"SI",""),""),"")</f>
        <v/>
      </c>
      <c r="AT16" s="154">
        <f>IFERROR(INDEX(AcuariosTto[SignoTTo],MATCH(C16,AcuariosTto[AcuariosTTo],0)),"")</f>
        <v>0</v>
      </c>
      <c r="AU16" s="154">
        <f>IFERROR(INDEX(AcuariosTto[TipoProd],MATCH(C16,AcuariosTto[AcuariosTTo],0)),"")</f>
        <v>0</v>
      </c>
      <c r="AV16" s="154">
        <f>IFERROR(INDEX(AcuariosTto[NomProd],MATCH(C16,AcuariosTto[AcuariosTTo],0)),"")</f>
        <v>0</v>
      </c>
      <c r="AW16" s="18" t="str">
        <f>IF(B16&lt;&gt;0,IFERROR(IF(COUNTIF(ItemOcPreven[],B16),"SI",""),""),"")</f>
        <v/>
      </c>
      <c r="AX16" s="18">
        <f>IFERROR(INDEX(ItemOcPreven[TipoProPrev],MATCH(B16,ItemOcPreven[ItemOcPreven],0)),"")</f>
        <v>0</v>
      </c>
      <c r="AY16" s="18">
        <f>IFERROR(INDEX(ItemOcPreven[NomProPrev],MATCH(B16,ItemOcPreven[ItemOcPreven],0)),"")</f>
        <v>0</v>
      </c>
      <c r="AZ16" s="18" t="str">
        <f>IF(B16&lt;&gt;0,IFERROR(IF(COUNTIF(PrevTodas[],"SI"),"SI",""),""),"")</f>
        <v/>
      </c>
      <c r="BA16" s="154" t="str">
        <f>IFERROR(INDEX(ItemOcPreven[TipoProPrev],MATCH(AZ16,PrevTodas[PrevTodas],0)),"")</f>
        <v/>
      </c>
      <c r="BB16" s="154" t="str">
        <f>IFERROR(INDEX(ItemOcPreven[NomProPrev],MATCH(AZ16,PrevTodas[PrevTodas],0)),"")</f>
        <v/>
      </c>
      <c r="BC16" s="18" t="str">
        <f>IF(B16&lt;&gt;0,IFERROR(IF(COUNTIF(ItemOcEvto[],B16),"SI",""),""),"")</f>
        <v/>
      </c>
      <c r="BD16" s="154">
        <f>IFERROR(INDEX(ItemOcEvto[TipoEvto],MATCH(B16,ItemOcEvto[ItemOcEvto],0)),"")</f>
        <v>0</v>
      </c>
      <c r="BE16" s="18" t="str">
        <f>IF(B16&lt;&gt;0,IFERROR(IF(COUNTIF(EvtoTodas[],"SI"),"SI",""),""),"")</f>
        <v/>
      </c>
      <c r="BF16" s="154" t="str">
        <f>IFERROR(INDEX(ItemOcEvto[TipoEvto],MATCH(BE16,EvtoTodas[EvtoTodas],0)),"")</f>
        <v/>
      </c>
      <c r="BG16" s="154">
        <f t="shared" si="4"/>
        <v>0</v>
      </c>
      <c r="BH16" s="154">
        <f t="shared" si="5"/>
        <v>0</v>
      </c>
      <c r="BI16" s="223"/>
    </row>
    <row r="17" spans="2:61" ht="18" customHeight="1" x14ac:dyDescent="0.25">
      <c r="B17" s="284"/>
      <c r="C17" s="284"/>
      <c r="D17" s="285" t="str">
        <f>IFERROR(VLOOKUP(B17,Item[],3,FALSE),IFERROR(VLOOKUP(B17,Item2[],3,FALSE),""))</f>
        <v/>
      </c>
      <c r="E17" s="286" t="str">
        <f>IFERROR(VLOOKUP(B17,Item[],2,FALSE),IFERROR(VLOOKUP(B17,Item2[],2,FALSE),""))</f>
        <v/>
      </c>
      <c r="F17" s="287"/>
      <c r="G17" s="288" t="str">
        <f t="shared" si="1"/>
        <v/>
      </c>
      <c r="H17" s="287"/>
      <c r="I17" s="287"/>
      <c r="J17" s="287"/>
      <c r="K17" s="288" t="str">
        <f t="shared" si="2"/>
        <v/>
      </c>
      <c r="L17" s="289" t="str">
        <f>IFERROR(K17/F17,"")</f>
        <v/>
      </c>
      <c r="M17" s="287"/>
      <c r="N17" s="288" t="str">
        <f t="shared" si="3"/>
        <v/>
      </c>
      <c r="O17" s="284"/>
      <c r="P17" s="284"/>
      <c r="Q17" s="284"/>
      <c r="R17" s="284"/>
      <c r="S17" s="284"/>
      <c r="T17" s="284"/>
      <c r="U17" s="284"/>
      <c r="V17" s="284"/>
      <c r="W17" s="284"/>
      <c r="X17" s="284"/>
      <c r="Y17" s="284"/>
      <c r="Z17" s="284"/>
      <c r="AA17" s="284"/>
      <c r="AB17" s="284"/>
      <c r="AC17" s="284"/>
      <c r="AD17" s="284"/>
      <c r="AE17" s="284"/>
      <c r="AF17" s="284"/>
      <c r="AG17" s="284"/>
      <c r="AH17" s="284"/>
      <c r="AI17" s="284"/>
      <c r="AJ17" s="284"/>
      <c r="AK17" s="284"/>
      <c r="AL17" s="284"/>
      <c r="AM17" s="284"/>
      <c r="AN17" s="284"/>
      <c r="AO17" s="284"/>
      <c r="AP17" s="284"/>
      <c r="AQ17" s="284"/>
      <c r="AR17" s="284"/>
      <c r="AS17" s="290" t="str">
        <f>IF(C17&lt;&gt;0,IFERROR(IF(COUNTIF(AcuariosTto[],C17),"SI",""),""),"")</f>
        <v/>
      </c>
      <c r="AT17" s="154">
        <f>IFERROR(INDEX(AcuariosTto[SignoTTo],MATCH(C17,AcuariosTto[AcuariosTTo],0)),"")</f>
        <v>0</v>
      </c>
      <c r="AU17" s="154">
        <f>IFERROR(INDEX(AcuariosTto[TipoProd],MATCH(C17,AcuariosTto[AcuariosTTo],0)),"")</f>
        <v>0</v>
      </c>
      <c r="AV17" s="154">
        <f>IFERROR(INDEX(AcuariosTto[NomProd],MATCH(C17,AcuariosTto[AcuariosTTo],0)),"")</f>
        <v>0</v>
      </c>
      <c r="AW17" s="18" t="str">
        <f>IF(B17&lt;&gt;0,IFERROR(IF(COUNTIF(ItemOcPreven[],B17),"SI",""),""),"")</f>
        <v/>
      </c>
      <c r="AX17" s="18">
        <f>IFERROR(INDEX(ItemOcPreven[TipoProPrev],MATCH(B17,ItemOcPreven[ItemOcPreven],0)),"")</f>
        <v>0</v>
      </c>
      <c r="AY17" s="18">
        <f>IFERROR(INDEX(ItemOcPreven[NomProPrev],MATCH(B17,ItemOcPreven[ItemOcPreven],0)),"")</f>
        <v>0</v>
      </c>
      <c r="AZ17" s="18" t="str">
        <f>IF(B17&lt;&gt;0,IFERROR(IF(COUNTIF(PrevTodas[],"SI"),"SI",""),""),"")</f>
        <v/>
      </c>
      <c r="BA17" s="154" t="str">
        <f>IFERROR(INDEX(ItemOcPreven[TipoProPrev],MATCH(AZ17,PrevTodas[PrevTodas],0)),"")</f>
        <v/>
      </c>
      <c r="BB17" s="154" t="str">
        <f>IFERROR(INDEX(ItemOcPreven[NomProPrev],MATCH(AZ17,PrevTodas[PrevTodas],0)),"")</f>
        <v/>
      </c>
      <c r="BC17" s="18" t="str">
        <f>IF(B17&lt;&gt;0,IFERROR(IF(COUNTIF(ItemOcEvto[],B17),"SI",""),""),"")</f>
        <v/>
      </c>
      <c r="BD17" s="154">
        <f>IFERROR(INDEX(ItemOcEvto[TipoEvto],MATCH(B17,ItemOcEvto[ItemOcEvto],0)),"")</f>
        <v>0</v>
      </c>
      <c r="BE17" s="18" t="str">
        <f>IF(B17&lt;&gt;0,IFERROR(IF(COUNTIF(EvtoTodas[],"SI"),"SI",""),""),"")</f>
        <v/>
      </c>
      <c r="BF17" s="154" t="str">
        <f>IFERROR(INDEX(ItemOcEvto[TipoEvto],MATCH(BE17,EvtoTodas[EvtoTodas],0)),"")</f>
        <v/>
      </c>
      <c r="BG17" s="154">
        <f t="shared" si="4"/>
        <v>0</v>
      </c>
      <c r="BH17" s="154">
        <f t="shared" si="5"/>
        <v>0</v>
      </c>
      <c r="BI17" s="223"/>
    </row>
    <row r="18" spans="2:61" ht="18" customHeight="1" x14ac:dyDescent="0.25">
      <c r="B18" s="284"/>
      <c r="C18" s="284"/>
      <c r="D18" s="285" t="str">
        <f>IFERROR(VLOOKUP(B18,Item[],3,FALSE),IFERROR(VLOOKUP(B18,Item2[],3,FALSE),""))</f>
        <v/>
      </c>
      <c r="E18" s="286" t="str">
        <f>IFERROR(VLOOKUP(B18,Item[],2,FALSE),IFERROR(VLOOKUP(B18,Item2[],2,FALSE),""))</f>
        <v/>
      </c>
      <c r="F18" s="287"/>
      <c r="G18" s="288" t="str">
        <f t="shared" si="1"/>
        <v/>
      </c>
      <c r="H18" s="287"/>
      <c r="I18" s="287"/>
      <c r="J18" s="287"/>
      <c r="K18" s="288" t="str">
        <f t="shared" si="2"/>
        <v/>
      </c>
      <c r="L18" s="289" t="str">
        <f>IFERROR(K18/F18,"")</f>
        <v/>
      </c>
      <c r="M18" s="287"/>
      <c r="N18" s="288" t="str">
        <f t="shared" si="3"/>
        <v/>
      </c>
      <c r="O18" s="284"/>
      <c r="P18" s="284"/>
      <c r="Q18" s="284"/>
      <c r="R18" s="284"/>
      <c r="S18" s="284"/>
      <c r="T18" s="284"/>
      <c r="U18" s="284"/>
      <c r="V18" s="284"/>
      <c r="W18" s="284"/>
      <c r="X18" s="284"/>
      <c r="Y18" s="284"/>
      <c r="Z18" s="284"/>
      <c r="AA18" s="284"/>
      <c r="AB18" s="284"/>
      <c r="AC18" s="284"/>
      <c r="AD18" s="284"/>
      <c r="AE18" s="284"/>
      <c r="AF18" s="284"/>
      <c r="AG18" s="284"/>
      <c r="AH18" s="284"/>
      <c r="AI18" s="284"/>
      <c r="AJ18" s="284"/>
      <c r="AK18" s="284"/>
      <c r="AL18" s="284"/>
      <c r="AM18" s="284"/>
      <c r="AN18" s="284"/>
      <c r="AO18" s="284"/>
      <c r="AP18" s="284"/>
      <c r="AQ18" s="284"/>
      <c r="AR18" s="284"/>
      <c r="AS18" s="290" t="str">
        <f>IF(C18&lt;&gt;0,IFERROR(IF(COUNTIF(AcuariosTto[],C18),"SI",""),""),"")</f>
        <v/>
      </c>
      <c r="AT18" s="154">
        <f>IFERROR(INDEX(AcuariosTto[SignoTTo],MATCH(C18,AcuariosTto[AcuariosTTo],0)),"")</f>
        <v>0</v>
      </c>
      <c r="AU18" s="154">
        <f>IFERROR(INDEX(AcuariosTto[TipoProd],MATCH(C18,AcuariosTto[AcuariosTTo],0)),"")</f>
        <v>0</v>
      </c>
      <c r="AV18" s="154">
        <f>IFERROR(INDEX(AcuariosTto[NomProd],MATCH(C18,AcuariosTto[AcuariosTTo],0)),"")</f>
        <v>0</v>
      </c>
      <c r="AW18" s="18" t="str">
        <f>IF(B18&lt;&gt;0,IFERROR(IF(COUNTIF(ItemOcPreven[],B18),"SI",""),""),"")</f>
        <v/>
      </c>
      <c r="AX18" s="18">
        <f>IFERROR(INDEX(ItemOcPreven[TipoProPrev],MATCH(B18,ItemOcPreven[ItemOcPreven],0)),"")</f>
        <v>0</v>
      </c>
      <c r="AY18" s="18">
        <f>IFERROR(INDEX(ItemOcPreven[NomProPrev],MATCH(B18,ItemOcPreven[ItemOcPreven],0)),"")</f>
        <v>0</v>
      </c>
      <c r="AZ18" s="18" t="str">
        <f>IF(B18&lt;&gt;0,IFERROR(IF(COUNTIF(PrevTodas[],"SI"),"SI",""),""),"")</f>
        <v/>
      </c>
      <c r="BA18" s="154" t="str">
        <f>IFERROR(INDEX(ItemOcPreven[TipoProPrev],MATCH(AZ18,PrevTodas[PrevTodas],0)),"")</f>
        <v/>
      </c>
      <c r="BB18" s="154" t="str">
        <f>IFERROR(INDEX(ItemOcPreven[NomProPrev],MATCH(AZ18,PrevTodas[PrevTodas],0)),"")</f>
        <v/>
      </c>
      <c r="BC18" s="18" t="str">
        <f>IF(B18&lt;&gt;0,IFERROR(IF(COUNTIF(ItemOcEvto[],B18),"SI",""),""),"")</f>
        <v/>
      </c>
      <c r="BD18" s="154">
        <f>IFERROR(INDEX(ItemOcEvto[TipoEvto],MATCH(B18,ItemOcEvto[ItemOcEvto],0)),"")</f>
        <v>0</v>
      </c>
      <c r="BE18" s="18" t="str">
        <f>IF(B18&lt;&gt;0,IFERROR(IF(COUNTIF(EvtoTodas[],"SI"),"SI",""),""),"")</f>
        <v/>
      </c>
      <c r="BF18" s="154" t="str">
        <f>IFERROR(INDEX(ItemOcEvto[TipoEvto],MATCH(BE18,EvtoTodas[EvtoTodas],0)),"")</f>
        <v/>
      </c>
      <c r="BG18" s="154">
        <f t="shared" si="4"/>
        <v>0</v>
      </c>
      <c r="BH18" s="154">
        <f t="shared" si="5"/>
        <v>0</v>
      </c>
      <c r="BI18" s="223"/>
    </row>
    <row r="19" spans="2:61" ht="18" customHeight="1" x14ac:dyDescent="0.25">
      <c r="B19" s="284"/>
      <c r="C19" s="284"/>
      <c r="D19" s="285" t="str">
        <f>IFERROR(VLOOKUP(B19,Item[],3,FALSE),IFERROR(VLOOKUP(B19,Item2[],3,FALSE),""))</f>
        <v/>
      </c>
      <c r="E19" s="286" t="str">
        <f>IFERROR(VLOOKUP(B19,Item[],2,FALSE),IFERROR(VLOOKUP(B19,Item2[],2,FALSE),""))</f>
        <v/>
      </c>
      <c r="F19" s="287"/>
      <c r="G19" s="288" t="str">
        <f t="shared" si="1"/>
        <v/>
      </c>
      <c r="H19" s="287"/>
      <c r="I19" s="287"/>
      <c r="J19" s="287"/>
      <c r="K19" s="288" t="str">
        <f t="shared" si="2"/>
        <v/>
      </c>
      <c r="L19" s="289" t="str">
        <f t="shared" ref="L19:L82" si="6">IFERROR(K19/F19,"")</f>
        <v/>
      </c>
      <c r="M19" s="287"/>
      <c r="N19" s="288" t="str">
        <f t="shared" si="3"/>
        <v/>
      </c>
      <c r="O19" s="284"/>
      <c r="P19" s="284"/>
      <c r="Q19" s="284"/>
      <c r="R19" s="284"/>
      <c r="S19" s="284"/>
      <c r="T19" s="284"/>
      <c r="U19" s="284"/>
      <c r="V19" s="284"/>
      <c r="W19" s="284"/>
      <c r="X19" s="284"/>
      <c r="Y19" s="284"/>
      <c r="Z19" s="284"/>
      <c r="AA19" s="284"/>
      <c r="AB19" s="284"/>
      <c r="AC19" s="284"/>
      <c r="AD19" s="284"/>
      <c r="AE19" s="284"/>
      <c r="AF19" s="284"/>
      <c r="AG19" s="284"/>
      <c r="AH19" s="284"/>
      <c r="AI19" s="284"/>
      <c r="AJ19" s="284"/>
      <c r="AK19" s="284"/>
      <c r="AL19" s="284"/>
      <c r="AM19" s="284"/>
      <c r="AN19" s="284"/>
      <c r="AO19" s="284"/>
      <c r="AP19" s="284"/>
      <c r="AQ19" s="284"/>
      <c r="AR19" s="284"/>
      <c r="AS19" s="290" t="str">
        <f>IF(C19&lt;&gt;0,IFERROR(IF(COUNTIF(AcuariosTto[],C19),"SI",""),""),"")</f>
        <v/>
      </c>
      <c r="AT19" s="154">
        <f>IFERROR(INDEX(AcuariosTto[SignoTTo],MATCH(C19,AcuariosTto[AcuariosTTo],0)),"")</f>
        <v>0</v>
      </c>
      <c r="AU19" s="154">
        <f>IFERROR(INDEX(AcuariosTto[TipoProd],MATCH(C19,AcuariosTto[AcuariosTTo],0)),"")</f>
        <v>0</v>
      </c>
      <c r="AV19" s="154">
        <f>IFERROR(INDEX(AcuariosTto[NomProd],MATCH(C19,AcuariosTto[AcuariosTTo],0)),"")</f>
        <v>0</v>
      </c>
      <c r="AW19" s="18" t="str">
        <f>IF(B19&lt;&gt;0,IFERROR(IF(COUNTIF(ItemOcPreven[],B19),"SI",""),""),"")</f>
        <v/>
      </c>
      <c r="AX19" s="18">
        <f>IFERROR(INDEX(ItemOcPreven[TipoProPrev],MATCH(B19,ItemOcPreven[ItemOcPreven],0)),"")</f>
        <v>0</v>
      </c>
      <c r="AY19" s="18">
        <f>IFERROR(INDEX(ItemOcPreven[NomProPrev],MATCH(B19,ItemOcPreven[ItemOcPreven],0)),"")</f>
        <v>0</v>
      </c>
      <c r="AZ19" s="18" t="str">
        <f>IF(B19&lt;&gt;0,IFERROR(IF(COUNTIF(PrevTodas[],"SI"),"SI",""),""),"")</f>
        <v/>
      </c>
      <c r="BA19" s="154" t="str">
        <f>IFERROR(INDEX(ItemOcPreven[TipoProPrev],MATCH(AZ19,PrevTodas[PrevTodas],0)),"")</f>
        <v/>
      </c>
      <c r="BB19" s="154" t="str">
        <f>IFERROR(INDEX(ItemOcPreven[NomProPrev],MATCH(AZ19,PrevTodas[PrevTodas],0)),"")</f>
        <v/>
      </c>
      <c r="BC19" s="18" t="str">
        <f>IF(B19&lt;&gt;0,IFERROR(IF(COUNTIF(ItemOcEvto[],B19),"SI",""),""),"")</f>
        <v/>
      </c>
      <c r="BD19" s="154">
        <f>IFERROR(INDEX(ItemOcEvto[TipoEvto],MATCH(B19,ItemOcEvto[ItemOcEvto],0)),"")</f>
        <v>0</v>
      </c>
      <c r="BE19" s="18" t="str">
        <f>IF(B19&lt;&gt;0,IFERROR(IF(COUNTIF(EvtoTodas[],"SI"),"SI",""),""),"")</f>
        <v/>
      </c>
      <c r="BF19" s="154" t="str">
        <f>IFERROR(INDEX(ItemOcEvto[TipoEvto],MATCH(BE19,EvtoTodas[EvtoTodas],0)),"")</f>
        <v/>
      </c>
      <c r="BG19" s="154">
        <f t="shared" si="4"/>
        <v>0</v>
      </c>
      <c r="BH19" s="154">
        <f t="shared" si="5"/>
        <v>0</v>
      </c>
      <c r="BI19" s="223"/>
    </row>
    <row r="20" spans="2:61" ht="18" customHeight="1" x14ac:dyDescent="0.25">
      <c r="B20" s="284"/>
      <c r="C20" s="284"/>
      <c r="D20" s="285" t="str">
        <f>IFERROR(VLOOKUP(B20,Item[],3,FALSE),IFERROR(VLOOKUP(B20,Item2[],3,FALSE),""))</f>
        <v/>
      </c>
      <c r="E20" s="286" t="str">
        <f>IFERROR(VLOOKUP(B20,Item[],2,FALSE),IFERROR(VLOOKUP(B20,Item2[],2,FALSE),""))</f>
        <v/>
      </c>
      <c r="F20" s="287"/>
      <c r="G20" s="288" t="str">
        <f t="shared" si="1"/>
        <v/>
      </c>
      <c r="H20" s="287"/>
      <c r="I20" s="287"/>
      <c r="J20" s="287"/>
      <c r="K20" s="288" t="str">
        <f t="shared" si="2"/>
        <v/>
      </c>
      <c r="L20" s="289" t="str">
        <f t="shared" si="6"/>
        <v/>
      </c>
      <c r="M20" s="287"/>
      <c r="N20" s="288" t="str">
        <f t="shared" si="3"/>
        <v/>
      </c>
      <c r="O20" s="284"/>
      <c r="P20" s="284"/>
      <c r="Q20" s="284"/>
      <c r="R20" s="284"/>
      <c r="S20" s="284"/>
      <c r="T20" s="284"/>
      <c r="U20" s="284"/>
      <c r="V20" s="284"/>
      <c r="W20" s="284"/>
      <c r="X20" s="284"/>
      <c r="Y20" s="284"/>
      <c r="Z20" s="284"/>
      <c r="AA20" s="284"/>
      <c r="AB20" s="284"/>
      <c r="AC20" s="284"/>
      <c r="AD20" s="284"/>
      <c r="AE20" s="284"/>
      <c r="AF20" s="284"/>
      <c r="AG20" s="284"/>
      <c r="AH20" s="284"/>
      <c r="AI20" s="284"/>
      <c r="AJ20" s="284"/>
      <c r="AK20" s="284"/>
      <c r="AL20" s="284"/>
      <c r="AM20" s="284"/>
      <c r="AN20" s="284"/>
      <c r="AO20" s="284"/>
      <c r="AP20" s="284"/>
      <c r="AQ20" s="284"/>
      <c r="AR20" s="284"/>
      <c r="AS20" s="290" t="str">
        <f>IF(C20&lt;&gt;0,IFERROR(IF(COUNTIF(AcuariosTto[],C20),"SI",""),""),"")</f>
        <v/>
      </c>
      <c r="AT20" s="154">
        <f>IFERROR(INDEX(AcuariosTto[SignoTTo],MATCH(C20,AcuariosTto[AcuariosTTo],0)),"")</f>
        <v>0</v>
      </c>
      <c r="AU20" s="154">
        <f>IFERROR(INDEX(AcuariosTto[TipoProd],MATCH(C20,AcuariosTto[AcuariosTTo],0)),"")</f>
        <v>0</v>
      </c>
      <c r="AV20" s="154">
        <f>IFERROR(INDEX(AcuariosTto[NomProd],MATCH(C20,AcuariosTto[AcuariosTTo],0)),"")</f>
        <v>0</v>
      </c>
      <c r="AW20" s="18" t="str">
        <f>IF(B20&lt;&gt;0,IFERROR(IF(COUNTIF(ItemOcPreven[],B20),"SI",""),""),"")</f>
        <v/>
      </c>
      <c r="AX20" s="18">
        <f>IFERROR(INDEX(ItemOcPreven[TipoProPrev],MATCH(B20,ItemOcPreven[ItemOcPreven],0)),"")</f>
        <v>0</v>
      </c>
      <c r="AY20" s="18">
        <f>IFERROR(INDEX(ItemOcPreven[NomProPrev],MATCH(B20,ItemOcPreven[ItemOcPreven],0)),"")</f>
        <v>0</v>
      </c>
      <c r="AZ20" s="18" t="str">
        <f>IF(B20&lt;&gt;0,IFERROR(IF(COUNTIF(PrevTodas[],"SI"),"SI",""),""),"")</f>
        <v/>
      </c>
      <c r="BA20" s="154" t="str">
        <f>IFERROR(INDEX(ItemOcPreven[TipoProPrev],MATCH(AZ20,PrevTodas[PrevTodas],0)),"")</f>
        <v/>
      </c>
      <c r="BB20" s="154" t="str">
        <f>IFERROR(INDEX(ItemOcPreven[NomProPrev],MATCH(AZ20,PrevTodas[PrevTodas],0)),"")</f>
        <v/>
      </c>
      <c r="BC20" s="18" t="str">
        <f>IF(B20&lt;&gt;0,IFERROR(IF(COUNTIF(ItemOcEvto[],B20),"SI",""),""),"")</f>
        <v/>
      </c>
      <c r="BD20" s="154">
        <f>IFERROR(INDEX(ItemOcEvto[TipoEvto],MATCH(B20,ItemOcEvto[ItemOcEvto],0)),"")</f>
        <v>0</v>
      </c>
      <c r="BE20" s="18" t="str">
        <f>IF(B20&lt;&gt;0,IFERROR(IF(COUNTIF(EvtoTodas[],"SI"),"SI",""),""),"")</f>
        <v/>
      </c>
      <c r="BF20" s="154" t="str">
        <f>IFERROR(INDEX(ItemOcEvto[TipoEvto],MATCH(BE20,EvtoTodas[EvtoTodas],0)),"")</f>
        <v/>
      </c>
      <c r="BG20" s="154">
        <f t="shared" si="4"/>
        <v>0</v>
      </c>
      <c r="BH20" s="154">
        <f t="shared" si="5"/>
        <v>0</v>
      </c>
      <c r="BI20" s="223"/>
    </row>
    <row r="21" spans="2:61" ht="18" customHeight="1" x14ac:dyDescent="0.25">
      <c r="B21" s="284"/>
      <c r="C21" s="284"/>
      <c r="D21" s="285" t="str">
        <f>IFERROR(VLOOKUP(B21,Item[],3,FALSE),IFERROR(VLOOKUP(B21,Item2[],3,FALSE),""))</f>
        <v/>
      </c>
      <c r="E21" s="286" t="str">
        <f>IFERROR(VLOOKUP(B21,Item[],2,FALSE),IFERROR(VLOOKUP(B21,Item2[],2,FALSE),""))</f>
        <v/>
      </c>
      <c r="F21" s="287"/>
      <c r="G21" s="288" t="str">
        <f t="shared" si="1"/>
        <v/>
      </c>
      <c r="H21" s="287"/>
      <c r="I21" s="287"/>
      <c r="J21" s="287"/>
      <c r="K21" s="288" t="str">
        <f t="shared" si="2"/>
        <v/>
      </c>
      <c r="L21" s="289" t="str">
        <f t="shared" si="6"/>
        <v/>
      </c>
      <c r="M21" s="287"/>
      <c r="N21" s="288" t="str">
        <f t="shared" si="3"/>
        <v/>
      </c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4"/>
      <c r="AM21" s="284"/>
      <c r="AN21" s="284"/>
      <c r="AO21" s="284"/>
      <c r="AP21" s="284"/>
      <c r="AQ21" s="284"/>
      <c r="AR21" s="284"/>
      <c r="AS21" s="290" t="str">
        <f>IF(C21&lt;&gt;0,IFERROR(IF(COUNTIF(AcuariosTto[],C21),"SI",""),""),"")</f>
        <v/>
      </c>
      <c r="AT21" s="154">
        <f>IFERROR(INDEX(AcuariosTto[SignoTTo],MATCH(C21,AcuariosTto[AcuariosTTo],0)),"")</f>
        <v>0</v>
      </c>
      <c r="AU21" s="154">
        <f>IFERROR(INDEX(AcuariosTto[TipoProd],MATCH(C21,AcuariosTto[AcuariosTTo],0)),"")</f>
        <v>0</v>
      </c>
      <c r="AV21" s="154">
        <f>IFERROR(INDEX(AcuariosTto[NomProd],MATCH(C21,AcuariosTto[AcuariosTTo],0)),"")</f>
        <v>0</v>
      </c>
      <c r="AW21" s="18" t="str">
        <f>IF(B21&lt;&gt;0,IFERROR(IF(COUNTIF(ItemOcPreven[],B21),"SI",""),""),"")</f>
        <v/>
      </c>
      <c r="AX21" s="18">
        <f>IFERROR(INDEX(ItemOcPreven[TipoProPrev],MATCH(B21,ItemOcPreven[ItemOcPreven],0)),"")</f>
        <v>0</v>
      </c>
      <c r="AY21" s="18">
        <f>IFERROR(INDEX(ItemOcPreven[NomProPrev],MATCH(B21,ItemOcPreven[ItemOcPreven],0)),"")</f>
        <v>0</v>
      </c>
      <c r="AZ21" s="18" t="str">
        <f>IF(B21&lt;&gt;0,IFERROR(IF(COUNTIF(PrevTodas[],"SI"),"SI",""),""),"")</f>
        <v/>
      </c>
      <c r="BA21" s="154" t="str">
        <f>IFERROR(INDEX(ItemOcPreven[TipoProPrev],MATCH(AZ21,PrevTodas[PrevTodas],0)),"")</f>
        <v/>
      </c>
      <c r="BB21" s="154" t="str">
        <f>IFERROR(INDEX(ItemOcPreven[NomProPrev],MATCH(AZ21,PrevTodas[PrevTodas],0)),"")</f>
        <v/>
      </c>
      <c r="BC21" s="18" t="str">
        <f>IF(B21&lt;&gt;0,IFERROR(IF(COUNTIF(ItemOcEvto[],B21),"SI",""),""),"")</f>
        <v/>
      </c>
      <c r="BD21" s="154">
        <f>IFERROR(INDEX(ItemOcEvto[TipoEvto],MATCH(B21,ItemOcEvto[ItemOcEvto],0)),"")</f>
        <v>0</v>
      </c>
      <c r="BE21" s="18" t="str">
        <f>IF(B21&lt;&gt;0,IFERROR(IF(COUNTIF(EvtoTodas[],"SI"),"SI",""),""),"")</f>
        <v/>
      </c>
      <c r="BF21" s="154" t="str">
        <f>IFERROR(INDEX(ItemOcEvto[TipoEvto],MATCH(BE21,EvtoTodas[EvtoTodas],0)),"")</f>
        <v/>
      </c>
      <c r="BG21" s="154">
        <f t="shared" si="4"/>
        <v>0</v>
      </c>
      <c r="BH21" s="154">
        <f t="shared" si="5"/>
        <v>0</v>
      </c>
      <c r="BI21" s="223"/>
    </row>
    <row r="22" spans="2:61" ht="18" customHeight="1" x14ac:dyDescent="0.25">
      <c r="B22" s="284"/>
      <c r="C22" s="284"/>
      <c r="D22" s="285" t="str">
        <f>IFERROR(VLOOKUP(B22,Item[],3,FALSE),IFERROR(VLOOKUP(B22,Item2[],3,FALSE),""))</f>
        <v/>
      </c>
      <c r="E22" s="286" t="str">
        <f>IFERROR(VLOOKUP(B22,Item[],2,FALSE),IFERROR(VLOOKUP(B22,Item2[],2,FALSE),""))</f>
        <v/>
      </c>
      <c r="F22" s="287"/>
      <c r="G22" s="288" t="str">
        <f t="shared" si="1"/>
        <v/>
      </c>
      <c r="H22" s="287"/>
      <c r="I22" s="287"/>
      <c r="J22" s="287"/>
      <c r="K22" s="288" t="str">
        <f t="shared" si="2"/>
        <v/>
      </c>
      <c r="L22" s="289" t="str">
        <f t="shared" si="6"/>
        <v/>
      </c>
      <c r="M22" s="287"/>
      <c r="N22" s="288" t="str">
        <f t="shared" si="3"/>
        <v/>
      </c>
      <c r="O22" s="284"/>
      <c r="P22" s="284"/>
      <c r="Q22" s="284"/>
      <c r="R22" s="284"/>
      <c r="S22" s="284"/>
      <c r="T22" s="284"/>
      <c r="U22" s="284"/>
      <c r="V22" s="284"/>
      <c r="W22" s="284"/>
      <c r="X22" s="284"/>
      <c r="Y22" s="284"/>
      <c r="Z22" s="284"/>
      <c r="AA22" s="284"/>
      <c r="AB22" s="284"/>
      <c r="AC22" s="284"/>
      <c r="AD22" s="284"/>
      <c r="AE22" s="284"/>
      <c r="AF22" s="284"/>
      <c r="AG22" s="284"/>
      <c r="AH22" s="284"/>
      <c r="AI22" s="284"/>
      <c r="AJ22" s="284"/>
      <c r="AK22" s="284"/>
      <c r="AL22" s="284"/>
      <c r="AM22" s="284"/>
      <c r="AN22" s="284"/>
      <c r="AO22" s="284"/>
      <c r="AP22" s="284"/>
      <c r="AQ22" s="284"/>
      <c r="AR22" s="284"/>
      <c r="AS22" s="290" t="str">
        <f>IF(C22&lt;&gt;0,IFERROR(IF(COUNTIF(AcuariosTto[],C22),"SI",""),""),"")</f>
        <v/>
      </c>
      <c r="AT22" s="154">
        <f>IFERROR(INDEX(AcuariosTto[SignoTTo],MATCH(C22,AcuariosTto[AcuariosTTo],0)),"")</f>
        <v>0</v>
      </c>
      <c r="AU22" s="154">
        <f>IFERROR(INDEX(AcuariosTto[TipoProd],MATCH(C22,AcuariosTto[AcuariosTTo],0)),"")</f>
        <v>0</v>
      </c>
      <c r="AV22" s="154">
        <f>IFERROR(INDEX(AcuariosTto[NomProd],MATCH(C22,AcuariosTto[AcuariosTTo],0)),"")</f>
        <v>0</v>
      </c>
      <c r="AW22" s="18" t="str">
        <f>IF(B22&lt;&gt;0,IFERROR(IF(COUNTIF(ItemOcPreven[],B22),"SI",""),""),"")</f>
        <v/>
      </c>
      <c r="AX22" s="18">
        <f>IFERROR(INDEX(ItemOcPreven[TipoProPrev],MATCH(B22,ItemOcPreven[ItemOcPreven],0)),"")</f>
        <v>0</v>
      </c>
      <c r="AY22" s="18">
        <f>IFERROR(INDEX(ItemOcPreven[NomProPrev],MATCH(B22,ItemOcPreven[ItemOcPreven],0)),"")</f>
        <v>0</v>
      </c>
      <c r="AZ22" s="18" t="str">
        <f>IF(B22&lt;&gt;0,IFERROR(IF(COUNTIF(PrevTodas[],"SI"),"SI",""),""),"")</f>
        <v/>
      </c>
      <c r="BA22" s="154" t="str">
        <f>IFERROR(INDEX(ItemOcPreven[TipoProPrev],MATCH(AZ22,PrevTodas[PrevTodas],0)),"")</f>
        <v/>
      </c>
      <c r="BB22" s="154" t="str">
        <f>IFERROR(INDEX(ItemOcPreven[NomProPrev],MATCH(AZ22,PrevTodas[PrevTodas],0)),"")</f>
        <v/>
      </c>
      <c r="BC22" s="18" t="str">
        <f>IF(B22&lt;&gt;0,IFERROR(IF(COUNTIF(ItemOcEvto[],B22),"SI",""),""),"")</f>
        <v/>
      </c>
      <c r="BD22" s="154">
        <f>IFERROR(INDEX(ItemOcEvto[TipoEvto],MATCH(B22,ItemOcEvto[ItemOcEvto],0)),"")</f>
        <v>0</v>
      </c>
      <c r="BE22" s="18" t="str">
        <f>IF(B22&lt;&gt;0,IFERROR(IF(COUNTIF(EvtoTodas[],"SI"),"SI",""),""),"")</f>
        <v/>
      </c>
      <c r="BF22" s="154" t="str">
        <f>IFERROR(INDEX(ItemOcEvto[TipoEvto],MATCH(BE22,EvtoTodas[EvtoTodas],0)),"")</f>
        <v/>
      </c>
      <c r="BG22" s="154">
        <f t="shared" si="4"/>
        <v>0</v>
      </c>
      <c r="BH22" s="154">
        <f t="shared" si="5"/>
        <v>0</v>
      </c>
      <c r="BI22" s="223"/>
    </row>
    <row r="23" spans="2:61" ht="18" customHeight="1" x14ac:dyDescent="0.25">
      <c r="B23" s="284"/>
      <c r="C23" s="284"/>
      <c r="D23" s="285" t="str">
        <f>IFERROR(VLOOKUP(B23,Item[],3,FALSE),IFERROR(VLOOKUP(B23,Item2[],3,FALSE),""))</f>
        <v/>
      </c>
      <c r="E23" s="286" t="str">
        <f>IFERROR(VLOOKUP(B23,Item[],2,FALSE),IFERROR(VLOOKUP(B23,Item2[],2,FALSE),""))</f>
        <v/>
      </c>
      <c r="F23" s="287"/>
      <c r="G23" s="288" t="str">
        <f t="shared" si="1"/>
        <v/>
      </c>
      <c r="H23" s="287"/>
      <c r="I23" s="287"/>
      <c r="J23" s="287"/>
      <c r="K23" s="288" t="str">
        <f t="shared" si="2"/>
        <v/>
      </c>
      <c r="L23" s="289" t="str">
        <f t="shared" si="6"/>
        <v/>
      </c>
      <c r="M23" s="287"/>
      <c r="N23" s="288" t="str">
        <f t="shared" si="3"/>
        <v/>
      </c>
      <c r="O23" s="284"/>
      <c r="P23" s="284"/>
      <c r="Q23" s="284"/>
      <c r="R23" s="284"/>
      <c r="S23" s="284"/>
      <c r="T23" s="284"/>
      <c r="U23" s="284"/>
      <c r="V23" s="284"/>
      <c r="W23" s="284"/>
      <c r="X23" s="284"/>
      <c r="Y23" s="284"/>
      <c r="Z23" s="284"/>
      <c r="AA23" s="284"/>
      <c r="AB23" s="284"/>
      <c r="AC23" s="284"/>
      <c r="AD23" s="284"/>
      <c r="AE23" s="284"/>
      <c r="AF23" s="284"/>
      <c r="AG23" s="284"/>
      <c r="AH23" s="284"/>
      <c r="AI23" s="284"/>
      <c r="AJ23" s="284"/>
      <c r="AK23" s="284"/>
      <c r="AL23" s="284"/>
      <c r="AM23" s="284"/>
      <c r="AN23" s="284"/>
      <c r="AO23" s="284"/>
      <c r="AP23" s="284"/>
      <c r="AQ23" s="284"/>
      <c r="AR23" s="284"/>
      <c r="AS23" s="290" t="str">
        <f>IF(C23&lt;&gt;0,IFERROR(IF(COUNTIF(AcuariosTto[],C23),"SI",""),""),"")</f>
        <v/>
      </c>
      <c r="AT23" s="154">
        <f>IFERROR(INDEX(AcuariosTto[SignoTTo],MATCH(C23,AcuariosTto[AcuariosTTo],0)),"")</f>
        <v>0</v>
      </c>
      <c r="AU23" s="154">
        <f>IFERROR(INDEX(AcuariosTto[TipoProd],MATCH(C23,AcuariosTto[AcuariosTTo],0)),"")</f>
        <v>0</v>
      </c>
      <c r="AV23" s="154">
        <f>IFERROR(INDEX(AcuariosTto[NomProd],MATCH(C23,AcuariosTto[AcuariosTTo],0)),"")</f>
        <v>0</v>
      </c>
      <c r="AW23" s="18" t="str">
        <f>IF(B23&lt;&gt;0,IFERROR(IF(COUNTIF(ItemOcPreven[],B23),"SI",""),""),"")</f>
        <v/>
      </c>
      <c r="AX23" s="18">
        <f>IFERROR(INDEX(ItemOcPreven[TipoProPrev],MATCH(B23,ItemOcPreven[ItemOcPreven],0)),"")</f>
        <v>0</v>
      </c>
      <c r="AY23" s="18">
        <f>IFERROR(INDEX(ItemOcPreven[NomProPrev],MATCH(B23,ItemOcPreven[ItemOcPreven],0)),"")</f>
        <v>0</v>
      </c>
      <c r="AZ23" s="18" t="str">
        <f>IF(B23&lt;&gt;0,IFERROR(IF(COUNTIF(PrevTodas[],"SI"),"SI",""),""),"")</f>
        <v/>
      </c>
      <c r="BA23" s="154" t="str">
        <f>IFERROR(INDEX(ItemOcPreven[TipoProPrev],MATCH(AZ23,PrevTodas[PrevTodas],0)),"")</f>
        <v/>
      </c>
      <c r="BB23" s="154" t="str">
        <f>IFERROR(INDEX(ItemOcPreven[NomProPrev],MATCH(AZ23,PrevTodas[PrevTodas],0)),"")</f>
        <v/>
      </c>
      <c r="BC23" s="18" t="str">
        <f>IF(B23&lt;&gt;0,IFERROR(IF(COUNTIF(ItemOcEvto[],B23),"SI",""),""),"")</f>
        <v/>
      </c>
      <c r="BD23" s="154">
        <f>IFERROR(INDEX(ItemOcEvto[TipoEvto],MATCH(B23,ItemOcEvto[ItemOcEvto],0)),"")</f>
        <v>0</v>
      </c>
      <c r="BE23" s="18" t="str">
        <f>IF(B23&lt;&gt;0,IFERROR(IF(COUNTIF(EvtoTodas[],"SI"),"SI",""),""),"")</f>
        <v/>
      </c>
      <c r="BF23" s="154" t="str">
        <f>IFERROR(INDEX(ItemOcEvto[TipoEvto],MATCH(BE23,EvtoTodas[EvtoTodas],0)),"")</f>
        <v/>
      </c>
      <c r="BG23" s="154">
        <f t="shared" si="4"/>
        <v>0</v>
      </c>
      <c r="BH23" s="154">
        <f t="shared" si="5"/>
        <v>0</v>
      </c>
      <c r="BI23" s="223"/>
    </row>
    <row r="24" spans="2:61" ht="18" customHeight="1" x14ac:dyDescent="0.25">
      <c r="B24" s="284"/>
      <c r="C24" s="284"/>
      <c r="D24" s="285" t="str">
        <f>IFERROR(VLOOKUP(B24,Item[],3,FALSE),IFERROR(VLOOKUP(B24,Item2[],3,FALSE),""))</f>
        <v/>
      </c>
      <c r="E24" s="286" t="str">
        <f>IFERROR(VLOOKUP(B24,Item[],2,FALSE),IFERROR(VLOOKUP(B24,Item2[],2,FALSE),""))</f>
        <v/>
      </c>
      <c r="F24" s="287"/>
      <c r="G24" s="288" t="str">
        <f t="shared" si="1"/>
        <v/>
      </c>
      <c r="H24" s="287"/>
      <c r="I24" s="287"/>
      <c r="J24" s="287"/>
      <c r="K24" s="288" t="str">
        <f t="shared" si="2"/>
        <v/>
      </c>
      <c r="L24" s="289" t="str">
        <f t="shared" si="6"/>
        <v/>
      </c>
      <c r="M24" s="287"/>
      <c r="N24" s="288" t="str">
        <f t="shared" si="3"/>
        <v/>
      </c>
      <c r="O24" s="284"/>
      <c r="P24" s="284"/>
      <c r="Q24" s="284"/>
      <c r="R24" s="284"/>
      <c r="S24" s="284"/>
      <c r="T24" s="284"/>
      <c r="U24" s="284"/>
      <c r="V24" s="284"/>
      <c r="W24" s="284"/>
      <c r="X24" s="284"/>
      <c r="Y24" s="284"/>
      <c r="Z24" s="284"/>
      <c r="AA24" s="284"/>
      <c r="AB24" s="284"/>
      <c r="AC24" s="284"/>
      <c r="AD24" s="284"/>
      <c r="AE24" s="284"/>
      <c r="AF24" s="284"/>
      <c r="AG24" s="284"/>
      <c r="AH24" s="284"/>
      <c r="AI24" s="284"/>
      <c r="AJ24" s="284"/>
      <c r="AK24" s="284"/>
      <c r="AL24" s="284"/>
      <c r="AM24" s="284"/>
      <c r="AN24" s="284"/>
      <c r="AO24" s="284"/>
      <c r="AP24" s="284"/>
      <c r="AQ24" s="284"/>
      <c r="AR24" s="284"/>
      <c r="AS24" s="290" t="str">
        <f>IF(C24&lt;&gt;0,IFERROR(IF(COUNTIF(AcuariosTto[],C24),"SI",""),""),"")</f>
        <v/>
      </c>
      <c r="AT24" s="154">
        <f>IFERROR(INDEX(AcuariosTto[SignoTTo],MATCH(C24,AcuariosTto[AcuariosTTo],0)),"")</f>
        <v>0</v>
      </c>
      <c r="AU24" s="154">
        <f>IFERROR(INDEX(AcuariosTto[TipoProd],MATCH(C24,AcuariosTto[AcuariosTTo],0)),"")</f>
        <v>0</v>
      </c>
      <c r="AV24" s="154">
        <f>IFERROR(INDEX(AcuariosTto[NomProd],MATCH(C24,AcuariosTto[AcuariosTTo],0)),"")</f>
        <v>0</v>
      </c>
      <c r="AW24" s="18" t="str">
        <f>IF(B24&lt;&gt;0,IFERROR(IF(COUNTIF(ItemOcPreven[],B24),"SI",""),""),"")</f>
        <v/>
      </c>
      <c r="AX24" s="18">
        <f>IFERROR(INDEX(ItemOcPreven[TipoProPrev],MATCH(B24,ItemOcPreven[ItemOcPreven],0)),"")</f>
        <v>0</v>
      </c>
      <c r="AY24" s="18">
        <f>IFERROR(INDEX(ItemOcPreven[NomProPrev],MATCH(B24,ItemOcPreven[ItemOcPreven],0)),"")</f>
        <v>0</v>
      </c>
      <c r="AZ24" s="18" t="str">
        <f>IF(B24&lt;&gt;0,IFERROR(IF(COUNTIF(PrevTodas[],"SI"),"SI",""),""),"")</f>
        <v/>
      </c>
      <c r="BA24" s="154" t="str">
        <f>IFERROR(INDEX(ItemOcPreven[TipoProPrev],MATCH(AZ24,PrevTodas[PrevTodas],0)),"")</f>
        <v/>
      </c>
      <c r="BB24" s="154" t="str">
        <f>IFERROR(INDEX(ItemOcPreven[NomProPrev],MATCH(AZ24,PrevTodas[PrevTodas],0)),"")</f>
        <v/>
      </c>
      <c r="BC24" s="18" t="str">
        <f>IF(B24&lt;&gt;0,IFERROR(IF(COUNTIF(ItemOcEvto[],B24),"SI",""),""),"")</f>
        <v/>
      </c>
      <c r="BD24" s="154">
        <f>IFERROR(INDEX(ItemOcEvto[TipoEvto],MATCH(B24,ItemOcEvto[ItemOcEvto],0)),"")</f>
        <v>0</v>
      </c>
      <c r="BE24" s="18" t="str">
        <f>IF(B24&lt;&gt;0,IFERROR(IF(COUNTIF(EvtoTodas[],"SI"),"SI",""),""),"")</f>
        <v/>
      </c>
      <c r="BF24" s="154" t="str">
        <f>IFERROR(INDEX(ItemOcEvto[TipoEvto],MATCH(BE24,EvtoTodas[EvtoTodas],0)),"")</f>
        <v/>
      </c>
      <c r="BG24" s="154">
        <f t="shared" si="4"/>
        <v>0</v>
      </c>
      <c r="BH24" s="154">
        <f t="shared" si="5"/>
        <v>0</v>
      </c>
      <c r="BI24" s="223"/>
    </row>
    <row r="25" spans="2:61" ht="18" customHeight="1" x14ac:dyDescent="0.25">
      <c r="B25" s="284"/>
      <c r="C25" s="284"/>
      <c r="D25" s="285" t="str">
        <f>IFERROR(VLOOKUP(B25,Item[],3,FALSE),IFERROR(VLOOKUP(B25,Item2[],3,FALSE),""))</f>
        <v/>
      </c>
      <c r="E25" s="286" t="str">
        <f>IFERROR(VLOOKUP(B25,Item[],2,FALSE),IFERROR(VLOOKUP(B25,Item2[],2,FALSE),""))</f>
        <v/>
      </c>
      <c r="F25" s="287"/>
      <c r="G25" s="288" t="str">
        <f t="shared" si="1"/>
        <v/>
      </c>
      <c r="H25" s="287"/>
      <c r="I25" s="287"/>
      <c r="J25" s="287"/>
      <c r="K25" s="288" t="str">
        <f t="shared" si="2"/>
        <v/>
      </c>
      <c r="L25" s="289" t="str">
        <f t="shared" si="6"/>
        <v/>
      </c>
      <c r="M25" s="287"/>
      <c r="N25" s="288" t="str">
        <f t="shared" si="3"/>
        <v/>
      </c>
      <c r="O25" s="284"/>
      <c r="P25" s="284"/>
      <c r="Q25" s="284"/>
      <c r="R25" s="284"/>
      <c r="S25" s="284"/>
      <c r="T25" s="284"/>
      <c r="U25" s="284"/>
      <c r="V25" s="284"/>
      <c r="W25" s="284"/>
      <c r="X25" s="284"/>
      <c r="Y25" s="284"/>
      <c r="Z25" s="284"/>
      <c r="AA25" s="284"/>
      <c r="AB25" s="284"/>
      <c r="AC25" s="284"/>
      <c r="AD25" s="284"/>
      <c r="AE25" s="284"/>
      <c r="AF25" s="284"/>
      <c r="AG25" s="284"/>
      <c r="AH25" s="284"/>
      <c r="AI25" s="284"/>
      <c r="AJ25" s="284"/>
      <c r="AK25" s="284"/>
      <c r="AL25" s="284"/>
      <c r="AM25" s="284"/>
      <c r="AN25" s="284"/>
      <c r="AO25" s="284"/>
      <c r="AP25" s="284"/>
      <c r="AQ25" s="284"/>
      <c r="AR25" s="284"/>
      <c r="AS25" s="290" t="str">
        <f>IF(C25&lt;&gt;0,IFERROR(IF(COUNTIF(AcuariosTto[],C25),"SI",""),""),"")</f>
        <v/>
      </c>
      <c r="AT25" s="154">
        <f>IFERROR(INDEX(AcuariosTto[SignoTTo],MATCH(C25,AcuariosTto[AcuariosTTo],0)),"")</f>
        <v>0</v>
      </c>
      <c r="AU25" s="154">
        <f>IFERROR(INDEX(AcuariosTto[TipoProd],MATCH(C25,AcuariosTto[AcuariosTTo],0)),"")</f>
        <v>0</v>
      </c>
      <c r="AV25" s="154">
        <f>IFERROR(INDEX(AcuariosTto[NomProd],MATCH(C25,AcuariosTto[AcuariosTTo],0)),"")</f>
        <v>0</v>
      </c>
      <c r="AW25" s="18" t="str">
        <f>IF(B25&lt;&gt;0,IFERROR(IF(COUNTIF(ItemOcPreven[],B25),"SI",""),""),"")</f>
        <v/>
      </c>
      <c r="AX25" s="18">
        <f>IFERROR(INDEX(ItemOcPreven[TipoProPrev],MATCH(B25,ItemOcPreven[ItemOcPreven],0)),"")</f>
        <v>0</v>
      </c>
      <c r="AY25" s="18">
        <f>IFERROR(INDEX(ItemOcPreven[NomProPrev],MATCH(B25,ItemOcPreven[ItemOcPreven],0)),"")</f>
        <v>0</v>
      </c>
      <c r="AZ25" s="18" t="str">
        <f>IF(B25&lt;&gt;0,IFERROR(IF(COUNTIF(PrevTodas[],"SI"),"SI",""),""),"")</f>
        <v/>
      </c>
      <c r="BA25" s="154" t="str">
        <f>IFERROR(INDEX(ItemOcPreven[TipoProPrev],MATCH(AZ25,PrevTodas[PrevTodas],0)),"")</f>
        <v/>
      </c>
      <c r="BB25" s="154" t="str">
        <f>IFERROR(INDEX(ItemOcPreven[NomProPrev],MATCH(AZ25,PrevTodas[PrevTodas],0)),"")</f>
        <v/>
      </c>
      <c r="BC25" s="18" t="str">
        <f>IF(B25&lt;&gt;0,IFERROR(IF(COUNTIF(ItemOcEvto[],B25),"SI",""),""),"")</f>
        <v/>
      </c>
      <c r="BD25" s="154">
        <f>IFERROR(INDEX(ItemOcEvto[TipoEvto],MATCH(B25,ItemOcEvto[ItemOcEvto],0)),"")</f>
        <v>0</v>
      </c>
      <c r="BE25" s="18" t="str">
        <f>IF(B25&lt;&gt;0,IFERROR(IF(COUNTIF(EvtoTodas[],"SI"),"SI",""),""),"")</f>
        <v/>
      </c>
      <c r="BF25" s="154" t="str">
        <f>IFERROR(INDEX(ItemOcEvto[TipoEvto],MATCH(BE25,EvtoTodas[EvtoTodas],0)),"")</f>
        <v/>
      </c>
      <c r="BG25" s="154">
        <f t="shared" si="4"/>
        <v>0</v>
      </c>
      <c r="BH25" s="154">
        <f t="shared" si="5"/>
        <v>0</v>
      </c>
      <c r="BI25" s="223"/>
    </row>
    <row r="26" spans="2:61" ht="18" customHeight="1" x14ac:dyDescent="0.25">
      <c r="B26" s="284"/>
      <c r="C26" s="284"/>
      <c r="D26" s="285" t="str">
        <f>IFERROR(VLOOKUP(B26,Item[],3,FALSE),IFERROR(VLOOKUP(B26,Item2[],3,FALSE),""))</f>
        <v/>
      </c>
      <c r="E26" s="286" t="str">
        <f>IFERROR(VLOOKUP(B26,Item[],2,FALSE),IFERROR(VLOOKUP(B26,Item2[],2,FALSE),""))</f>
        <v/>
      </c>
      <c r="F26" s="287"/>
      <c r="G26" s="288" t="str">
        <f t="shared" si="1"/>
        <v/>
      </c>
      <c r="H26" s="287"/>
      <c r="I26" s="287"/>
      <c r="J26" s="287"/>
      <c r="K26" s="288" t="str">
        <f t="shared" si="2"/>
        <v/>
      </c>
      <c r="L26" s="289" t="str">
        <f t="shared" si="6"/>
        <v/>
      </c>
      <c r="M26" s="287"/>
      <c r="N26" s="288" t="str">
        <f t="shared" si="3"/>
        <v/>
      </c>
      <c r="O26" s="284"/>
      <c r="P26" s="284"/>
      <c r="Q26" s="284"/>
      <c r="R26" s="284"/>
      <c r="S26" s="284"/>
      <c r="T26" s="284"/>
      <c r="U26" s="284"/>
      <c r="V26" s="284"/>
      <c r="W26" s="284"/>
      <c r="X26" s="284"/>
      <c r="Y26" s="284"/>
      <c r="Z26" s="284"/>
      <c r="AA26" s="284"/>
      <c r="AB26" s="284"/>
      <c r="AC26" s="284"/>
      <c r="AD26" s="284"/>
      <c r="AE26" s="284"/>
      <c r="AF26" s="284"/>
      <c r="AG26" s="284"/>
      <c r="AH26" s="284"/>
      <c r="AI26" s="284"/>
      <c r="AJ26" s="284"/>
      <c r="AK26" s="284"/>
      <c r="AL26" s="284"/>
      <c r="AM26" s="284"/>
      <c r="AN26" s="284"/>
      <c r="AO26" s="284"/>
      <c r="AP26" s="284"/>
      <c r="AQ26" s="284"/>
      <c r="AR26" s="284"/>
      <c r="AS26" s="290" t="str">
        <f>IF(C26&lt;&gt;0,IFERROR(IF(COUNTIF(AcuariosTto[],C26),"SI",""),""),"")</f>
        <v/>
      </c>
      <c r="AT26" s="154">
        <f>IFERROR(INDEX(AcuariosTto[SignoTTo],MATCH(C26,AcuariosTto[AcuariosTTo],0)),"")</f>
        <v>0</v>
      </c>
      <c r="AU26" s="154">
        <f>IFERROR(INDEX(AcuariosTto[TipoProd],MATCH(C26,AcuariosTto[AcuariosTTo],0)),"")</f>
        <v>0</v>
      </c>
      <c r="AV26" s="154">
        <f>IFERROR(INDEX(AcuariosTto[NomProd],MATCH(C26,AcuariosTto[AcuariosTTo],0)),"")</f>
        <v>0</v>
      </c>
      <c r="AW26" s="18" t="str">
        <f>IF(B26&lt;&gt;0,IFERROR(IF(COUNTIF(ItemOcPreven[],B26),"SI",""),""),"")</f>
        <v/>
      </c>
      <c r="AX26" s="18">
        <f>IFERROR(INDEX(ItemOcPreven[TipoProPrev],MATCH(B26,ItemOcPreven[ItemOcPreven],0)),"")</f>
        <v>0</v>
      </c>
      <c r="AY26" s="18">
        <f>IFERROR(INDEX(ItemOcPreven[NomProPrev],MATCH(B26,ItemOcPreven[ItemOcPreven],0)),"")</f>
        <v>0</v>
      </c>
      <c r="AZ26" s="18" t="str">
        <f>IF(B26&lt;&gt;0,IFERROR(IF(COUNTIF(PrevTodas[],"SI"),"SI",""),""),"")</f>
        <v/>
      </c>
      <c r="BA26" s="154" t="str">
        <f>IFERROR(INDEX(ItemOcPreven[TipoProPrev],MATCH(AZ26,PrevTodas[PrevTodas],0)),"")</f>
        <v/>
      </c>
      <c r="BB26" s="154" t="str">
        <f>IFERROR(INDEX(ItemOcPreven[NomProPrev],MATCH(AZ26,PrevTodas[PrevTodas],0)),"")</f>
        <v/>
      </c>
      <c r="BC26" s="18" t="str">
        <f>IF(B26&lt;&gt;0,IFERROR(IF(COUNTIF(ItemOcEvto[],B26),"SI",""),""),"")</f>
        <v/>
      </c>
      <c r="BD26" s="154">
        <f>IFERROR(INDEX(ItemOcEvto[TipoEvto],MATCH(B26,ItemOcEvto[ItemOcEvto],0)),"")</f>
        <v>0</v>
      </c>
      <c r="BE26" s="18" t="str">
        <f>IF(B26&lt;&gt;0,IFERROR(IF(COUNTIF(EvtoTodas[],"SI"),"SI",""),""),"")</f>
        <v/>
      </c>
      <c r="BF26" s="154" t="str">
        <f>IFERROR(INDEX(ItemOcEvto[TipoEvto],MATCH(BE26,EvtoTodas[EvtoTodas],0)),"")</f>
        <v/>
      </c>
      <c r="BG26" s="154">
        <f t="shared" si="4"/>
        <v>0</v>
      </c>
      <c r="BH26" s="154">
        <f t="shared" si="5"/>
        <v>0</v>
      </c>
      <c r="BI26" s="223"/>
    </row>
    <row r="27" spans="2:61" ht="18" customHeight="1" x14ac:dyDescent="0.25">
      <c r="B27" s="284"/>
      <c r="C27" s="284"/>
      <c r="D27" s="285" t="str">
        <f>IFERROR(VLOOKUP(B27,Item[],3,FALSE),IFERROR(VLOOKUP(B27,Item2[],3,FALSE),""))</f>
        <v/>
      </c>
      <c r="E27" s="286" t="str">
        <f>IFERROR(VLOOKUP(B27,Item[],2,FALSE),IFERROR(VLOOKUP(B27,Item2[],2,FALSE),""))</f>
        <v/>
      </c>
      <c r="F27" s="287"/>
      <c r="G27" s="288" t="str">
        <f t="shared" si="1"/>
        <v/>
      </c>
      <c r="H27" s="287"/>
      <c r="I27" s="287"/>
      <c r="J27" s="287"/>
      <c r="K27" s="288" t="str">
        <f t="shared" si="2"/>
        <v/>
      </c>
      <c r="L27" s="289" t="str">
        <f t="shared" si="6"/>
        <v/>
      </c>
      <c r="M27" s="287"/>
      <c r="N27" s="288" t="str">
        <f t="shared" si="3"/>
        <v/>
      </c>
      <c r="O27" s="284"/>
      <c r="P27" s="284"/>
      <c r="Q27" s="284"/>
      <c r="R27" s="284"/>
      <c r="S27" s="284"/>
      <c r="T27" s="284"/>
      <c r="U27" s="284"/>
      <c r="V27" s="284"/>
      <c r="W27" s="284"/>
      <c r="X27" s="284"/>
      <c r="Y27" s="284"/>
      <c r="Z27" s="284"/>
      <c r="AA27" s="284"/>
      <c r="AB27" s="284"/>
      <c r="AC27" s="284"/>
      <c r="AD27" s="284"/>
      <c r="AE27" s="284"/>
      <c r="AF27" s="284"/>
      <c r="AG27" s="284"/>
      <c r="AH27" s="284"/>
      <c r="AI27" s="284"/>
      <c r="AJ27" s="284"/>
      <c r="AK27" s="284"/>
      <c r="AL27" s="284"/>
      <c r="AM27" s="284"/>
      <c r="AN27" s="284"/>
      <c r="AO27" s="284"/>
      <c r="AP27" s="284"/>
      <c r="AQ27" s="284"/>
      <c r="AR27" s="284"/>
      <c r="AS27" s="290" t="str">
        <f>IF(C27&lt;&gt;0,IFERROR(IF(COUNTIF(AcuariosTto[],C27),"SI",""),""),"")</f>
        <v/>
      </c>
      <c r="AT27" s="154">
        <f>IFERROR(INDEX(AcuariosTto[SignoTTo],MATCH(C27,AcuariosTto[AcuariosTTo],0)),"")</f>
        <v>0</v>
      </c>
      <c r="AU27" s="154">
        <f>IFERROR(INDEX(AcuariosTto[TipoProd],MATCH(C27,AcuariosTto[AcuariosTTo],0)),"")</f>
        <v>0</v>
      </c>
      <c r="AV27" s="154">
        <f>IFERROR(INDEX(AcuariosTto[NomProd],MATCH(C27,AcuariosTto[AcuariosTTo],0)),"")</f>
        <v>0</v>
      </c>
      <c r="AW27" s="18" t="str">
        <f>IF(B27&lt;&gt;0,IFERROR(IF(COUNTIF(ItemOcPreven[],B27),"SI",""),""),"")</f>
        <v/>
      </c>
      <c r="AX27" s="18">
        <f>IFERROR(INDEX(ItemOcPreven[TipoProPrev],MATCH(B27,ItemOcPreven[ItemOcPreven],0)),"")</f>
        <v>0</v>
      </c>
      <c r="AY27" s="18">
        <f>IFERROR(INDEX(ItemOcPreven[NomProPrev],MATCH(B27,ItemOcPreven[ItemOcPreven],0)),"")</f>
        <v>0</v>
      </c>
      <c r="AZ27" s="18" t="str">
        <f>IF(B27&lt;&gt;0,IFERROR(IF(COUNTIF(PrevTodas[],"SI"),"SI",""),""),"")</f>
        <v/>
      </c>
      <c r="BA27" s="154" t="str">
        <f>IFERROR(INDEX(ItemOcPreven[TipoProPrev],MATCH(AZ27,PrevTodas[PrevTodas],0)),"")</f>
        <v/>
      </c>
      <c r="BB27" s="154" t="str">
        <f>IFERROR(INDEX(ItemOcPreven[NomProPrev],MATCH(AZ27,PrevTodas[PrevTodas],0)),"")</f>
        <v/>
      </c>
      <c r="BC27" s="18" t="str">
        <f>IF(B27&lt;&gt;0,IFERROR(IF(COUNTIF(ItemOcEvto[],B27),"SI",""),""),"")</f>
        <v/>
      </c>
      <c r="BD27" s="154">
        <f>IFERROR(INDEX(ItemOcEvto[TipoEvto],MATCH(B27,ItemOcEvto[ItemOcEvto],0)),"")</f>
        <v>0</v>
      </c>
      <c r="BE27" s="18" t="str">
        <f>IF(B27&lt;&gt;0,IFERROR(IF(COUNTIF(EvtoTodas[],"SI"),"SI",""),""),"")</f>
        <v/>
      </c>
      <c r="BF27" s="154" t="str">
        <f>IFERROR(INDEX(ItemOcEvto[TipoEvto],MATCH(BE27,EvtoTodas[EvtoTodas],0)),"")</f>
        <v/>
      </c>
      <c r="BG27" s="154">
        <f t="shared" si="4"/>
        <v>0</v>
      </c>
      <c r="BH27" s="154">
        <f t="shared" si="5"/>
        <v>0</v>
      </c>
      <c r="BI27" s="223"/>
    </row>
    <row r="28" spans="2:61" ht="18" customHeight="1" x14ac:dyDescent="0.25">
      <c r="B28" s="284"/>
      <c r="C28" s="284"/>
      <c r="D28" s="285" t="str">
        <f>IFERROR(VLOOKUP(B28,Item[],3,FALSE),IFERROR(VLOOKUP(B28,Item2[],3,FALSE),""))</f>
        <v/>
      </c>
      <c r="E28" s="286" t="str">
        <f>IFERROR(VLOOKUP(B28,Item[],2,FALSE),IFERROR(VLOOKUP(B28,Item2[],2,FALSE),""))</f>
        <v/>
      </c>
      <c r="F28" s="287"/>
      <c r="G28" s="288" t="str">
        <f t="shared" si="1"/>
        <v/>
      </c>
      <c r="H28" s="287"/>
      <c r="I28" s="287"/>
      <c r="J28" s="287"/>
      <c r="K28" s="288" t="str">
        <f t="shared" si="2"/>
        <v/>
      </c>
      <c r="L28" s="289" t="str">
        <f t="shared" si="6"/>
        <v/>
      </c>
      <c r="M28" s="287"/>
      <c r="N28" s="288" t="str">
        <f t="shared" si="3"/>
        <v/>
      </c>
      <c r="O28" s="284"/>
      <c r="P28" s="284"/>
      <c r="Q28" s="284"/>
      <c r="R28" s="284"/>
      <c r="S28" s="284"/>
      <c r="T28" s="284"/>
      <c r="U28" s="284"/>
      <c r="V28" s="284"/>
      <c r="W28" s="284"/>
      <c r="X28" s="284"/>
      <c r="Y28" s="284"/>
      <c r="Z28" s="284"/>
      <c r="AA28" s="284"/>
      <c r="AB28" s="284"/>
      <c r="AC28" s="284"/>
      <c r="AD28" s="284"/>
      <c r="AE28" s="284"/>
      <c r="AF28" s="284"/>
      <c r="AG28" s="284"/>
      <c r="AH28" s="284"/>
      <c r="AI28" s="284"/>
      <c r="AJ28" s="284"/>
      <c r="AK28" s="284"/>
      <c r="AL28" s="284"/>
      <c r="AM28" s="284"/>
      <c r="AN28" s="284"/>
      <c r="AO28" s="284"/>
      <c r="AP28" s="284"/>
      <c r="AQ28" s="284"/>
      <c r="AR28" s="284"/>
      <c r="AS28" s="290" t="str">
        <f>IF(C28&lt;&gt;0,IFERROR(IF(COUNTIF(AcuariosTto[],C28),"SI",""),""),"")</f>
        <v/>
      </c>
      <c r="AT28" s="154">
        <f>IFERROR(INDEX(AcuariosTto[SignoTTo],MATCH(C28,AcuariosTto[AcuariosTTo],0)),"")</f>
        <v>0</v>
      </c>
      <c r="AU28" s="154">
        <f>IFERROR(INDEX(AcuariosTto[TipoProd],MATCH(C28,AcuariosTto[AcuariosTTo],0)),"")</f>
        <v>0</v>
      </c>
      <c r="AV28" s="154">
        <f>IFERROR(INDEX(AcuariosTto[NomProd],MATCH(C28,AcuariosTto[AcuariosTTo],0)),"")</f>
        <v>0</v>
      </c>
      <c r="AW28" s="18" t="str">
        <f>IF(B28&lt;&gt;0,IFERROR(IF(COUNTIF(ItemOcPreven[],B28),"SI",""),""),"")</f>
        <v/>
      </c>
      <c r="AX28" s="18">
        <f>IFERROR(INDEX(ItemOcPreven[TipoProPrev],MATCH(B28,ItemOcPreven[ItemOcPreven],0)),"")</f>
        <v>0</v>
      </c>
      <c r="AY28" s="18">
        <f>IFERROR(INDEX(ItemOcPreven[NomProPrev],MATCH(B28,ItemOcPreven[ItemOcPreven],0)),"")</f>
        <v>0</v>
      </c>
      <c r="AZ28" s="18" t="str">
        <f>IF(B28&lt;&gt;0,IFERROR(IF(COUNTIF(PrevTodas[],"SI"),"SI",""),""),"")</f>
        <v/>
      </c>
      <c r="BA28" s="154" t="str">
        <f>IFERROR(INDEX(ItemOcPreven[TipoProPrev],MATCH(AZ28,PrevTodas[PrevTodas],0)),"")</f>
        <v/>
      </c>
      <c r="BB28" s="154" t="str">
        <f>IFERROR(INDEX(ItemOcPreven[NomProPrev],MATCH(AZ28,PrevTodas[PrevTodas],0)),"")</f>
        <v/>
      </c>
      <c r="BC28" s="18" t="str">
        <f>IF(B28&lt;&gt;0,IFERROR(IF(COUNTIF(ItemOcEvto[],B28),"SI",""),""),"")</f>
        <v/>
      </c>
      <c r="BD28" s="154">
        <f>IFERROR(INDEX(ItemOcEvto[TipoEvto],MATCH(B28,ItemOcEvto[ItemOcEvto],0)),"")</f>
        <v>0</v>
      </c>
      <c r="BE28" s="18" t="str">
        <f>IF(B28&lt;&gt;0,IFERROR(IF(COUNTIF(EvtoTodas[],"SI"),"SI",""),""),"")</f>
        <v/>
      </c>
      <c r="BF28" s="154" t="str">
        <f>IFERROR(INDEX(ItemOcEvto[TipoEvto],MATCH(BE28,EvtoTodas[EvtoTodas],0)),"")</f>
        <v/>
      </c>
      <c r="BG28" s="154">
        <f t="shared" si="4"/>
        <v>0</v>
      </c>
      <c r="BH28" s="154">
        <f t="shared" si="5"/>
        <v>0</v>
      </c>
      <c r="BI28" s="223"/>
    </row>
    <row r="29" spans="2:61" ht="18" customHeight="1" x14ac:dyDescent="0.25">
      <c r="B29" s="284"/>
      <c r="C29" s="284"/>
      <c r="D29" s="285" t="str">
        <f>IFERROR(VLOOKUP(B29,Item[],3,FALSE),IFERROR(VLOOKUP(B29,Item2[],3,FALSE),""))</f>
        <v/>
      </c>
      <c r="E29" s="286" t="str">
        <f>IFERROR(VLOOKUP(B29,Item[],2,FALSE),IFERROR(VLOOKUP(B29,Item2[],2,FALSE),""))</f>
        <v/>
      </c>
      <c r="F29" s="287"/>
      <c r="G29" s="288" t="str">
        <f t="shared" si="1"/>
        <v/>
      </c>
      <c r="H29" s="287"/>
      <c r="I29" s="287"/>
      <c r="J29" s="287"/>
      <c r="K29" s="288" t="str">
        <f t="shared" si="2"/>
        <v/>
      </c>
      <c r="L29" s="289" t="str">
        <f t="shared" si="6"/>
        <v/>
      </c>
      <c r="M29" s="287"/>
      <c r="N29" s="288" t="str">
        <f t="shared" si="3"/>
        <v/>
      </c>
      <c r="O29" s="284"/>
      <c r="P29" s="284"/>
      <c r="Q29" s="284"/>
      <c r="R29" s="284"/>
      <c r="S29" s="284"/>
      <c r="T29" s="284"/>
      <c r="U29" s="284"/>
      <c r="V29" s="284"/>
      <c r="W29" s="284"/>
      <c r="X29" s="284"/>
      <c r="Y29" s="284"/>
      <c r="Z29" s="284"/>
      <c r="AA29" s="284"/>
      <c r="AB29" s="284"/>
      <c r="AC29" s="284"/>
      <c r="AD29" s="284"/>
      <c r="AE29" s="284"/>
      <c r="AF29" s="284"/>
      <c r="AG29" s="284"/>
      <c r="AH29" s="284"/>
      <c r="AI29" s="284"/>
      <c r="AJ29" s="284"/>
      <c r="AK29" s="284"/>
      <c r="AL29" s="284"/>
      <c r="AM29" s="284"/>
      <c r="AN29" s="284"/>
      <c r="AO29" s="284"/>
      <c r="AP29" s="284"/>
      <c r="AQ29" s="284"/>
      <c r="AR29" s="284"/>
      <c r="AS29" s="290" t="str">
        <f>IF(C29&lt;&gt;0,IFERROR(IF(COUNTIF(AcuariosTto[],C29),"SI",""),""),"")</f>
        <v/>
      </c>
      <c r="AT29" s="154">
        <f>IFERROR(INDEX(AcuariosTto[SignoTTo],MATCH(C29,AcuariosTto[AcuariosTTo],0)),"")</f>
        <v>0</v>
      </c>
      <c r="AU29" s="154">
        <f>IFERROR(INDEX(AcuariosTto[TipoProd],MATCH(C29,AcuariosTto[AcuariosTTo],0)),"")</f>
        <v>0</v>
      </c>
      <c r="AV29" s="154">
        <f>IFERROR(INDEX(AcuariosTto[NomProd],MATCH(C29,AcuariosTto[AcuariosTTo],0)),"")</f>
        <v>0</v>
      </c>
      <c r="AW29" s="18" t="str">
        <f>IF(B29&lt;&gt;0,IFERROR(IF(COUNTIF(ItemOcPreven[],B29),"SI",""),""),"")</f>
        <v/>
      </c>
      <c r="AX29" s="18">
        <f>IFERROR(INDEX(ItemOcPreven[TipoProPrev],MATCH(B29,ItemOcPreven[ItemOcPreven],0)),"")</f>
        <v>0</v>
      </c>
      <c r="AY29" s="18">
        <f>IFERROR(INDEX(ItemOcPreven[NomProPrev],MATCH(B29,ItemOcPreven[ItemOcPreven],0)),"")</f>
        <v>0</v>
      </c>
      <c r="AZ29" s="18" t="str">
        <f>IF(B29&lt;&gt;0,IFERROR(IF(COUNTIF(PrevTodas[],"SI"),"SI",""),""),"")</f>
        <v/>
      </c>
      <c r="BA29" s="154" t="str">
        <f>IFERROR(INDEX(ItemOcPreven[TipoProPrev],MATCH(AZ29,PrevTodas[PrevTodas],0)),"")</f>
        <v/>
      </c>
      <c r="BB29" s="154" t="str">
        <f>IFERROR(INDEX(ItemOcPreven[NomProPrev],MATCH(AZ29,PrevTodas[PrevTodas],0)),"")</f>
        <v/>
      </c>
      <c r="BC29" s="18" t="str">
        <f>IF(B29&lt;&gt;0,IFERROR(IF(COUNTIF(ItemOcEvto[],B29),"SI",""),""),"")</f>
        <v/>
      </c>
      <c r="BD29" s="154">
        <f>IFERROR(INDEX(ItemOcEvto[TipoEvto],MATCH(B29,ItemOcEvto[ItemOcEvto],0)),"")</f>
        <v>0</v>
      </c>
      <c r="BE29" s="18" t="str">
        <f>IF(B29&lt;&gt;0,IFERROR(IF(COUNTIF(EvtoTodas[],"SI"),"SI",""),""),"")</f>
        <v/>
      </c>
      <c r="BF29" s="154" t="str">
        <f>IFERROR(INDEX(ItemOcEvto[TipoEvto],MATCH(BE29,EvtoTodas[EvtoTodas],0)),"")</f>
        <v/>
      </c>
      <c r="BG29" s="154">
        <f t="shared" si="4"/>
        <v>0</v>
      </c>
      <c r="BH29" s="154">
        <f t="shared" si="5"/>
        <v>0</v>
      </c>
      <c r="BI29" s="223"/>
    </row>
    <row r="30" spans="2:61" ht="18" customHeight="1" x14ac:dyDescent="0.25">
      <c r="B30" s="284"/>
      <c r="C30" s="284"/>
      <c r="D30" s="285" t="str">
        <f>IFERROR(VLOOKUP(B30,Item[],3,FALSE),IFERROR(VLOOKUP(B30,Item2[],3,FALSE),""))</f>
        <v/>
      </c>
      <c r="E30" s="286" t="str">
        <f>IFERROR(VLOOKUP(B30,Item[],2,FALSE),IFERROR(VLOOKUP(B30,Item2[],2,FALSE),""))</f>
        <v/>
      </c>
      <c r="F30" s="287"/>
      <c r="G30" s="288" t="str">
        <f t="shared" si="1"/>
        <v/>
      </c>
      <c r="H30" s="287"/>
      <c r="I30" s="287"/>
      <c r="J30" s="287"/>
      <c r="K30" s="288" t="str">
        <f t="shared" si="2"/>
        <v/>
      </c>
      <c r="L30" s="289" t="str">
        <f t="shared" si="6"/>
        <v/>
      </c>
      <c r="M30" s="287"/>
      <c r="N30" s="288" t="str">
        <f t="shared" si="3"/>
        <v/>
      </c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4"/>
      <c r="Z30" s="284"/>
      <c r="AA30" s="284"/>
      <c r="AB30" s="284"/>
      <c r="AC30" s="284"/>
      <c r="AD30" s="284"/>
      <c r="AE30" s="284"/>
      <c r="AF30" s="284"/>
      <c r="AG30" s="284"/>
      <c r="AH30" s="284"/>
      <c r="AI30" s="284"/>
      <c r="AJ30" s="284"/>
      <c r="AK30" s="284"/>
      <c r="AL30" s="284"/>
      <c r="AM30" s="284"/>
      <c r="AN30" s="284"/>
      <c r="AO30" s="284"/>
      <c r="AP30" s="284"/>
      <c r="AQ30" s="284"/>
      <c r="AR30" s="284"/>
      <c r="AS30" s="290" t="str">
        <f>IF(C30&lt;&gt;0,IFERROR(IF(COUNTIF(AcuariosTto[],C30),"SI",""),""),"")</f>
        <v/>
      </c>
      <c r="AT30" s="154">
        <f>IFERROR(INDEX(AcuariosTto[SignoTTo],MATCH(C30,AcuariosTto[AcuariosTTo],0)),"")</f>
        <v>0</v>
      </c>
      <c r="AU30" s="154">
        <f>IFERROR(INDEX(AcuariosTto[TipoProd],MATCH(C30,AcuariosTto[AcuariosTTo],0)),"")</f>
        <v>0</v>
      </c>
      <c r="AV30" s="154">
        <f>IFERROR(INDEX(AcuariosTto[NomProd],MATCH(C30,AcuariosTto[AcuariosTTo],0)),"")</f>
        <v>0</v>
      </c>
      <c r="AW30" s="18" t="str">
        <f>IF(B30&lt;&gt;0,IFERROR(IF(COUNTIF(ItemOcPreven[],B30),"SI",""),""),"")</f>
        <v/>
      </c>
      <c r="AX30" s="18">
        <f>IFERROR(INDEX(ItemOcPreven[TipoProPrev],MATCH(B30,ItemOcPreven[ItemOcPreven],0)),"")</f>
        <v>0</v>
      </c>
      <c r="AY30" s="18">
        <f>IFERROR(INDEX(ItemOcPreven[NomProPrev],MATCH(B30,ItemOcPreven[ItemOcPreven],0)),"")</f>
        <v>0</v>
      </c>
      <c r="AZ30" s="18" t="str">
        <f>IF(B30&lt;&gt;0,IFERROR(IF(COUNTIF(PrevTodas[],"SI"),"SI",""),""),"")</f>
        <v/>
      </c>
      <c r="BA30" s="154" t="str">
        <f>IFERROR(INDEX(ItemOcPreven[TipoProPrev],MATCH(AZ30,PrevTodas[PrevTodas],0)),"")</f>
        <v/>
      </c>
      <c r="BB30" s="154" t="str">
        <f>IFERROR(INDEX(ItemOcPreven[NomProPrev],MATCH(AZ30,PrevTodas[PrevTodas],0)),"")</f>
        <v/>
      </c>
      <c r="BC30" s="18" t="str">
        <f>IF(B30&lt;&gt;0,IFERROR(IF(COUNTIF(ItemOcEvto[],B30),"SI",""),""),"")</f>
        <v/>
      </c>
      <c r="BD30" s="154">
        <f>IFERROR(INDEX(ItemOcEvto[TipoEvto],MATCH(B30,ItemOcEvto[ItemOcEvto],0)),"")</f>
        <v>0</v>
      </c>
      <c r="BE30" s="18" t="str">
        <f>IF(B30&lt;&gt;0,IFERROR(IF(COUNTIF(EvtoTodas[],"SI"),"SI",""),""),"")</f>
        <v/>
      </c>
      <c r="BF30" s="154" t="str">
        <f>IFERROR(INDEX(ItemOcEvto[TipoEvto],MATCH(BE30,EvtoTodas[EvtoTodas],0)),"")</f>
        <v/>
      </c>
      <c r="BG30" s="154">
        <f t="shared" si="4"/>
        <v>0</v>
      </c>
      <c r="BH30" s="154">
        <f t="shared" si="5"/>
        <v>0</v>
      </c>
      <c r="BI30" s="223"/>
    </row>
    <row r="31" spans="2:61" ht="18" customHeight="1" x14ac:dyDescent="0.25">
      <c r="B31" s="284"/>
      <c r="C31" s="284"/>
      <c r="D31" s="285" t="str">
        <f>IFERROR(VLOOKUP(B31,Item[],3,FALSE),IFERROR(VLOOKUP(B31,Item2[],3,FALSE),""))</f>
        <v/>
      </c>
      <c r="E31" s="286" t="str">
        <f>IFERROR(VLOOKUP(B31,Item[],2,FALSE),IFERROR(VLOOKUP(B31,Item2[],2,FALSE),""))</f>
        <v/>
      </c>
      <c r="F31" s="287"/>
      <c r="G31" s="288" t="str">
        <f t="shared" si="1"/>
        <v/>
      </c>
      <c r="H31" s="287"/>
      <c r="I31" s="287"/>
      <c r="J31" s="287"/>
      <c r="K31" s="288" t="str">
        <f t="shared" si="2"/>
        <v/>
      </c>
      <c r="L31" s="289" t="str">
        <f t="shared" si="6"/>
        <v/>
      </c>
      <c r="M31" s="287"/>
      <c r="N31" s="288" t="str">
        <f t="shared" si="3"/>
        <v/>
      </c>
      <c r="O31" s="284"/>
      <c r="P31" s="284"/>
      <c r="Q31" s="284"/>
      <c r="R31" s="284"/>
      <c r="S31" s="284"/>
      <c r="T31" s="284"/>
      <c r="U31" s="284"/>
      <c r="V31" s="284"/>
      <c r="W31" s="284"/>
      <c r="X31" s="284"/>
      <c r="Y31" s="284"/>
      <c r="Z31" s="284"/>
      <c r="AA31" s="284"/>
      <c r="AB31" s="284"/>
      <c r="AC31" s="284"/>
      <c r="AD31" s="284"/>
      <c r="AE31" s="284"/>
      <c r="AF31" s="284"/>
      <c r="AG31" s="284"/>
      <c r="AH31" s="284"/>
      <c r="AI31" s="284"/>
      <c r="AJ31" s="284"/>
      <c r="AK31" s="284"/>
      <c r="AL31" s="284"/>
      <c r="AM31" s="284"/>
      <c r="AN31" s="284"/>
      <c r="AO31" s="284"/>
      <c r="AP31" s="284"/>
      <c r="AQ31" s="284"/>
      <c r="AR31" s="284"/>
      <c r="AS31" s="290" t="str">
        <f>IF(C31&lt;&gt;0,IFERROR(IF(COUNTIF(AcuariosTto[],C31),"SI",""),""),"")</f>
        <v/>
      </c>
      <c r="AT31" s="154">
        <f>IFERROR(INDEX(AcuariosTto[SignoTTo],MATCH(C31,AcuariosTto[AcuariosTTo],0)),"")</f>
        <v>0</v>
      </c>
      <c r="AU31" s="154">
        <f>IFERROR(INDEX(AcuariosTto[TipoProd],MATCH(C31,AcuariosTto[AcuariosTTo],0)),"")</f>
        <v>0</v>
      </c>
      <c r="AV31" s="154">
        <f>IFERROR(INDEX(AcuariosTto[NomProd],MATCH(C31,AcuariosTto[AcuariosTTo],0)),"")</f>
        <v>0</v>
      </c>
      <c r="AW31" s="18" t="str">
        <f>IF(B31&lt;&gt;0,IFERROR(IF(COUNTIF(ItemOcPreven[],B31),"SI",""),""),"")</f>
        <v/>
      </c>
      <c r="AX31" s="18">
        <f>IFERROR(INDEX(ItemOcPreven[TipoProPrev],MATCH(B31,ItemOcPreven[ItemOcPreven],0)),"")</f>
        <v>0</v>
      </c>
      <c r="AY31" s="18">
        <f>IFERROR(INDEX(ItemOcPreven[NomProPrev],MATCH(B31,ItemOcPreven[ItemOcPreven],0)),"")</f>
        <v>0</v>
      </c>
      <c r="AZ31" s="18" t="str">
        <f>IF(B31&lt;&gt;0,IFERROR(IF(COUNTIF(PrevTodas[],"SI"),"SI",""),""),"")</f>
        <v/>
      </c>
      <c r="BA31" s="154" t="str">
        <f>IFERROR(INDEX(ItemOcPreven[TipoProPrev],MATCH(AZ31,PrevTodas[PrevTodas],0)),"")</f>
        <v/>
      </c>
      <c r="BB31" s="154" t="str">
        <f>IFERROR(INDEX(ItemOcPreven[NomProPrev],MATCH(AZ31,PrevTodas[PrevTodas],0)),"")</f>
        <v/>
      </c>
      <c r="BC31" s="18" t="str">
        <f>IF(B31&lt;&gt;0,IFERROR(IF(COUNTIF(ItemOcEvto[],B31),"SI",""),""),"")</f>
        <v/>
      </c>
      <c r="BD31" s="154">
        <f>IFERROR(INDEX(ItemOcEvto[TipoEvto],MATCH(B31,ItemOcEvto[ItemOcEvto],0)),"")</f>
        <v>0</v>
      </c>
      <c r="BE31" s="18" t="str">
        <f>IF(B31&lt;&gt;0,IFERROR(IF(COUNTIF(EvtoTodas[],"SI"),"SI",""),""),"")</f>
        <v/>
      </c>
      <c r="BF31" s="154" t="str">
        <f>IFERROR(INDEX(ItemOcEvto[TipoEvto],MATCH(BE31,EvtoTodas[EvtoTodas],0)),"")</f>
        <v/>
      </c>
      <c r="BG31" s="154">
        <f t="shared" si="4"/>
        <v>0</v>
      </c>
      <c r="BH31" s="154">
        <f t="shared" si="5"/>
        <v>0</v>
      </c>
      <c r="BI31" s="223"/>
    </row>
    <row r="32" spans="2:61" ht="18" customHeight="1" x14ac:dyDescent="0.25">
      <c r="B32" s="284"/>
      <c r="C32" s="284"/>
      <c r="D32" s="285" t="str">
        <f>IFERROR(VLOOKUP(B32,Item[],3,FALSE),IFERROR(VLOOKUP(B32,Item2[],3,FALSE),""))</f>
        <v/>
      </c>
      <c r="E32" s="286" t="str">
        <f>IFERROR(VLOOKUP(B32,Item[],2,FALSE),IFERROR(VLOOKUP(B32,Item2[],2,FALSE),""))</f>
        <v/>
      </c>
      <c r="F32" s="287"/>
      <c r="G32" s="288" t="str">
        <f t="shared" si="1"/>
        <v/>
      </c>
      <c r="H32" s="287"/>
      <c r="I32" s="287"/>
      <c r="J32" s="287"/>
      <c r="K32" s="288" t="str">
        <f t="shared" si="2"/>
        <v/>
      </c>
      <c r="L32" s="289" t="str">
        <f t="shared" si="6"/>
        <v/>
      </c>
      <c r="M32" s="287"/>
      <c r="N32" s="288" t="str">
        <f t="shared" si="3"/>
        <v/>
      </c>
      <c r="O32" s="284"/>
      <c r="P32" s="284"/>
      <c r="Q32" s="284"/>
      <c r="R32" s="284"/>
      <c r="S32" s="284"/>
      <c r="T32" s="284"/>
      <c r="U32" s="284"/>
      <c r="V32" s="284"/>
      <c r="W32" s="284"/>
      <c r="X32" s="284"/>
      <c r="Y32" s="284"/>
      <c r="Z32" s="284"/>
      <c r="AA32" s="284"/>
      <c r="AB32" s="284"/>
      <c r="AC32" s="284"/>
      <c r="AD32" s="284"/>
      <c r="AE32" s="284"/>
      <c r="AF32" s="284"/>
      <c r="AG32" s="284"/>
      <c r="AH32" s="284"/>
      <c r="AI32" s="284"/>
      <c r="AJ32" s="284"/>
      <c r="AK32" s="284"/>
      <c r="AL32" s="284"/>
      <c r="AM32" s="284"/>
      <c r="AN32" s="284"/>
      <c r="AO32" s="284"/>
      <c r="AP32" s="284"/>
      <c r="AQ32" s="284"/>
      <c r="AR32" s="284"/>
      <c r="AS32" s="290" t="str">
        <f>IF(C32&lt;&gt;0,IFERROR(IF(COUNTIF(AcuariosTto[],C32),"SI",""),""),"")</f>
        <v/>
      </c>
      <c r="AT32" s="154">
        <f>IFERROR(INDEX(AcuariosTto[SignoTTo],MATCH(C32,AcuariosTto[AcuariosTTo],0)),"")</f>
        <v>0</v>
      </c>
      <c r="AU32" s="154">
        <f>IFERROR(INDEX(AcuariosTto[TipoProd],MATCH(C32,AcuariosTto[AcuariosTTo],0)),"")</f>
        <v>0</v>
      </c>
      <c r="AV32" s="154">
        <f>IFERROR(INDEX(AcuariosTto[NomProd],MATCH(C32,AcuariosTto[AcuariosTTo],0)),"")</f>
        <v>0</v>
      </c>
      <c r="AW32" s="18" t="str">
        <f>IF(B32&lt;&gt;0,IFERROR(IF(COUNTIF(ItemOcPreven[],B32),"SI",""),""),"")</f>
        <v/>
      </c>
      <c r="AX32" s="18">
        <f>IFERROR(INDEX(ItemOcPreven[TipoProPrev],MATCH(B32,ItemOcPreven[ItemOcPreven],0)),"")</f>
        <v>0</v>
      </c>
      <c r="AY32" s="18">
        <f>IFERROR(INDEX(ItemOcPreven[NomProPrev],MATCH(B32,ItemOcPreven[ItemOcPreven],0)),"")</f>
        <v>0</v>
      </c>
      <c r="AZ32" s="18" t="str">
        <f>IF(B32&lt;&gt;0,IFERROR(IF(COUNTIF(PrevTodas[],"SI"),"SI",""),""),"")</f>
        <v/>
      </c>
      <c r="BA32" s="154" t="str">
        <f>IFERROR(INDEX(ItemOcPreven[TipoProPrev],MATCH(AZ32,PrevTodas[PrevTodas],0)),"")</f>
        <v/>
      </c>
      <c r="BB32" s="154" t="str">
        <f>IFERROR(INDEX(ItemOcPreven[NomProPrev],MATCH(AZ32,PrevTodas[PrevTodas],0)),"")</f>
        <v/>
      </c>
      <c r="BC32" s="18" t="str">
        <f>IF(B32&lt;&gt;0,IFERROR(IF(COUNTIF(ItemOcEvto[],B32),"SI",""),""),"")</f>
        <v/>
      </c>
      <c r="BD32" s="154">
        <f>IFERROR(INDEX(ItemOcEvto[TipoEvto],MATCH(B32,ItemOcEvto[ItemOcEvto],0)),"")</f>
        <v>0</v>
      </c>
      <c r="BE32" s="18" t="str">
        <f>IF(B32&lt;&gt;0,IFERROR(IF(COUNTIF(EvtoTodas[],"SI"),"SI",""),""),"")</f>
        <v/>
      </c>
      <c r="BF32" s="154" t="str">
        <f>IFERROR(INDEX(ItemOcEvto[TipoEvto],MATCH(BE32,EvtoTodas[EvtoTodas],0)),"")</f>
        <v/>
      </c>
      <c r="BG32" s="154">
        <f t="shared" si="4"/>
        <v>0</v>
      </c>
      <c r="BH32" s="154">
        <f t="shared" si="5"/>
        <v>0</v>
      </c>
      <c r="BI32" s="223"/>
    </row>
    <row r="33" spans="2:61" ht="18" customHeight="1" x14ac:dyDescent="0.25">
      <c r="B33" s="284"/>
      <c r="C33" s="284"/>
      <c r="D33" s="285" t="str">
        <f>IFERROR(VLOOKUP(B33,Item[],3,FALSE),IFERROR(VLOOKUP(B33,Item2[],3,FALSE),""))</f>
        <v/>
      </c>
      <c r="E33" s="286" t="str">
        <f>IFERROR(VLOOKUP(B33,Item[],2,FALSE),IFERROR(VLOOKUP(B33,Item2[],2,FALSE),""))</f>
        <v/>
      </c>
      <c r="F33" s="287"/>
      <c r="G33" s="288" t="str">
        <f t="shared" si="1"/>
        <v/>
      </c>
      <c r="H33" s="287"/>
      <c r="I33" s="287"/>
      <c r="J33" s="287"/>
      <c r="K33" s="288" t="str">
        <f t="shared" si="2"/>
        <v/>
      </c>
      <c r="L33" s="289" t="str">
        <f t="shared" si="6"/>
        <v/>
      </c>
      <c r="M33" s="287"/>
      <c r="N33" s="288" t="str">
        <f t="shared" si="3"/>
        <v/>
      </c>
      <c r="O33" s="284"/>
      <c r="P33" s="284"/>
      <c r="Q33" s="284"/>
      <c r="R33" s="284"/>
      <c r="S33" s="284"/>
      <c r="T33" s="284"/>
      <c r="U33" s="284"/>
      <c r="V33" s="284"/>
      <c r="W33" s="284"/>
      <c r="X33" s="284"/>
      <c r="Y33" s="284"/>
      <c r="Z33" s="284"/>
      <c r="AA33" s="284"/>
      <c r="AB33" s="284"/>
      <c r="AC33" s="284"/>
      <c r="AD33" s="284"/>
      <c r="AE33" s="284"/>
      <c r="AF33" s="284"/>
      <c r="AG33" s="284"/>
      <c r="AH33" s="284"/>
      <c r="AI33" s="284"/>
      <c r="AJ33" s="284"/>
      <c r="AK33" s="284"/>
      <c r="AL33" s="284"/>
      <c r="AM33" s="284"/>
      <c r="AN33" s="284"/>
      <c r="AO33" s="284"/>
      <c r="AP33" s="284"/>
      <c r="AQ33" s="284"/>
      <c r="AR33" s="284"/>
      <c r="AS33" s="290" t="str">
        <f>IF(C33&lt;&gt;0,IFERROR(IF(COUNTIF(AcuariosTto[],C33),"SI",""),""),"")</f>
        <v/>
      </c>
      <c r="AT33" s="154">
        <f>IFERROR(INDEX(AcuariosTto[SignoTTo],MATCH(C33,AcuariosTto[AcuariosTTo],0)),"")</f>
        <v>0</v>
      </c>
      <c r="AU33" s="154">
        <f>IFERROR(INDEX(AcuariosTto[TipoProd],MATCH(C33,AcuariosTto[AcuariosTTo],0)),"")</f>
        <v>0</v>
      </c>
      <c r="AV33" s="154">
        <f>IFERROR(INDEX(AcuariosTto[NomProd],MATCH(C33,AcuariosTto[AcuariosTTo],0)),"")</f>
        <v>0</v>
      </c>
      <c r="AW33" s="18" t="str">
        <f>IF(B33&lt;&gt;0,IFERROR(IF(COUNTIF(ItemOcPreven[],B33),"SI",""),""),"")</f>
        <v/>
      </c>
      <c r="AX33" s="18">
        <f>IFERROR(INDEX(ItemOcPreven[TipoProPrev],MATCH(B33,ItemOcPreven[ItemOcPreven],0)),"")</f>
        <v>0</v>
      </c>
      <c r="AY33" s="18">
        <f>IFERROR(INDEX(ItemOcPreven[NomProPrev],MATCH(B33,ItemOcPreven[ItemOcPreven],0)),"")</f>
        <v>0</v>
      </c>
      <c r="AZ33" s="18" t="str">
        <f>IF(B33&lt;&gt;0,IFERROR(IF(COUNTIF(PrevTodas[],"SI"),"SI",""),""),"")</f>
        <v/>
      </c>
      <c r="BA33" s="154" t="str">
        <f>IFERROR(INDEX(ItemOcPreven[TipoProPrev],MATCH(AZ33,PrevTodas[PrevTodas],0)),"")</f>
        <v/>
      </c>
      <c r="BB33" s="154" t="str">
        <f>IFERROR(INDEX(ItemOcPreven[NomProPrev],MATCH(AZ33,PrevTodas[PrevTodas],0)),"")</f>
        <v/>
      </c>
      <c r="BC33" s="18" t="str">
        <f>IF(B33&lt;&gt;0,IFERROR(IF(COUNTIF(ItemOcEvto[],B33),"SI",""),""),"")</f>
        <v/>
      </c>
      <c r="BD33" s="154">
        <f>IFERROR(INDEX(ItemOcEvto[TipoEvto],MATCH(B33,ItemOcEvto[ItemOcEvto],0)),"")</f>
        <v>0</v>
      </c>
      <c r="BE33" s="18" t="str">
        <f>IF(B33&lt;&gt;0,IFERROR(IF(COUNTIF(EvtoTodas[],"SI"),"SI",""),""),"")</f>
        <v/>
      </c>
      <c r="BF33" s="154" t="str">
        <f>IFERROR(INDEX(ItemOcEvto[TipoEvto],MATCH(BE33,EvtoTodas[EvtoTodas],0)),"")</f>
        <v/>
      </c>
      <c r="BG33" s="154">
        <f t="shared" si="4"/>
        <v>0</v>
      </c>
      <c r="BH33" s="154">
        <f t="shared" si="5"/>
        <v>0</v>
      </c>
      <c r="BI33" s="223"/>
    </row>
    <row r="34" spans="2:61" ht="18" customHeight="1" x14ac:dyDescent="0.25">
      <c r="B34" s="284"/>
      <c r="C34" s="284"/>
      <c r="D34" s="285" t="str">
        <f>IFERROR(VLOOKUP(B34,Item[],3,FALSE),IFERROR(VLOOKUP(B34,Item2[],3,FALSE),""))</f>
        <v/>
      </c>
      <c r="E34" s="286" t="str">
        <f>IFERROR(VLOOKUP(B34,Item[],2,FALSE),IFERROR(VLOOKUP(B34,Item2[],2,FALSE),""))</f>
        <v/>
      </c>
      <c r="F34" s="287"/>
      <c r="G34" s="288" t="str">
        <f t="shared" si="1"/>
        <v/>
      </c>
      <c r="H34" s="287"/>
      <c r="I34" s="287"/>
      <c r="J34" s="287"/>
      <c r="K34" s="288" t="str">
        <f t="shared" si="2"/>
        <v/>
      </c>
      <c r="L34" s="289" t="str">
        <f t="shared" si="6"/>
        <v/>
      </c>
      <c r="M34" s="287"/>
      <c r="N34" s="288" t="str">
        <f t="shared" si="3"/>
        <v/>
      </c>
      <c r="O34" s="284"/>
      <c r="P34" s="284"/>
      <c r="Q34" s="284"/>
      <c r="R34" s="284"/>
      <c r="S34" s="284"/>
      <c r="T34" s="284"/>
      <c r="U34" s="284"/>
      <c r="V34" s="284"/>
      <c r="W34" s="284"/>
      <c r="X34" s="284"/>
      <c r="Y34" s="284"/>
      <c r="Z34" s="284"/>
      <c r="AA34" s="284"/>
      <c r="AB34" s="284"/>
      <c r="AC34" s="284"/>
      <c r="AD34" s="284"/>
      <c r="AE34" s="284"/>
      <c r="AF34" s="284"/>
      <c r="AG34" s="284"/>
      <c r="AH34" s="284"/>
      <c r="AI34" s="284"/>
      <c r="AJ34" s="284"/>
      <c r="AK34" s="284"/>
      <c r="AL34" s="284"/>
      <c r="AM34" s="284"/>
      <c r="AN34" s="284"/>
      <c r="AO34" s="284"/>
      <c r="AP34" s="284"/>
      <c r="AQ34" s="284"/>
      <c r="AR34" s="284"/>
      <c r="AS34" s="290" t="str">
        <f>IF(C34&lt;&gt;0,IFERROR(IF(COUNTIF(AcuariosTto[],C34),"SI",""),""),"")</f>
        <v/>
      </c>
      <c r="AT34" s="154">
        <f>IFERROR(INDEX(AcuariosTto[SignoTTo],MATCH(C34,AcuariosTto[AcuariosTTo],0)),"")</f>
        <v>0</v>
      </c>
      <c r="AU34" s="154">
        <f>IFERROR(INDEX(AcuariosTto[TipoProd],MATCH(C34,AcuariosTto[AcuariosTTo],0)),"")</f>
        <v>0</v>
      </c>
      <c r="AV34" s="154">
        <f>IFERROR(INDEX(AcuariosTto[NomProd],MATCH(C34,AcuariosTto[AcuariosTTo],0)),"")</f>
        <v>0</v>
      </c>
      <c r="AW34" s="18" t="str">
        <f>IF(B34&lt;&gt;0,IFERROR(IF(COUNTIF(ItemOcPreven[],B34),"SI",""),""),"")</f>
        <v/>
      </c>
      <c r="AX34" s="18">
        <f>IFERROR(INDEX(ItemOcPreven[TipoProPrev],MATCH(B34,ItemOcPreven[ItemOcPreven],0)),"")</f>
        <v>0</v>
      </c>
      <c r="AY34" s="18">
        <f>IFERROR(INDEX(ItemOcPreven[NomProPrev],MATCH(B34,ItemOcPreven[ItemOcPreven],0)),"")</f>
        <v>0</v>
      </c>
      <c r="AZ34" s="18" t="str">
        <f>IF(B34&lt;&gt;0,IFERROR(IF(COUNTIF(PrevTodas[],"SI"),"SI",""),""),"")</f>
        <v/>
      </c>
      <c r="BA34" s="154" t="str">
        <f>IFERROR(INDEX(ItemOcPreven[TipoProPrev],MATCH(AZ34,PrevTodas[PrevTodas],0)),"")</f>
        <v/>
      </c>
      <c r="BB34" s="154" t="str">
        <f>IFERROR(INDEX(ItemOcPreven[NomProPrev],MATCH(AZ34,PrevTodas[PrevTodas],0)),"")</f>
        <v/>
      </c>
      <c r="BC34" s="18" t="str">
        <f>IF(B34&lt;&gt;0,IFERROR(IF(COUNTIF(ItemOcEvto[],B34),"SI",""),""),"")</f>
        <v/>
      </c>
      <c r="BD34" s="154">
        <f>IFERROR(INDEX(ItemOcEvto[TipoEvto],MATCH(B34,ItemOcEvto[ItemOcEvto],0)),"")</f>
        <v>0</v>
      </c>
      <c r="BE34" s="18" t="str">
        <f>IF(B34&lt;&gt;0,IFERROR(IF(COUNTIF(EvtoTodas[],"SI"),"SI",""),""),"")</f>
        <v/>
      </c>
      <c r="BF34" s="154" t="str">
        <f>IFERROR(INDEX(ItemOcEvto[TipoEvto],MATCH(BE34,EvtoTodas[EvtoTodas],0)),"")</f>
        <v/>
      </c>
      <c r="BG34" s="154">
        <f t="shared" si="4"/>
        <v>0</v>
      </c>
      <c r="BH34" s="154">
        <f t="shared" si="5"/>
        <v>0</v>
      </c>
      <c r="BI34" s="223"/>
    </row>
    <row r="35" spans="2:61" ht="18" customHeight="1" x14ac:dyDescent="0.25">
      <c r="B35" s="284"/>
      <c r="C35" s="284"/>
      <c r="D35" s="285" t="str">
        <f>IFERROR(VLOOKUP(B35,Item[],3,FALSE),IFERROR(VLOOKUP(B35,Item2[],3,FALSE),""))</f>
        <v/>
      </c>
      <c r="E35" s="286" t="str">
        <f>IFERROR(VLOOKUP(B35,Item[],2,FALSE),IFERROR(VLOOKUP(B35,Item2[],2,FALSE),""))</f>
        <v/>
      </c>
      <c r="F35" s="287"/>
      <c r="G35" s="288" t="str">
        <f t="shared" si="1"/>
        <v/>
      </c>
      <c r="H35" s="287"/>
      <c r="I35" s="287"/>
      <c r="J35" s="287"/>
      <c r="K35" s="288" t="str">
        <f t="shared" si="2"/>
        <v/>
      </c>
      <c r="L35" s="289" t="str">
        <f t="shared" si="6"/>
        <v/>
      </c>
      <c r="M35" s="287"/>
      <c r="N35" s="288" t="str">
        <f t="shared" si="3"/>
        <v/>
      </c>
      <c r="O35" s="284"/>
      <c r="P35" s="284"/>
      <c r="Q35" s="284"/>
      <c r="R35" s="284"/>
      <c r="S35" s="284"/>
      <c r="T35" s="284"/>
      <c r="U35" s="284"/>
      <c r="V35" s="284"/>
      <c r="W35" s="284"/>
      <c r="X35" s="284"/>
      <c r="Y35" s="284"/>
      <c r="Z35" s="284"/>
      <c r="AA35" s="284"/>
      <c r="AB35" s="284"/>
      <c r="AC35" s="284"/>
      <c r="AD35" s="284"/>
      <c r="AE35" s="284"/>
      <c r="AF35" s="284"/>
      <c r="AG35" s="284"/>
      <c r="AH35" s="284"/>
      <c r="AI35" s="284"/>
      <c r="AJ35" s="284"/>
      <c r="AK35" s="284"/>
      <c r="AL35" s="284"/>
      <c r="AM35" s="284"/>
      <c r="AN35" s="284"/>
      <c r="AO35" s="284"/>
      <c r="AP35" s="284"/>
      <c r="AQ35" s="284"/>
      <c r="AR35" s="284"/>
      <c r="AS35" s="290" t="str">
        <f>IF(C35&lt;&gt;0,IFERROR(IF(COUNTIF(AcuariosTto[],C35),"SI",""),""),"")</f>
        <v/>
      </c>
      <c r="AT35" s="154">
        <f>IFERROR(INDEX(AcuariosTto[SignoTTo],MATCH(C35,AcuariosTto[AcuariosTTo],0)),"")</f>
        <v>0</v>
      </c>
      <c r="AU35" s="154">
        <f>IFERROR(INDEX(AcuariosTto[TipoProd],MATCH(C35,AcuariosTto[AcuariosTTo],0)),"")</f>
        <v>0</v>
      </c>
      <c r="AV35" s="154">
        <f>IFERROR(INDEX(AcuariosTto[NomProd],MATCH(C35,AcuariosTto[AcuariosTTo],0)),"")</f>
        <v>0</v>
      </c>
      <c r="AW35" s="18" t="str">
        <f>IF(B35&lt;&gt;0,IFERROR(IF(COUNTIF(ItemOcPreven[],B35),"SI",""),""),"")</f>
        <v/>
      </c>
      <c r="AX35" s="18">
        <f>IFERROR(INDEX(ItemOcPreven[TipoProPrev],MATCH(B35,ItemOcPreven[ItemOcPreven],0)),"")</f>
        <v>0</v>
      </c>
      <c r="AY35" s="18">
        <f>IFERROR(INDEX(ItemOcPreven[NomProPrev],MATCH(B35,ItemOcPreven[ItemOcPreven],0)),"")</f>
        <v>0</v>
      </c>
      <c r="AZ35" s="18" t="str">
        <f>IF(B35&lt;&gt;0,IFERROR(IF(COUNTIF(PrevTodas[],"SI"),"SI",""),""),"")</f>
        <v/>
      </c>
      <c r="BA35" s="154" t="str">
        <f>IFERROR(INDEX(ItemOcPreven[TipoProPrev],MATCH(AZ35,PrevTodas[PrevTodas],0)),"")</f>
        <v/>
      </c>
      <c r="BB35" s="154" t="str">
        <f>IFERROR(INDEX(ItemOcPreven[NomProPrev],MATCH(AZ35,PrevTodas[PrevTodas],0)),"")</f>
        <v/>
      </c>
      <c r="BC35" s="18" t="str">
        <f>IF(B35&lt;&gt;0,IFERROR(IF(COUNTIF(ItemOcEvto[],B35),"SI",""),""),"")</f>
        <v/>
      </c>
      <c r="BD35" s="154">
        <f>IFERROR(INDEX(ItemOcEvto[TipoEvto],MATCH(B35,ItemOcEvto[ItemOcEvto],0)),"")</f>
        <v>0</v>
      </c>
      <c r="BE35" s="18" t="str">
        <f>IF(B35&lt;&gt;0,IFERROR(IF(COUNTIF(EvtoTodas[],"SI"),"SI",""),""),"")</f>
        <v/>
      </c>
      <c r="BF35" s="154" t="str">
        <f>IFERROR(INDEX(ItemOcEvto[TipoEvto],MATCH(BE35,EvtoTodas[EvtoTodas],0)),"")</f>
        <v/>
      </c>
      <c r="BG35" s="154">
        <f t="shared" si="4"/>
        <v>0</v>
      </c>
      <c r="BH35" s="154">
        <f t="shared" si="5"/>
        <v>0</v>
      </c>
      <c r="BI35" s="223"/>
    </row>
    <row r="36" spans="2:61" ht="18" customHeight="1" x14ac:dyDescent="0.25">
      <c r="B36" s="284"/>
      <c r="C36" s="284"/>
      <c r="D36" s="285" t="str">
        <f>IFERROR(VLOOKUP(B36,Item[],3,FALSE),IFERROR(VLOOKUP(B36,Item2[],3,FALSE),""))</f>
        <v/>
      </c>
      <c r="E36" s="286" t="str">
        <f>IFERROR(VLOOKUP(B36,Item[],2,FALSE),IFERROR(VLOOKUP(B36,Item2[],2,FALSE),""))</f>
        <v/>
      </c>
      <c r="F36" s="287"/>
      <c r="G36" s="288" t="str">
        <f t="shared" si="1"/>
        <v/>
      </c>
      <c r="H36" s="287"/>
      <c r="I36" s="287"/>
      <c r="J36" s="287"/>
      <c r="K36" s="288" t="str">
        <f t="shared" si="2"/>
        <v/>
      </c>
      <c r="L36" s="289" t="str">
        <f t="shared" si="6"/>
        <v/>
      </c>
      <c r="M36" s="287"/>
      <c r="N36" s="288" t="str">
        <f t="shared" si="3"/>
        <v/>
      </c>
      <c r="O36" s="284"/>
      <c r="P36" s="284"/>
      <c r="Q36" s="284"/>
      <c r="R36" s="284"/>
      <c r="S36" s="284"/>
      <c r="T36" s="284"/>
      <c r="U36" s="284"/>
      <c r="V36" s="284"/>
      <c r="W36" s="284"/>
      <c r="X36" s="284"/>
      <c r="Y36" s="284"/>
      <c r="Z36" s="284"/>
      <c r="AA36" s="284"/>
      <c r="AB36" s="284"/>
      <c r="AC36" s="284"/>
      <c r="AD36" s="284"/>
      <c r="AE36" s="284"/>
      <c r="AF36" s="284"/>
      <c r="AG36" s="284"/>
      <c r="AH36" s="284"/>
      <c r="AI36" s="284"/>
      <c r="AJ36" s="284"/>
      <c r="AK36" s="284"/>
      <c r="AL36" s="284"/>
      <c r="AM36" s="284"/>
      <c r="AN36" s="284"/>
      <c r="AO36" s="284"/>
      <c r="AP36" s="284"/>
      <c r="AQ36" s="284"/>
      <c r="AR36" s="284"/>
      <c r="AS36" s="290" t="str">
        <f>IF(C36&lt;&gt;0,IFERROR(IF(COUNTIF(AcuariosTto[],C36),"SI",""),""),"")</f>
        <v/>
      </c>
      <c r="AT36" s="154">
        <f>IFERROR(INDEX(AcuariosTto[SignoTTo],MATCH(C36,AcuariosTto[AcuariosTTo],0)),"")</f>
        <v>0</v>
      </c>
      <c r="AU36" s="154">
        <f>IFERROR(INDEX(AcuariosTto[TipoProd],MATCH(C36,AcuariosTto[AcuariosTTo],0)),"")</f>
        <v>0</v>
      </c>
      <c r="AV36" s="154">
        <f>IFERROR(INDEX(AcuariosTto[NomProd],MATCH(C36,AcuariosTto[AcuariosTTo],0)),"")</f>
        <v>0</v>
      </c>
      <c r="AW36" s="18" t="str">
        <f>IF(B36&lt;&gt;0,IFERROR(IF(COUNTIF(ItemOcPreven[],B36),"SI",""),""),"")</f>
        <v/>
      </c>
      <c r="AX36" s="18">
        <f>IFERROR(INDEX(ItemOcPreven[TipoProPrev],MATCH(B36,ItemOcPreven[ItemOcPreven],0)),"")</f>
        <v>0</v>
      </c>
      <c r="AY36" s="18">
        <f>IFERROR(INDEX(ItemOcPreven[NomProPrev],MATCH(B36,ItemOcPreven[ItemOcPreven],0)),"")</f>
        <v>0</v>
      </c>
      <c r="AZ36" s="18" t="str">
        <f>IF(B36&lt;&gt;0,IFERROR(IF(COUNTIF(PrevTodas[],"SI"),"SI",""),""),"")</f>
        <v/>
      </c>
      <c r="BA36" s="154" t="str">
        <f>IFERROR(INDEX(ItemOcPreven[TipoProPrev],MATCH(AZ36,PrevTodas[PrevTodas],0)),"")</f>
        <v/>
      </c>
      <c r="BB36" s="154" t="str">
        <f>IFERROR(INDEX(ItemOcPreven[NomProPrev],MATCH(AZ36,PrevTodas[PrevTodas],0)),"")</f>
        <v/>
      </c>
      <c r="BC36" s="18" t="str">
        <f>IF(B36&lt;&gt;0,IFERROR(IF(COUNTIF(ItemOcEvto[],B36),"SI",""),""),"")</f>
        <v/>
      </c>
      <c r="BD36" s="154">
        <f>IFERROR(INDEX(ItemOcEvto[TipoEvto],MATCH(B36,ItemOcEvto[ItemOcEvto],0)),"")</f>
        <v>0</v>
      </c>
      <c r="BE36" s="18" t="str">
        <f>IF(B36&lt;&gt;0,IFERROR(IF(COUNTIF(EvtoTodas[],"SI"),"SI",""),""),"")</f>
        <v/>
      </c>
      <c r="BF36" s="154" t="str">
        <f>IFERROR(INDEX(ItemOcEvto[TipoEvto],MATCH(BE36,EvtoTodas[EvtoTodas],0)),"")</f>
        <v/>
      </c>
      <c r="BG36" s="154">
        <f t="shared" si="4"/>
        <v>0</v>
      </c>
      <c r="BH36" s="154">
        <f t="shared" si="5"/>
        <v>0</v>
      </c>
      <c r="BI36" s="223"/>
    </row>
    <row r="37" spans="2:61" ht="18" customHeight="1" x14ac:dyDescent="0.25">
      <c r="B37" s="284"/>
      <c r="C37" s="284"/>
      <c r="D37" s="285" t="str">
        <f>IFERROR(VLOOKUP(B37,Item[],3,FALSE),IFERROR(VLOOKUP(B37,Item2[],3,FALSE),""))</f>
        <v/>
      </c>
      <c r="E37" s="286" t="str">
        <f>IFERROR(VLOOKUP(B37,Item[],2,FALSE),IFERROR(VLOOKUP(B37,Item2[],2,FALSE),""))</f>
        <v/>
      </c>
      <c r="F37" s="287"/>
      <c r="G37" s="288" t="str">
        <f t="shared" si="1"/>
        <v/>
      </c>
      <c r="H37" s="287"/>
      <c r="I37" s="287"/>
      <c r="J37" s="287"/>
      <c r="K37" s="288" t="str">
        <f t="shared" si="2"/>
        <v/>
      </c>
      <c r="L37" s="289" t="str">
        <f t="shared" si="6"/>
        <v/>
      </c>
      <c r="M37" s="287"/>
      <c r="N37" s="288" t="str">
        <f t="shared" si="3"/>
        <v/>
      </c>
      <c r="O37" s="284"/>
      <c r="P37" s="284"/>
      <c r="Q37" s="284"/>
      <c r="R37" s="284"/>
      <c r="S37" s="284"/>
      <c r="T37" s="284"/>
      <c r="U37" s="284"/>
      <c r="V37" s="284"/>
      <c r="W37" s="284"/>
      <c r="X37" s="284"/>
      <c r="Y37" s="284"/>
      <c r="Z37" s="284"/>
      <c r="AA37" s="284"/>
      <c r="AB37" s="284"/>
      <c r="AC37" s="284"/>
      <c r="AD37" s="284"/>
      <c r="AE37" s="284"/>
      <c r="AF37" s="284"/>
      <c r="AG37" s="284"/>
      <c r="AH37" s="284"/>
      <c r="AI37" s="284"/>
      <c r="AJ37" s="284"/>
      <c r="AK37" s="284"/>
      <c r="AL37" s="284"/>
      <c r="AM37" s="284"/>
      <c r="AN37" s="284"/>
      <c r="AO37" s="284"/>
      <c r="AP37" s="284"/>
      <c r="AQ37" s="284"/>
      <c r="AR37" s="284"/>
      <c r="AS37" s="290" t="str">
        <f>IF(C37&lt;&gt;0,IFERROR(IF(COUNTIF(AcuariosTto[],C37),"SI",""),""),"")</f>
        <v/>
      </c>
      <c r="AT37" s="154">
        <f>IFERROR(INDEX(AcuariosTto[SignoTTo],MATCH(C37,AcuariosTto[AcuariosTTo],0)),"")</f>
        <v>0</v>
      </c>
      <c r="AU37" s="154">
        <f>IFERROR(INDEX(AcuariosTto[TipoProd],MATCH(C37,AcuariosTto[AcuariosTTo],0)),"")</f>
        <v>0</v>
      </c>
      <c r="AV37" s="154">
        <f>IFERROR(INDEX(AcuariosTto[NomProd],MATCH(C37,AcuariosTto[AcuariosTTo],0)),"")</f>
        <v>0</v>
      </c>
      <c r="AW37" s="18" t="str">
        <f>IF(B37&lt;&gt;0,IFERROR(IF(COUNTIF(ItemOcPreven[],B37),"SI",""),""),"")</f>
        <v/>
      </c>
      <c r="AX37" s="18">
        <f>IFERROR(INDEX(ItemOcPreven[TipoProPrev],MATCH(B37,ItemOcPreven[ItemOcPreven],0)),"")</f>
        <v>0</v>
      </c>
      <c r="AY37" s="18">
        <f>IFERROR(INDEX(ItemOcPreven[NomProPrev],MATCH(B37,ItemOcPreven[ItemOcPreven],0)),"")</f>
        <v>0</v>
      </c>
      <c r="AZ37" s="18" t="str">
        <f>IF(B37&lt;&gt;0,IFERROR(IF(COUNTIF(PrevTodas[],"SI"),"SI",""),""),"")</f>
        <v/>
      </c>
      <c r="BA37" s="154" t="str">
        <f>IFERROR(INDEX(ItemOcPreven[TipoProPrev],MATCH(AZ37,PrevTodas[PrevTodas],0)),"")</f>
        <v/>
      </c>
      <c r="BB37" s="154" t="str">
        <f>IFERROR(INDEX(ItemOcPreven[NomProPrev],MATCH(AZ37,PrevTodas[PrevTodas],0)),"")</f>
        <v/>
      </c>
      <c r="BC37" s="18" t="str">
        <f>IF(B37&lt;&gt;0,IFERROR(IF(COUNTIF(ItemOcEvto[],B37),"SI",""),""),"")</f>
        <v/>
      </c>
      <c r="BD37" s="154">
        <f>IFERROR(INDEX(ItemOcEvto[TipoEvto],MATCH(B37,ItemOcEvto[ItemOcEvto],0)),"")</f>
        <v>0</v>
      </c>
      <c r="BE37" s="18" t="str">
        <f>IF(B37&lt;&gt;0,IFERROR(IF(COUNTIF(EvtoTodas[],"SI"),"SI",""),""),"")</f>
        <v/>
      </c>
      <c r="BF37" s="154" t="str">
        <f>IFERROR(INDEX(ItemOcEvto[TipoEvto],MATCH(BE37,EvtoTodas[EvtoTodas],0)),"")</f>
        <v/>
      </c>
      <c r="BG37" s="154">
        <f t="shared" si="4"/>
        <v>0</v>
      </c>
      <c r="BH37" s="154">
        <f t="shared" si="5"/>
        <v>0</v>
      </c>
      <c r="BI37" s="223"/>
    </row>
    <row r="38" spans="2:61" ht="18" customHeight="1" x14ac:dyDescent="0.25">
      <c r="B38" s="284"/>
      <c r="C38" s="284"/>
      <c r="D38" s="285" t="str">
        <f>IFERROR(VLOOKUP(B38,Item[],3,FALSE),IFERROR(VLOOKUP(B38,Item2[],3,FALSE),""))</f>
        <v/>
      </c>
      <c r="E38" s="286" t="str">
        <f>IFERROR(VLOOKUP(B38,Item[],2,FALSE),IFERROR(VLOOKUP(B38,Item2[],2,FALSE),""))</f>
        <v/>
      </c>
      <c r="F38" s="287"/>
      <c r="G38" s="288" t="str">
        <f t="shared" si="1"/>
        <v/>
      </c>
      <c r="H38" s="287"/>
      <c r="I38" s="287"/>
      <c r="J38" s="287"/>
      <c r="K38" s="288" t="str">
        <f t="shared" si="2"/>
        <v/>
      </c>
      <c r="L38" s="289" t="str">
        <f t="shared" si="6"/>
        <v/>
      </c>
      <c r="M38" s="287"/>
      <c r="N38" s="288" t="str">
        <f t="shared" si="3"/>
        <v/>
      </c>
      <c r="O38" s="284"/>
      <c r="P38" s="284"/>
      <c r="Q38" s="284"/>
      <c r="R38" s="284"/>
      <c r="S38" s="284"/>
      <c r="T38" s="284"/>
      <c r="U38" s="284"/>
      <c r="V38" s="284"/>
      <c r="W38" s="284"/>
      <c r="X38" s="284"/>
      <c r="Y38" s="284"/>
      <c r="Z38" s="284"/>
      <c r="AA38" s="284"/>
      <c r="AB38" s="284"/>
      <c r="AC38" s="284"/>
      <c r="AD38" s="284"/>
      <c r="AE38" s="284"/>
      <c r="AF38" s="284"/>
      <c r="AG38" s="284"/>
      <c r="AH38" s="284"/>
      <c r="AI38" s="284"/>
      <c r="AJ38" s="284"/>
      <c r="AK38" s="284"/>
      <c r="AL38" s="284"/>
      <c r="AM38" s="284"/>
      <c r="AN38" s="284"/>
      <c r="AO38" s="284"/>
      <c r="AP38" s="284"/>
      <c r="AQ38" s="284"/>
      <c r="AR38" s="284"/>
      <c r="AS38" s="290" t="str">
        <f>IF(C38&lt;&gt;0,IFERROR(IF(COUNTIF(AcuariosTto[],C38),"SI",""),""),"")</f>
        <v/>
      </c>
      <c r="AT38" s="154">
        <f>IFERROR(INDEX(AcuariosTto[SignoTTo],MATCH(C38,AcuariosTto[AcuariosTTo],0)),"")</f>
        <v>0</v>
      </c>
      <c r="AU38" s="154">
        <f>IFERROR(INDEX(AcuariosTto[TipoProd],MATCH(C38,AcuariosTto[AcuariosTTo],0)),"")</f>
        <v>0</v>
      </c>
      <c r="AV38" s="154">
        <f>IFERROR(INDEX(AcuariosTto[NomProd],MATCH(C38,AcuariosTto[AcuariosTTo],0)),"")</f>
        <v>0</v>
      </c>
      <c r="AW38" s="18" t="str">
        <f>IF(B38&lt;&gt;0,IFERROR(IF(COUNTIF(ItemOcPreven[],B38),"SI",""),""),"")</f>
        <v/>
      </c>
      <c r="AX38" s="18">
        <f>IFERROR(INDEX(ItemOcPreven[TipoProPrev],MATCH(B38,ItemOcPreven[ItemOcPreven],0)),"")</f>
        <v>0</v>
      </c>
      <c r="AY38" s="18">
        <f>IFERROR(INDEX(ItemOcPreven[NomProPrev],MATCH(B38,ItemOcPreven[ItemOcPreven],0)),"")</f>
        <v>0</v>
      </c>
      <c r="AZ38" s="18" t="str">
        <f>IF(B38&lt;&gt;0,IFERROR(IF(COUNTIF(PrevTodas[],"SI"),"SI",""),""),"")</f>
        <v/>
      </c>
      <c r="BA38" s="154" t="str">
        <f>IFERROR(INDEX(ItemOcPreven[TipoProPrev],MATCH(AZ38,PrevTodas[PrevTodas],0)),"")</f>
        <v/>
      </c>
      <c r="BB38" s="154" t="str">
        <f>IFERROR(INDEX(ItemOcPreven[NomProPrev],MATCH(AZ38,PrevTodas[PrevTodas],0)),"")</f>
        <v/>
      </c>
      <c r="BC38" s="18" t="str">
        <f>IF(B38&lt;&gt;0,IFERROR(IF(COUNTIF(ItemOcEvto[],B38),"SI",""),""),"")</f>
        <v/>
      </c>
      <c r="BD38" s="154">
        <f>IFERROR(INDEX(ItemOcEvto[TipoEvto],MATCH(B38,ItemOcEvto[ItemOcEvto],0)),"")</f>
        <v>0</v>
      </c>
      <c r="BE38" s="18" t="str">
        <f>IF(B38&lt;&gt;0,IFERROR(IF(COUNTIF(EvtoTodas[],"SI"),"SI",""),""),"")</f>
        <v/>
      </c>
      <c r="BF38" s="154" t="str">
        <f>IFERROR(INDEX(ItemOcEvto[TipoEvto],MATCH(BE38,EvtoTodas[EvtoTodas],0)),"")</f>
        <v/>
      </c>
      <c r="BG38" s="154">
        <f t="shared" si="4"/>
        <v>0</v>
      </c>
      <c r="BH38" s="154">
        <f t="shared" si="5"/>
        <v>0</v>
      </c>
      <c r="BI38" s="223"/>
    </row>
    <row r="39" spans="2:61" ht="18" customHeight="1" x14ac:dyDescent="0.25">
      <c r="B39" s="284"/>
      <c r="C39" s="284"/>
      <c r="D39" s="285" t="str">
        <f>IFERROR(VLOOKUP(B39,Item[],3,FALSE),IFERROR(VLOOKUP(B39,Item2[],3,FALSE),""))</f>
        <v/>
      </c>
      <c r="E39" s="286" t="str">
        <f>IFERROR(VLOOKUP(B39,Item[],2,FALSE),IFERROR(VLOOKUP(B39,Item2[],2,FALSE),""))</f>
        <v/>
      </c>
      <c r="F39" s="287"/>
      <c r="G39" s="288" t="str">
        <f t="shared" si="1"/>
        <v/>
      </c>
      <c r="H39" s="287"/>
      <c r="I39" s="287"/>
      <c r="J39" s="287"/>
      <c r="K39" s="288" t="str">
        <f t="shared" si="2"/>
        <v/>
      </c>
      <c r="L39" s="289" t="str">
        <f t="shared" si="6"/>
        <v/>
      </c>
      <c r="M39" s="287"/>
      <c r="N39" s="288" t="str">
        <f t="shared" si="3"/>
        <v/>
      </c>
      <c r="O39" s="284"/>
      <c r="P39" s="284"/>
      <c r="Q39" s="284"/>
      <c r="R39" s="284"/>
      <c r="S39" s="284"/>
      <c r="T39" s="284"/>
      <c r="U39" s="284"/>
      <c r="V39" s="284"/>
      <c r="W39" s="284"/>
      <c r="X39" s="284"/>
      <c r="Y39" s="284"/>
      <c r="Z39" s="284"/>
      <c r="AA39" s="284"/>
      <c r="AB39" s="284"/>
      <c r="AC39" s="284"/>
      <c r="AD39" s="284"/>
      <c r="AE39" s="284"/>
      <c r="AF39" s="284"/>
      <c r="AG39" s="284"/>
      <c r="AH39" s="284"/>
      <c r="AI39" s="284"/>
      <c r="AJ39" s="284"/>
      <c r="AK39" s="284"/>
      <c r="AL39" s="284"/>
      <c r="AM39" s="284"/>
      <c r="AN39" s="284"/>
      <c r="AO39" s="284"/>
      <c r="AP39" s="284"/>
      <c r="AQ39" s="284"/>
      <c r="AR39" s="284"/>
      <c r="AS39" s="290" t="str">
        <f>IF(C39&lt;&gt;0,IFERROR(IF(COUNTIF(AcuariosTto[],C39),"SI",""),""),"")</f>
        <v/>
      </c>
      <c r="AT39" s="154">
        <f>IFERROR(INDEX(AcuariosTto[SignoTTo],MATCH(C39,AcuariosTto[AcuariosTTo],0)),"")</f>
        <v>0</v>
      </c>
      <c r="AU39" s="154">
        <f>IFERROR(INDEX(AcuariosTto[TipoProd],MATCH(C39,AcuariosTto[AcuariosTTo],0)),"")</f>
        <v>0</v>
      </c>
      <c r="AV39" s="154">
        <f>IFERROR(INDEX(AcuariosTto[NomProd],MATCH(C39,AcuariosTto[AcuariosTTo],0)),"")</f>
        <v>0</v>
      </c>
      <c r="AW39" s="18" t="str">
        <f>IF(B39&lt;&gt;0,IFERROR(IF(COUNTIF(ItemOcPreven[],B39),"SI",""),""),"")</f>
        <v/>
      </c>
      <c r="AX39" s="18">
        <f>IFERROR(INDEX(ItemOcPreven[TipoProPrev],MATCH(B39,ItemOcPreven[ItemOcPreven],0)),"")</f>
        <v>0</v>
      </c>
      <c r="AY39" s="18">
        <f>IFERROR(INDEX(ItemOcPreven[NomProPrev],MATCH(B39,ItemOcPreven[ItemOcPreven],0)),"")</f>
        <v>0</v>
      </c>
      <c r="AZ39" s="18" t="str">
        <f>IF(B39&lt;&gt;0,IFERROR(IF(COUNTIF(PrevTodas[],"SI"),"SI",""),""),"")</f>
        <v/>
      </c>
      <c r="BA39" s="154" t="str">
        <f>IFERROR(INDEX(ItemOcPreven[TipoProPrev],MATCH(AZ39,PrevTodas[PrevTodas],0)),"")</f>
        <v/>
      </c>
      <c r="BB39" s="154" t="str">
        <f>IFERROR(INDEX(ItemOcPreven[NomProPrev],MATCH(AZ39,PrevTodas[PrevTodas],0)),"")</f>
        <v/>
      </c>
      <c r="BC39" s="18" t="str">
        <f>IF(B39&lt;&gt;0,IFERROR(IF(COUNTIF(ItemOcEvto[],B39),"SI",""),""),"")</f>
        <v/>
      </c>
      <c r="BD39" s="154">
        <f>IFERROR(INDEX(ItemOcEvto[TipoEvto],MATCH(B39,ItemOcEvto[ItemOcEvto],0)),"")</f>
        <v>0</v>
      </c>
      <c r="BE39" s="18" t="str">
        <f>IF(B39&lt;&gt;0,IFERROR(IF(COUNTIF(EvtoTodas[],"SI"),"SI",""),""),"")</f>
        <v/>
      </c>
      <c r="BF39" s="154" t="str">
        <f>IFERROR(INDEX(ItemOcEvto[TipoEvto],MATCH(BE39,EvtoTodas[EvtoTodas],0)),"")</f>
        <v/>
      </c>
      <c r="BG39" s="154">
        <f t="shared" si="4"/>
        <v>0</v>
      </c>
      <c r="BH39" s="154">
        <f t="shared" si="5"/>
        <v>0</v>
      </c>
      <c r="BI39" s="223"/>
    </row>
    <row r="40" spans="2:61" ht="18" customHeight="1" x14ac:dyDescent="0.25">
      <c r="B40" s="284"/>
      <c r="C40" s="284"/>
      <c r="D40" s="285" t="str">
        <f>IFERROR(VLOOKUP(B40,Item[],3,FALSE),IFERROR(VLOOKUP(B40,Item2[],3,FALSE),""))</f>
        <v/>
      </c>
      <c r="E40" s="286" t="str">
        <f>IFERROR(VLOOKUP(B40,Item[],2,FALSE),IFERROR(VLOOKUP(B40,Item2[],2,FALSE),""))</f>
        <v/>
      </c>
      <c r="F40" s="287"/>
      <c r="G40" s="288" t="str">
        <f t="shared" si="1"/>
        <v/>
      </c>
      <c r="H40" s="287"/>
      <c r="I40" s="287"/>
      <c r="J40" s="287"/>
      <c r="K40" s="288" t="str">
        <f t="shared" si="2"/>
        <v/>
      </c>
      <c r="L40" s="289" t="str">
        <f t="shared" si="6"/>
        <v/>
      </c>
      <c r="M40" s="287"/>
      <c r="N40" s="288" t="str">
        <f t="shared" si="3"/>
        <v/>
      </c>
      <c r="O40" s="284"/>
      <c r="P40" s="284"/>
      <c r="Q40" s="284"/>
      <c r="R40" s="284"/>
      <c r="S40" s="284"/>
      <c r="T40" s="284"/>
      <c r="U40" s="284"/>
      <c r="V40" s="284"/>
      <c r="W40" s="284"/>
      <c r="X40" s="284"/>
      <c r="Y40" s="284"/>
      <c r="Z40" s="284"/>
      <c r="AA40" s="284"/>
      <c r="AB40" s="284"/>
      <c r="AC40" s="284"/>
      <c r="AD40" s="284"/>
      <c r="AE40" s="284"/>
      <c r="AF40" s="284"/>
      <c r="AG40" s="284"/>
      <c r="AH40" s="284"/>
      <c r="AI40" s="284"/>
      <c r="AJ40" s="284"/>
      <c r="AK40" s="284"/>
      <c r="AL40" s="284"/>
      <c r="AM40" s="284"/>
      <c r="AN40" s="284"/>
      <c r="AO40" s="284"/>
      <c r="AP40" s="284"/>
      <c r="AQ40" s="284"/>
      <c r="AR40" s="284"/>
      <c r="AS40" s="290" t="str">
        <f>IF(C40&lt;&gt;0,IFERROR(IF(COUNTIF(AcuariosTto[],C40),"SI",""),""),"")</f>
        <v/>
      </c>
      <c r="AT40" s="154">
        <f>IFERROR(INDEX(AcuariosTto[SignoTTo],MATCH(C40,AcuariosTto[AcuariosTTo],0)),"")</f>
        <v>0</v>
      </c>
      <c r="AU40" s="154">
        <f>IFERROR(INDEX(AcuariosTto[TipoProd],MATCH(C40,AcuariosTto[AcuariosTTo],0)),"")</f>
        <v>0</v>
      </c>
      <c r="AV40" s="154">
        <f>IFERROR(INDEX(AcuariosTto[NomProd],MATCH(C40,AcuariosTto[AcuariosTTo],0)),"")</f>
        <v>0</v>
      </c>
      <c r="AW40" s="18" t="str">
        <f>IF(B40&lt;&gt;0,IFERROR(IF(COUNTIF(ItemOcPreven[],B40),"SI",""),""),"")</f>
        <v/>
      </c>
      <c r="AX40" s="18">
        <f>IFERROR(INDEX(ItemOcPreven[TipoProPrev],MATCH(B40,ItemOcPreven[ItemOcPreven],0)),"")</f>
        <v>0</v>
      </c>
      <c r="AY40" s="18">
        <f>IFERROR(INDEX(ItemOcPreven[NomProPrev],MATCH(B40,ItemOcPreven[ItemOcPreven],0)),"")</f>
        <v>0</v>
      </c>
      <c r="AZ40" s="18" t="str">
        <f>IF(B40&lt;&gt;0,IFERROR(IF(COUNTIF(PrevTodas[],"SI"),"SI",""),""),"")</f>
        <v/>
      </c>
      <c r="BA40" s="154" t="str">
        <f>IFERROR(INDEX(ItemOcPreven[TipoProPrev],MATCH(AZ40,PrevTodas[PrevTodas],0)),"")</f>
        <v/>
      </c>
      <c r="BB40" s="154" t="str">
        <f>IFERROR(INDEX(ItemOcPreven[NomProPrev],MATCH(AZ40,PrevTodas[PrevTodas],0)),"")</f>
        <v/>
      </c>
      <c r="BC40" s="18" t="str">
        <f>IF(B40&lt;&gt;0,IFERROR(IF(COUNTIF(ItemOcEvto[],B40),"SI",""),""),"")</f>
        <v/>
      </c>
      <c r="BD40" s="154">
        <f>IFERROR(INDEX(ItemOcEvto[TipoEvto],MATCH(B40,ItemOcEvto[ItemOcEvto],0)),"")</f>
        <v>0</v>
      </c>
      <c r="BE40" s="18" t="str">
        <f>IF(B40&lt;&gt;0,IFERROR(IF(COUNTIF(EvtoTodas[],"SI"),"SI",""),""),"")</f>
        <v/>
      </c>
      <c r="BF40" s="154" t="str">
        <f>IFERROR(INDEX(ItemOcEvto[TipoEvto],MATCH(BE40,EvtoTodas[EvtoTodas],0)),"")</f>
        <v/>
      </c>
      <c r="BG40" s="154">
        <f t="shared" si="4"/>
        <v>0</v>
      </c>
      <c r="BH40" s="154">
        <f t="shared" si="5"/>
        <v>0</v>
      </c>
      <c r="BI40" s="223"/>
    </row>
    <row r="41" spans="2:61" ht="18" customHeight="1" x14ac:dyDescent="0.25">
      <c r="B41" s="284"/>
      <c r="C41" s="284"/>
      <c r="D41" s="285" t="str">
        <f>IFERROR(VLOOKUP(B41,Item[],3,FALSE),IFERROR(VLOOKUP(B41,Item2[],3,FALSE),""))</f>
        <v/>
      </c>
      <c r="E41" s="286" t="str">
        <f>IFERROR(VLOOKUP(B41,Item[],2,FALSE),IFERROR(VLOOKUP(B41,Item2[],2,FALSE),""))</f>
        <v/>
      </c>
      <c r="F41" s="287"/>
      <c r="G41" s="288" t="str">
        <f t="shared" si="1"/>
        <v/>
      </c>
      <c r="H41" s="287"/>
      <c r="I41" s="287"/>
      <c r="J41" s="287"/>
      <c r="K41" s="288" t="str">
        <f t="shared" si="2"/>
        <v/>
      </c>
      <c r="L41" s="289" t="str">
        <f t="shared" si="6"/>
        <v/>
      </c>
      <c r="M41" s="287"/>
      <c r="N41" s="288" t="str">
        <f t="shared" si="3"/>
        <v/>
      </c>
      <c r="O41" s="284"/>
      <c r="P41" s="284"/>
      <c r="Q41" s="284"/>
      <c r="R41" s="284"/>
      <c r="S41" s="284"/>
      <c r="T41" s="284"/>
      <c r="U41" s="284"/>
      <c r="V41" s="284"/>
      <c r="W41" s="284"/>
      <c r="X41" s="284"/>
      <c r="Y41" s="284"/>
      <c r="Z41" s="284"/>
      <c r="AA41" s="284"/>
      <c r="AB41" s="284"/>
      <c r="AC41" s="284"/>
      <c r="AD41" s="284"/>
      <c r="AE41" s="284"/>
      <c r="AF41" s="284"/>
      <c r="AG41" s="284"/>
      <c r="AH41" s="284"/>
      <c r="AI41" s="284"/>
      <c r="AJ41" s="284"/>
      <c r="AK41" s="284"/>
      <c r="AL41" s="284"/>
      <c r="AM41" s="284"/>
      <c r="AN41" s="284"/>
      <c r="AO41" s="284"/>
      <c r="AP41" s="284"/>
      <c r="AQ41" s="284"/>
      <c r="AR41" s="284"/>
      <c r="AS41" s="290" t="str">
        <f>IF(C41&lt;&gt;0,IFERROR(IF(COUNTIF(AcuariosTto[],C41),"SI",""),""),"")</f>
        <v/>
      </c>
      <c r="AT41" s="154">
        <f>IFERROR(INDEX(AcuariosTto[SignoTTo],MATCH(C41,AcuariosTto[AcuariosTTo],0)),"")</f>
        <v>0</v>
      </c>
      <c r="AU41" s="154">
        <f>IFERROR(INDEX(AcuariosTto[TipoProd],MATCH(C41,AcuariosTto[AcuariosTTo],0)),"")</f>
        <v>0</v>
      </c>
      <c r="AV41" s="154">
        <f>IFERROR(INDEX(AcuariosTto[NomProd],MATCH(C41,AcuariosTto[AcuariosTTo],0)),"")</f>
        <v>0</v>
      </c>
      <c r="AW41" s="18" t="str">
        <f>IF(B41&lt;&gt;0,IFERROR(IF(COUNTIF(ItemOcPreven[],B41),"SI",""),""),"")</f>
        <v/>
      </c>
      <c r="AX41" s="18">
        <f>IFERROR(INDEX(ItemOcPreven[TipoProPrev],MATCH(B41,ItemOcPreven[ItemOcPreven],0)),"")</f>
        <v>0</v>
      </c>
      <c r="AY41" s="18">
        <f>IFERROR(INDEX(ItemOcPreven[NomProPrev],MATCH(B41,ItemOcPreven[ItemOcPreven],0)),"")</f>
        <v>0</v>
      </c>
      <c r="AZ41" s="18" t="str">
        <f>IF(B41&lt;&gt;0,IFERROR(IF(COUNTIF(PrevTodas[],"SI"),"SI",""),""),"")</f>
        <v/>
      </c>
      <c r="BA41" s="154" t="str">
        <f>IFERROR(INDEX(ItemOcPreven[TipoProPrev],MATCH(AZ41,PrevTodas[PrevTodas],0)),"")</f>
        <v/>
      </c>
      <c r="BB41" s="154" t="str">
        <f>IFERROR(INDEX(ItemOcPreven[NomProPrev],MATCH(AZ41,PrevTodas[PrevTodas],0)),"")</f>
        <v/>
      </c>
      <c r="BC41" s="18" t="str">
        <f>IF(B41&lt;&gt;0,IFERROR(IF(COUNTIF(ItemOcEvto[],B41),"SI",""),""),"")</f>
        <v/>
      </c>
      <c r="BD41" s="154">
        <f>IFERROR(INDEX(ItemOcEvto[TipoEvto],MATCH(B41,ItemOcEvto[ItemOcEvto],0)),"")</f>
        <v>0</v>
      </c>
      <c r="BE41" s="18" t="str">
        <f>IF(B41&lt;&gt;0,IFERROR(IF(COUNTIF(EvtoTodas[],"SI"),"SI",""),""),"")</f>
        <v/>
      </c>
      <c r="BF41" s="154" t="str">
        <f>IFERROR(INDEX(ItemOcEvto[TipoEvto],MATCH(BE41,EvtoTodas[EvtoTodas],0)),"")</f>
        <v/>
      </c>
      <c r="BG41" s="154">
        <f t="shared" si="4"/>
        <v>0</v>
      </c>
      <c r="BH41" s="154">
        <f t="shared" si="5"/>
        <v>0</v>
      </c>
      <c r="BI41" s="223"/>
    </row>
    <row r="42" spans="2:61" ht="18" customHeight="1" x14ac:dyDescent="0.25">
      <c r="B42" s="284"/>
      <c r="C42" s="284"/>
      <c r="D42" s="285" t="str">
        <f>IFERROR(VLOOKUP(B42,Item[],3,FALSE),IFERROR(VLOOKUP(B42,Item2[],3,FALSE),""))</f>
        <v/>
      </c>
      <c r="E42" s="286" t="str">
        <f>IFERROR(VLOOKUP(B42,Item[],2,FALSE),IFERROR(VLOOKUP(B42,Item2[],2,FALSE),""))</f>
        <v/>
      </c>
      <c r="F42" s="287"/>
      <c r="G42" s="288" t="str">
        <f t="shared" si="1"/>
        <v/>
      </c>
      <c r="H42" s="287"/>
      <c r="I42" s="287"/>
      <c r="J42" s="287"/>
      <c r="K42" s="288" t="str">
        <f t="shared" si="2"/>
        <v/>
      </c>
      <c r="L42" s="289" t="str">
        <f t="shared" si="6"/>
        <v/>
      </c>
      <c r="M42" s="287"/>
      <c r="N42" s="288" t="str">
        <f t="shared" si="3"/>
        <v/>
      </c>
      <c r="O42" s="284"/>
      <c r="P42" s="284"/>
      <c r="Q42" s="284"/>
      <c r="R42" s="284"/>
      <c r="S42" s="284"/>
      <c r="T42" s="284"/>
      <c r="U42" s="284"/>
      <c r="V42" s="284"/>
      <c r="W42" s="284"/>
      <c r="X42" s="284"/>
      <c r="Y42" s="284"/>
      <c r="Z42" s="284"/>
      <c r="AA42" s="284"/>
      <c r="AB42" s="284"/>
      <c r="AC42" s="284"/>
      <c r="AD42" s="284"/>
      <c r="AE42" s="284"/>
      <c r="AF42" s="284"/>
      <c r="AG42" s="284"/>
      <c r="AH42" s="284"/>
      <c r="AI42" s="284"/>
      <c r="AJ42" s="284"/>
      <c r="AK42" s="284"/>
      <c r="AL42" s="284"/>
      <c r="AM42" s="284"/>
      <c r="AN42" s="284"/>
      <c r="AO42" s="284"/>
      <c r="AP42" s="284"/>
      <c r="AQ42" s="284"/>
      <c r="AR42" s="284"/>
      <c r="AS42" s="290" t="str">
        <f>IF(C42&lt;&gt;0,IFERROR(IF(COUNTIF(AcuariosTto[],C42),"SI",""),""),"")</f>
        <v/>
      </c>
      <c r="AT42" s="154">
        <f>IFERROR(INDEX(AcuariosTto[SignoTTo],MATCH(C42,AcuariosTto[AcuariosTTo],0)),"")</f>
        <v>0</v>
      </c>
      <c r="AU42" s="154">
        <f>IFERROR(INDEX(AcuariosTto[TipoProd],MATCH(C42,AcuariosTto[AcuariosTTo],0)),"")</f>
        <v>0</v>
      </c>
      <c r="AV42" s="154">
        <f>IFERROR(INDEX(AcuariosTto[NomProd],MATCH(C42,AcuariosTto[AcuariosTTo],0)),"")</f>
        <v>0</v>
      </c>
      <c r="AW42" s="18" t="str">
        <f>IF(B42&lt;&gt;0,IFERROR(IF(COUNTIF(ItemOcPreven[],B42),"SI",""),""),"")</f>
        <v/>
      </c>
      <c r="AX42" s="18">
        <f>IFERROR(INDEX(ItemOcPreven[TipoProPrev],MATCH(B42,ItemOcPreven[ItemOcPreven],0)),"")</f>
        <v>0</v>
      </c>
      <c r="AY42" s="18">
        <f>IFERROR(INDEX(ItemOcPreven[NomProPrev],MATCH(B42,ItemOcPreven[ItemOcPreven],0)),"")</f>
        <v>0</v>
      </c>
      <c r="AZ42" s="18" t="str">
        <f>IF(B42&lt;&gt;0,IFERROR(IF(COUNTIF(PrevTodas[],"SI"),"SI",""),""),"")</f>
        <v/>
      </c>
      <c r="BA42" s="154" t="str">
        <f>IFERROR(INDEX(ItemOcPreven[TipoProPrev],MATCH(AZ42,PrevTodas[PrevTodas],0)),"")</f>
        <v/>
      </c>
      <c r="BB42" s="154" t="str">
        <f>IFERROR(INDEX(ItemOcPreven[NomProPrev],MATCH(AZ42,PrevTodas[PrevTodas],0)),"")</f>
        <v/>
      </c>
      <c r="BC42" s="18" t="str">
        <f>IF(B42&lt;&gt;0,IFERROR(IF(COUNTIF(ItemOcEvto[],B42),"SI",""),""),"")</f>
        <v/>
      </c>
      <c r="BD42" s="154">
        <f>IFERROR(INDEX(ItemOcEvto[TipoEvto],MATCH(B42,ItemOcEvto[ItemOcEvto],0)),"")</f>
        <v>0</v>
      </c>
      <c r="BE42" s="18" t="str">
        <f>IF(B42&lt;&gt;0,IFERROR(IF(COUNTIF(EvtoTodas[],"SI"),"SI",""),""),"")</f>
        <v/>
      </c>
      <c r="BF42" s="154" t="str">
        <f>IFERROR(INDEX(ItemOcEvto[TipoEvto],MATCH(BE42,EvtoTodas[EvtoTodas],0)),"")</f>
        <v/>
      </c>
      <c r="BG42" s="154">
        <f t="shared" si="4"/>
        <v>0</v>
      </c>
      <c r="BH42" s="154">
        <f t="shared" si="5"/>
        <v>0</v>
      </c>
      <c r="BI42" s="223"/>
    </row>
    <row r="43" spans="2:61" ht="18" customHeight="1" x14ac:dyDescent="0.25">
      <c r="B43" s="284"/>
      <c r="C43" s="284"/>
      <c r="D43" s="285" t="str">
        <f>IFERROR(VLOOKUP(B43,Item[],3,FALSE),IFERROR(VLOOKUP(B43,Item2[],3,FALSE),""))</f>
        <v/>
      </c>
      <c r="E43" s="286" t="str">
        <f>IFERROR(VLOOKUP(B43,Item[],2,FALSE),IFERROR(VLOOKUP(B43,Item2[],2,FALSE),""))</f>
        <v/>
      </c>
      <c r="F43" s="287"/>
      <c r="G43" s="288" t="str">
        <f t="shared" si="1"/>
        <v/>
      </c>
      <c r="H43" s="287"/>
      <c r="I43" s="287"/>
      <c r="J43" s="287"/>
      <c r="K43" s="288" t="str">
        <f t="shared" si="2"/>
        <v/>
      </c>
      <c r="L43" s="289" t="str">
        <f t="shared" si="6"/>
        <v/>
      </c>
      <c r="M43" s="287"/>
      <c r="N43" s="288" t="str">
        <f t="shared" si="3"/>
        <v/>
      </c>
      <c r="O43" s="284"/>
      <c r="P43" s="284"/>
      <c r="Q43" s="284"/>
      <c r="R43" s="284"/>
      <c r="S43" s="284"/>
      <c r="T43" s="284"/>
      <c r="U43" s="284"/>
      <c r="V43" s="284"/>
      <c r="W43" s="284"/>
      <c r="X43" s="284"/>
      <c r="Y43" s="284"/>
      <c r="Z43" s="284"/>
      <c r="AA43" s="284"/>
      <c r="AB43" s="284"/>
      <c r="AC43" s="284"/>
      <c r="AD43" s="284"/>
      <c r="AE43" s="284"/>
      <c r="AF43" s="284"/>
      <c r="AG43" s="284"/>
      <c r="AH43" s="284"/>
      <c r="AI43" s="284"/>
      <c r="AJ43" s="284"/>
      <c r="AK43" s="284"/>
      <c r="AL43" s="284"/>
      <c r="AM43" s="284"/>
      <c r="AN43" s="284"/>
      <c r="AO43" s="284"/>
      <c r="AP43" s="284"/>
      <c r="AQ43" s="284"/>
      <c r="AR43" s="284"/>
      <c r="AS43" s="290" t="str">
        <f>IF(C43&lt;&gt;0,IFERROR(IF(COUNTIF(AcuariosTto[],C43),"SI",""),""),"")</f>
        <v/>
      </c>
      <c r="AT43" s="154">
        <f>IFERROR(INDEX(AcuariosTto[SignoTTo],MATCH(C43,AcuariosTto[AcuariosTTo],0)),"")</f>
        <v>0</v>
      </c>
      <c r="AU43" s="154">
        <f>IFERROR(INDEX(AcuariosTto[TipoProd],MATCH(C43,AcuariosTto[AcuariosTTo],0)),"")</f>
        <v>0</v>
      </c>
      <c r="AV43" s="154">
        <f>IFERROR(INDEX(AcuariosTto[NomProd],MATCH(C43,AcuariosTto[AcuariosTTo],0)),"")</f>
        <v>0</v>
      </c>
      <c r="AW43" s="18" t="str">
        <f>IF(B43&lt;&gt;0,IFERROR(IF(COUNTIF(ItemOcPreven[],B43),"SI",""),""),"")</f>
        <v/>
      </c>
      <c r="AX43" s="18">
        <f>IFERROR(INDEX(ItemOcPreven[TipoProPrev],MATCH(B43,ItemOcPreven[ItemOcPreven],0)),"")</f>
        <v>0</v>
      </c>
      <c r="AY43" s="18">
        <f>IFERROR(INDEX(ItemOcPreven[NomProPrev],MATCH(B43,ItemOcPreven[ItemOcPreven],0)),"")</f>
        <v>0</v>
      </c>
      <c r="AZ43" s="18" t="str">
        <f>IF(B43&lt;&gt;0,IFERROR(IF(COUNTIF(PrevTodas[],"SI"),"SI",""),""),"")</f>
        <v/>
      </c>
      <c r="BA43" s="154" t="str">
        <f>IFERROR(INDEX(ItemOcPreven[TipoProPrev],MATCH(AZ43,PrevTodas[PrevTodas],0)),"")</f>
        <v/>
      </c>
      <c r="BB43" s="154" t="str">
        <f>IFERROR(INDEX(ItemOcPreven[NomProPrev],MATCH(AZ43,PrevTodas[PrevTodas],0)),"")</f>
        <v/>
      </c>
      <c r="BC43" s="18" t="str">
        <f>IF(B43&lt;&gt;0,IFERROR(IF(COUNTIF(ItemOcEvto[],B43),"SI",""),""),"")</f>
        <v/>
      </c>
      <c r="BD43" s="154">
        <f>IFERROR(INDEX(ItemOcEvto[TipoEvto],MATCH(B43,ItemOcEvto[ItemOcEvto],0)),"")</f>
        <v>0</v>
      </c>
      <c r="BE43" s="18" t="str">
        <f>IF(B43&lt;&gt;0,IFERROR(IF(COUNTIF(EvtoTodas[],"SI"),"SI",""),""),"")</f>
        <v/>
      </c>
      <c r="BF43" s="154" t="str">
        <f>IFERROR(INDEX(ItemOcEvto[TipoEvto],MATCH(BE43,EvtoTodas[EvtoTodas],0)),"")</f>
        <v/>
      </c>
      <c r="BG43" s="154">
        <f t="shared" si="4"/>
        <v>0</v>
      </c>
      <c r="BH43" s="154">
        <f t="shared" si="5"/>
        <v>0</v>
      </c>
      <c r="BI43" s="223"/>
    </row>
    <row r="44" spans="2:61" ht="18" customHeight="1" x14ac:dyDescent="0.25">
      <c r="B44" s="284"/>
      <c r="C44" s="284"/>
      <c r="D44" s="285" t="str">
        <f>IFERROR(VLOOKUP(B44,Item[],3,FALSE),IFERROR(VLOOKUP(B44,Item2[],3,FALSE),""))</f>
        <v/>
      </c>
      <c r="E44" s="286" t="str">
        <f>IFERROR(VLOOKUP(B44,Item[],2,FALSE),IFERROR(VLOOKUP(B44,Item2[],2,FALSE),""))</f>
        <v/>
      </c>
      <c r="F44" s="287"/>
      <c r="G44" s="288" t="str">
        <f t="shared" si="1"/>
        <v/>
      </c>
      <c r="H44" s="287"/>
      <c r="I44" s="287"/>
      <c r="J44" s="287"/>
      <c r="K44" s="288" t="str">
        <f t="shared" si="2"/>
        <v/>
      </c>
      <c r="L44" s="289" t="str">
        <f t="shared" si="6"/>
        <v/>
      </c>
      <c r="M44" s="287"/>
      <c r="N44" s="288" t="str">
        <f t="shared" si="3"/>
        <v/>
      </c>
      <c r="O44" s="284"/>
      <c r="P44" s="284"/>
      <c r="Q44" s="284"/>
      <c r="R44" s="284"/>
      <c r="S44" s="284"/>
      <c r="T44" s="284"/>
      <c r="U44" s="284"/>
      <c r="V44" s="284"/>
      <c r="W44" s="284"/>
      <c r="X44" s="284"/>
      <c r="Y44" s="284"/>
      <c r="Z44" s="284"/>
      <c r="AA44" s="284"/>
      <c r="AB44" s="284"/>
      <c r="AC44" s="284"/>
      <c r="AD44" s="284"/>
      <c r="AE44" s="284"/>
      <c r="AF44" s="284"/>
      <c r="AG44" s="284"/>
      <c r="AH44" s="284"/>
      <c r="AI44" s="284"/>
      <c r="AJ44" s="284"/>
      <c r="AK44" s="284"/>
      <c r="AL44" s="284"/>
      <c r="AM44" s="284"/>
      <c r="AN44" s="284"/>
      <c r="AO44" s="284"/>
      <c r="AP44" s="284"/>
      <c r="AQ44" s="284"/>
      <c r="AR44" s="284"/>
      <c r="AS44" s="290" t="str">
        <f>IF(C44&lt;&gt;0,IFERROR(IF(COUNTIF(AcuariosTto[],C44),"SI",""),""),"")</f>
        <v/>
      </c>
      <c r="AT44" s="154">
        <f>IFERROR(INDEX(AcuariosTto[SignoTTo],MATCH(C44,AcuariosTto[AcuariosTTo],0)),"")</f>
        <v>0</v>
      </c>
      <c r="AU44" s="154">
        <f>IFERROR(INDEX(AcuariosTto[TipoProd],MATCH(C44,AcuariosTto[AcuariosTTo],0)),"")</f>
        <v>0</v>
      </c>
      <c r="AV44" s="154">
        <f>IFERROR(INDEX(AcuariosTto[NomProd],MATCH(C44,AcuariosTto[AcuariosTTo],0)),"")</f>
        <v>0</v>
      </c>
      <c r="AW44" s="18" t="str">
        <f>IF(B44&lt;&gt;0,IFERROR(IF(COUNTIF(ItemOcPreven[],B44),"SI",""),""),"")</f>
        <v/>
      </c>
      <c r="AX44" s="18">
        <f>IFERROR(INDEX(ItemOcPreven[TipoProPrev],MATCH(B44,ItemOcPreven[ItemOcPreven],0)),"")</f>
        <v>0</v>
      </c>
      <c r="AY44" s="18">
        <f>IFERROR(INDEX(ItemOcPreven[NomProPrev],MATCH(B44,ItemOcPreven[ItemOcPreven],0)),"")</f>
        <v>0</v>
      </c>
      <c r="AZ44" s="18" t="str">
        <f>IF(B44&lt;&gt;0,IFERROR(IF(COUNTIF(PrevTodas[],"SI"),"SI",""),""),"")</f>
        <v/>
      </c>
      <c r="BA44" s="154" t="str">
        <f>IFERROR(INDEX(ItemOcPreven[TipoProPrev],MATCH(AZ44,PrevTodas[PrevTodas],0)),"")</f>
        <v/>
      </c>
      <c r="BB44" s="154" t="str">
        <f>IFERROR(INDEX(ItemOcPreven[NomProPrev],MATCH(AZ44,PrevTodas[PrevTodas],0)),"")</f>
        <v/>
      </c>
      <c r="BC44" s="18" t="str">
        <f>IF(B44&lt;&gt;0,IFERROR(IF(COUNTIF(ItemOcEvto[],B44),"SI",""),""),"")</f>
        <v/>
      </c>
      <c r="BD44" s="154">
        <f>IFERROR(INDEX(ItemOcEvto[TipoEvto],MATCH(B44,ItemOcEvto[ItemOcEvto],0)),"")</f>
        <v>0</v>
      </c>
      <c r="BE44" s="18" t="str">
        <f>IF(B44&lt;&gt;0,IFERROR(IF(COUNTIF(EvtoTodas[],"SI"),"SI",""),""),"")</f>
        <v/>
      </c>
      <c r="BF44" s="154" t="str">
        <f>IFERROR(INDEX(ItemOcEvto[TipoEvto],MATCH(BE44,EvtoTodas[EvtoTodas],0)),"")</f>
        <v/>
      </c>
      <c r="BG44" s="154">
        <f t="shared" si="4"/>
        <v>0</v>
      </c>
      <c r="BH44" s="154">
        <f t="shared" si="5"/>
        <v>0</v>
      </c>
      <c r="BI44" s="223"/>
    </row>
    <row r="45" spans="2:61" ht="18" customHeight="1" x14ac:dyDescent="0.25">
      <c r="B45" s="284"/>
      <c r="C45" s="284"/>
      <c r="D45" s="285" t="str">
        <f>IFERROR(VLOOKUP(B45,Item[],3,FALSE),IFERROR(VLOOKUP(B45,Item2[],3,FALSE),""))</f>
        <v/>
      </c>
      <c r="E45" s="286" t="str">
        <f>IFERROR(VLOOKUP(B45,Item[],2,FALSE),IFERROR(VLOOKUP(B45,Item2[],2,FALSE),""))</f>
        <v/>
      </c>
      <c r="F45" s="287"/>
      <c r="G45" s="288" t="str">
        <f t="shared" si="1"/>
        <v/>
      </c>
      <c r="H45" s="287"/>
      <c r="I45" s="287"/>
      <c r="J45" s="287"/>
      <c r="K45" s="288" t="str">
        <f t="shared" si="2"/>
        <v/>
      </c>
      <c r="L45" s="289" t="str">
        <f t="shared" si="6"/>
        <v/>
      </c>
      <c r="M45" s="287"/>
      <c r="N45" s="288" t="str">
        <f t="shared" si="3"/>
        <v/>
      </c>
      <c r="O45" s="284"/>
      <c r="P45" s="284"/>
      <c r="Q45" s="284"/>
      <c r="R45" s="284"/>
      <c r="S45" s="284"/>
      <c r="T45" s="284"/>
      <c r="U45" s="284"/>
      <c r="V45" s="284"/>
      <c r="W45" s="284"/>
      <c r="X45" s="284"/>
      <c r="Y45" s="284"/>
      <c r="Z45" s="284"/>
      <c r="AA45" s="284"/>
      <c r="AB45" s="284"/>
      <c r="AC45" s="284"/>
      <c r="AD45" s="284"/>
      <c r="AE45" s="284"/>
      <c r="AF45" s="284"/>
      <c r="AG45" s="284"/>
      <c r="AH45" s="284"/>
      <c r="AI45" s="284"/>
      <c r="AJ45" s="284"/>
      <c r="AK45" s="284"/>
      <c r="AL45" s="284"/>
      <c r="AM45" s="284"/>
      <c r="AN45" s="284"/>
      <c r="AO45" s="284"/>
      <c r="AP45" s="284"/>
      <c r="AQ45" s="284"/>
      <c r="AR45" s="284"/>
      <c r="AS45" s="290" t="str">
        <f>IF(C45&lt;&gt;0,IFERROR(IF(COUNTIF(AcuariosTto[],C45),"SI",""),""),"")</f>
        <v/>
      </c>
      <c r="AT45" s="154">
        <f>IFERROR(INDEX(AcuariosTto[SignoTTo],MATCH(C45,AcuariosTto[AcuariosTTo],0)),"")</f>
        <v>0</v>
      </c>
      <c r="AU45" s="154">
        <f>IFERROR(INDEX(AcuariosTto[TipoProd],MATCH(C45,AcuariosTto[AcuariosTTo],0)),"")</f>
        <v>0</v>
      </c>
      <c r="AV45" s="154">
        <f>IFERROR(INDEX(AcuariosTto[NomProd],MATCH(C45,AcuariosTto[AcuariosTTo],0)),"")</f>
        <v>0</v>
      </c>
      <c r="AW45" s="18" t="str">
        <f>IF(B45&lt;&gt;0,IFERROR(IF(COUNTIF(ItemOcPreven[],B45),"SI",""),""),"")</f>
        <v/>
      </c>
      <c r="AX45" s="18">
        <f>IFERROR(INDEX(ItemOcPreven[TipoProPrev],MATCH(B45,ItemOcPreven[ItemOcPreven],0)),"")</f>
        <v>0</v>
      </c>
      <c r="AY45" s="18">
        <f>IFERROR(INDEX(ItemOcPreven[NomProPrev],MATCH(B45,ItemOcPreven[ItemOcPreven],0)),"")</f>
        <v>0</v>
      </c>
      <c r="AZ45" s="18" t="str">
        <f>IF(B45&lt;&gt;0,IFERROR(IF(COUNTIF(PrevTodas[],"SI"),"SI",""),""),"")</f>
        <v/>
      </c>
      <c r="BA45" s="154" t="str">
        <f>IFERROR(INDEX(ItemOcPreven[TipoProPrev],MATCH(AZ45,PrevTodas[PrevTodas],0)),"")</f>
        <v/>
      </c>
      <c r="BB45" s="154" t="str">
        <f>IFERROR(INDEX(ItemOcPreven[NomProPrev],MATCH(AZ45,PrevTodas[PrevTodas],0)),"")</f>
        <v/>
      </c>
      <c r="BC45" s="18" t="str">
        <f>IF(B45&lt;&gt;0,IFERROR(IF(COUNTIF(ItemOcEvto[],B45),"SI",""),""),"")</f>
        <v/>
      </c>
      <c r="BD45" s="154">
        <f>IFERROR(INDEX(ItemOcEvto[TipoEvto],MATCH(B45,ItemOcEvto[ItemOcEvto],0)),"")</f>
        <v>0</v>
      </c>
      <c r="BE45" s="18" t="str">
        <f>IF(B45&lt;&gt;0,IFERROR(IF(COUNTIF(EvtoTodas[],"SI"),"SI",""),""),"")</f>
        <v/>
      </c>
      <c r="BF45" s="154" t="str">
        <f>IFERROR(INDEX(ItemOcEvto[TipoEvto],MATCH(BE45,EvtoTodas[EvtoTodas],0)),"")</f>
        <v/>
      </c>
      <c r="BG45" s="154">
        <f t="shared" si="4"/>
        <v>0</v>
      </c>
      <c r="BH45" s="154">
        <f t="shared" si="5"/>
        <v>0</v>
      </c>
      <c r="BI45" s="223"/>
    </row>
    <row r="46" spans="2:61" ht="18" customHeight="1" x14ac:dyDescent="0.25">
      <c r="B46" s="284"/>
      <c r="C46" s="284"/>
      <c r="D46" s="285" t="str">
        <f>IFERROR(VLOOKUP(B46,Item[],3,FALSE),IFERROR(VLOOKUP(B46,Item2[],3,FALSE),""))</f>
        <v/>
      </c>
      <c r="E46" s="286" t="str">
        <f>IFERROR(VLOOKUP(B46,Item[],2,FALSE),IFERROR(VLOOKUP(B46,Item2[],2,FALSE),""))</f>
        <v/>
      </c>
      <c r="F46" s="287"/>
      <c r="G46" s="288" t="str">
        <f t="shared" ref="G46:G77" si="7">IF(F46&gt;0,IFERROR(F46-K46,F46),"")</f>
        <v/>
      </c>
      <c r="H46" s="287"/>
      <c r="I46" s="287"/>
      <c r="J46" s="287"/>
      <c r="K46" s="288" t="str">
        <f t="shared" ref="K46:K77" si="8">IF(B46&gt;0,SUM(O46:AR46),"")</f>
        <v/>
      </c>
      <c r="L46" s="289" t="str">
        <f t="shared" si="6"/>
        <v/>
      </c>
      <c r="M46" s="287"/>
      <c r="N46" s="288" t="str">
        <f t="shared" si="3"/>
        <v/>
      </c>
      <c r="O46" s="284"/>
      <c r="P46" s="284"/>
      <c r="Q46" s="284"/>
      <c r="R46" s="284"/>
      <c r="S46" s="284"/>
      <c r="T46" s="284"/>
      <c r="U46" s="284"/>
      <c r="V46" s="284"/>
      <c r="W46" s="284"/>
      <c r="X46" s="284"/>
      <c r="Y46" s="284"/>
      <c r="Z46" s="284"/>
      <c r="AA46" s="284"/>
      <c r="AB46" s="284"/>
      <c r="AC46" s="284"/>
      <c r="AD46" s="284"/>
      <c r="AE46" s="284"/>
      <c r="AF46" s="284"/>
      <c r="AG46" s="284"/>
      <c r="AH46" s="284"/>
      <c r="AI46" s="284"/>
      <c r="AJ46" s="284"/>
      <c r="AK46" s="284"/>
      <c r="AL46" s="284"/>
      <c r="AM46" s="284"/>
      <c r="AN46" s="284"/>
      <c r="AO46" s="284"/>
      <c r="AP46" s="284"/>
      <c r="AQ46" s="284"/>
      <c r="AR46" s="284"/>
      <c r="AS46" s="290" t="str">
        <f>IF(C46&lt;&gt;0,IFERROR(IF(COUNTIF(AcuariosTto[],C46),"SI",""),""),"")</f>
        <v/>
      </c>
      <c r="AT46" s="154">
        <f>IFERROR(INDEX(AcuariosTto[SignoTTo],MATCH(C46,AcuariosTto[AcuariosTTo],0)),"")</f>
        <v>0</v>
      </c>
      <c r="AU46" s="154">
        <f>IFERROR(INDEX(AcuariosTto[TipoProd],MATCH(C46,AcuariosTto[AcuariosTTo],0)),"")</f>
        <v>0</v>
      </c>
      <c r="AV46" s="154">
        <f>IFERROR(INDEX(AcuariosTto[NomProd],MATCH(C46,AcuariosTto[AcuariosTTo],0)),"")</f>
        <v>0</v>
      </c>
      <c r="AW46" s="18" t="str">
        <f>IF(B46&lt;&gt;0,IFERROR(IF(COUNTIF(ItemOcPreven[],B46),"SI",""),""),"")</f>
        <v/>
      </c>
      <c r="AX46" s="18">
        <f>IFERROR(INDEX(ItemOcPreven[TipoProPrev],MATCH(B46,ItemOcPreven[ItemOcPreven],0)),"")</f>
        <v>0</v>
      </c>
      <c r="AY46" s="18">
        <f>IFERROR(INDEX(ItemOcPreven[NomProPrev],MATCH(B46,ItemOcPreven[ItemOcPreven],0)),"")</f>
        <v>0</v>
      </c>
      <c r="AZ46" s="18" t="str">
        <f>IF(B46&lt;&gt;0,IFERROR(IF(COUNTIF(PrevTodas[],"SI"),"SI",""),""),"")</f>
        <v/>
      </c>
      <c r="BA46" s="154" t="str">
        <f>IFERROR(INDEX(ItemOcPreven[TipoProPrev],MATCH(AZ46,PrevTodas[PrevTodas],0)),"")</f>
        <v/>
      </c>
      <c r="BB46" s="154" t="str">
        <f>IFERROR(INDEX(ItemOcPreven[NomProPrev],MATCH(AZ46,PrevTodas[PrevTodas],0)),"")</f>
        <v/>
      </c>
      <c r="BC46" s="18" t="str">
        <f>IF(B46&lt;&gt;0,IFERROR(IF(COUNTIF(ItemOcEvto[],B46),"SI",""),""),"")</f>
        <v/>
      </c>
      <c r="BD46" s="154">
        <f>IFERROR(INDEX(ItemOcEvto[TipoEvto],MATCH(B46,ItemOcEvto[ItemOcEvto],0)),"")</f>
        <v>0</v>
      </c>
      <c r="BE46" s="18" t="str">
        <f>IF(B46&lt;&gt;0,IFERROR(IF(COUNTIF(EvtoTodas[],"SI"),"SI",""),""),"")</f>
        <v/>
      </c>
      <c r="BF46" s="154" t="str">
        <f>IFERROR(INDEX(ItemOcEvto[TipoEvto],MATCH(BE46,EvtoTodas[EvtoTodas],0)),"")</f>
        <v/>
      </c>
      <c r="BG46" s="154">
        <f t="shared" si="4"/>
        <v>0</v>
      </c>
      <c r="BH46" s="154">
        <f t="shared" si="5"/>
        <v>0</v>
      </c>
      <c r="BI46" s="223"/>
    </row>
    <row r="47" spans="2:61" ht="18" customHeight="1" x14ac:dyDescent="0.25">
      <c r="B47" s="284"/>
      <c r="C47" s="284"/>
      <c r="D47" s="285" t="str">
        <f>IFERROR(VLOOKUP(B47,Item[],3,FALSE),IFERROR(VLOOKUP(B47,Item2[],3,FALSE),""))</f>
        <v/>
      </c>
      <c r="E47" s="286" t="str">
        <f>IFERROR(VLOOKUP(B47,Item[],2,FALSE),IFERROR(VLOOKUP(B47,Item2[],2,FALSE),""))</f>
        <v/>
      </c>
      <c r="F47" s="287"/>
      <c r="G47" s="288" t="str">
        <f t="shared" si="7"/>
        <v/>
      </c>
      <c r="H47" s="287"/>
      <c r="I47" s="287"/>
      <c r="J47" s="287"/>
      <c r="K47" s="288" t="str">
        <f t="shared" si="8"/>
        <v/>
      </c>
      <c r="L47" s="289" t="str">
        <f t="shared" si="6"/>
        <v/>
      </c>
      <c r="M47" s="287"/>
      <c r="N47" s="288" t="str">
        <f t="shared" si="3"/>
        <v/>
      </c>
      <c r="O47" s="284"/>
      <c r="P47" s="284"/>
      <c r="Q47" s="284"/>
      <c r="R47" s="284"/>
      <c r="S47" s="284"/>
      <c r="T47" s="284"/>
      <c r="U47" s="284"/>
      <c r="V47" s="284"/>
      <c r="W47" s="284"/>
      <c r="X47" s="284"/>
      <c r="Y47" s="284"/>
      <c r="Z47" s="284"/>
      <c r="AA47" s="284"/>
      <c r="AB47" s="284"/>
      <c r="AC47" s="284"/>
      <c r="AD47" s="284"/>
      <c r="AE47" s="284"/>
      <c r="AF47" s="284"/>
      <c r="AG47" s="284"/>
      <c r="AH47" s="284"/>
      <c r="AI47" s="284"/>
      <c r="AJ47" s="284"/>
      <c r="AK47" s="284"/>
      <c r="AL47" s="284"/>
      <c r="AM47" s="284"/>
      <c r="AN47" s="284"/>
      <c r="AO47" s="284"/>
      <c r="AP47" s="284"/>
      <c r="AQ47" s="284"/>
      <c r="AR47" s="284"/>
      <c r="AS47" s="290" t="str">
        <f>IF(C47&lt;&gt;0,IFERROR(IF(COUNTIF(AcuariosTto[],C47),"SI",""),""),"")</f>
        <v/>
      </c>
      <c r="AT47" s="154">
        <f>IFERROR(INDEX(AcuariosTto[SignoTTo],MATCH(C47,AcuariosTto[AcuariosTTo],0)),"")</f>
        <v>0</v>
      </c>
      <c r="AU47" s="154">
        <f>IFERROR(INDEX(AcuariosTto[TipoProd],MATCH(C47,AcuariosTto[AcuariosTTo],0)),"")</f>
        <v>0</v>
      </c>
      <c r="AV47" s="154">
        <f>IFERROR(INDEX(AcuariosTto[NomProd],MATCH(C47,AcuariosTto[AcuariosTTo],0)),"")</f>
        <v>0</v>
      </c>
      <c r="AW47" s="18" t="str">
        <f>IF(B47&lt;&gt;0,IFERROR(IF(COUNTIF(ItemOcPreven[],B47),"SI",""),""),"")</f>
        <v/>
      </c>
      <c r="AX47" s="18">
        <f>IFERROR(INDEX(ItemOcPreven[TipoProPrev],MATCH(B47,ItemOcPreven[ItemOcPreven],0)),"")</f>
        <v>0</v>
      </c>
      <c r="AY47" s="18">
        <f>IFERROR(INDEX(ItemOcPreven[NomProPrev],MATCH(B47,ItemOcPreven[ItemOcPreven],0)),"")</f>
        <v>0</v>
      </c>
      <c r="AZ47" s="18" t="str">
        <f>IF(B47&lt;&gt;0,IFERROR(IF(COUNTIF(PrevTodas[],"SI"),"SI",""),""),"")</f>
        <v/>
      </c>
      <c r="BA47" s="154" t="str">
        <f>IFERROR(INDEX(ItemOcPreven[TipoProPrev],MATCH(AZ47,PrevTodas[PrevTodas],0)),"")</f>
        <v/>
      </c>
      <c r="BB47" s="154" t="str">
        <f>IFERROR(INDEX(ItemOcPreven[NomProPrev],MATCH(AZ47,PrevTodas[PrevTodas],0)),"")</f>
        <v/>
      </c>
      <c r="BC47" s="18" t="str">
        <f>IF(B47&lt;&gt;0,IFERROR(IF(COUNTIF(ItemOcEvto[],B47),"SI",""),""),"")</f>
        <v/>
      </c>
      <c r="BD47" s="154">
        <f>IFERROR(INDEX(ItemOcEvto[TipoEvto],MATCH(B47,ItemOcEvto[ItemOcEvto],0)),"")</f>
        <v>0</v>
      </c>
      <c r="BE47" s="18" t="str">
        <f>IF(B47&lt;&gt;0,IFERROR(IF(COUNTIF(EvtoTodas[],"SI"),"SI",""),""),"")</f>
        <v/>
      </c>
      <c r="BF47" s="154" t="str">
        <f>IFERROR(INDEX(ItemOcEvto[TipoEvto],MATCH(BE47,EvtoTodas[EvtoTodas],0)),"")</f>
        <v/>
      </c>
      <c r="BG47" s="154">
        <f t="shared" si="4"/>
        <v>0</v>
      </c>
      <c r="BH47" s="154">
        <f t="shared" si="5"/>
        <v>0</v>
      </c>
      <c r="BI47" s="223"/>
    </row>
    <row r="48" spans="2:61" ht="18" customHeight="1" x14ac:dyDescent="0.25">
      <c r="B48" s="284"/>
      <c r="C48" s="284"/>
      <c r="D48" s="285" t="str">
        <f>IFERROR(VLOOKUP(B48,Item[],3,FALSE),IFERROR(VLOOKUP(B48,Item2[],3,FALSE),""))</f>
        <v/>
      </c>
      <c r="E48" s="286" t="str">
        <f>IFERROR(VLOOKUP(B48,Item[],2,FALSE),IFERROR(VLOOKUP(B48,Item2[],2,FALSE),""))</f>
        <v/>
      </c>
      <c r="F48" s="287"/>
      <c r="G48" s="288" t="str">
        <f t="shared" si="7"/>
        <v/>
      </c>
      <c r="H48" s="287"/>
      <c r="I48" s="287"/>
      <c r="J48" s="287"/>
      <c r="K48" s="288" t="str">
        <f t="shared" si="8"/>
        <v/>
      </c>
      <c r="L48" s="289" t="str">
        <f t="shared" si="6"/>
        <v/>
      </c>
      <c r="M48" s="287"/>
      <c r="N48" s="288" t="str">
        <f t="shared" si="3"/>
        <v/>
      </c>
      <c r="O48" s="284"/>
      <c r="P48" s="284"/>
      <c r="Q48" s="284"/>
      <c r="R48" s="284"/>
      <c r="S48" s="284"/>
      <c r="T48" s="284"/>
      <c r="U48" s="284"/>
      <c r="V48" s="284"/>
      <c r="W48" s="284"/>
      <c r="X48" s="284"/>
      <c r="Y48" s="284"/>
      <c r="Z48" s="284"/>
      <c r="AA48" s="284"/>
      <c r="AB48" s="284"/>
      <c r="AC48" s="284"/>
      <c r="AD48" s="284"/>
      <c r="AE48" s="284"/>
      <c r="AF48" s="284"/>
      <c r="AG48" s="284"/>
      <c r="AH48" s="284"/>
      <c r="AI48" s="284"/>
      <c r="AJ48" s="284"/>
      <c r="AK48" s="284"/>
      <c r="AL48" s="284"/>
      <c r="AM48" s="284"/>
      <c r="AN48" s="284"/>
      <c r="AO48" s="284"/>
      <c r="AP48" s="284"/>
      <c r="AQ48" s="284"/>
      <c r="AR48" s="284"/>
      <c r="AS48" s="290" t="str">
        <f>IF(C48&lt;&gt;0,IFERROR(IF(COUNTIF(AcuariosTto[],C48),"SI",""),""),"")</f>
        <v/>
      </c>
      <c r="AT48" s="154">
        <f>IFERROR(INDEX(AcuariosTto[SignoTTo],MATCH(C48,AcuariosTto[AcuariosTTo],0)),"")</f>
        <v>0</v>
      </c>
      <c r="AU48" s="154">
        <f>IFERROR(INDEX(AcuariosTto[TipoProd],MATCH(C48,AcuariosTto[AcuariosTTo],0)),"")</f>
        <v>0</v>
      </c>
      <c r="AV48" s="154">
        <f>IFERROR(INDEX(AcuariosTto[NomProd],MATCH(C48,AcuariosTto[AcuariosTTo],0)),"")</f>
        <v>0</v>
      </c>
      <c r="AW48" s="18" t="str">
        <f>IF(B48&lt;&gt;0,IFERROR(IF(COUNTIF(ItemOcPreven[],B48),"SI",""),""),"")</f>
        <v/>
      </c>
      <c r="AX48" s="18">
        <f>IFERROR(INDEX(ItemOcPreven[TipoProPrev],MATCH(B48,ItemOcPreven[ItemOcPreven],0)),"")</f>
        <v>0</v>
      </c>
      <c r="AY48" s="18">
        <f>IFERROR(INDEX(ItemOcPreven[NomProPrev],MATCH(B48,ItemOcPreven[ItemOcPreven],0)),"")</f>
        <v>0</v>
      </c>
      <c r="AZ48" s="18" t="str">
        <f>IF(B48&lt;&gt;0,IFERROR(IF(COUNTIF(PrevTodas[],"SI"),"SI",""),""),"")</f>
        <v/>
      </c>
      <c r="BA48" s="154" t="str">
        <f>IFERROR(INDEX(ItemOcPreven[TipoProPrev],MATCH(AZ48,PrevTodas[PrevTodas],0)),"")</f>
        <v/>
      </c>
      <c r="BB48" s="154" t="str">
        <f>IFERROR(INDEX(ItemOcPreven[NomProPrev],MATCH(AZ48,PrevTodas[PrevTodas],0)),"")</f>
        <v/>
      </c>
      <c r="BC48" s="18" t="str">
        <f>IF(B48&lt;&gt;0,IFERROR(IF(COUNTIF(ItemOcEvto[],B48),"SI",""),""),"")</f>
        <v/>
      </c>
      <c r="BD48" s="154">
        <f>IFERROR(INDEX(ItemOcEvto[TipoEvto],MATCH(B48,ItemOcEvto[ItemOcEvto],0)),"")</f>
        <v>0</v>
      </c>
      <c r="BE48" s="18" t="str">
        <f>IF(B48&lt;&gt;0,IFERROR(IF(COUNTIF(EvtoTodas[],"SI"),"SI",""),""),"")</f>
        <v/>
      </c>
      <c r="BF48" s="154" t="str">
        <f>IFERROR(INDEX(ItemOcEvto[TipoEvto],MATCH(BE48,EvtoTodas[EvtoTodas],0)),"")</f>
        <v/>
      </c>
      <c r="BG48" s="154">
        <f t="shared" si="4"/>
        <v>0</v>
      </c>
      <c r="BH48" s="154">
        <f t="shared" si="5"/>
        <v>0</v>
      </c>
      <c r="BI48" s="223"/>
    </row>
    <row r="49" spans="2:61" ht="18" customHeight="1" x14ac:dyDescent="0.25">
      <c r="B49" s="284"/>
      <c r="C49" s="284"/>
      <c r="D49" s="285" t="str">
        <f>IFERROR(VLOOKUP(B49,Item[],3,FALSE),IFERROR(VLOOKUP(B49,Item2[],3,FALSE),""))</f>
        <v/>
      </c>
      <c r="E49" s="286" t="str">
        <f>IFERROR(VLOOKUP(B49,Item[],2,FALSE),IFERROR(VLOOKUP(B49,Item2[],2,FALSE),""))</f>
        <v/>
      </c>
      <c r="F49" s="287"/>
      <c r="G49" s="288" t="str">
        <f t="shared" si="7"/>
        <v/>
      </c>
      <c r="H49" s="287"/>
      <c r="I49" s="287"/>
      <c r="J49" s="287"/>
      <c r="K49" s="288" t="str">
        <f t="shared" si="8"/>
        <v/>
      </c>
      <c r="L49" s="289" t="str">
        <f t="shared" si="6"/>
        <v/>
      </c>
      <c r="M49" s="287"/>
      <c r="N49" s="288" t="str">
        <f t="shared" si="3"/>
        <v/>
      </c>
      <c r="O49" s="284"/>
      <c r="P49" s="284"/>
      <c r="Q49" s="284"/>
      <c r="R49" s="284"/>
      <c r="S49" s="284"/>
      <c r="T49" s="284"/>
      <c r="U49" s="284"/>
      <c r="V49" s="284"/>
      <c r="W49" s="284"/>
      <c r="X49" s="284"/>
      <c r="Y49" s="284"/>
      <c r="Z49" s="284"/>
      <c r="AA49" s="284"/>
      <c r="AB49" s="284"/>
      <c r="AC49" s="284"/>
      <c r="AD49" s="284"/>
      <c r="AE49" s="284"/>
      <c r="AF49" s="284"/>
      <c r="AG49" s="284"/>
      <c r="AH49" s="284"/>
      <c r="AI49" s="284"/>
      <c r="AJ49" s="284"/>
      <c r="AK49" s="284"/>
      <c r="AL49" s="284"/>
      <c r="AM49" s="284"/>
      <c r="AN49" s="284"/>
      <c r="AO49" s="284"/>
      <c r="AP49" s="284"/>
      <c r="AQ49" s="284"/>
      <c r="AR49" s="284"/>
      <c r="AS49" s="290" t="str">
        <f>IF(C49&lt;&gt;0,IFERROR(IF(COUNTIF(AcuariosTto[],C49),"SI",""),""),"")</f>
        <v/>
      </c>
      <c r="AT49" s="154">
        <f>IFERROR(INDEX(AcuariosTto[SignoTTo],MATCH(C49,AcuariosTto[AcuariosTTo],0)),"")</f>
        <v>0</v>
      </c>
      <c r="AU49" s="154">
        <f>IFERROR(INDEX(AcuariosTto[TipoProd],MATCH(C49,AcuariosTto[AcuariosTTo],0)),"")</f>
        <v>0</v>
      </c>
      <c r="AV49" s="154">
        <f>IFERROR(INDEX(AcuariosTto[NomProd],MATCH(C49,AcuariosTto[AcuariosTTo],0)),"")</f>
        <v>0</v>
      </c>
      <c r="AW49" s="18" t="str">
        <f>IF(B49&lt;&gt;0,IFERROR(IF(COUNTIF(ItemOcPreven[],B49),"SI",""),""),"")</f>
        <v/>
      </c>
      <c r="AX49" s="18">
        <f>IFERROR(INDEX(ItemOcPreven[TipoProPrev],MATCH(B49,ItemOcPreven[ItemOcPreven],0)),"")</f>
        <v>0</v>
      </c>
      <c r="AY49" s="18">
        <f>IFERROR(INDEX(ItemOcPreven[NomProPrev],MATCH(B49,ItemOcPreven[ItemOcPreven],0)),"")</f>
        <v>0</v>
      </c>
      <c r="AZ49" s="18" t="str">
        <f>IF(B49&lt;&gt;0,IFERROR(IF(COUNTIF(PrevTodas[],"SI"),"SI",""),""),"")</f>
        <v/>
      </c>
      <c r="BA49" s="154" t="str">
        <f>IFERROR(INDEX(ItemOcPreven[TipoProPrev],MATCH(AZ49,PrevTodas[PrevTodas],0)),"")</f>
        <v/>
      </c>
      <c r="BB49" s="154" t="str">
        <f>IFERROR(INDEX(ItemOcPreven[NomProPrev],MATCH(AZ49,PrevTodas[PrevTodas],0)),"")</f>
        <v/>
      </c>
      <c r="BC49" s="18" t="str">
        <f>IF(B49&lt;&gt;0,IFERROR(IF(COUNTIF(ItemOcEvto[],B49),"SI",""),""),"")</f>
        <v/>
      </c>
      <c r="BD49" s="154">
        <f>IFERROR(INDEX(ItemOcEvto[TipoEvto],MATCH(B49,ItemOcEvto[ItemOcEvto],0)),"")</f>
        <v>0</v>
      </c>
      <c r="BE49" s="18" t="str">
        <f>IF(B49&lt;&gt;0,IFERROR(IF(COUNTIF(EvtoTodas[],"SI"),"SI",""),""),"")</f>
        <v/>
      </c>
      <c r="BF49" s="154" t="str">
        <f>IFERROR(INDEX(ItemOcEvto[TipoEvto],MATCH(BE49,EvtoTodas[EvtoTodas],0)),"")</f>
        <v/>
      </c>
      <c r="BG49" s="154">
        <f t="shared" si="4"/>
        <v>0</v>
      </c>
      <c r="BH49" s="154">
        <f t="shared" si="5"/>
        <v>0</v>
      </c>
      <c r="BI49" s="223"/>
    </row>
    <row r="50" spans="2:61" ht="18" customHeight="1" x14ac:dyDescent="0.25">
      <c r="B50" s="284"/>
      <c r="C50" s="284"/>
      <c r="D50" s="285" t="str">
        <f>IFERROR(VLOOKUP(B50,Item[],3,FALSE),IFERROR(VLOOKUP(B50,Item2[],3,FALSE),""))</f>
        <v/>
      </c>
      <c r="E50" s="286" t="str">
        <f>IFERROR(VLOOKUP(B50,Item[],2,FALSE),IFERROR(VLOOKUP(B50,Item2[],2,FALSE),""))</f>
        <v/>
      </c>
      <c r="F50" s="287"/>
      <c r="G50" s="288" t="str">
        <f t="shared" si="7"/>
        <v/>
      </c>
      <c r="H50" s="287"/>
      <c r="I50" s="287"/>
      <c r="J50" s="287"/>
      <c r="K50" s="288" t="str">
        <f t="shared" si="8"/>
        <v/>
      </c>
      <c r="L50" s="289" t="str">
        <f t="shared" si="6"/>
        <v/>
      </c>
      <c r="M50" s="287"/>
      <c r="N50" s="288" t="str">
        <f t="shared" si="3"/>
        <v/>
      </c>
      <c r="O50" s="284"/>
      <c r="P50" s="284"/>
      <c r="Q50" s="284"/>
      <c r="R50" s="284"/>
      <c r="S50" s="284"/>
      <c r="T50" s="284"/>
      <c r="U50" s="284"/>
      <c r="V50" s="284"/>
      <c r="W50" s="284"/>
      <c r="X50" s="284"/>
      <c r="Y50" s="284"/>
      <c r="Z50" s="284"/>
      <c r="AA50" s="284"/>
      <c r="AB50" s="284"/>
      <c r="AC50" s="284"/>
      <c r="AD50" s="284"/>
      <c r="AE50" s="284"/>
      <c r="AF50" s="284"/>
      <c r="AG50" s="284"/>
      <c r="AH50" s="284"/>
      <c r="AI50" s="284"/>
      <c r="AJ50" s="284"/>
      <c r="AK50" s="284"/>
      <c r="AL50" s="284"/>
      <c r="AM50" s="284"/>
      <c r="AN50" s="284"/>
      <c r="AO50" s="284"/>
      <c r="AP50" s="284"/>
      <c r="AQ50" s="284"/>
      <c r="AR50" s="284"/>
      <c r="AS50" s="290" t="str">
        <f>IF(C50&lt;&gt;0,IFERROR(IF(COUNTIF(AcuariosTto[],C50),"SI",""),""),"")</f>
        <v/>
      </c>
      <c r="AT50" s="154">
        <f>IFERROR(INDEX(AcuariosTto[SignoTTo],MATCH(C50,AcuariosTto[AcuariosTTo],0)),"")</f>
        <v>0</v>
      </c>
      <c r="AU50" s="154">
        <f>IFERROR(INDEX(AcuariosTto[TipoProd],MATCH(C50,AcuariosTto[AcuariosTTo],0)),"")</f>
        <v>0</v>
      </c>
      <c r="AV50" s="154">
        <f>IFERROR(INDEX(AcuariosTto[NomProd],MATCH(C50,AcuariosTto[AcuariosTTo],0)),"")</f>
        <v>0</v>
      </c>
      <c r="AW50" s="18" t="str">
        <f>IF(B50&lt;&gt;0,IFERROR(IF(COUNTIF(ItemOcPreven[],B50),"SI",""),""),"")</f>
        <v/>
      </c>
      <c r="AX50" s="18">
        <f>IFERROR(INDEX(ItemOcPreven[TipoProPrev],MATCH(B50,ItemOcPreven[ItemOcPreven],0)),"")</f>
        <v>0</v>
      </c>
      <c r="AY50" s="18">
        <f>IFERROR(INDEX(ItemOcPreven[NomProPrev],MATCH(B50,ItemOcPreven[ItemOcPreven],0)),"")</f>
        <v>0</v>
      </c>
      <c r="AZ50" s="18" t="str">
        <f>IF(B50&lt;&gt;0,IFERROR(IF(COUNTIF(PrevTodas[],"SI"),"SI",""),""),"")</f>
        <v/>
      </c>
      <c r="BA50" s="154" t="str">
        <f>IFERROR(INDEX(ItemOcPreven[TipoProPrev],MATCH(AZ50,PrevTodas[PrevTodas],0)),"")</f>
        <v/>
      </c>
      <c r="BB50" s="154" t="str">
        <f>IFERROR(INDEX(ItemOcPreven[NomProPrev],MATCH(AZ50,PrevTodas[PrevTodas],0)),"")</f>
        <v/>
      </c>
      <c r="BC50" s="18" t="str">
        <f>IF(B50&lt;&gt;0,IFERROR(IF(COUNTIF(ItemOcEvto[],B50),"SI",""),""),"")</f>
        <v/>
      </c>
      <c r="BD50" s="154">
        <f>IFERROR(INDEX(ItemOcEvto[TipoEvto],MATCH(B50,ItemOcEvto[ItemOcEvto],0)),"")</f>
        <v>0</v>
      </c>
      <c r="BE50" s="18" t="str">
        <f>IF(B50&lt;&gt;0,IFERROR(IF(COUNTIF(EvtoTodas[],"SI"),"SI",""),""),"")</f>
        <v/>
      </c>
      <c r="BF50" s="154" t="str">
        <f>IFERROR(INDEX(ItemOcEvto[TipoEvto],MATCH(BE50,EvtoTodas[EvtoTodas],0)),"")</f>
        <v/>
      </c>
      <c r="BG50" s="154">
        <f t="shared" si="4"/>
        <v>0</v>
      </c>
      <c r="BH50" s="154">
        <f t="shared" si="5"/>
        <v>0</v>
      </c>
      <c r="BI50" s="223"/>
    </row>
    <row r="51" spans="2:61" ht="18" customHeight="1" x14ac:dyDescent="0.25">
      <c r="B51" s="284"/>
      <c r="C51" s="284"/>
      <c r="D51" s="285" t="str">
        <f>IFERROR(VLOOKUP(B51,Item[],3,FALSE),IFERROR(VLOOKUP(B51,Item2[],3,FALSE),""))</f>
        <v/>
      </c>
      <c r="E51" s="286" t="str">
        <f>IFERROR(VLOOKUP(B51,Item[],2,FALSE),IFERROR(VLOOKUP(B51,Item2[],2,FALSE),""))</f>
        <v/>
      </c>
      <c r="F51" s="287"/>
      <c r="G51" s="288" t="str">
        <f t="shared" si="7"/>
        <v/>
      </c>
      <c r="H51" s="287"/>
      <c r="I51" s="287"/>
      <c r="J51" s="287"/>
      <c r="K51" s="288" t="str">
        <f t="shared" si="8"/>
        <v/>
      </c>
      <c r="L51" s="289" t="str">
        <f t="shared" si="6"/>
        <v/>
      </c>
      <c r="M51" s="287"/>
      <c r="N51" s="288" t="str">
        <f t="shared" si="3"/>
        <v/>
      </c>
      <c r="O51" s="284"/>
      <c r="P51" s="284"/>
      <c r="Q51" s="284"/>
      <c r="R51" s="284"/>
      <c r="S51" s="284"/>
      <c r="T51" s="284"/>
      <c r="U51" s="284"/>
      <c r="V51" s="284"/>
      <c r="W51" s="284"/>
      <c r="X51" s="284"/>
      <c r="Y51" s="284"/>
      <c r="Z51" s="284"/>
      <c r="AA51" s="284"/>
      <c r="AB51" s="284"/>
      <c r="AC51" s="284"/>
      <c r="AD51" s="284"/>
      <c r="AE51" s="284"/>
      <c r="AF51" s="284"/>
      <c r="AG51" s="284"/>
      <c r="AH51" s="284"/>
      <c r="AI51" s="284"/>
      <c r="AJ51" s="284"/>
      <c r="AK51" s="284"/>
      <c r="AL51" s="284"/>
      <c r="AM51" s="284"/>
      <c r="AN51" s="284"/>
      <c r="AO51" s="284"/>
      <c r="AP51" s="284"/>
      <c r="AQ51" s="284"/>
      <c r="AR51" s="284"/>
      <c r="AS51" s="290" t="str">
        <f>IF(C51&lt;&gt;0,IFERROR(IF(COUNTIF(AcuariosTto[],C51),"SI",""),""),"")</f>
        <v/>
      </c>
      <c r="AT51" s="154">
        <f>IFERROR(INDEX(AcuariosTto[SignoTTo],MATCH(C51,AcuariosTto[AcuariosTTo],0)),"")</f>
        <v>0</v>
      </c>
      <c r="AU51" s="154">
        <f>IFERROR(INDEX(AcuariosTto[TipoProd],MATCH(C51,AcuariosTto[AcuariosTTo],0)),"")</f>
        <v>0</v>
      </c>
      <c r="AV51" s="154">
        <f>IFERROR(INDEX(AcuariosTto[NomProd],MATCH(C51,AcuariosTto[AcuariosTTo],0)),"")</f>
        <v>0</v>
      </c>
      <c r="AW51" s="18" t="str">
        <f>IF(B51&lt;&gt;0,IFERROR(IF(COUNTIF(ItemOcPreven[],B51),"SI",""),""),"")</f>
        <v/>
      </c>
      <c r="AX51" s="18">
        <f>IFERROR(INDEX(ItemOcPreven[TipoProPrev],MATCH(B51,ItemOcPreven[ItemOcPreven],0)),"")</f>
        <v>0</v>
      </c>
      <c r="AY51" s="18">
        <f>IFERROR(INDEX(ItemOcPreven[NomProPrev],MATCH(B51,ItemOcPreven[ItemOcPreven],0)),"")</f>
        <v>0</v>
      </c>
      <c r="AZ51" s="18" t="str">
        <f>IF(B51&lt;&gt;0,IFERROR(IF(COUNTIF(PrevTodas[],"SI"),"SI",""),""),"")</f>
        <v/>
      </c>
      <c r="BA51" s="154" t="str">
        <f>IFERROR(INDEX(ItemOcPreven[TipoProPrev],MATCH(AZ51,PrevTodas[PrevTodas],0)),"")</f>
        <v/>
      </c>
      <c r="BB51" s="154" t="str">
        <f>IFERROR(INDEX(ItemOcPreven[NomProPrev],MATCH(AZ51,PrevTodas[PrevTodas],0)),"")</f>
        <v/>
      </c>
      <c r="BC51" s="18" t="str">
        <f>IF(B51&lt;&gt;0,IFERROR(IF(COUNTIF(ItemOcEvto[],B51),"SI",""),""),"")</f>
        <v/>
      </c>
      <c r="BD51" s="154">
        <f>IFERROR(INDEX(ItemOcEvto[TipoEvto],MATCH(B51,ItemOcEvto[ItemOcEvto],0)),"")</f>
        <v>0</v>
      </c>
      <c r="BE51" s="18" t="str">
        <f>IF(B51&lt;&gt;0,IFERROR(IF(COUNTIF(EvtoTodas[],"SI"),"SI",""),""),"")</f>
        <v/>
      </c>
      <c r="BF51" s="154" t="str">
        <f>IFERROR(INDEX(ItemOcEvto[TipoEvto],MATCH(BE51,EvtoTodas[EvtoTodas],0)),"")</f>
        <v/>
      </c>
      <c r="BG51" s="154">
        <f t="shared" si="4"/>
        <v>0</v>
      </c>
      <c r="BH51" s="154">
        <f t="shared" si="5"/>
        <v>0</v>
      </c>
      <c r="BI51" s="223"/>
    </row>
    <row r="52" spans="2:61" ht="18" customHeight="1" x14ac:dyDescent="0.25">
      <c r="B52" s="284"/>
      <c r="C52" s="284"/>
      <c r="D52" s="285" t="str">
        <f>IFERROR(VLOOKUP(B52,Item[],3,FALSE),IFERROR(VLOOKUP(B52,Item2[],3,FALSE),""))</f>
        <v/>
      </c>
      <c r="E52" s="286" t="str">
        <f>IFERROR(VLOOKUP(B52,Item[],2,FALSE),IFERROR(VLOOKUP(B52,Item2[],2,FALSE),""))</f>
        <v/>
      </c>
      <c r="F52" s="287"/>
      <c r="G52" s="288" t="str">
        <f t="shared" si="7"/>
        <v/>
      </c>
      <c r="H52" s="287"/>
      <c r="I52" s="287"/>
      <c r="J52" s="287"/>
      <c r="K52" s="288" t="str">
        <f t="shared" si="8"/>
        <v/>
      </c>
      <c r="L52" s="289" t="str">
        <f t="shared" si="6"/>
        <v/>
      </c>
      <c r="M52" s="287"/>
      <c r="N52" s="288" t="str">
        <f t="shared" si="3"/>
        <v/>
      </c>
      <c r="O52" s="284"/>
      <c r="P52" s="284"/>
      <c r="Q52" s="284"/>
      <c r="R52" s="284"/>
      <c r="S52" s="284"/>
      <c r="T52" s="284"/>
      <c r="U52" s="284"/>
      <c r="V52" s="284"/>
      <c r="W52" s="284"/>
      <c r="X52" s="284"/>
      <c r="Y52" s="284"/>
      <c r="Z52" s="284"/>
      <c r="AA52" s="284"/>
      <c r="AB52" s="284"/>
      <c r="AC52" s="284"/>
      <c r="AD52" s="284"/>
      <c r="AE52" s="284"/>
      <c r="AF52" s="284"/>
      <c r="AG52" s="284"/>
      <c r="AH52" s="284"/>
      <c r="AI52" s="284"/>
      <c r="AJ52" s="284"/>
      <c r="AK52" s="284"/>
      <c r="AL52" s="284"/>
      <c r="AM52" s="284"/>
      <c r="AN52" s="284"/>
      <c r="AO52" s="284"/>
      <c r="AP52" s="284"/>
      <c r="AQ52" s="284"/>
      <c r="AR52" s="284"/>
      <c r="AS52" s="290" t="str">
        <f>IF(C52&lt;&gt;0,IFERROR(IF(COUNTIF(AcuariosTto[],C52),"SI",""),""),"")</f>
        <v/>
      </c>
      <c r="AT52" s="154">
        <f>IFERROR(INDEX(AcuariosTto[SignoTTo],MATCH(C52,AcuariosTto[AcuariosTTo],0)),"")</f>
        <v>0</v>
      </c>
      <c r="AU52" s="154">
        <f>IFERROR(INDEX(AcuariosTto[TipoProd],MATCH(C52,AcuariosTto[AcuariosTTo],0)),"")</f>
        <v>0</v>
      </c>
      <c r="AV52" s="154">
        <f>IFERROR(INDEX(AcuariosTto[NomProd],MATCH(C52,AcuariosTto[AcuariosTTo],0)),"")</f>
        <v>0</v>
      </c>
      <c r="AW52" s="18" t="str">
        <f>IF(B52&lt;&gt;0,IFERROR(IF(COUNTIF(ItemOcPreven[],B52),"SI",""),""),"")</f>
        <v/>
      </c>
      <c r="AX52" s="18">
        <f>IFERROR(INDEX(ItemOcPreven[TipoProPrev],MATCH(B52,ItemOcPreven[ItemOcPreven],0)),"")</f>
        <v>0</v>
      </c>
      <c r="AY52" s="18">
        <f>IFERROR(INDEX(ItemOcPreven[NomProPrev],MATCH(B52,ItemOcPreven[ItemOcPreven],0)),"")</f>
        <v>0</v>
      </c>
      <c r="AZ52" s="18" t="str">
        <f>IF(B52&lt;&gt;0,IFERROR(IF(COUNTIF(PrevTodas[],"SI"),"SI",""),""),"")</f>
        <v/>
      </c>
      <c r="BA52" s="154" t="str">
        <f>IFERROR(INDEX(ItemOcPreven[TipoProPrev],MATCH(AZ52,PrevTodas[PrevTodas],0)),"")</f>
        <v/>
      </c>
      <c r="BB52" s="154" t="str">
        <f>IFERROR(INDEX(ItemOcPreven[NomProPrev],MATCH(AZ52,PrevTodas[PrevTodas],0)),"")</f>
        <v/>
      </c>
      <c r="BC52" s="18" t="str">
        <f>IF(B52&lt;&gt;0,IFERROR(IF(COUNTIF(ItemOcEvto[],B52),"SI",""),""),"")</f>
        <v/>
      </c>
      <c r="BD52" s="154">
        <f>IFERROR(INDEX(ItemOcEvto[TipoEvto],MATCH(B52,ItemOcEvto[ItemOcEvto],0)),"")</f>
        <v>0</v>
      </c>
      <c r="BE52" s="18" t="str">
        <f>IF(B52&lt;&gt;0,IFERROR(IF(COUNTIF(EvtoTodas[],"SI"),"SI",""),""),"")</f>
        <v/>
      </c>
      <c r="BF52" s="154" t="str">
        <f>IFERROR(INDEX(ItemOcEvto[TipoEvto],MATCH(BE52,EvtoTodas[EvtoTodas],0)),"")</f>
        <v/>
      </c>
      <c r="BG52" s="154">
        <f t="shared" si="4"/>
        <v>0</v>
      </c>
      <c r="BH52" s="154">
        <f t="shared" si="5"/>
        <v>0</v>
      </c>
      <c r="BI52" s="223"/>
    </row>
    <row r="53" spans="2:61" ht="18" customHeight="1" x14ac:dyDescent="0.25">
      <c r="B53" s="284"/>
      <c r="C53" s="284"/>
      <c r="D53" s="285" t="str">
        <f>IFERROR(VLOOKUP(B53,Item[],3,FALSE),IFERROR(VLOOKUP(B53,Item2[],3,FALSE),""))</f>
        <v/>
      </c>
      <c r="E53" s="286" t="str">
        <f>IFERROR(VLOOKUP(B53,Item[],2,FALSE),IFERROR(VLOOKUP(B53,Item2[],2,FALSE),""))</f>
        <v/>
      </c>
      <c r="F53" s="287"/>
      <c r="G53" s="288" t="str">
        <f t="shared" si="7"/>
        <v/>
      </c>
      <c r="H53" s="287"/>
      <c r="I53" s="287"/>
      <c r="J53" s="287"/>
      <c r="K53" s="288" t="str">
        <f t="shared" si="8"/>
        <v/>
      </c>
      <c r="L53" s="289" t="str">
        <f t="shared" si="6"/>
        <v/>
      </c>
      <c r="M53" s="287"/>
      <c r="N53" s="288" t="str">
        <f t="shared" si="3"/>
        <v/>
      </c>
      <c r="O53" s="284"/>
      <c r="P53" s="284"/>
      <c r="Q53" s="284"/>
      <c r="R53" s="284"/>
      <c r="S53" s="284"/>
      <c r="T53" s="284"/>
      <c r="U53" s="284"/>
      <c r="V53" s="284"/>
      <c r="W53" s="284"/>
      <c r="X53" s="284"/>
      <c r="Y53" s="284"/>
      <c r="Z53" s="284"/>
      <c r="AA53" s="284"/>
      <c r="AB53" s="284"/>
      <c r="AC53" s="284"/>
      <c r="AD53" s="284"/>
      <c r="AE53" s="284"/>
      <c r="AF53" s="284"/>
      <c r="AG53" s="284"/>
      <c r="AH53" s="284"/>
      <c r="AI53" s="284"/>
      <c r="AJ53" s="284"/>
      <c r="AK53" s="284"/>
      <c r="AL53" s="284"/>
      <c r="AM53" s="284"/>
      <c r="AN53" s="284"/>
      <c r="AO53" s="284"/>
      <c r="AP53" s="284"/>
      <c r="AQ53" s="284"/>
      <c r="AR53" s="284"/>
      <c r="AS53" s="290" t="str">
        <f>IF(C53&lt;&gt;0,IFERROR(IF(COUNTIF(AcuariosTto[],C53),"SI",""),""),"")</f>
        <v/>
      </c>
      <c r="AT53" s="154">
        <f>IFERROR(INDEX(AcuariosTto[SignoTTo],MATCH(C53,AcuariosTto[AcuariosTTo],0)),"")</f>
        <v>0</v>
      </c>
      <c r="AU53" s="154">
        <f>IFERROR(INDEX(AcuariosTto[TipoProd],MATCH(C53,AcuariosTto[AcuariosTTo],0)),"")</f>
        <v>0</v>
      </c>
      <c r="AV53" s="154">
        <f>IFERROR(INDEX(AcuariosTto[NomProd],MATCH(C53,AcuariosTto[AcuariosTTo],0)),"")</f>
        <v>0</v>
      </c>
      <c r="AW53" s="18" t="str">
        <f>IF(B53&lt;&gt;0,IFERROR(IF(COUNTIF(ItemOcPreven[],B53),"SI",""),""),"")</f>
        <v/>
      </c>
      <c r="AX53" s="18">
        <f>IFERROR(INDEX(ItemOcPreven[TipoProPrev],MATCH(B53,ItemOcPreven[ItemOcPreven],0)),"")</f>
        <v>0</v>
      </c>
      <c r="AY53" s="18">
        <f>IFERROR(INDEX(ItemOcPreven[NomProPrev],MATCH(B53,ItemOcPreven[ItemOcPreven],0)),"")</f>
        <v>0</v>
      </c>
      <c r="AZ53" s="18" t="str">
        <f>IF(B53&lt;&gt;0,IFERROR(IF(COUNTIF(PrevTodas[],"SI"),"SI",""),""),"")</f>
        <v/>
      </c>
      <c r="BA53" s="154" t="str">
        <f>IFERROR(INDEX(ItemOcPreven[TipoProPrev],MATCH(AZ53,PrevTodas[PrevTodas],0)),"")</f>
        <v/>
      </c>
      <c r="BB53" s="154" t="str">
        <f>IFERROR(INDEX(ItemOcPreven[NomProPrev],MATCH(AZ53,PrevTodas[PrevTodas],0)),"")</f>
        <v/>
      </c>
      <c r="BC53" s="18" t="str">
        <f>IF(B53&lt;&gt;0,IFERROR(IF(COUNTIF(ItemOcEvto[],B53),"SI",""),""),"")</f>
        <v/>
      </c>
      <c r="BD53" s="154">
        <f>IFERROR(INDEX(ItemOcEvto[TipoEvto],MATCH(B53,ItemOcEvto[ItemOcEvto],0)),"")</f>
        <v>0</v>
      </c>
      <c r="BE53" s="18" t="str">
        <f>IF(B53&lt;&gt;0,IFERROR(IF(COUNTIF(EvtoTodas[],"SI"),"SI",""),""),"")</f>
        <v/>
      </c>
      <c r="BF53" s="154" t="str">
        <f>IFERROR(INDEX(ItemOcEvto[TipoEvto],MATCH(BE53,EvtoTodas[EvtoTodas],0)),"")</f>
        <v/>
      </c>
      <c r="BG53" s="154">
        <f t="shared" si="4"/>
        <v>0</v>
      </c>
      <c r="BH53" s="154">
        <f t="shared" si="5"/>
        <v>0</v>
      </c>
      <c r="BI53" s="223"/>
    </row>
    <row r="54" spans="2:61" ht="18" customHeight="1" x14ac:dyDescent="0.25">
      <c r="B54" s="284"/>
      <c r="C54" s="284"/>
      <c r="D54" s="285" t="str">
        <f>IFERROR(VLOOKUP(B54,Item[],3,FALSE),IFERROR(VLOOKUP(B54,Item2[],3,FALSE),""))</f>
        <v/>
      </c>
      <c r="E54" s="286" t="str">
        <f>IFERROR(VLOOKUP(B54,Item[],2,FALSE),IFERROR(VLOOKUP(B54,Item2[],2,FALSE),""))</f>
        <v/>
      </c>
      <c r="F54" s="287"/>
      <c r="G54" s="288" t="str">
        <f t="shared" si="7"/>
        <v/>
      </c>
      <c r="H54" s="287"/>
      <c r="I54" s="287"/>
      <c r="J54" s="287"/>
      <c r="K54" s="288" t="str">
        <f t="shared" si="8"/>
        <v/>
      </c>
      <c r="L54" s="289" t="str">
        <f t="shared" si="6"/>
        <v/>
      </c>
      <c r="M54" s="287"/>
      <c r="N54" s="288" t="str">
        <f t="shared" si="3"/>
        <v/>
      </c>
      <c r="O54" s="284"/>
      <c r="P54" s="284"/>
      <c r="Q54" s="284"/>
      <c r="R54" s="284"/>
      <c r="S54" s="284"/>
      <c r="T54" s="284"/>
      <c r="U54" s="284"/>
      <c r="V54" s="284"/>
      <c r="W54" s="284"/>
      <c r="X54" s="284"/>
      <c r="Y54" s="284"/>
      <c r="Z54" s="284"/>
      <c r="AA54" s="284"/>
      <c r="AB54" s="284"/>
      <c r="AC54" s="284"/>
      <c r="AD54" s="284"/>
      <c r="AE54" s="284"/>
      <c r="AF54" s="284"/>
      <c r="AG54" s="284"/>
      <c r="AH54" s="284"/>
      <c r="AI54" s="284"/>
      <c r="AJ54" s="284"/>
      <c r="AK54" s="284"/>
      <c r="AL54" s="284"/>
      <c r="AM54" s="284"/>
      <c r="AN54" s="284"/>
      <c r="AO54" s="284"/>
      <c r="AP54" s="284"/>
      <c r="AQ54" s="284"/>
      <c r="AR54" s="284"/>
      <c r="AS54" s="290" t="str">
        <f>IF(C54&lt;&gt;0,IFERROR(IF(COUNTIF(AcuariosTto[],C54),"SI",""),""),"")</f>
        <v/>
      </c>
      <c r="AT54" s="154">
        <f>IFERROR(INDEX(AcuariosTto[SignoTTo],MATCH(C54,AcuariosTto[AcuariosTTo],0)),"")</f>
        <v>0</v>
      </c>
      <c r="AU54" s="154">
        <f>IFERROR(INDEX(AcuariosTto[TipoProd],MATCH(C54,AcuariosTto[AcuariosTTo],0)),"")</f>
        <v>0</v>
      </c>
      <c r="AV54" s="154">
        <f>IFERROR(INDEX(AcuariosTto[NomProd],MATCH(C54,AcuariosTto[AcuariosTTo],0)),"")</f>
        <v>0</v>
      </c>
      <c r="AW54" s="18" t="str">
        <f>IF(B54&lt;&gt;0,IFERROR(IF(COUNTIF(ItemOcPreven[],B54),"SI",""),""),"")</f>
        <v/>
      </c>
      <c r="AX54" s="18">
        <f>IFERROR(INDEX(ItemOcPreven[TipoProPrev],MATCH(B54,ItemOcPreven[ItemOcPreven],0)),"")</f>
        <v>0</v>
      </c>
      <c r="AY54" s="18">
        <f>IFERROR(INDEX(ItemOcPreven[NomProPrev],MATCH(B54,ItemOcPreven[ItemOcPreven],0)),"")</f>
        <v>0</v>
      </c>
      <c r="AZ54" s="18" t="str">
        <f>IF(B54&lt;&gt;0,IFERROR(IF(COUNTIF(PrevTodas[],"SI"),"SI",""),""),"")</f>
        <v/>
      </c>
      <c r="BA54" s="154" t="str">
        <f>IFERROR(INDEX(ItemOcPreven[TipoProPrev],MATCH(AZ54,PrevTodas[PrevTodas],0)),"")</f>
        <v/>
      </c>
      <c r="BB54" s="154" t="str">
        <f>IFERROR(INDEX(ItemOcPreven[NomProPrev],MATCH(AZ54,PrevTodas[PrevTodas],0)),"")</f>
        <v/>
      </c>
      <c r="BC54" s="18" t="str">
        <f>IF(B54&lt;&gt;0,IFERROR(IF(COUNTIF(ItemOcEvto[],B54),"SI",""),""),"")</f>
        <v/>
      </c>
      <c r="BD54" s="154">
        <f>IFERROR(INDEX(ItemOcEvto[TipoEvto],MATCH(B54,ItemOcEvto[ItemOcEvto],0)),"")</f>
        <v>0</v>
      </c>
      <c r="BE54" s="18" t="str">
        <f>IF(B54&lt;&gt;0,IFERROR(IF(COUNTIF(EvtoTodas[],"SI"),"SI",""),""),"")</f>
        <v/>
      </c>
      <c r="BF54" s="154" t="str">
        <f>IFERROR(INDEX(ItemOcEvto[TipoEvto],MATCH(BE54,EvtoTodas[EvtoTodas],0)),"")</f>
        <v/>
      </c>
      <c r="BG54" s="154">
        <f t="shared" si="4"/>
        <v>0</v>
      </c>
      <c r="BH54" s="154">
        <f t="shared" si="5"/>
        <v>0</v>
      </c>
      <c r="BI54" s="223"/>
    </row>
    <row r="55" spans="2:61" ht="18" customHeight="1" x14ac:dyDescent="0.25">
      <c r="B55" s="284"/>
      <c r="C55" s="284"/>
      <c r="D55" s="285" t="str">
        <f>IFERROR(VLOOKUP(B55,Item[],3,FALSE),IFERROR(VLOOKUP(B55,Item2[],3,FALSE),""))</f>
        <v/>
      </c>
      <c r="E55" s="286" t="str">
        <f>IFERROR(VLOOKUP(B55,Item[],2,FALSE),IFERROR(VLOOKUP(B55,Item2[],2,FALSE),""))</f>
        <v/>
      </c>
      <c r="F55" s="287"/>
      <c r="G55" s="288" t="str">
        <f t="shared" si="7"/>
        <v/>
      </c>
      <c r="H55" s="287"/>
      <c r="I55" s="287"/>
      <c r="J55" s="287"/>
      <c r="K55" s="288" t="str">
        <f t="shared" si="8"/>
        <v/>
      </c>
      <c r="L55" s="289" t="str">
        <f t="shared" si="6"/>
        <v/>
      </c>
      <c r="M55" s="287"/>
      <c r="N55" s="288" t="str">
        <f t="shared" si="3"/>
        <v/>
      </c>
      <c r="O55" s="284"/>
      <c r="P55" s="284"/>
      <c r="Q55" s="284"/>
      <c r="R55" s="284"/>
      <c r="S55" s="284"/>
      <c r="T55" s="284"/>
      <c r="U55" s="284"/>
      <c r="V55" s="284"/>
      <c r="W55" s="284"/>
      <c r="X55" s="284"/>
      <c r="Y55" s="284"/>
      <c r="Z55" s="284"/>
      <c r="AA55" s="284"/>
      <c r="AB55" s="284"/>
      <c r="AC55" s="284"/>
      <c r="AD55" s="284"/>
      <c r="AE55" s="284"/>
      <c r="AF55" s="284"/>
      <c r="AG55" s="284"/>
      <c r="AH55" s="284"/>
      <c r="AI55" s="284"/>
      <c r="AJ55" s="284"/>
      <c r="AK55" s="284"/>
      <c r="AL55" s="284"/>
      <c r="AM55" s="284"/>
      <c r="AN55" s="284"/>
      <c r="AO55" s="284"/>
      <c r="AP55" s="284"/>
      <c r="AQ55" s="284"/>
      <c r="AR55" s="284"/>
      <c r="AS55" s="290" t="str">
        <f>IF(C55&lt;&gt;0,IFERROR(IF(COUNTIF(AcuariosTto[],C55),"SI",""),""),"")</f>
        <v/>
      </c>
      <c r="AT55" s="154">
        <f>IFERROR(INDEX(AcuariosTto[SignoTTo],MATCH(C55,AcuariosTto[AcuariosTTo],0)),"")</f>
        <v>0</v>
      </c>
      <c r="AU55" s="154">
        <f>IFERROR(INDEX(AcuariosTto[TipoProd],MATCH(C55,AcuariosTto[AcuariosTTo],0)),"")</f>
        <v>0</v>
      </c>
      <c r="AV55" s="154">
        <f>IFERROR(INDEX(AcuariosTto[NomProd],MATCH(C55,AcuariosTto[AcuariosTTo],0)),"")</f>
        <v>0</v>
      </c>
      <c r="AW55" s="18" t="str">
        <f>IF(B55&lt;&gt;0,IFERROR(IF(COUNTIF(ItemOcPreven[],B55),"SI",""),""),"")</f>
        <v/>
      </c>
      <c r="AX55" s="18">
        <f>IFERROR(INDEX(ItemOcPreven[TipoProPrev],MATCH(B55,ItemOcPreven[ItemOcPreven],0)),"")</f>
        <v>0</v>
      </c>
      <c r="AY55" s="18">
        <f>IFERROR(INDEX(ItemOcPreven[NomProPrev],MATCH(B55,ItemOcPreven[ItemOcPreven],0)),"")</f>
        <v>0</v>
      </c>
      <c r="AZ55" s="18" t="str">
        <f>IF(B55&lt;&gt;0,IFERROR(IF(COUNTIF(PrevTodas[],"SI"),"SI",""),""),"")</f>
        <v/>
      </c>
      <c r="BA55" s="154" t="str">
        <f>IFERROR(INDEX(ItemOcPreven[TipoProPrev],MATCH(AZ55,PrevTodas[PrevTodas],0)),"")</f>
        <v/>
      </c>
      <c r="BB55" s="154" t="str">
        <f>IFERROR(INDEX(ItemOcPreven[NomProPrev],MATCH(AZ55,PrevTodas[PrevTodas],0)),"")</f>
        <v/>
      </c>
      <c r="BC55" s="18" t="str">
        <f>IF(B55&lt;&gt;0,IFERROR(IF(COUNTIF(ItemOcEvto[],B55),"SI",""),""),"")</f>
        <v/>
      </c>
      <c r="BD55" s="154">
        <f>IFERROR(INDEX(ItemOcEvto[TipoEvto],MATCH(B55,ItemOcEvto[ItemOcEvto],0)),"")</f>
        <v>0</v>
      </c>
      <c r="BE55" s="18" t="str">
        <f>IF(B55&lt;&gt;0,IFERROR(IF(COUNTIF(EvtoTodas[],"SI"),"SI",""),""),"")</f>
        <v/>
      </c>
      <c r="BF55" s="154" t="str">
        <f>IFERROR(INDEX(ItemOcEvto[TipoEvto],MATCH(BE55,EvtoTodas[EvtoTodas],0)),"")</f>
        <v/>
      </c>
      <c r="BG55" s="154">
        <f t="shared" si="4"/>
        <v>0</v>
      </c>
      <c r="BH55" s="154">
        <f t="shared" si="5"/>
        <v>0</v>
      </c>
      <c r="BI55" s="223"/>
    </row>
    <row r="56" spans="2:61" ht="18" customHeight="1" x14ac:dyDescent="0.25">
      <c r="B56" s="284"/>
      <c r="C56" s="284"/>
      <c r="D56" s="285" t="str">
        <f>IFERROR(VLOOKUP(B56,Item[],3,FALSE),IFERROR(VLOOKUP(B56,Item2[],3,FALSE),""))</f>
        <v/>
      </c>
      <c r="E56" s="286" t="str">
        <f>IFERROR(VLOOKUP(B56,Item[],2,FALSE),IFERROR(VLOOKUP(B56,Item2[],2,FALSE),""))</f>
        <v/>
      </c>
      <c r="F56" s="287"/>
      <c r="G56" s="288" t="str">
        <f t="shared" si="7"/>
        <v/>
      </c>
      <c r="H56" s="287"/>
      <c r="I56" s="287"/>
      <c r="J56" s="287"/>
      <c r="K56" s="288" t="str">
        <f t="shared" si="8"/>
        <v/>
      </c>
      <c r="L56" s="289" t="str">
        <f t="shared" si="6"/>
        <v/>
      </c>
      <c r="M56" s="287"/>
      <c r="N56" s="288" t="str">
        <f t="shared" si="3"/>
        <v/>
      </c>
      <c r="O56" s="284"/>
      <c r="P56" s="284"/>
      <c r="Q56" s="284"/>
      <c r="R56" s="284"/>
      <c r="S56" s="284"/>
      <c r="T56" s="284"/>
      <c r="U56" s="284"/>
      <c r="V56" s="284"/>
      <c r="W56" s="284"/>
      <c r="X56" s="284"/>
      <c r="Y56" s="284"/>
      <c r="Z56" s="284"/>
      <c r="AA56" s="284"/>
      <c r="AB56" s="284"/>
      <c r="AC56" s="284"/>
      <c r="AD56" s="284"/>
      <c r="AE56" s="284"/>
      <c r="AF56" s="284"/>
      <c r="AG56" s="284"/>
      <c r="AH56" s="284"/>
      <c r="AI56" s="284"/>
      <c r="AJ56" s="284"/>
      <c r="AK56" s="284"/>
      <c r="AL56" s="284"/>
      <c r="AM56" s="284"/>
      <c r="AN56" s="284"/>
      <c r="AO56" s="284"/>
      <c r="AP56" s="284"/>
      <c r="AQ56" s="284"/>
      <c r="AR56" s="284"/>
      <c r="AS56" s="290" t="str">
        <f>IF(C56&lt;&gt;0,IFERROR(IF(COUNTIF(AcuariosTto[],C56),"SI",""),""),"")</f>
        <v/>
      </c>
      <c r="AT56" s="154">
        <f>IFERROR(INDEX(AcuariosTto[SignoTTo],MATCH(C56,AcuariosTto[AcuariosTTo],0)),"")</f>
        <v>0</v>
      </c>
      <c r="AU56" s="154">
        <f>IFERROR(INDEX(AcuariosTto[TipoProd],MATCH(C56,AcuariosTto[AcuariosTTo],0)),"")</f>
        <v>0</v>
      </c>
      <c r="AV56" s="154">
        <f>IFERROR(INDEX(AcuariosTto[NomProd],MATCH(C56,AcuariosTto[AcuariosTTo],0)),"")</f>
        <v>0</v>
      </c>
      <c r="AW56" s="18" t="str">
        <f>IF(B56&lt;&gt;0,IFERROR(IF(COUNTIF(ItemOcPreven[],B56),"SI",""),""),"")</f>
        <v/>
      </c>
      <c r="AX56" s="18">
        <f>IFERROR(INDEX(ItemOcPreven[TipoProPrev],MATCH(B56,ItemOcPreven[ItemOcPreven],0)),"")</f>
        <v>0</v>
      </c>
      <c r="AY56" s="18">
        <f>IFERROR(INDEX(ItemOcPreven[NomProPrev],MATCH(B56,ItemOcPreven[ItemOcPreven],0)),"")</f>
        <v>0</v>
      </c>
      <c r="AZ56" s="18" t="str">
        <f>IF(B56&lt;&gt;0,IFERROR(IF(COUNTIF(PrevTodas[],"SI"),"SI",""),""),"")</f>
        <v/>
      </c>
      <c r="BA56" s="154" t="str">
        <f>IFERROR(INDEX(ItemOcPreven[TipoProPrev],MATCH(AZ56,PrevTodas[PrevTodas],0)),"")</f>
        <v/>
      </c>
      <c r="BB56" s="154" t="str">
        <f>IFERROR(INDEX(ItemOcPreven[NomProPrev],MATCH(AZ56,PrevTodas[PrevTodas],0)),"")</f>
        <v/>
      </c>
      <c r="BC56" s="18" t="str">
        <f>IF(B56&lt;&gt;0,IFERROR(IF(COUNTIF(ItemOcEvto[],B56),"SI",""),""),"")</f>
        <v/>
      </c>
      <c r="BD56" s="154">
        <f>IFERROR(INDEX(ItemOcEvto[TipoEvto],MATCH(B56,ItemOcEvto[ItemOcEvto],0)),"")</f>
        <v>0</v>
      </c>
      <c r="BE56" s="18" t="str">
        <f>IF(B56&lt;&gt;0,IFERROR(IF(COUNTIF(EvtoTodas[],"SI"),"SI",""),""),"")</f>
        <v/>
      </c>
      <c r="BF56" s="154" t="str">
        <f>IFERROR(INDEX(ItemOcEvto[TipoEvto],MATCH(BE56,EvtoTodas[EvtoTodas],0)),"")</f>
        <v/>
      </c>
      <c r="BG56" s="154">
        <f t="shared" si="4"/>
        <v>0</v>
      </c>
      <c r="BH56" s="154">
        <f t="shared" si="5"/>
        <v>0</v>
      </c>
      <c r="BI56" s="223"/>
    </row>
    <row r="57" spans="2:61" ht="18" customHeight="1" x14ac:dyDescent="0.25">
      <c r="B57" s="284"/>
      <c r="C57" s="284"/>
      <c r="D57" s="285" t="str">
        <f>IFERROR(VLOOKUP(B57,Item[],3,FALSE),IFERROR(VLOOKUP(B57,Item2[],3,FALSE),""))</f>
        <v/>
      </c>
      <c r="E57" s="286" t="str">
        <f>IFERROR(VLOOKUP(B57,Item[],2,FALSE),IFERROR(VLOOKUP(B57,Item2[],2,FALSE),""))</f>
        <v/>
      </c>
      <c r="F57" s="287"/>
      <c r="G57" s="288" t="str">
        <f t="shared" si="7"/>
        <v/>
      </c>
      <c r="H57" s="287"/>
      <c r="I57" s="287"/>
      <c r="J57" s="287"/>
      <c r="K57" s="288" t="str">
        <f t="shared" si="8"/>
        <v/>
      </c>
      <c r="L57" s="289" t="str">
        <f t="shared" si="6"/>
        <v/>
      </c>
      <c r="M57" s="287"/>
      <c r="N57" s="288" t="str">
        <f t="shared" si="3"/>
        <v/>
      </c>
      <c r="O57" s="284"/>
      <c r="P57" s="284"/>
      <c r="Q57" s="284"/>
      <c r="R57" s="284"/>
      <c r="S57" s="284"/>
      <c r="T57" s="284"/>
      <c r="U57" s="284"/>
      <c r="V57" s="284"/>
      <c r="W57" s="284"/>
      <c r="X57" s="284"/>
      <c r="Y57" s="284"/>
      <c r="Z57" s="284"/>
      <c r="AA57" s="284"/>
      <c r="AB57" s="284"/>
      <c r="AC57" s="284"/>
      <c r="AD57" s="284"/>
      <c r="AE57" s="284"/>
      <c r="AF57" s="284"/>
      <c r="AG57" s="284"/>
      <c r="AH57" s="284"/>
      <c r="AI57" s="284"/>
      <c r="AJ57" s="284"/>
      <c r="AK57" s="284"/>
      <c r="AL57" s="284"/>
      <c r="AM57" s="284"/>
      <c r="AN57" s="284"/>
      <c r="AO57" s="284"/>
      <c r="AP57" s="284"/>
      <c r="AQ57" s="284"/>
      <c r="AR57" s="284"/>
      <c r="AS57" s="290" t="str">
        <f>IF(C57&lt;&gt;0,IFERROR(IF(COUNTIF(AcuariosTto[],C57),"SI",""),""),"")</f>
        <v/>
      </c>
      <c r="AT57" s="154">
        <f>IFERROR(INDEX(AcuariosTto[SignoTTo],MATCH(C57,AcuariosTto[AcuariosTTo],0)),"")</f>
        <v>0</v>
      </c>
      <c r="AU57" s="154">
        <f>IFERROR(INDEX(AcuariosTto[TipoProd],MATCH(C57,AcuariosTto[AcuariosTTo],0)),"")</f>
        <v>0</v>
      </c>
      <c r="AV57" s="154">
        <f>IFERROR(INDEX(AcuariosTto[NomProd],MATCH(C57,AcuariosTto[AcuariosTTo],0)),"")</f>
        <v>0</v>
      </c>
      <c r="AW57" s="18" t="str">
        <f>IF(B57&lt;&gt;0,IFERROR(IF(COUNTIF(ItemOcPreven[],B57),"SI",""),""),"")</f>
        <v/>
      </c>
      <c r="AX57" s="18">
        <f>IFERROR(INDEX(ItemOcPreven[TipoProPrev],MATCH(B57,ItemOcPreven[ItemOcPreven],0)),"")</f>
        <v>0</v>
      </c>
      <c r="AY57" s="18">
        <f>IFERROR(INDEX(ItemOcPreven[NomProPrev],MATCH(B57,ItemOcPreven[ItemOcPreven],0)),"")</f>
        <v>0</v>
      </c>
      <c r="AZ57" s="18" t="str">
        <f>IF(B57&lt;&gt;0,IFERROR(IF(COUNTIF(PrevTodas[],"SI"),"SI",""),""),"")</f>
        <v/>
      </c>
      <c r="BA57" s="154" t="str">
        <f>IFERROR(INDEX(ItemOcPreven[TipoProPrev],MATCH(AZ57,PrevTodas[PrevTodas],0)),"")</f>
        <v/>
      </c>
      <c r="BB57" s="154" t="str">
        <f>IFERROR(INDEX(ItemOcPreven[NomProPrev],MATCH(AZ57,PrevTodas[PrevTodas],0)),"")</f>
        <v/>
      </c>
      <c r="BC57" s="18" t="str">
        <f>IF(B57&lt;&gt;0,IFERROR(IF(COUNTIF(ItemOcEvto[],B57),"SI",""),""),"")</f>
        <v/>
      </c>
      <c r="BD57" s="154">
        <f>IFERROR(INDEX(ItemOcEvto[TipoEvto],MATCH(B57,ItemOcEvto[ItemOcEvto],0)),"")</f>
        <v>0</v>
      </c>
      <c r="BE57" s="18" t="str">
        <f>IF(B57&lt;&gt;0,IFERROR(IF(COUNTIF(EvtoTodas[],"SI"),"SI",""),""),"")</f>
        <v/>
      </c>
      <c r="BF57" s="154" t="str">
        <f>IFERROR(INDEX(ItemOcEvto[TipoEvto],MATCH(BE57,EvtoTodas[EvtoTodas],0)),"")</f>
        <v/>
      </c>
      <c r="BG57" s="154">
        <f t="shared" si="4"/>
        <v>0</v>
      </c>
      <c r="BH57" s="154">
        <f t="shared" si="5"/>
        <v>0</v>
      </c>
      <c r="BI57" s="223"/>
    </row>
    <row r="58" spans="2:61" ht="18" customHeight="1" x14ac:dyDescent="0.25">
      <c r="B58" s="284"/>
      <c r="C58" s="284"/>
      <c r="D58" s="285" t="str">
        <f>IFERROR(VLOOKUP(B58,Item[],3,FALSE),IFERROR(VLOOKUP(B58,Item2[],3,FALSE),""))</f>
        <v/>
      </c>
      <c r="E58" s="286" t="str">
        <f>IFERROR(VLOOKUP(B58,Item[],2,FALSE),IFERROR(VLOOKUP(B58,Item2[],2,FALSE),""))</f>
        <v/>
      </c>
      <c r="F58" s="287"/>
      <c r="G58" s="288" t="str">
        <f t="shared" si="7"/>
        <v/>
      </c>
      <c r="H58" s="287"/>
      <c r="I58" s="287"/>
      <c r="J58" s="287"/>
      <c r="K58" s="288" t="str">
        <f t="shared" si="8"/>
        <v/>
      </c>
      <c r="L58" s="289" t="str">
        <f t="shared" si="6"/>
        <v/>
      </c>
      <c r="M58" s="287"/>
      <c r="N58" s="288" t="str">
        <f t="shared" si="3"/>
        <v/>
      </c>
      <c r="O58" s="284"/>
      <c r="P58" s="284"/>
      <c r="Q58" s="284"/>
      <c r="R58" s="284"/>
      <c r="S58" s="284"/>
      <c r="T58" s="284"/>
      <c r="U58" s="284"/>
      <c r="V58" s="284"/>
      <c r="W58" s="284"/>
      <c r="X58" s="284"/>
      <c r="Y58" s="284"/>
      <c r="Z58" s="284"/>
      <c r="AA58" s="284"/>
      <c r="AB58" s="284"/>
      <c r="AC58" s="284"/>
      <c r="AD58" s="284"/>
      <c r="AE58" s="284"/>
      <c r="AF58" s="284"/>
      <c r="AG58" s="284"/>
      <c r="AH58" s="284"/>
      <c r="AI58" s="284"/>
      <c r="AJ58" s="284"/>
      <c r="AK58" s="284"/>
      <c r="AL58" s="284"/>
      <c r="AM58" s="284"/>
      <c r="AN58" s="284"/>
      <c r="AO58" s="284"/>
      <c r="AP58" s="284"/>
      <c r="AQ58" s="284"/>
      <c r="AR58" s="284"/>
      <c r="AS58" s="290" t="str">
        <f>IF(C58&lt;&gt;0,IFERROR(IF(COUNTIF(AcuariosTto[],C58),"SI",""),""),"")</f>
        <v/>
      </c>
      <c r="AT58" s="154">
        <f>IFERROR(INDEX(AcuariosTto[SignoTTo],MATCH(C58,AcuariosTto[AcuariosTTo],0)),"")</f>
        <v>0</v>
      </c>
      <c r="AU58" s="154">
        <f>IFERROR(INDEX(AcuariosTto[TipoProd],MATCH(C58,AcuariosTto[AcuariosTTo],0)),"")</f>
        <v>0</v>
      </c>
      <c r="AV58" s="154">
        <f>IFERROR(INDEX(AcuariosTto[NomProd],MATCH(C58,AcuariosTto[AcuariosTTo],0)),"")</f>
        <v>0</v>
      </c>
      <c r="AW58" s="18" t="str">
        <f>IF(B58&lt;&gt;0,IFERROR(IF(COUNTIF(ItemOcPreven[],B58),"SI",""),""),"")</f>
        <v/>
      </c>
      <c r="AX58" s="18">
        <f>IFERROR(INDEX(ItemOcPreven[TipoProPrev],MATCH(B58,ItemOcPreven[ItemOcPreven],0)),"")</f>
        <v>0</v>
      </c>
      <c r="AY58" s="18">
        <f>IFERROR(INDEX(ItemOcPreven[NomProPrev],MATCH(B58,ItemOcPreven[ItemOcPreven],0)),"")</f>
        <v>0</v>
      </c>
      <c r="AZ58" s="18" t="str">
        <f>IF(B58&lt;&gt;0,IFERROR(IF(COUNTIF(PrevTodas[],"SI"),"SI",""),""),"")</f>
        <v/>
      </c>
      <c r="BA58" s="154" t="str">
        <f>IFERROR(INDEX(ItemOcPreven[TipoProPrev],MATCH(AZ58,PrevTodas[PrevTodas],0)),"")</f>
        <v/>
      </c>
      <c r="BB58" s="154" t="str">
        <f>IFERROR(INDEX(ItemOcPreven[NomProPrev],MATCH(AZ58,PrevTodas[PrevTodas],0)),"")</f>
        <v/>
      </c>
      <c r="BC58" s="18" t="str">
        <f>IF(B58&lt;&gt;0,IFERROR(IF(COUNTIF(ItemOcEvto[],B58),"SI",""),""),"")</f>
        <v/>
      </c>
      <c r="BD58" s="154">
        <f>IFERROR(INDEX(ItemOcEvto[TipoEvto],MATCH(B58,ItemOcEvto[ItemOcEvto],0)),"")</f>
        <v>0</v>
      </c>
      <c r="BE58" s="18" t="str">
        <f>IF(B58&lt;&gt;0,IFERROR(IF(COUNTIF(EvtoTodas[],"SI"),"SI",""),""),"")</f>
        <v/>
      </c>
      <c r="BF58" s="154" t="str">
        <f>IFERROR(INDEX(ItemOcEvto[TipoEvto],MATCH(BE58,EvtoTodas[EvtoTodas],0)),"")</f>
        <v/>
      </c>
      <c r="BG58" s="154">
        <f t="shared" si="4"/>
        <v>0</v>
      </c>
      <c r="BH58" s="154">
        <f t="shared" si="5"/>
        <v>0</v>
      </c>
      <c r="BI58" s="223"/>
    </row>
    <row r="59" spans="2:61" ht="18" customHeight="1" x14ac:dyDescent="0.25">
      <c r="B59" s="284"/>
      <c r="C59" s="284"/>
      <c r="D59" s="285" t="str">
        <f>IFERROR(VLOOKUP(B59,Item[],3,FALSE),IFERROR(VLOOKUP(B59,Item2[],3,FALSE),""))</f>
        <v/>
      </c>
      <c r="E59" s="286" t="str">
        <f>IFERROR(VLOOKUP(B59,Item[],2,FALSE),IFERROR(VLOOKUP(B59,Item2[],2,FALSE),""))</f>
        <v/>
      </c>
      <c r="F59" s="287"/>
      <c r="G59" s="288" t="str">
        <f t="shared" si="7"/>
        <v/>
      </c>
      <c r="H59" s="287"/>
      <c r="I59" s="287"/>
      <c r="J59" s="287"/>
      <c r="K59" s="288" t="str">
        <f t="shared" si="8"/>
        <v/>
      </c>
      <c r="L59" s="289" t="str">
        <f t="shared" si="6"/>
        <v/>
      </c>
      <c r="M59" s="287"/>
      <c r="N59" s="288" t="str">
        <f t="shared" si="3"/>
        <v/>
      </c>
      <c r="O59" s="284"/>
      <c r="P59" s="284"/>
      <c r="Q59" s="284"/>
      <c r="R59" s="284"/>
      <c r="S59" s="284"/>
      <c r="T59" s="284"/>
      <c r="U59" s="284"/>
      <c r="V59" s="284"/>
      <c r="W59" s="284"/>
      <c r="X59" s="284"/>
      <c r="Y59" s="284"/>
      <c r="Z59" s="284"/>
      <c r="AA59" s="284"/>
      <c r="AB59" s="284"/>
      <c r="AC59" s="284"/>
      <c r="AD59" s="284"/>
      <c r="AE59" s="284"/>
      <c r="AF59" s="284"/>
      <c r="AG59" s="284"/>
      <c r="AH59" s="284"/>
      <c r="AI59" s="284"/>
      <c r="AJ59" s="284"/>
      <c r="AK59" s="284"/>
      <c r="AL59" s="284"/>
      <c r="AM59" s="284"/>
      <c r="AN59" s="284"/>
      <c r="AO59" s="284"/>
      <c r="AP59" s="284"/>
      <c r="AQ59" s="284"/>
      <c r="AR59" s="284"/>
      <c r="AS59" s="290" t="str">
        <f>IF(C59&lt;&gt;0,IFERROR(IF(COUNTIF(AcuariosTto[],C59),"SI",""),""),"")</f>
        <v/>
      </c>
      <c r="AT59" s="154">
        <f>IFERROR(INDEX(AcuariosTto[SignoTTo],MATCH(C59,AcuariosTto[AcuariosTTo],0)),"")</f>
        <v>0</v>
      </c>
      <c r="AU59" s="154">
        <f>IFERROR(INDEX(AcuariosTto[TipoProd],MATCH(C59,AcuariosTto[AcuariosTTo],0)),"")</f>
        <v>0</v>
      </c>
      <c r="AV59" s="154">
        <f>IFERROR(INDEX(AcuariosTto[NomProd],MATCH(C59,AcuariosTto[AcuariosTTo],0)),"")</f>
        <v>0</v>
      </c>
      <c r="AW59" s="18" t="str">
        <f>IF(B59&lt;&gt;0,IFERROR(IF(COUNTIF(ItemOcPreven[],B59),"SI",""),""),"")</f>
        <v/>
      </c>
      <c r="AX59" s="18">
        <f>IFERROR(INDEX(ItemOcPreven[TipoProPrev],MATCH(B59,ItemOcPreven[ItemOcPreven],0)),"")</f>
        <v>0</v>
      </c>
      <c r="AY59" s="18">
        <f>IFERROR(INDEX(ItemOcPreven[NomProPrev],MATCH(B59,ItemOcPreven[ItemOcPreven],0)),"")</f>
        <v>0</v>
      </c>
      <c r="AZ59" s="18" t="str">
        <f>IF(B59&lt;&gt;0,IFERROR(IF(COUNTIF(PrevTodas[],"SI"),"SI",""),""),"")</f>
        <v/>
      </c>
      <c r="BA59" s="154" t="str">
        <f>IFERROR(INDEX(ItemOcPreven[TipoProPrev],MATCH(AZ59,PrevTodas[PrevTodas],0)),"")</f>
        <v/>
      </c>
      <c r="BB59" s="154" t="str">
        <f>IFERROR(INDEX(ItemOcPreven[NomProPrev],MATCH(AZ59,PrevTodas[PrevTodas],0)),"")</f>
        <v/>
      </c>
      <c r="BC59" s="18" t="str">
        <f>IF(B59&lt;&gt;0,IFERROR(IF(COUNTIF(ItemOcEvto[],B59),"SI",""),""),"")</f>
        <v/>
      </c>
      <c r="BD59" s="154">
        <f>IFERROR(INDEX(ItemOcEvto[TipoEvto],MATCH(B59,ItemOcEvto[ItemOcEvto],0)),"")</f>
        <v>0</v>
      </c>
      <c r="BE59" s="18" t="str">
        <f>IF(B59&lt;&gt;0,IFERROR(IF(COUNTIF(EvtoTodas[],"SI"),"SI",""),""),"")</f>
        <v/>
      </c>
      <c r="BF59" s="154" t="str">
        <f>IFERROR(INDEX(ItemOcEvto[TipoEvto],MATCH(BE59,EvtoTodas[EvtoTodas],0)),"")</f>
        <v/>
      </c>
      <c r="BG59" s="154">
        <f t="shared" si="4"/>
        <v>0</v>
      </c>
      <c r="BH59" s="154">
        <f t="shared" si="5"/>
        <v>0</v>
      </c>
      <c r="BI59" s="223"/>
    </row>
    <row r="60" spans="2:61" ht="18" customHeight="1" x14ac:dyDescent="0.25">
      <c r="B60" s="284"/>
      <c r="C60" s="284"/>
      <c r="D60" s="285" t="str">
        <f>IFERROR(VLOOKUP(B60,Item[],3,FALSE),IFERROR(VLOOKUP(B60,Item2[],3,FALSE),""))</f>
        <v/>
      </c>
      <c r="E60" s="286" t="str">
        <f>IFERROR(VLOOKUP(B60,Item[],2,FALSE),IFERROR(VLOOKUP(B60,Item2[],2,FALSE),""))</f>
        <v/>
      </c>
      <c r="F60" s="287"/>
      <c r="G60" s="288" t="str">
        <f t="shared" si="7"/>
        <v/>
      </c>
      <c r="H60" s="287"/>
      <c r="I60" s="287"/>
      <c r="J60" s="287"/>
      <c r="K60" s="288" t="str">
        <f t="shared" si="8"/>
        <v/>
      </c>
      <c r="L60" s="289" t="str">
        <f t="shared" si="6"/>
        <v/>
      </c>
      <c r="M60" s="287"/>
      <c r="N60" s="288" t="str">
        <f t="shared" si="3"/>
        <v/>
      </c>
      <c r="O60" s="284"/>
      <c r="P60" s="284"/>
      <c r="Q60" s="284"/>
      <c r="R60" s="284"/>
      <c r="S60" s="284"/>
      <c r="T60" s="284"/>
      <c r="U60" s="284"/>
      <c r="V60" s="284"/>
      <c r="W60" s="284"/>
      <c r="X60" s="284"/>
      <c r="Y60" s="284"/>
      <c r="Z60" s="284"/>
      <c r="AA60" s="284"/>
      <c r="AB60" s="284"/>
      <c r="AC60" s="284"/>
      <c r="AD60" s="284"/>
      <c r="AE60" s="284"/>
      <c r="AF60" s="284"/>
      <c r="AG60" s="284"/>
      <c r="AH60" s="284"/>
      <c r="AI60" s="284"/>
      <c r="AJ60" s="284"/>
      <c r="AK60" s="284"/>
      <c r="AL60" s="284"/>
      <c r="AM60" s="284"/>
      <c r="AN60" s="284"/>
      <c r="AO60" s="284"/>
      <c r="AP60" s="284"/>
      <c r="AQ60" s="284"/>
      <c r="AR60" s="284"/>
      <c r="AS60" s="290" t="str">
        <f>IF(C60&lt;&gt;0,IFERROR(IF(COUNTIF(AcuariosTto[],C60),"SI",""),""),"")</f>
        <v/>
      </c>
      <c r="AT60" s="154">
        <f>IFERROR(INDEX(AcuariosTto[SignoTTo],MATCH(C60,AcuariosTto[AcuariosTTo],0)),"")</f>
        <v>0</v>
      </c>
      <c r="AU60" s="154">
        <f>IFERROR(INDEX(AcuariosTto[TipoProd],MATCH(C60,AcuariosTto[AcuariosTTo],0)),"")</f>
        <v>0</v>
      </c>
      <c r="AV60" s="154">
        <f>IFERROR(INDEX(AcuariosTto[NomProd],MATCH(C60,AcuariosTto[AcuariosTTo],0)),"")</f>
        <v>0</v>
      </c>
      <c r="AW60" s="18" t="str">
        <f>IF(B60&lt;&gt;0,IFERROR(IF(COUNTIF(ItemOcPreven[],B60),"SI",""),""),"")</f>
        <v/>
      </c>
      <c r="AX60" s="18">
        <f>IFERROR(INDEX(ItemOcPreven[TipoProPrev],MATCH(B60,ItemOcPreven[ItemOcPreven],0)),"")</f>
        <v>0</v>
      </c>
      <c r="AY60" s="18">
        <f>IFERROR(INDEX(ItemOcPreven[NomProPrev],MATCH(B60,ItemOcPreven[ItemOcPreven],0)),"")</f>
        <v>0</v>
      </c>
      <c r="AZ60" s="18" t="str">
        <f>IF(B60&lt;&gt;0,IFERROR(IF(COUNTIF(PrevTodas[],"SI"),"SI",""),""),"")</f>
        <v/>
      </c>
      <c r="BA60" s="154" t="str">
        <f>IFERROR(INDEX(ItemOcPreven[TipoProPrev],MATCH(AZ60,PrevTodas[PrevTodas],0)),"")</f>
        <v/>
      </c>
      <c r="BB60" s="154" t="str">
        <f>IFERROR(INDEX(ItemOcPreven[NomProPrev],MATCH(AZ60,PrevTodas[PrevTodas],0)),"")</f>
        <v/>
      </c>
      <c r="BC60" s="18" t="str">
        <f>IF(B60&lt;&gt;0,IFERROR(IF(COUNTIF(ItemOcEvto[],B60),"SI",""),""),"")</f>
        <v/>
      </c>
      <c r="BD60" s="154">
        <f>IFERROR(INDEX(ItemOcEvto[TipoEvto],MATCH(B60,ItemOcEvto[ItemOcEvto],0)),"")</f>
        <v>0</v>
      </c>
      <c r="BE60" s="18" t="str">
        <f>IF(B60&lt;&gt;0,IFERROR(IF(COUNTIF(EvtoTodas[],"SI"),"SI",""),""),"")</f>
        <v/>
      </c>
      <c r="BF60" s="154" t="str">
        <f>IFERROR(INDEX(ItemOcEvto[TipoEvto],MATCH(BE60,EvtoTodas[EvtoTodas],0)),"")</f>
        <v/>
      </c>
      <c r="BG60" s="154">
        <f t="shared" si="4"/>
        <v>0</v>
      </c>
      <c r="BH60" s="154">
        <f t="shared" si="5"/>
        <v>0</v>
      </c>
      <c r="BI60" s="223"/>
    </row>
    <row r="61" spans="2:61" ht="18" customHeight="1" x14ac:dyDescent="0.25">
      <c r="B61" s="284"/>
      <c r="C61" s="284"/>
      <c r="D61" s="285" t="str">
        <f>IFERROR(VLOOKUP(B61,Item[],3,FALSE),IFERROR(VLOOKUP(B61,Item2[],3,FALSE),""))</f>
        <v/>
      </c>
      <c r="E61" s="286" t="str">
        <f>IFERROR(VLOOKUP(B61,Item[],2,FALSE),IFERROR(VLOOKUP(B61,Item2[],2,FALSE),""))</f>
        <v/>
      </c>
      <c r="F61" s="287"/>
      <c r="G61" s="288" t="str">
        <f t="shared" si="7"/>
        <v/>
      </c>
      <c r="H61" s="287"/>
      <c r="I61" s="287"/>
      <c r="J61" s="287"/>
      <c r="K61" s="288" t="str">
        <f t="shared" si="8"/>
        <v/>
      </c>
      <c r="L61" s="289" t="str">
        <f t="shared" si="6"/>
        <v/>
      </c>
      <c r="M61" s="287"/>
      <c r="N61" s="288" t="str">
        <f t="shared" si="3"/>
        <v/>
      </c>
      <c r="O61" s="284"/>
      <c r="P61" s="284"/>
      <c r="Q61" s="284"/>
      <c r="R61" s="284"/>
      <c r="S61" s="284"/>
      <c r="T61" s="284"/>
      <c r="U61" s="284"/>
      <c r="V61" s="284"/>
      <c r="W61" s="284"/>
      <c r="X61" s="284"/>
      <c r="Y61" s="284"/>
      <c r="Z61" s="284"/>
      <c r="AA61" s="284"/>
      <c r="AB61" s="284"/>
      <c r="AC61" s="284"/>
      <c r="AD61" s="284"/>
      <c r="AE61" s="284"/>
      <c r="AF61" s="284"/>
      <c r="AG61" s="284"/>
      <c r="AH61" s="284"/>
      <c r="AI61" s="284"/>
      <c r="AJ61" s="284"/>
      <c r="AK61" s="284"/>
      <c r="AL61" s="284"/>
      <c r="AM61" s="284"/>
      <c r="AN61" s="284"/>
      <c r="AO61" s="284"/>
      <c r="AP61" s="284"/>
      <c r="AQ61" s="284"/>
      <c r="AR61" s="284"/>
      <c r="AS61" s="290" t="str">
        <f>IF(C61&lt;&gt;0,IFERROR(IF(COUNTIF(AcuariosTto[],C61),"SI",""),""),"")</f>
        <v/>
      </c>
      <c r="AT61" s="154">
        <f>IFERROR(INDEX(AcuariosTto[SignoTTo],MATCH(C61,AcuariosTto[AcuariosTTo],0)),"")</f>
        <v>0</v>
      </c>
      <c r="AU61" s="154">
        <f>IFERROR(INDEX(AcuariosTto[TipoProd],MATCH(C61,AcuariosTto[AcuariosTTo],0)),"")</f>
        <v>0</v>
      </c>
      <c r="AV61" s="154">
        <f>IFERROR(INDEX(AcuariosTto[NomProd],MATCH(C61,AcuariosTto[AcuariosTTo],0)),"")</f>
        <v>0</v>
      </c>
      <c r="AW61" s="18" t="str">
        <f>IF(B61&lt;&gt;0,IFERROR(IF(COUNTIF(ItemOcPreven[],B61),"SI",""),""),"")</f>
        <v/>
      </c>
      <c r="AX61" s="18">
        <f>IFERROR(INDEX(ItemOcPreven[TipoProPrev],MATCH(B61,ItemOcPreven[ItemOcPreven],0)),"")</f>
        <v>0</v>
      </c>
      <c r="AY61" s="18">
        <f>IFERROR(INDEX(ItemOcPreven[NomProPrev],MATCH(B61,ItemOcPreven[ItemOcPreven],0)),"")</f>
        <v>0</v>
      </c>
      <c r="AZ61" s="18" t="str">
        <f>IF(B61&lt;&gt;0,IFERROR(IF(COUNTIF(PrevTodas[],"SI"),"SI",""),""),"")</f>
        <v/>
      </c>
      <c r="BA61" s="154" t="str">
        <f>IFERROR(INDEX(ItemOcPreven[TipoProPrev],MATCH(AZ61,PrevTodas[PrevTodas],0)),"")</f>
        <v/>
      </c>
      <c r="BB61" s="154" t="str">
        <f>IFERROR(INDEX(ItemOcPreven[NomProPrev],MATCH(AZ61,PrevTodas[PrevTodas],0)),"")</f>
        <v/>
      </c>
      <c r="BC61" s="18" t="str">
        <f>IF(B61&lt;&gt;0,IFERROR(IF(COUNTIF(ItemOcEvto[],B61),"SI",""),""),"")</f>
        <v/>
      </c>
      <c r="BD61" s="154">
        <f>IFERROR(INDEX(ItemOcEvto[TipoEvto],MATCH(B61,ItemOcEvto[ItemOcEvto],0)),"")</f>
        <v>0</v>
      </c>
      <c r="BE61" s="18" t="str">
        <f>IF(B61&lt;&gt;0,IFERROR(IF(COUNTIF(EvtoTodas[],"SI"),"SI",""),""),"")</f>
        <v/>
      </c>
      <c r="BF61" s="154" t="str">
        <f>IFERROR(INDEX(ItemOcEvto[TipoEvto],MATCH(BE61,EvtoTodas[EvtoTodas],0)),"")</f>
        <v/>
      </c>
      <c r="BG61" s="154">
        <f t="shared" si="4"/>
        <v>0</v>
      </c>
      <c r="BH61" s="154">
        <f t="shared" si="5"/>
        <v>0</v>
      </c>
      <c r="BI61" s="223"/>
    </row>
    <row r="62" spans="2:61" ht="18" customHeight="1" x14ac:dyDescent="0.25">
      <c r="B62" s="284"/>
      <c r="C62" s="284"/>
      <c r="D62" s="285" t="str">
        <f>IFERROR(VLOOKUP(B62,Item[],3,FALSE),IFERROR(VLOOKUP(B62,Item2[],3,FALSE),""))</f>
        <v/>
      </c>
      <c r="E62" s="286" t="str">
        <f>IFERROR(VLOOKUP(B62,Item[],2,FALSE),IFERROR(VLOOKUP(B62,Item2[],2,FALSE),""))</f>
        <v/>
      </c>
      <c r="F62" s="287"/>
      <c r="G62" s="288" t="str">
        <f t="shared" si="7"/>
        <v/>
      </c>
      <c r="H62" s="287"/>
      <c r="I62" s="287"/>
      <c r="J62" s="287"/>
      <c r="K62" s="288" t="str">
        <f t="shared" si="8"/>
        <v/>
      </c>
      <c r="L62" s="289" t="str">
        <f t="shared" si="6"/>
        <v/>
      </c>
      <c r="M62" s="287"/>
      <c r="N62" s="288" t="str">
        <f t="shared" si="3"/>
        <v/>
      </c>
      <c r="O62" s="284"/>
      <c r="P62" s="284"/>
      <c r="Q62" s="284"/>
      <c r="R62" s="284"/>
      <c r="S62" s="284"/>
      <c r="T62" s="284"/>
      <c r="U62" s="284"/>
      <c r="V62" s="284"/>
      <c r="W62" s="284"/>
      <c r="X62" s="284"/>
      <c r="Y62" s="284"/>
      <c r="Z62" s="284"/>
      <c r="AA62" s="284"/>
      <c r="AB62" s="284"/>
      <c r="AC62" s="284"/>
      <c r="AD62" s="284"/>
      <c r="AE62" s="284"/>
      <c r="AF62" s="284"/>
      <c r="AG62" s="284"/>
      <c r="AH62" s="284"/>
      <c r="AI62" s="284"/>
      <c r="AJ62" s="284"/>
      <c r="AK62" s="284"/>
      <c r="AL62" s="284"/>
      <c r="AM62" s="284"/>
      <c r="AN62" s="284"/>
      <c r="AO62" s="284"/>
      <c r="AP62" s="284"/>
      <c r="AQ62" s="284"/>
      <c r="AR62" s="284"/>
      <c r="AS62" s="290" t="str">
        <f>IF(C62&lt;&gt;0,IFERROR(IF(COUNTIF(AcuariosTto[],C62),"SI",""),""),"")</f>
        <v/>
      </c>
      <c r="AT62" s="154">
        <f>IFERROR(INDEX(AcuariosTto[SignoTTo],MATCH(C62,AcuariosTto[AcuariosTTo],0)),"")</f>
        <v>0</v>
      </c>
      <c r="AU62" s="154">
        <f>IFERROR(INDEX(AcuariosTto[TipoProd],MATCH(C62,AcuariosTto[AcuariosTTo],0)),"")</f>
        <v>0</v>
      </c>
      <c r="AV62" s="154">
        <f>IFERROR(INDEX(AcuariosTto[NomProd],MATCH(C62,AcuariosTto[AcuariosTTo],0)),"")</f>
        <v>0</v>
      </c>
      <c r="AW62" s="18" t="str">
        <f>IF(B62&lt;&gt;0,IFERROR(IF(COUNTIF(ItemOcPreven[],B62),"SI",""),""),"")</f>
        <v/>
      </c>
      <c r="AX62" s="18">
        <f>IFERROR(INDEX(ItemOcPreven[TipoProPrev],MATCH(B62,ItemOcPreven[ItemOcPreven],0)),"")</f>
        <v>0</v>
      </c>
      <c r="AY62" s="18">
        <f>IFERROR(INDEX(ItemOcPreven[NomProPrev],MATCH(B62,ItemOcPreven[ItemOcPreven],0)),"")</f>
        <v>0</v>
      </c>
      <c r="AZ62" s="18" t="str">
        <f>IF(B62&lt;&gt;0,IFERROR(IF(COUNTIF(PrevTodas[],"SI"),"SI",""),""),"")</f>
        <v/>
      </c>
      <c r="BA62" s="154" t="str">
        <f>IFERROR(INDEX(ItemOcPreven[TipoProPrev],MATCH(AZ62,PrevTodas[PrevTodas],0)),"")</f>
        <v/>
      </c>
      <c r="BB62" s="154" t="str">
        <f>IFERROR(INDEX(ItemOcPreven[NomProPrev],MATCH(AZ62,PrevTodas[PrevTodas],0)),"")</f>
        <v/>
      </c>
      <c r="BC62" s="18" t="str">
        <f>IF(B62&lt;&gt;0,IFERROR(IF(COUNTIF(ItemOcEvto[],B62),"SI",""),""),"")</f>
        <v/>
      </c>
      <c r="BD62" s="154">
        <f>IFERROR(INDEX(ItemOcEvto[TipoEvto],MATCH(B62,ItemOcEvto[ItemOcEvto],0)),"")</f>
        <v>0</v>
      </c>
      <c r="BE62" s="18" t="str">
        <f>IF(B62&lt;&gt;0,IFERROR(IF(COUNTIF(EvtoTodas[],"SI"),"SI",""),""),"")</f>
        <v/>
      </c>
      <c r="BF62" s="154" t="str">
        <f>IFERROR(INDEX(ItemOcEvto[TipoEvto],MATCH(BE62,EvtoTodas[EvtoTodas],0)),"")</f>
        <v/>
      </c>
      <c r="BG62" s="154">
        <f t="shared" si="4"/>
        <v>0</v>
      </c>
      <c r="BH62" s="154">
        <f t="shared" si="5"/>
        <v>0</v>
      </c>
      <c r="BI62" s="223"/>
    </row>
    <row r="63" spans="2:61" ht="18" customHeight="1" x14ac:dyDescent="0.25">
      <c r="B63" s="284"/>
      <c r="C63" s="284"/>
      <c r="D63" s="285" t="str">
        <f>IFERROR(VLOOKUP(B63,Item[],3,FALSE),IFERROR(VLOOKUP(B63,Item2[],3,FALSE),""))</f>
        <v/>
      </c>
      <c r="E63" s="286" t="str">
        <f>IFERROR(VLOOKUP(B63,Item[],2,FALSE),IFERROR(VLOOKUP(B63,Item2[],2,FALSE),""))</f>
        <v/>
      </c>
      <c r="F63" s="287"/>
      <c r="G63" s="288" t="str">
        <f t="shared" si="7"/>
        <v/>
      </c>
      <c r="H63" s="287"/>
      <c r="I63" s="287"/>
      <c r="J63" s="287"/>
      <c r="K63" s="288" t="str">
        <f t="shared" si="8"/>
        <v/>
      </c>
      <c r="L63" s="289" t="str">
        <f t="shared" si="6"/>
        <v/>
      </c>
      <c r="M63" s="287"/>
      <c r="N63" s="288" t="str">
        <f t="shared" si="3"/>
        <v/>
      </c>
      <c r="O63" s="284"/>
      <c r="P63" s="284"/>
      <c r="Q63" s="284"/>
      <c r="R63" s="284"/>
      <c r="S63" s="284"/>
      <c r="T63" s="284"/>
      <c r="U63" s="284"/>
      <c r="V63" s="284"/>
      <c r="W63" s="284"/>
      <c r="X63" s="284"/>
      <c r="Y63" s="284"/>
      <c r="Z63" s="284"/>
      <c r="AA63" s="284"/>
      <c r="AB63" s="284"/>
      <c r="AC63" s="284"/>
      <c r="AD63" s="284"/>
      <c r="AE63" s="284"/>
      <c r="AF63" s="284"/>
      <c r="AG63" s="284"/>
      <c r="AH63" s="284"/>
      <c r="AI63" s="284"/>
      <c r="AJ63" s="284"/>
      <c r="AK63" s="284"/>
      <c r="AL63" s="284"/>
      <c r="AM63" s="284"/>
      <c r="AN63" s="284"/>
      <c r="AO63" s="284"/>
      <c r="AP63" s="284"/>
      <c r="AQ63" s="284"/>
      <c r="AR63" s="284"/>
      <c r="AS63" s="290" t="str">
        <f>IF(C63&lt;&gt;0,IFERROR(IF(COUNTIF(AcuariosTto[],C63),"SI",""),""),"")</f>
        <v/>
      </c>
      <c r="AT63" s="154">
        <f>IFERROR(INDEX(AcuariosTto[SignoTTo],MATCH(C63,AcuariosTto[AcuariosTTo],0)),"")</f>
        <v>0</v>
      </c>
      <c r="AU63" s="154">
        <f>IFERROR(INDEX(AcuariosTto[TipoProd],MATCH(C63,AcuariosTto[AcuariosTTo],0)),"")</f>
        <v>0</v>
      </c>
      <c r="AV63" s="154">
        <f>IFERROR(INDEX(AcuariosTto[NomProd],MATCH(C63,AcuariosTto[AcuariosTTo],0)),"")</f>
        <v>0</v>
      </c>
      <c r="AW63" s="18" t="str">
        <f>IF(B63&lt;&gt;0,IFERROR(IF(COUNTIF(ItemOcPreven[],B63),"SI",""),""),"")</f>
        <v/>
      </c>
      <c r="AX63" s="18">
        <f>IFERROR(INDEX(ItemOcPreven[TipoProPrev],MATCH(B63,ItemOcPreven[ItemOcPreven],0)),"")</f>
        <v>0</v>
      </c>
      <c r="AY63" s="18">
        <f>IFERROR(INDEX(ItemOcPreven[NomProPrev],MATCH(B63,ItemOcPreven[ItemOcPreven],0)),"")</f>
        <v>0</v>
      </c>
      <c r="AZ63" s="18" t="str">
        <f>IF(B63&lt;&gt;0,IFERROR(IF(COUNTIF(PrevTodas[],"SI"),"SI",""),""),"")</f>
        <v/>
      </c>
      <c r="BA63" s="154" t="str">
        <f>IFERROR(INDEX(ItemOcPreven[TipoProPrev],MATCH(AZ63,PrevTodas[PrevTodas],0)),"")</f>
        <v/>
      </c>
      <c r="BB63" s="154" t="str">
        <f>IFERROR(INDEX(ItemOcPreven[NomProPrev],MATCH(AZ63,PrevTodas[PrevTodas],0)),"")</f>
        <v/>
      </c>
      <c r="BC63" s="18" t="str">
        <f>IF(B63&lt;&gt;0,IFERROR(IF(COUNTIF(ItemOcEvto[],B63),"SI",""),""),"")</f>
        <v/>
      </c>
      <c r="BD63" s="154">
        <f>IFERROR(INDEX(ItemOcEvto[TipoEvto],MATCH(B63,ItemOcEvto[ItemOcEvto],0)),"")</f>
        <v>0</v>
      </c>
      <c r="BE63" s="18" t="str">
        <f>IF(B63&lt;&gt;0,IFERROR(IF(COUNTIF(EvtoTodas[],"SI"),"SI",""),""),"")</f>
        <v/>
      </c>
      <c r="BF63" s="154" t="str">
        <f>IFERROR(INDEX(ItemOcEvto[TipoEvto],MATCH(BE63,EvtoTodas[EvtoTodas],0)),"")</f>
        <v/>
      </c>
      <c r="BG63" s="154">
        <f t="shared" si="4"/>
        <v>0</v>
      </c>
      <c r="BH63" s="154">
        <f t="shared" si="5"/>
        <v>0</v>
      </c>
      <c r="BI63" s="223"/>
    </row>
    <row r="64" spans="2:61" ht="18" customHeight="1" x14ac:dyDescent="0.25">
      <c r="B64" s="284"/>
      <c r="C64" s="284"/>
      <c r="D64" s="285" t="str">
        <f>IFERROR(VLOOKUP(B64,Item[],3,FALSE),IFERROR(VLOOKUP(B64,Item2[],3,FALSE),""))</f>
        <v/>
      </c>
      <c r="E64" s="286" t="str">
        <f>IFERROR(VLOOKUP(B64,Item[],2,FALSE),IFERROR(VLOOKUP(B64,Item2[],2,FALSE),""))</f>
        <v/>
      </c>
      <c r="F64" s="287"/>
      <c r="G64" s="288" t="str">
        <f t="shared" si="7"/>
        <v/>
      </c>
      <c r="H64" s="287"/>
      <c r="I64" s="287"/>
      <c r="J64" s="287"/>
      <c r="K64" s="288" t="str">
        <f t="shared" si="8"/>
        <v/>
      </c>
      <c r="L64" s="289" t="str">
        <f t="shared" si="6"/>
        <v/>
      </c>
      <c r="M64" s="287"/>
      <c r="N64" s="288" t="str">
        <f t="shared" si="3"/>
        <v/>
      </c>
      <c r="O64" s="284"/>
      <c r="P64" s="284"/>
      <c r="Q64" s="284"/>
      <c r="R64" s="284"/>
      <c r="S64" s="284"/>
      <c r="T64" s="284"/>
      <c r="U64" s="284"/>
      <c r="V64" s="284"/>
      <c r="W64" s="284"/>
      <c r="X64" s="284"/>
      <c r="Y64" s="284"/>
      <c r="Z64" s="284"/>
      <c r="AA64" s="284"/>
      <c r="AB64" s="284"/>
      <c r="AC64" s="284"/>
      <c r="AD64" s="284"/>
      <c r="AE64" s="284"/>
      <c r="AF64" s="284"/>
      <c r="AG64" s="284"/>
      <c r="AH64" s="284"/>
      <c r="AI64" s="284"/>
      <c r="AJ64" s="284"/>
      <c r="AK64" s="284"/>
      <c r="AL64" s="284"/>
      <c r="AM64" s="284"/>
      <c r="AN64" s="284"/>
      <c r="AO64" s="284"/>
      <c r="AP64" s="284"/>
      <c r="AQ64" s="284"/>
      <c r="AR64" s="284"/>
      <c r="AS64" s="290" t="str">
        <f>IF(C64&lt;&gt;0,IFERROR(IF(COUNTIF(AcuariosTto[],C64),"SI",""),""),"")</f>
        <v/>
      </c>
      <c r="AT64" s="154">
        <f>IFERROR(INDEX(AcuariosTto[SignoTTo],MATCH(C64,AcuariosTto[AcuariosTTo],0)),"")</f>
        <v>0</v>
      </c>
      <c r="AU64" s="154">
        <f>IFERROR(INDEX(AcuariosTto[TipoProd],MATCH(C64,AcuariosTto[AcuariosTTo],0)),"")</f>
        <v>0</v>
      </c>
      <c r="AV64" s="154">
        <f>IFERROR(INDEX(AcuariosTto[NomProd],MATCH(C64,AcuariosTto[AcuariosTTo],0)),"")</f>
        <v>0</v>
      </c>
      <c r="AW64" s="18" t="str">
        <f>IF(B64&lt;&gt;0,IFERROR(IF(COUNTIF(ItemOcPreven[],B64),"SI",""),""),"")</f>
        <v/>
      </c>
      <c r="AX64" s="18">
        <f>IFERROR(INDEX(ItemOcPreven[TipoProPrev],MATCH(B64,ItemOcPreven[ItemOcPreven],0)),"")</f>
        <v>0</v>
      </c>
      <c r="AY64" s="18">
        <f>IFERROR(INDEX(ItemOcPreven[NomProPrev],MATCH(B64,ItemOcPreven[ItemOcPreven],0)),"")</f>
        <v>0</v>
      </c>
      <c r="AZ64" s="18" t="str">
        <f>IF(B64&lt;&gt;0,IFERROR(IF(COUNTIF(PrevTodas[],"SI"),"SI",""),""),"")</f>
        <v/>
      </c>
      <c r="BA64" s="154" t="str">
        <f>IFERROR(INDEX(ItemOcPreven[TipoProPrev],MATCH(AZ64,PrevTodas[PrevTodas],0)),"")</f>
        <v/>
      </c>
      <c r="BB64" s="154" t="str">
        <f>IFERROR(INDEX(ItemOcPreven[NomProPrev],MATCH(AZ64,PrevTodas[PrevTodas],0)),"")</f>
        <v/>
      </c>
      <c r="BC64" s="18" t="str">
        <f>IF(B64&lt;&gt;0,IFERROR(IF(COUNTIF(ItemOcEvto[],B64),"SI",""),""),"")</f>
        <v/>
      </c>
      <c r="BD64" s="154">
        <f>IFERROR(INDEX(ItemOcEvto[TipoEvto],MATCH(B64,ItemOcEvto[ItemOcEvto],0)),"")</f>
        <v>0</v>
      </c>
      <c r="BE64" s="18" t="str">
        <f>IF(B64&lt;&gt;0,IFERROR(IF(COUNTIF(EvtoTodas[],"SI"),"SI",""),""),"")</f>
        <v/>
      </c>
      <c r="BF64" s="154" t="str">
        <f>IFERROR(INDEX(ItemOcEvto[TipoEvto],MATCH(BE64,EvtoTodas[EvtoTodas],0)),"")</f>
        <v/>
      </c>
      <c r="BG64" s="154">
        <f t="shared" si="4"/>
        <v>0</v>
      </c>
      <c r="BH64" s="154">
        <f t="shared" si="5"/>
        <v>0</v>
      </c>
      <c r="BI64" s="223"/>
    </row>
    <row r="65" spans="2:61" ht="18" customHeight="1" x14ac:dyDescent="0.25">
      <c r="B65" s="284"/>
      <c r="C65" s="284"/>
      <c r="D65" s="285" t="str">
        <f>IFERROR(VLOOKUP(B65,Item[],3,FALSE),IFERROR(VLOOKUP(B65,Item2[],3,FALSE),""))</f>
        <v/>
      </c>
      <c r="E65" s="286" t="str">
        <f>IFERROR(VLOOKUP(B65,Item[],2,FALSE),IFERROR(VLOOKUP(B65,Item2[],2,FALSE),""))</f>
        <v/>
      </c>
      <c r="F65" s="287"/>
      <c r="G65" s="288" t="str">
        <f t="shared" si="7"/>
        <v/>
      </c>
      <c r="H65" s="287"/>
      <c r="I65" s="287"/>
      <c r="J65" s="287"/>
      <c r="K65" s="288" t="str">
        <f t="shared" si="8"/>
        <v/>
      </c>
      <c r="L65" s="289" t="str">
        <f t="shared" si="6"/>
        <v/>
      </c>
      <c r="M65" s="287"/>
      <c r="N65" s="288" t="str">
        <f t="shared" si="3"/>
        <v/>
      </c>
      <c r="O65" s="284"/>
      <c r="P65" s="284"/>
      <c r="Q65" s="284"/>
      <c r="R65" s="284"/>
      <c r="S65" s="284"/>
      <c r="T65" s="284"/>
      <c r="U65" s="284"/>
      <c r="V65" s="284"/>
      <c r="W65" s="284"/>
      <c r="X65" s="284"/>
      <c r="Y65" s="284"/>
      <c r="Z65" s="284"/>
      <c r="AA65" s="284"/>
      <c r="AB65" s="284"/>
      <c r="AC65" s="284"/>
      <c r="AD65" s="284"/>
      <c r="AE65" s="284"/>
      <c r="AF65" s="284"/>
      <c r="AG65" s="284"/>
      <c r="AH65" s="284"/>
      <c r="AI65" s="284"/>
      <c r="AJ65" s="284"/>
      <c r="AK65" s="284"/>
      <c r="AL65" s="284"/>
      <c r="AM65" s="284"/>
      <c r="AN65" s="284"/>
      <c r="AO65" s="284"/>
      <c r="AP65" s="284"/>
      <c r="AQ65" s="284"/>
      <c r="AR65" s="284"/>
      <c r="AS65" s="290" t="str">
        <f>IF(C65&lt;&gt;0,IFERROR(IF(COUNTIF(AcuariosTto[],C65),"SI",""),""),"")</f>
        <v/>
      </c>
      <c r="AT65" s="154">
        <f>IFERROR(INDEX(AcuariosTto[SignoTTo],MATCH(C65,AcuariosTto[AcuariosTTo],0)),"")</f>
        <v>0</v>
      </c>
      <c r="AU65" s="154">
        <f>IFERROR(INDEX(AcuariosTto[TipoProd],MATCH(C65,AcuariosTto[AcuariosTTo],0)),"")</f>
        <v>0</v>
      </c>
      <c r="AV65" s="154">
        <f>IFERROR(INDEX(AcuariosTto[NomProd],MATCH(C65,AcuariosTto[AcuariosTTo],0)),"")</f>
        <v>0</v>
      </c>
      <c r="AW65" s="18" t="str">
        <f>IF(B65&lt;&gt;0,IFERROR(IF(COUNTIF(ItemOcPreven[],B65),"SI",""),""),"")</f>
        <v/>
      </c>
      <c r="AX65" s="18">
        <f>IFERROR(INDEX(ItemOcPreven[TipoProPrev],MATCH(B65,ItemOcPreven[ItemOcPreven],0)),"")</f>
        <v>0</v>
      </c>
      <c r="AY65" s="18">
        <f>IFERROR(INDEX(ItemOcPreven[NomProPrev],MATCH(B65,ItemOcPreven[ItemOcPreven],0)),"")</f>
        <v>0</v>
      </c>
      <c r="AZ65" s="18" t="str">
        <f>IF(B65&lt;&gt;0,IFERROR(IF(COUNTIF(PrevTodas[],"SI"),"SI",""),""),"")</f>
        <v/>
      </c>
      <c r="BA65" s="154" t="str">
        <f>IFERROR(INDEX(ItemOcPreven[TipoProPrev],MATCH(AZ65,PrevTodas[PrevTodas],0)),"")</f>
        <v/>
      </c>
      <c r="BB65" s="154" t="str">
        <f>IFERROR(INDEX(ItemOcPreven[NomProPrev],MATCH(AZ65,PrevTodas[PrevTodas],0)),"")</f>
        <v/>
      </c>
      <c r="BC65" s="18" t="str">
        <f>IF(B65&lt;&gt;0,IFERROR(IF(COUNTIF(ItemOcEvto[],B65),"SI",""),""),"")</f>
        <v/>
      </c>
      <c r="BD65" s="154">
        <f>IFERROR(INDEX(ItemOcEvto[TipoEvto],MATCH(B65,ItemOcEvto[ItemOcEvto],0)),"")</f>
        <v>0</v>
      </c>
      <c r="BE65" s="18" t="str">
        <f>IF(B65&lt;&gt;0,IFERROR(IF(COUNTIF(EvtoTodas[],"SI"),"SI",""),""),"")</f>
        <v/>
      </c>
      <c r="BF65" s="154" t="str">
        <f>IFERROR(INDEX(ItemOcEvto[TipoEvto],MATCH(BE65,EvtoTodas[EvtoTodas],0)),"")</f>
        <v/>
      </c>
      <c r="BG65" s="154">
        <f t="shared" si="4"/>
        <v>0</v>
      </c>
      <c r="BH65" s="154">
        <f t="shared" si="5"/>
        <v>0</v>
      </c>
      <c r="BI65" s="223"/>
    </row>
    <row r="66" spans="2:61" ht="18" customHeight="1" x14ac:dyDescent="0.25">
      <c r="B66" s="284"/>
      <c r="C66" s="284"/>
      <c r="D66" s="285" t="str">
        <f>IFERROR(VLOOKUP(B66,Item[],3,FALSE),IFERROR(VLOOKUP(B66,Item2[],3,FALSE),""))</f>
        <v/>
      </c>
      <c r="E66" s="286" t="str">
        <f>IFERROR(VLOOKUP(B66,Item[],2,FALSE),IFERROR(VLOOKUP(B66,Item2[],2,FALSE),""))</f>
        <v/>
      </c>
      <c r="F66" s="287"/>
      <c r="G66" s="288" t="str">
        <f t="shared" si="7"/>
        <v/>
      </c>
      <c r="H66" s="287"/>
      <c r="I66" s="287"/>
      <c r="J66" s="287"/>
      <c r="K66" s="288" t="str">
        <f t="shared" si="8"/>
        <v/>
      </c>
      <c r="L66" s="289" t="str">
        <f t="shared" si="6"/>
        <v/>
      </c>
      <c r="M66" s="287"/>
      <c r="N66" s="288" t="str">
        <f t="shared" si="3"/>
        <v/>
      </c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4"/>
      <c r="AF66" s="284"/>
      <c r="AG66" s="284"/>
      <c r="AH66" s="284"/>
      <c r="AI66" s="284"/>
      <c r="AJ66" s="284"/>
      <c r="AK66" s="284"/>
      <c r="AL66" s="284"/>
      <c r="AM66" s="284"/>
      <c r="AN66" s="284"/>
      <c r="AO66" s="284"/>
      <c r="AP66" s="284"/>
      <c r="AQ66" s="284"/>
      <c r="AR66" s="284"/>
      <c r="AS66" s="290" t="str">
        <f>IF(C66&lt;&gt;0,IFERROR(IF(COUNTIF(AcuariosTto[],C66),"SI",""),""),"")</f>
        <v/>
      </c>
      <c r="AT66" s="154">
        <f>IFERROR(INDEX(AcuariosTto[SignoTTo],MATCH(C66,AcuariosTto[AcuariosTTo],0)),"")</f>
        <v>0</v>
      </c>
      <c r="AU66" s="154">
        <f>IFERROR(INDEX(AcuariosTto[TipoProd],MATCH(C66,AcuariosTto[AcuariosTTo],0)),"")</f>
        <v>0</v>
      </c>
      <c r="AV66" s="154">
        <f>IFERROR(INDEX(AcuariosTto[NomProd],MATCH(C66,AcuariosTto[AcuariosTTo],0)),"")</f>
        <v>0</v>
      </c>
      <c r="AW66" s="18" t="str">
        <f>IF(B66&lt;&gt;0,IFERROR(IF(COUNTIF(ItemOcPreven[],B66),"SI",""),""),"")</f>
        <v/>
      </c>
      <c r="AX66" s="18">
        <f>IFERROR(INDEX(ItemOcPreven[TipoProPrev],MATCH(B66,ItemOcPreven[ItemOcPreven],0)),"")</f>
        <v>0</v>
      </c>
      <c r="AY66" s="18">
        <f>IFERROR(INDEX(ItemOcPreven[NomProPrev],MATCH(B66,ItemOcPreven[ItemOcPreven],0)),"")</f>
        <v>0</v>
      </c>
      <c r="AZ66" s="18" t="str">
        <f>IF(B66&lt;&gt;0,IFERROR(IF(COUNTIF(PrevTodas[],"SI"),"SI",""),""),"")</f>
        <v/>
      </c>
      <c r="BA66" s="154" t="str">
        <f>IFERROR(INDEX(ItemOcPreven[TipoProPrev],MATCH(AZ66,PrevTodas[PrevTodas],0)),"")</f>
        <v/>
      </c>
      <c r="BB66" s="154" t="str">
        <f>IFERROR(INDEX(ItemOcPreven[NomProPrev],MATCH(AZ66,PrevTodas[PrevTodas],0)),"")</f>
        <v/>
      </c>
      <c r="BC66" s="18" t="str">
        <f>IF(B66&lt;&gt;0,IFERROR(IF(COUNTIF(ItemOcEvto[],B66),"SI",""),""),"")</f>
        <v/>
      </c>
      <c r="BD66" s="154">
        <f>IFERROR(INDEX(ItemOcEvto[TipoEvto],MATCH(B66,ItemOcEvto[ItemOcEvto],0)),"")</f>
        <v>0</v>
      </c>
      <c r="BE66" s="18" t="str">
        <f>IF(B66&lt;&gt;0,IFERROR(IF(COUNTIF(EvtoTodas[],"SI"),"SI",""),""),"")</f>
        <v/>
      </c>
      <c r="BF66" s="154" t="str">
        <f>IFERROR(INDEX(ItemOcEvto[TipoEvto],MATCH(BE66,EvtoTodas[EvtoTodas],0)),"")</f>
        <v/>
      </c>
      <c r="BG66" s="154">
        <f t="shared" si="4"/>
        <v>0</v>
      </c>
      <c r="BH66" s="154">
        <f t="shared" si="5"/>
        <v>0</v>
      </c>
      <c r="BI66" s="223"/>
    </row>
    <row r="67" spans="2:61" ht="18" customHeight="1" x14ac:dyDescent="0.25">
      <c r="B67" s="284"/>
      <c r="C67" s="284"/>
      <c r="D67" s="285" t="str">
        <f>IFERROR(VLOOKUP(B67,Item[],3,FALSE),IFERROR(VLOOKUP(B67,Item2[],3,FALSE),""))</f>
        <v/>
      </c>
      <c r="E67" s="286" t="str">
        <f>IFERROR(VLOOKUP(B67,Item[],2,FALSE),IFERROR(VLOOKUP(B67,Item2[],2,FALSE),""))</f>
        <v/>
      </c>
      <c r="F67" s="287"/>
      <c r="G67" s="288" t="str">
        <f t="shared" si="7"/>
        <v/>
      </c>
      <c r="H67" s="287"/>
      <c r="I67" s="287"/>
      <c r="J67" s="287"/>
      <c r="K67" s="288" t="str">
        <f t="shared" si="8"/>
        <v/>
      </c>
      <c r="L67" s="289" t="str">
        <f t="shared" si="6"/>
        <v/>
      </c>
      <c r="M67" s="287"/>
      <c r="N67" s="288" t="str">
        <f t="shared" si="3"/>
        <v/>
      </c>
      <c r="O67" s="284"/>
      <c r="P67" s="284"/>
      <c r="Q67" s="284"/>
      <c r="R67" s="284"/>
      <c r="S67" s="284"/>
      <c r="T67" s="284"/>
      <c r="U67" s="284"/>
      <c r="V67" s="284"/>
      <c r="W67" s="284"/>
      <c r="X67" s="284"/>
      <c r="Y67" s="284"/>
      <c r="Z67" s="284"/>
      <c r="AA67" s="284"/>
      <c r="AB67" s="284"/>
      <c r="AC67" s="284"/>
      <c r="AD67" s="284"/>
      <c r="AE67" s="284"/>
      <c r="AF67" s="284"/>
      <c r="AG67" s="284"/>
      <c r="AH67" s="284"/>
      <c r="AI67" s="284"/>
      <c r="AJ67" s="284"/>
      <c r="AK67" s="284"/>
      <c r="AL67" s="284"/>
      <c r="AM67" s="284"/>
      <c r="AN67" s="284"/>
      <c r="AO67" s="284"/>
      <c r="AP67" s="284"/>
      <c r="AQ67" s="284"/>
      <c r="AR67" s="284"/>
      <c r="AS67" s="290" t="str">
        <f>IF(C67&lt;&gt;0,IFERROR(IF(COUNTIF(AcuariosTto[],C67),"SI",""),""),"")</f>
        <v/>
      </c>
      <c r="AT67" s="154">
        <f>IFERROR(INDEX(AcuariosTto[SignoTTo],MATCH(C67,AcuariosTto[AcuariosTTo],0)),"")</f>
        <v>0</v>
      </c>
      <c r="AU67" s="154">
        <f>IFERROR(INDEX(AcuariosTto[TipoProd],MATCH(C67,AcuariosTto[AcuariosTTo],0)),"")</f>
        <v>0</v>
      </c>
      <c r="AV67" s="154">
        <f>IFERROR(INDEX(AcuariosTto[NomProd],MATCH(C67,AcuariosTto[AcuariosTTo],0)),"")</f>
        <v>0</v>
      </c>
      <c r="AW67" s="18" t="str">
        <f>IF(B67&lt;&gt;0,IFERROR(IF(COUNTIF(ItemOcPreven[],B67),"SI",""),""),"")</f>
        <v/>
      </c>
      <c r="AX67" s="18">
        <f>IFERROR(INDEX(ItemOcPreven[TipoProPrev],MATCH(B67,ItemOcPreven[ItemOcPreven],0)),"")</f>
        <v>0</v>
      </c>
      <c r="AY67" s="18">
        <f>IFERROR(INDEX(ItemOcPreven[NomProPrev],MATCH(B67,ItemOcPreven[ItemOcPreven],0)),"")</f>
        <v>0</v>
      </c>
      <c r="AZ67" s="18" t="str">
        <f>IF(B67&lt;&gt;0,IFERROR(IF(COUNTIF(PrevTodas[],"SI"),"SI",""),""),"")</f>
        <v/>
      </c>
      <c r="BA67" s="154" t="str">
        <f>IFERROR(INDEX(ItemOcPreven[TipoProPrev],MATCH(AZ67,PrevTodas[PrevTodas],0)),"")</f>
        <v/>
      </c>
      <c r="BB67" s="154" t="str">
        <f>IFERROR(INDEX(ItemOcPreven[NomProPrev],MATCH(AZ67,PrevTodas[PrevTodas],0)),"")</f>
        <v/>
      </c>
      <c r="BC67" s="18" t="str">
        <f>IF(B67&lt;&gt;0,IFERROR(IF(COUNTIF(ItemOcEvto[],B67),"SI",""),""),"")</f>
        <v/>
      </c>
      <c r="BD67" s="154">
        <f>IFERROR(INDEX(ItemOcEvto[TipoEvto],MATCH(B67,ItemOcEvto[ItemOcEvto],0)),"")</f>
        <v>0</v>
      </c>
      <c r="BE67" s="18" t="str">
        <f>IF(B67&lt;&gt;0,IFERROR(IF(COUNTIF(EvtoTodas[],"SI"),"SI",""),""),"")</f>
        <v/>
      </c>
      <c r="BF67" s="154" t="str">
        <f>IFERROR(INDEX(ItemOcEvto[TipoEvto],MATCH(BE67,EvtoTodas[EvtoTodas],0)),"")</f>
        <v/>
      </c>
      <c r="BG67" s="154">
        <f t="shared" si="4"/>
        <v>0</v>
      </c>
      <c r="BH67" s="154">
        <f t="shared" si="5"/>
        <v>0</v>
      </c>
      <c r="BI67" s="223"/>
    </row>
    <row r="68" spans="2:61" ht="18" customHeight="1" x14ac:dyDescent="0.25">
      <c r="B68" s="284"/>
      <c r="C68" s="284"/>
      <c r="D68" s="285" t="str">
        <f>IFERROR(VLOOKUP(B68,Item[],3,FALSE),IFERROR(VLOOKUP(B68,Item2[],3,FALSE),""))</f>
        <v/>
      </c>
      <c r="E68" s="286" t="str">
        <f>IFERROR(VLOOKUP(B68,Item[],2,FALSE),IFERROR(VLOOKUP(B68,Item2[],2,FALSE),""))</f>
        <v/>
      </c>
      <c r="F68" s="287"/>
      <c r="G68" s="288" t="str">
        <f t="shared" si="7"/>
        <v/>
      </c>
      <c r="H68" s="287"/>
      <c r="I68" s="287"/>
      <c r="J68" s="287"/>
      <c r="K68" s="288" t="str">
        <f t="shared" si="8"/>
        <v/>
      </c>
      <c r="L68" s="289" t="str">
        <f t="shared" si="6"/>
        <v/>
      </c>
      <c r="M68" s="287"/>
      <c r="N68" s="288" t="str">
        <f t="shared" si="3"/>
        <v/>
      </c>
      <c r="O68" s="284"/>
      <c r="P68" s="284"/>
      <c r="Q68" s="284"/>
      <c r="R68" s="284"/>
      <c r="S68" s="284"/>
      <c r="T68" s="284"/>
      <c r="U68" s="284"/>
      <c r="V68" s="284"/>
      <c r="W68" s="284"/>
      <c r="X68" s="284"/>
      <c r="Y68" s="284"/>
      <c r="Z68" s="284"/>
      <c r="AA68" s="284"/>
      <c r="AB68" s="284"/>
      <c r="AC68" s="284"/>
      <c r="AD68" s="284"/>
      <c r="AE68" s="284"/>
      <c r="AF68" s="284"/>
      <c r="AG68" s="284"/>
      <c r="AH68" s="284"/>
      <c r="AI68" s="284"/>
      <c r="AJ68" s="284"/>
      <c r="AK68" s="284"/>
      <c r="AL68" s="284"/>
      <c r="AM68" s="284"/>
      <c r="AN68" s="284"/>
      <c r="AO68" s="284"/>
      <c r="AP68" s="284"/>
      <c r="AQ68" s="284"/>
      <c r="AR68" s="284"/>
      <c r="AS68" s="290" t="str">
        <f>IF(C68&lt;&gt;0,IFERROR(IF(COUNTIF(AcuariosTto[],C68),"SI",""),""),"")</f>
        <v/>
      </c>
      <c r="AT68" s="154">
        <f>IFERROR(INDEX(AcuariosTto[SignoTTo],MATCH(C68,AcuariosTto[AcuariosTTo],0)),"")</f>
        <v>0</v>
      </c>
      <c r="AU68" s="154">
        <f>IFERROR(INDEX(AcuariosTto[TipoProd],MATCH(C68,AcuariosTto[AcuariosTTo],0)),"")</f>
        <v>0</v>
      </c>
      <c r="AV68" s="154">
        <f>IFERROR(INDEX(AcuariosTto[NomProd],MATCH(C68,AcuariosTto[AcuariosTTo],0)),"")</f>
        <v>0</v>
      </c>
      <c r="AW68" s="18" t="str">
        <f>IF(B68&lt;&gt;0,IFERROR(IF(COUNTIF(ItemOcPreven[],B68),"SI",""),""),"")</f>
        <v/>
      </c>
      <c r="AX68" s="18">
        <f>IFERROR(INDEX(ItemOcPreven[TipoProPrev],MATCH(B68,ItemOcPreven[ItemOcPreven],0)),"")</f>
        <v>0</v>
      </c>
      <c r="AY68" s="18">
        <f>IFERROR(INDEX(ItemOcPreven[NomProPrev],MATCH(B68,ItemOcPreven[ItemOcPreven],0)),"")</f>
        <v>0</v>
      </c>
      <c r="AZ68" s="18" t="str">
        <f>IF(B68&lt;&gt;0,IFERROR(IF(COUNTIF(PrevTodas[],"SI"),"SI",""),""),"")</f>
        <v/>
      </c>
      <c r="BA68" s="154" t="str">
        <f>IFERROR(INDEX(ItemOcPreven[TipoProPrev],MATCH(AZ68,PrevTodas[PrevTodas],0)),"")</f>
        <v/>
      </c>
      <c r="BB68" s="154" t="str">
        <f>IFERROR(INDEX(ItemOcPreven[NomProPrev],MATCH(AZ68,PrevTodas[PrevTodas],0)),"")</f>
        <v/>
      </c>
      <c r="BC68" s="18" t="str">
        <f>IF(B68&lt;&gt;0,IFERROR(IF(COUNTIF(ItemOcEvto[],B68),"SI",""),""),"")</f>
        <v/>
      </c>
      <c r="BD68" s="154">
        <f>IFERROR(INDEX(ItemOcEvto[TipoEvto],MATCH(B68,ItemOcEvto[ItemOcEvto],0)),"")</f>
        <v>0</v>
      </c>
      <c r="BE68" s="18" t="str">
        <f>IF(B68&lt;&gt;0,IFERROR(IF(COUNTIF(EvtoTodas[],"SI"),"SI",""),""),"")</f>
        <v/>
      </c>
      <c r="BF68" s="154" t="str">
        <f>IFERROR(INDEX(ItemOcEvto[TipoEvto],MATCH(BE68,EvtoTodas[EvtoTodas],0)),"")</f>
        <v/>
      </c>
      <c r="BG68" s="154">
        <f t="shared" si="4"/>
        <v>0</v>
      </c>
      <c r="BH68" s="154">
        <f t="shared" si="5"/>
        <v>0</v>
      </c>
      <c r="BI68" s="223"/>
    </row>
    <row r="69" spans="2:61" ht="18" customHeight="1" x14ac:dyDescent="0.25">
      <c r="B69" s="284"/>
      <c r="C69" s="284"/>
      <c r="D69" s="285" t="str">
        <f>IFERROR(VLOOKUP(B69,Item[],3,FALSE),IFERROR(VLOOKUP(B69,Item2[],3,FALSE),""))</f>
        <v/>
      </c>
      <c r="E69" s="286" t="str">
        <f>IFERROR(VLOOKUP(B69,Item[],2,FALSE),IFERROR(VLOOKUP(B69,Item2[],2,FALSE),""))</f>
        <v/>
      </c>
      <c r="F69" s="287"/>
      <c r="G69" s="288" t="str">
        <f t="shared" si="7"/>
        <v/>
      </c>
      <c r="H69" s="287"/>
      <c r="I69" s="287"/>
      <c r="J69" s="287"/>
      <c r="K69" s="288" t="str">
        <f t="shared" si="8"/>
        <v/>
      </c>
      <c r="L69" s="289" t="str">
        <f t="shared" si="6"/>
        <v/>
      </c>
      <c r="M69" s="287"/>
      <c r="N69" s="288" t="str">
        <f t="shared" si="3"/>
        <v/>
      </c>
      <c r="O69" s="284"/>
      <c r="P69" s="284"/>
      <c r="Q69" s="284"/>
      <c r="R69" s="284"/>
      <c r="S69" s="284"/>
      <c r="T69" s="284"/>
      <c r="U69" s="284"/>
      <c r="V69" s="284"/>
      <c r="W69" s="284"/>
      <c r="X69" s="284"/>
      <c r="Y69" s="284"/>
      <c r="Z69" s="284"/>
      <c r="AA69" s="284"/>
      <c r="AB69" s="284"/>
      <c r="AC69" s="284"/>
      <c r="AD69" s="284"/>
      <c r="AE69" s="284"/>
      <c r="AF69" s="284"/>
      <c r="AG69" s="284"/>
      <c r="AH69" s="284"/>
      <c r="AI69" s="284"/>
      <c r="AJ69" s="284"/>
      <c r="AK69" s="284"/>
      <c r="AL69" s="284"/>
      <c r="AM69" s="284"/>
      <c r="AN69" s="284"/>
      <c r="AO69" s="284"/>
      <c r="AP69" s="284"/>
      <c r="AQ69" s="284"/>
      <c r="AR69" s="284"/>
      <c r="AS69" s="290" t="str">
        <f>IF(C69&lt;&gt;0,IFERROR(IF(COUNTIF(AcuariosTto[],C69),"SI",""),""),"")</f>
        <v/>
      </c>
      <c r="AT69" s="154">
        <f>IFERROR(INDEX(AcuariosTto[SignoTTo],MATCH(C69,AcuariosTto[AcuariosTTo],0)),"")</f>
        <v>0</v>
      </c>
      <c r="AU69" s="154">
        <f>IFERROR(INDEX(AcuariosTto[TipoProd],MATCH(C69,AcuariosTto[AcuariosTTo],0)),"")</f>
        <v>0</v>
      </c>
      <c r="AV69" s="154">
        <f>IFERROR(INDEX(AcuariosTto[NomProd],MATCH(C69,AcuariosTto[AcuariosTTo],0)),"")</f>
        <v>0</v>
      </c>
      <c r="AW69" s="18" t="str">
        <f>IF(B69&lt;&gt;0,IFERROR(IF(COUNTIF(ItemOcPreven[],B69),"SI",""),""),"")</f>
        <v/>
      </c>
      <c r="AX69" s="18">
        <f>IFERROR(INDEX(ItemOcPreven[TipoProPrev],MATCH(B69,ItemOcPreven[ItemOcPreven],0)),"")</f>
        <v>0</v>
      </c>
      <c r="AY69" s="18">
        <f>IFERROR(INDEX(ItemOcPreven[NomProPrev],MATCH(B69,ItemOcPreven[ItemOcPreven],0)),"")</f>
        <v>0</v>
      </c>
      <c r="AZ69" s="18" t="str">
        <f>IF(B69&lt;&gt;0,IFERROR(IF(COUNTIF(PrevTodas[],"SI"),"SI",""),""),"")</f>
        <v/>
      </c>
      <c r="BA69" s="154" t="str">
        <f>IFERROR(INDEX(ItemOcPreven[TipoProPrev],MATCH(AZ69,PrevTodas[PrevTodas],0)),"")</f>
        <v/>
      </c>
      <c r="BB69" s="154" t="str">
        <f>IFERROR(INDEX(ItemOcPreven[NomProPrev],MATCH(AZ69,PrevTodas[PrevTodas],0)),"")</f>
        <v/>
      </c>
      <c r="BC69" s="18" t="str">
        <f>IF(B69&lt;&gt;0,IFERROR(IF(COUNTIF(ItemOcEvto[],B69),"SI",""),""),"")</f>
        <v/>
      </c>
      <c r="BD69" s="154">
        <f>IFERROR(INDEX(ItemOcEvto[TipoEvto],MATCH(B69,ItemOcEvto[ItemOcEvto],0)),"")</f>
        <v>0</v>
      </c>
      <c r="BE69" s="18" t="str">
        <f>IF(B69&lt;&gt;0,IFERROR(IF(COUNTIF(EvtoTodas[],"SI"),"SI",""),""),"")</f>
        <v/>
      </c>
      <c r="BF69" s="154" t="str">
        <f>IFERROR(INDEX(ItemOcEvto[TipoEvto],MATCH(BE69,EvtoTodas[EvtoTodas],0)),"")</f>
        <v/>
      </c>
      <c r="BG69" s="154">
        <f t="shared" si="4"/>
        <v>0</v>
      </c>
      <c r="BH69" s="154">
        <f t="shared" si="5"/>
        <v>0</v>
      </c>
      <c r="BI69" s="223"/>
    </row>
    <row r="70" spans="2:61" ht="18" customHeight="1" x14ac:dyDescent="0.25">
      <c r="B70" s="284"/>
      <c r="C70" s="284"/>
      <c r="D70" s="285" t="str">
        <f>IFERROR(VLOOKUP(B70,Item[],3,FALSE),IFERROR(VLOOKUP(B70,Item2[],3,FALSE),""))</f>
        <v/>
      </c>
      <c r="E70" s="286" t="str">
        <f>IFERROR(VLOOKUP(B70,Item[],2,FALSE),IFERROR(VLOOKUP(B70,Item2[],2,FALSE),""))</f>
        <v/>
      </c>
      <c r="F70" s="287"/>
      <c r="G70" s="288" t="str">
        <f t="shared" si="7"/>
        <v/>
      </c>
      <c r="H70" s="287"/>
      <c r="I70" s="287"/>
      <c r="J70" s="287"/>
      <c r="K70" s="288" t="str">
        <f t="shared" si="8"/>
        <v/>
      </c>
      <c r="L70" s="289" t="str">
        <f t="shared" si="6"/>
        <v/>
      </c>
      <c r="M70" s="287"/>
      <c r="N70" s="288" t="str">
        <f t="shared" si="3"/>
        <v/>
      </c>
      <c r="O70" s="284"/>
      <c r="P70" s="284"/>
      <c r="Q70" s="284"/>
      <c r="R70" s="284"/>
      <c r="S70" s="284"/>
      <c r="T70" s="284"/>
      <c r="U70" s="284"/>
      <c r="V70" s="284"/>
      <c r="W70" s="284"/>
      <c r="X70" s="284"/>
      <c r="Y70" s="284"/>
      <c r="Z70" s="284"/>
      <c r="AA70" s="284"/>
      <c r="AB70" s="284"/>
      <c r="AC70" s="284"/>
      <c r="AD70" s="284"/>
      <c r="AE70" s="284"/>
      <c r="AF70" s="284"/>
      <c r="AG70" s="284"/>
      <c r="AH70" s="284"/>
      <c r="AI70" s="284"/>
      <c r="AJ70" s="284"/>
      <c r="AK70" s="284"/>
      <c r="AL70" s="284"/>
      <c r="AM70" s="284"/>
      <c r="AN70" s="284"/>
      <c r="AO70" s="284"/>
      <c r="AP70" s="284"/>
      <c r="AQ70" s="284"/>
      <c r="AR70" s="284"/>
      <c r="AS70" s="290" t="str">
        <f>IF(C70&lt;&gt;0,IFERROR(IF(COUNTIF(AcuariosTto[],C70),"SI",""),""),"")</f>
        <v/>
      </c>
      <c r="AT70" s="154">
        <f>IFERROR(INDEX(AcuariosTto[SignoTTo],MATCH(C70,AcuariosTto[AcuariosTTo],0)),"")</f>
        <v>0</v>
      </c>
      <c r="AU70" s="154">
        <f>IFERROR(INDEX(AcuariosTto[TipoProd],MATCH(C70,AcuariosTto[AcuariosTTo],0)),"")</f>
        <v>0</v>
      </c>
      <c r="AV70" s="154">
        <f>IFERROR(INDEX(AcuariosTto[NomProd],MATCH(C70,AcuariosTto[AcuariosTTo],0)),"")</f>
        <v>0</v>
      </c>
      <c r="AW70" s="18" t="str">
        <f>IF(B70&lt;&gt;0,IFERROR(IF(COUNTIF(ItemOcPreven[],B70),"SI",""),""),"")</f>
        <v/>
      </c>
      <c r="AX70" s="18">
        <f>IFERROR(INDEX(ItemOcPreven[TipoProPrev],MATCH(B70,ItemOcPreven[ItemOcPreven],0)),"")</f>
        <v>0</v>
      </c>
      <c r="AY70" s="18">
        <f>IFERROR(INDEX(ItemOcPreven[NomProPrev],MATCH(B70,ItemOcPreven[ItemOcPreven],0)),"")</f>
        <v>0</v>
      </c>
      <c r="AZ70" s="18" t="str">
        <f>IF(B70&lt;&gt;0,IFERROR(IF(COUNTIF(PrevTodas[],"SI"),"SI",""),""),"")</f>
        <v/>
      </c>
      <c r="BA70" s="154" t="str">
        <f>IFERROR(INDEX(ItemOcPreven[TipoProPrev],MATCH(AZ70,PrevTodas[PrevTodas],0)),"")</f>
        <v/>
      </c>
      <c r="BB70" s="154" t="str">
        <f>IFERROR(INDEX(ItemOcPreven[NomProPrev],MATCH(AZ70,PrevTodas[PrevTodas],0)),"")</f>
        <v/>
      </c>
      <c r="BC70" s="18" t="str">
        <f>IF(B70&lt;&gt;0,IFERROR(IF(COUNTIF(ItemOcEvto[],B70),"SI",""),""),"")</f>
        <v/>
      </c>
      <c r="BD70" s="154">
        <f>IFERROR(INDEX(ItemOcEvto[TipoEvto],MATCH(B70,ItemOcEvto[ItemOcEvto],0)),"")</f>
        <v>0</v>
      </c>
      <c r="BE70" s="18" t="str">
        <f>IF(B70&lt;&gt;0,IFERROR(IF(COUNTIF(EvtoTodas[],"SI"),"SI",""),""),"")</f>
        <v/>
      </c>
      <c r="BF70" s="154" t="str">
        <f>IFERROR(INDEX(ItemOcEvto[TipoEvto],MATCH(BE70,EvtoTodas[EvtoTodas],0)),"")</f>
        <v/>
      </c>
      <c r="BG70" s="154">
        <f t="shared" si="4"/>
        <v>0</v>
      </c>
      <c r="BH70" s="154">
        <f t="shared" si="5"/>
        <v>0</v>
      </c>
      <c r="BI70" s="223"/>
    </row>
    <row r="71" spans="2:61" ht="18" customHeight="1" x14ac:dyDescent="0.25">
      <c r="B71" s="284"/>
      <c r="C71" s="284"/>
      <c r="D71" s="285" t="str">
        <f>IFERROR(VLOOKUP(B71,Item[],3,FALSE),IFERROR(VLOOKUP(B71,Item2[],3,FALSE),""))</f>
        <v/>
      </c>
      <c r="E71" s="286" t="str">
        <f>IFERROR(VLOOKUP(B71,Item[],2,FALSE),IFERROR(VLOOKUP(B71,Item2[],2,FALSE),""))</f>
        <v/>
      </c>
      <c r="F71" s="287"/>
      <c r="G71" s="288" t="str">
        <f t="shared" si="7"/>
        <v/>
      </c>
      <c r="H71" s="287"/>
      <c r="I71" s="287"/>
      <c r="J71" s="287"/>
      <c r="K71" s="288" t="str">
        <f t="shared" si="8"/>
        <v/>
      </c>
      <c r="L71" s="289" t="str">
        <f t="shared" si="6"/>
        <v/>
      </c>
      <c r="M71" s="287"/>
      <c r="N71" s="288" t="str">
        <f t="shared" si="3"/>
        <v/>
      </c>
      <c r="O71" s="284"/>
      <c r="P71" s="284"/>
      <c r="Q71" s="284"/>
      <c r="R71" s="284"/>
      <c r="S71" s="284"/>
      <c r="T71" s="284"/>
      <c r="U71" s="284"/>
      <c r="V71" s="284"/>
      <c r="W71" s="284"/>
      <c r="X71" s="284"/>
      <c r="Y71" s="284"/>
      <c r="Z71" s="284"/>
      <c r="AA71" s="284"/>
      <c r="AB71" s="284"/>
      <c r="AC71" s="284"/>
      <c r="AD71" s="284"/>
      <c r="AE71" s="284"/>
      <c r="AF71" s="284"/>
      <c r="AG71" s="284"/>
      <c r="AH71" s="284"/>
      <c r="AI71" s="284"/>
      <c r="AJ71" s="284"/>
      <c r="AK71" s="284"/>
      <c r="AL71" s="284"/>
      <c r="AM71" s="284"/>
      <c r="AN71" s="284"/>
      <c r="AO71" s="284"/>
      <c r="AP71" s="284"/>
      <c r="AQ71" s="284"/>
      <c r="AR71" s="284"/>
      <c r="AS71" s="290" t="str">
        <f>IF(C71&lt;&gt;0,IFERROR(IF(COUNTIF(AcuariosTto[],C71),"SI",""),""),"")</f>
        <v/>
      </c>
      <c r="AT71" s="154">
        <f>IFERROR(INDEX(AcuariosTto[SignoTTo],MATCH(C71,AcuariosTto[AcuariosTTo],0)),"")</f>
        <v>0</v>
      </c>
      <c r="AU71" s="154">
        <f>IFERROR(INDEX(AcuariosTto[TipoProd],MATCH(C71,AcuariosTto[AcuariosTTo],0)),"")</f>
        <v>0</v>
      </c>
      <c r="AV71" s="154">
        <f>IFERROR(INDEX(AcuariosTto[NomProd],MATCH(C71,AcuariosTto[AcuariosTTo],0)),"")</f>
        <v>0</v>
      </c>
      <c r="AW71" s="18" t="str">
        <f>IF(B71&lt;&gt;0,IFERROR(IF(COUNTIF(ItemOcPreven[],B71),"SI",""),""),"")</f>
        <v/>
      </c>
      <c r="AX71" s="18">
        <f>IFERROR(INDEX(ItemOcPreven[TipoProPrev],MATCH(B71,ItemOcPreven[ItemOcPreven],0)),"")</f>
        <v>0</v>
      </c>
      <c r="AY71" s="18">
        <f>IFERROR(INDEX(ItemOcPreven[NomProPrev],MATCH(B71,ItemOcPreven[ItemOcPreven],0)),"")</f>
        <v>0</v>
      </c>
      <c r="AZ71" s="18" t="str">
        <f>IF(B71&lt;&gt;0,IFERROR(IF(COUNTIF(PrevTodas[],"SI"),"SI",""),""),"")</f>
        <v/>
      </c>
      <c r="BA71" s="154" t="str">
        <f>IFERROR(INDEX(ItemOcPreven[TipoProPrev],MATCH(AZ71,PrevTodas[PrevTodas],0)),"")</f>
        <v/>
      </c>
      <c r="BB71" s="154" t="str">
        <f>IFERROR(INDEX(ItemOcPreven[NomProPrev],MATCH(AZ71,PrevTodas[PrevTodas],0)),"")</f>
        <v/>
      </c>
      <c r="BC71" s="18" t="str">
        <f>IF(B71&lt;&gt;0,IFERROR(IF(COUNTIF(ItemOcEvto[],B71),"SI",""),""),"")</f>
        <v/>
      </c>
      <c r="BD71" s="154">
        <f>IFERROR(INDEX(ItemOcEvto[TipoEvto],MATCH(B71,ItemOcEvto[ItemOcEvto],0)),"")</f>
        <v>0</v>
      </c>
      <c r="BE71" s="18" t="str">
        <f>IF(B71&lt;&gt;0,IFERROR(IF(COUNTIF(EvtoTodas[],"SI"),"SI",""),""),"")</f>
        <v/>
      </c>
      <c r="BF71" s="154" t="str">
        <f>IFERROR(INDEX(ItemOcEvto[TipoEvto],MATCH(BE71,EvtoTodas[EvtoTodas],0)),"")</f>
        <v/>
      </c>
      <c r="BG71" s="154">
        <f t="shared" si="4"/>
        <v>0</v>
      </c>
      <c r="BH71" s="154">
        <f t="shared" si="5"/>
        <v>0</v>
      </c>
      <c r="BI71" s="223"/>
    </row>
    <row r="72" spans="2:61" ht="18" customHeight="1" x14ac:dyDescent="0.25">
      <c r="B72" s="284"/>
      <c r="C72" s="284"/>
      <c r="D72" s="285" t="str">
        <f>IFERROR(VLOOKUP(B72,Item[],3,FALSE),IFERROR(VLOOKUP(B72,Item2[],3,FALSE),""))</f>
        <v/>
      </c>
      <c r="E72" s="286" t="str">
        <f>IFERROR(VLOOKUP(B72,Item[],2,FALSE),IFERROR(VLOOKUP(B72,Item2[],2,FALSE),""))</f>
        <v/>
      </c>
      <c r="F72" s="287"/>
      <c r="G72" s="288" t="str">
        <f t="shared" si="7"/>
        <v/>
      </c>
      <c r="H72" s="287"/>
      <c r="I72" s="287"/>
      <c r="J72" s="287"/>
      <c r="K72" s="288" t="str">
        <f t="shared" si="8"/>
        <v/>
      </c>
      <c r="L72" s="289" t="str">
        <f t="shared" si="6"/>
        <v/>
      </c>
      <c r="M72" s="287"/>
      <c r="N72" s="288" t="str">
        <f t="shared" si="3"/>
        <v/>
      </c>
      <c r="O72" s="284"/>
      <c r="P72" s="284"/>
      <c r="Q72" s="284"/>
      <c r="R72" s="284"/>
      <c r="S72" s="284"/>
      <c r="T72" s="284"/>
      <c r="U72" s="284"/>
      <c r="V72" s="284"/>
      <c r="W72" s="284"/>
      <c r="X72" s="284"/>
      <c r="Y72" s="284"/>
      <c r="Z72" s="284"/>
      <c r="AA72" s="284"/>
      <c r="AB72" s="284"/>
      <c r="AC72" s="284"/>
      <c r="AD72" s="284"/>
      <c r="AE72" s="284"/>
      <c r="AF72" s="284"/>
      <c r="AG72" s="284"/>
      <c r="AH72" s="284"/>
      <c r="AI72" s="284"/>
      <c r="AJ72" s="284"/>
      <c r="AK72" s="284"/>
      <c r="AL72" s="284"/>
      <c r="AM72" s="284"/>
      <c r="AN72" s="284"/>
      <c r="AO72" s="284"/>
      <c r="AP72" s="284"/>
      <c r="AQ72" s="284"/>
      <c r="AR72" s="284"/>
      <c r="AS72" s="290" t="str">
        <f>IF(C72&lt;&gt;0,IFERROR(IF(COUNTIF(AcuariosTto[],C72),"SI",""),""),"")</f>
        <v/>
      </c>
      <c r="AT72" s="154">
        <f>IFERROR(INDEX(AcuariosTto[SignoTTo],MATCH(C72,AcuariosTto[AcuariosTTo],0)),"")</f>
        <v>0</v>
      </c>
      <c r="AU72" s="154">
        <f>IFERROR(INDEX(AcuariosTto[TipoProd],MATCH(C72,AcuariosTto[AcuariosTTo],0)),"")</f>
        <v>0</v>
      </c>
      <c r="AV72" s="154">
        <f>IFERROR(INDEX(AcuariosTto[NomProd],MATCH(C72,AcuariosTto[AcuariosTTo],0)),"")</f>
        <v>0</v>
      </c>
      <c r="AW72" s="18" t="str">
        <f>IF(B72&lt;&gt;0,IFERROR(IF(COUNTIF(ItemOcPreven[],B72),"SI",""),""),"")</f>
        <v/>
      </c>
      <c r="AX72" s="18">
        <f>IFERROR(INDEX(ItemOcPreven[TipoProPrev],MATCH(B72,ItemOcPreven[ItemOcPreven],0)),"")</f>
        <v>0</v>
      </c>
      <c r="AY72" s="18">
        <f>IFERROR(INDEX(ItemOcPreven[NomProPrev],MATCH(B72,ItemOcPreven[ItemOcPreven],0)),"")</f>
        <v>0</v>
      </c>
      <c r="AZ72" s="18" t="str">
        <f>IF(B72&lt;&gt;0,IFERROR(IF(COUNTIF(PrevTodas[],"SI"),"SI",""),""),"")</f>
        <v/>
      </c>
      <c r="BA72" s="154" t="str">
        <f>IFERROR(INDEX(ItemOcPreven[TipoProPrev],MATCH(AZ72,PrevTodas[PrevTodas],0)),"")</f>
        <v/>
      </c>
      <c r="BB72" s="154" t="str">
        <f>IFERROR(INDEX(ItemOcPreven[NomProPrev],MATCH(AZ72,PrevTodas[PrevTodas],0)),"")</f>
        <v/>
      </c>
      <c r="BC72" s="18" t="str">
        <f>IF(B72&lt;&gt;0,IFERROR(IF(COUNTIF(ItemOcEvto[],B72),"SI",""),""),"")</f>
        <v/>
      </c>
      <c r="BD72" s="154">
        <f>IFERROR(INDEX(ItemOcEvto[TipoEvto],MATCH(B72,ItemOcEvto[ItemOcEvto],0)),"")</f>
        <v>0</v>
      </c>
      <c r="BE72" s="18" t="str">
        <f>IF(B72&lt;&gt;0,IFERROR(IF(COUNTIF(EvtoTodas[],"SI"),"SI",""),""),"")</f>
        <v/>
      </c>
      <c r="BF72" s="154" t="str">
        <f>IFERROR(INDEX(ItemOcEvto[TipoEvto],MATCH(BE72,EvtoTodas[EvtoTodas],0)),"")</f>
        <v/>
      </c>
      <c r="BG72" s="154">
        <f t="shared" si="4"/>
        <v>0</v>
      </c>
      <c r="BH72" s="154">
        <f t="shared" si="5"/>
        <v>0</v>
      </c>
      <c r="BI72" s="223"/>
    </row>
    <row r="73" spans="2:61" ht="18" customHeight="1" x14ac:dyDescent="0.25">
      <c r="B73" s="284"/>
      <c r="C73" s="284"/>
      <c r="D73" s="285" t="str">
        <f>IFERROR(VLOOKUP(B73,Item[],3,FALSE),IFERROR(VLOOKUP(B73,Item2[],3,FALSE),""))</f>
        <v/>
      </c>
      <c r="E73" s="286" t="str">
        <f>IFERROR(VLOOKUP(B73,Item[],2,FALSE),IFERROR(VLOOKUP(B73,Item2[],2,FALSE),""))</f>
        <v/>
      </c>
      <c r="F73" s="287"/>
      <c r="G73" s="288" t="str">
        <f t="shared" si="7"/>
        <v/>
      </c>
      <c r="H73" s="287"/>
      <c r="I73" s="287"/>
      <c r="J73" s="287"/>
      <c r="K73" s="288" t="str">
        <f t="shared" si="8"/>
        <v/>
      </c>
      <c r="L73" s="289" t="str">
        <f t="shared" si="6"/>
        <v/>
      </c>
      <c r="M73" s="287"/>
      <c r="N73" s="288" t="str">
        <f t="shared" si="3"/>
        <v/>
      </c>
      <c r="O73" s="284"/>
      <c r="P73" s="284"/>
      <c r="Q73" s="284"/>
      <c r="R73" s="284"/>
      <c r="S73" s="284"/>
      <c r="T73" s="284"/>
      <c r="U73" s="284"/>
      <c r="V73" s="284"/>
      <c r="W73" s="284"/>
      <c r="X73" s="284"/>
      <c r="Y73" s="284"/>
      <c r="Z73" s="284"/>
      <c r="AA73" s="284"/>
      <c r="AB73" s="284"/>
      <c r="AC73" s="284"/>
      <c r="AD73" s="284"/>
      <c r="AE73" s="284"/>
      <c r="AF73" s="284"/>
      <c r="AG73" s="284"/>
      <c r="AH73" s="284"/>
      <c r="AI73" s="284"/>
      <c r="AJ73" s="284"/>
      <c r="AK73" s="284"/>
      <c r="AL73" s="284"/>
      <c r="AM73" s="284"/>
      <c r="AN73" s="284"/>
      <c r="AO73" s="284"/>
      <c r="AP73" s="284"/>
      <c r="AQ73" s="284"/>
      <c r="AR73" s="284"/>
      <c r="AS73" s="290" t="str">
        <f>IF(C73&lt;&gt;0,IFERROR(IF(COUNTIF(AcuariosTto[],C73),"SI",""),""),"")</f>
        <v/>
      </c>
      <c r="AT73" s="154">
        <f>IFERROR(INDEX(AcuariosTto[SignoTTo],MATCH(C73,AcuariosTto[AcuariosTTo],0)),"")</f>
        <v>0</v>
      </c>
      <c r="AU73" s="154">
        <f>IFERROR(INDEX(AcuariosTto[TipoProd],MATCH(C73,AcuariosTto[AcuariosTTo],0)),"")</f>
        <v>0</v>
      </c>
      <c r="AV73" s="154">
        <f>IFERROR(INDEX(AcuariosTto[NomProd],MATCH(C73,AcuariosTto[AcuariosTTo],0)),"")</f>
        <v>0</v>
      </c>
      <c r="AW73" s="18" t="str">
        <f>IF(B73&lt;&gt;0,IFERROR(IF(COUNTIF(ItemOcPreven[],B73),"SI",""),""),"")</f>
        <v/>
      </c>
      <c r="AX73" s="18">
        <f>IFERROR(INDEX(ItemOcPreven[TipoProPrev],MATCH(B73,ItemOcPreven[ItemOcPreven],0)),"")</f>
        <v>0</v>
      </c>
      <c r="AY73" s="18">
        <f>IFERROR(INDEX(ItemOcPreven[NomProPrev],MATCH(B73,ItemOcPreven[ItemOcPreven],0)),"")</f>
        <v>0</v>
      </c>
      <c r="AZ73" s="18" t="str">
        <f>IF(B73&lt;&gt;0,IFERROR(IF(COUNTIF(PrevTodas[],"SI"),"SI",""),""),"")</f>
        <v/>
      </c>
      <c r="BA73" s="154" t="str">
        <f>IFERROR(INDEX(ItemOcPreven[TipoProPrev],MATCH(AZ73,PrevTodas[PrevTodas],0)),"")</f>
        <v/>
      </c>
      <c r="BB73" s="154" t="str">
        <f>IFERROR(INDEX(ItemOcPreven[NomProPrev],MATCH(AZ73,PrevTodas[PrevTodas],0)),"")</f>
        <v/>
      </c>
      <c r="BC73" s="18" t="str">
        <f>IF(B73&lt;&gt;0,IFERROR(IF(COUNTIF(ItemOcEvto[],B73),"SI",""),""),"")</f>
        <v/>
      </c>
      <c r="BD73" s="154">
        <f>IFERROR(INDEX(ItemOcEvto[TipoEvto],MATCH(B73,ItemOcEvto[ItemOcEvto],0)),"")</f>
        <v>0</v>
      </c>
      <c r="BE73" s="18" t="str">
        <f>IF(B73&lt;&gt;0,IFERROR(IF(COUNTIF(EvtoTodas[],"SI"),"SI",""),""),"")</f>
        <v/>
      </c>
      <c r="BF73" s="154" t="str">
        <f>IFERROR(INDEX(ItemOcEvto[TipoEvto],MATCH(BE73,EvtoTodas[EvtoTodas],0)),"")</f>
        <v/>
      </c>
      <c r="BG73" s="154">
        <f t="shared" si="4"/>
        <v>0</v>
      </c>
      <c r="BH73" s="154">
        <f t="shared" si="5"/>
        <v>0</v>
      </c>
      <c r="BI73" s="223"/>
    </row>
    <row r="74" spans="2:61" ht="18" customHeight="1" x14ac:dyDescent="0.25">
      <c r="B74" s="284"/>
      <c r="C74" s="284"/>
      <c r="D74" s="285" t="str">
        <f>IFERROR(VLOOKUP(B74,Item[],3,FALSE),IFERROR(VLOOKUP(B74,Item2[],3,FALSE),""))</f>
        <v/>
      </c>
      <c r="E74" s="286" t="str">
        <f>IFERROR(VLOOKUP(B74,Item[],2,FALSE),IFERROR(VLOOKUP(B74,Item2[],2,FALSE),""))</f>
        <v/>
      </c>
      <c r="F74" s="287"/>
      <c r="G74" s="288" t="str">
        <f t="shared" si="7"/>
        <v/>
      </c>
      <c r="H74" s="287"/>
      <c r="I74" s="287"/>
      <c r="J74" s="287"/>
      <c r="K74" s="288" t="str">
        <f t="shared" si="8"/>
        <v/>
      </c>
      <c r="L74" s="289" t="str">
        <f t="shared" si="6"/>
        <v/>
      </c>
      <c r="M74" s="287"/>
      <c r="N74" s="288" t="str">
        <f t="shared" si="3"/>
        <v/>
      </c>
      <c r="O74" s="284"/>
      <c r="P74" s="284"/>
      <c r="Q74" s="284"/>
      <c r="R74" s="284"/>
      <c r="S74" s="284"/>
      <c r="T74" s="284"/>
      <c r="U74" s="284"/>
      <c r="V74" s="284"/>
      <c r="W74" s="284"/>
      <c r="X74" s="284"/>
      <c r="Y74" s="284"/>
      <c r="Z74" s="284"/>
      <c r="AA74" s="284"/>
      <c r="AB74" s="284"/>
      <c r="AC74" s="284"/>
      <c r="AD74" s="284"/>
      <c r="AE74" s="284"/>
      <c r="AF74" s="284"/>
      <c r="AG74" s="284"/>
      <c r="AH74" s="284"/>
      <c r="AI74" s="284"/>
      <c r="AJ74" s="284"/>
      <c r="AK74" s="284"/>
      <c r="AL74" s="284"/>
      <c r="AM74" s="284"/>
      <c r="AN74" s="284"/>
      <c r="AO74" s="284"/>
      <c r="AP74" s="284"/>
      <c r="AQ74" s="284"/>
      <c r="AR74" s="284"/>
      <c r="AS74" s="290" t="str">
        <f>IF(C74&lt;&gt;0,IFERROR(IF(COUNTIF(AcuariosTto[],C74),"SI",""),""),"")</f>
        <v/>
      </c>
      <c r="AT74" s="154">
        <f>IFERROR(INDEX(AcuariosTto[SignoTTo],MATCH(C74,AcuariosTto[AcuariosTTo],0)),"")</f>
        <v>0</v>
      </c>
      <c r="AU74" s="154">
        <f>IFERROR(INDEX(AcuariosTto[TipoProd],MATCH(C74,AcuariosTto[AcuariosTTo],0)),"")</f>
        <v>0</v>
      </c>
      <c r="AV74" s="154">
        <f>IFERROR(INDEX(AcuariosTto[NomProd],MATCH(C74,AcuariosTto[AcuariosTTo],0)),"")</f>
        <v>0</v>
      </c>
      <c r="AW74" s="18" t="str">
        <f>IF(B74&lt;&gt;0,IFERROR(IF(COUNTIF(ItemOcPreven[],B74),"SI",""),""),"")</f>
        <v/>
      </c>
      <c r="AX74" s="18">
        <f>IFERROR(INDEX(ItemOcPreven[TipoProPrev],MATCH(B74,ItemOcPreven[ItemOcPreven],0)),"")</f>
        <v>0</v>
      </c>
      <c r="AY74" s="18">
        <f>IFERROR(INDEX(ItemOcPreven[NomProPrev],MATCH(B74,ItemOcPreven[ItemOcPreven],0)),"")</f>
        <v>0</v>
      </c>
      <c r="AZ74" s="18" t="str">
        <f>IF(B74&lt;&gt;0,IFERROR(IF(COUNTIF(PrevTodas[],"SI"),"SI",""),""),"")</f>
        <v/>
      </c>
      <c r="BA74" s="154" t="str">
        <f>IFERROR(INDEX(ItemOcPreven[TipoProPrev],MATCH(AZ74,PrevTodas[PrevTodas],0)),"")</f>
        <v/>
      </c>
      <c r="BB74" s="154" t="str">
        <f>IFERROR(INDEX(ItemOcPreven[NomProPrev],MATCH(AZ74,PrevTodas[PrevTodas],0)),"")</f>
        <v/>
      </c>
      <c r="BC74" s="18" t="str">
        <f>IF(B74&lt;&gt;0,IFERROR(IF(COUNTIF(ItemOcEvto[],B74),"SI",""),""),"")</f>
        <v/>
      </c>
      <c r="BD74" s="154">
        <f>IFERROR(INDEX(ItemOcEvto[TipoEvto],MATCH(B74,ItemOcEvto[ItemOcEvto],0)),"")</f>
        <v>0</v>
      </c>
      <c r="BE74" s="18" t="str">
        <f>IF(B74&lt;&gt;0,IFERROR(IF(COUNTIF(EvtoTodas[],"SI"),"SI",""),""),"")</f>
        <v/>
      </c>
      <c r="BF74" s="154" t="str">
        <f>IFERROR(INDEX(ItemOcEvto[TipoEvto],MATCH(BE74,EvtoTodas[EvtoTodas],0)),"")</f>
        <v/>
      </c>
      <c r="BG74" s="154">
        <f t="shared" si="4"/>
        <v>0</v>
      </c>
      <c r="BH74" s="154">
        <f t="shared" si="5"/>
        <v>0</v>
      </c>
      <c r="BI74" s="223"/>
    </row>
    <row r="75" spans="2:61" ht="18" customHeight="1" x14ac:dyDescent="0.25">
      <c r="B75" s="284"/>
      <c r="C75" s="284"/>
      <c r="D75" s="285" t="str">
        <f>IFERROR(VLOOKUP(B75,Item[],3,FALSE),IFERROR(VLOOKUP(B75,Item2[],3,FALSE),""))</f>
        <v/>
      </c>
      <c r="E75" s="286" t="str">
        <f>IFERROR(VLOOKUP(B75,Item[],2,FALSE),IFERROR(VLOOKUP(B75,Item2[],2,FALSE),""))</f>
        <v/>
      </c>
      <c r="F75" s="287"/>
      <c r="G75" s="288" t="str">
        <f t="shared" si="7"/>
        <v/>
      </c>
      <c r="H75" s="287"/>
      <c r="I75" s="287"/>
      <c r="J75" s="287"/>
      <c r="K75" s="288" t="str">
        <f t="shared" si="8"/>
        <v/>
      </c>
      <c r="L75" s="289" t="str">
        <f t="shared" si="6"/>
        <v/>
      </c>
      <c r="M75" s="287"/>
      <c r="N75" s="288" t="str">
        <f t="shared" si="3"/>
        <v/>
      </c>
      <c r="O75" s="284"/>
      <c r="P75" s="284"/>
      <c r="Q75" s="284"/>
      <c r="R75" s="284"/>
      <c r="S75" s="284"/>
      <c r="T75" s="284"/>
      <c r="U75" s="284"/>
      <c r="V75" s="284"/>
      <c r="W75" s="284"/>
      <c r="X75" s="284"/>
      <c r="Y75" s="284"/>
      <c r="Z75" s="284"/>
      <c r="AA75" s="284"/>
      <c r="AB75" s="284"/>
      <c r="AC75" s="284"/>
      <c r="AD75" s="284"/>
      <c r="AE75" s="284"/>
      <c r="AF75" s="284"/>
      <c r="AG75" s="284"/>
      <c r="AH75" s="284"/>
      <c r="AI75" s="284"/>
      <c r="AJ75" s="284"/>
      <c r="AK75" s="284"/>
      <c r="AL75" s="284"/>
      <c r="AM75" s="284"/>
      <c r="AN75" s="284"/>
      <c r="AO75" s="284"/>
      <c r="AP75" s="284"/>
      <c r="AQ75" s="284"/>
      <c r="AR75" s="284"/>
      <c r="AS75" s="290" t="str">
        <f>IF(C75&lt;&gt;0,IFERROR(IF(COUNTIF(AcuariosTto[],C75),"SI",""),""),"")</f>
        <v/>
      </c>
      <c r="AT75" s="154">
        <f>IFERROR(INDEX(AcuariosTto[SignoTTo],MATCH(C75,AcuariosTto[AcuariosTTo],0)),"")</f>
        <v>0</v>
      </c>
      <c r="AU75" s="154">
        <f>IFERROR(INDEX(AcuariosTto[TipoProd],MATCH(C75,AcuariosTto[AcuariosTTo],0)),"")</f>
        <v>0</v>
      </c>
      <c r="AV75" s="154">
        <f>IFERROR(INDEX(AcuariosTto[NomProd],MATCH(C75,AcuariosTto[AcuariosTTo],0)),"")</f>
        <v>0</v>
      </c>
      <c r="AW75" s="18" t="str">
        <f>IF(B75&lt;&gt;0,IFERROR(IF(COUNTIF(ItemOcPreven[],B75),"SI",""),""),"")</f>
        <v/>
      </c>
      <c r="AX75" s="18">
        <f>IFERROR(INDEX(ItemOcPreven[TipoProPrev],MATCH(B75,ItemOcPreven[ItemOcPreven],0)),"")</f>
        <v>0</v>
      </c>
      <c r="AY75" s="18">
        <f>IFERROR(INDEX(ItemOcPreven[NomProPrev],MATCH(B75,ItemOcPreven[ItemOcPreven],0)),"")</f>
        <v>0</v>
      </c>
      <c r="AZ75" s="18" t="str">
        <f>IF(B75&lt;&gt;0,IFERROR(IF(COUNTIF(PrevTodas[],"SI"),"SI",""),""),"")</f>
        <v/>
      </c>
      <c r="BA75" s="154" t="str">
        <f>IFERROR(INDEX(ItemOcPreven[TipoProPrev],MATCH(AZ75,PrevTodas[PrevTodas],0)),"")</f>
        <v/>
      </c>
      <c r="BB75" s="154" t="str">
        <f>IFERROR(INDEX(ItemOcPreven[NomProPrev],MATCH(AZ75,PrevTodas[PrevTodas],0)),"")</f>
        <v/>
      </c>
      <c r="BC75" s="18" t="str">
        <f>IF(B75&lt;&gt;0,IFERROR(IF(COUNTIF(ItemOcEvto[],B75),"SI",""),""),"")</f>
        <v/>
      </c>
      <c r="BD75" s="154">
        <f>IFERROR(INDEX(ItemOcEvto[TipoEvto],MATCH(B75,ItemOcEvto[ItemOcEvto],0)),"")</f>
        <v>0</v>
      </c>
      <c r="BE75" s="18" t="str">
        <f>IF(B75&lt;&gt;0,IFERROR(IF(COUNTIF(EvtoTodas[],"SI"),"SI",""),""),"")</f>
        <v/>
      </c>
      <c r="BF75" s="154" t="str">
        <f>IFERROR(INDEX(ItemOcEvto[TipoEvto],MATCH(BE75,EvtoTodas[EvtoTodas],0)),"")</f>
        <v/>
      </c>
      <c r="BG75" s="154">
        <f t="shared" si="4"/>
        <v>0</v>
      </c>
      <c r="BH75" s="154">
        <f t="shared" si="5"/>
        <v>0</v>
      </c>
      <c r="BI75" s="223"/>
    </row>
    <row r="76" spans="2:61" ht="18" customHeight="1" x14ac:dyDescent="0.25">
      <c r="B76" s="284"/>
      <c r="C76" s="284"/>
      <c r="D76" s="285" t="str">
        <f>IFERROR(VLOOKUP(B76,Item[],3,FALSE),IFERROR(VLOOKUP(B76,Item2[],3,FALSE),""))</f>
        <v/>
      </c>
      <c r="E76" s="286" t="str">
        <f>IFERROR(VLOOKUP(B76,Item[],2,FALSE),IFERROR(VLOOKUP(B76,Item2[],2,FALSE),""))</f>
        <v/>
      </c>
      <c r="F76" s="287"/>
      <c r="G76" s="288" t="str">
        <f t="shared" si="7"/>
        <v/>
      </c>
      <c r="H76" s="287"/>
      <c r="I76" s="287"/>
      <c r="J76" s="287"/>
      <c r="K76" s="288" t="str">
        <f t="shared" si="8"/>
        <v/>
      </c>
      <c r="L76" s="289" t="str">
        <f t="shared" si="6"/>
        <v/>
      </c>
      <c r="M76" s="287"/>
      <c r="N76" s="288" t="str">
        <f t="shared" si="3"/>
        <v/>
      </c>
      <c r="O76" s="284"/>
      <c r="P76" s="284"/>
      <c r="Q76" s="284"/>
      <c r="R76" s="284"/>
      <c r="S76" s="284"/>
      <c r="T76" s="284"/>
      <c r="U76" s="284"/>
      <c r="V76" s="284"/>
      <c r="W76" s="284"/>
      <c r="X76" s="284"/>
      <c r="Y76" s="284"/>
      <c r="Z76" s="284"/>
      <c r="AA76" s="284"/>
      <c r="AB76" s="284"/>
      <c r="AC76" s="284"/>
      <c r="AD76" s="284"/>
      <c r="AE76" s="284"/>
      <c r="AF76" s="284"/>
      <c r="AG76" s="284"/>
      <c r="AH76" s="284"/>
      <c r="AI76" s="284"/>
      <c r="AJ76" s="284"/>
      <c r="AK76" s="284"/>
      <c r="AL76" s="284"/>
      <c r="AM76" s="284"/>
      <c r="AN76" s="284"/>
      <c r="AO76" s="284"/>
      <c r="AP76" s="284"/>
      <c r="AQ76" s="284"/>
      <c r="AR76" s="284"/>
      <c r="AS76" s="290" t="str">
        <f>IF(C76&lt;&gt;0,IFERROR(IF(COUNTIF(AcuariosTto[],C76),"SI",""),""),"")</f>
        <v/>
      </c>
      <c r="AT76" s="154">
        <f>IFERROR(INDEX(AcuariosTto[SignoTTo],MATCH(C76,AcuariosTto[AcuariosTTo],0)),"")</f>
        <v>0</v>
      </c>
      <c r="AU76" s="154">
        <f>IFERROR(INDEX(AcuariosTto[TipoProd],MATCH(C76,AcuariosTto[AcuariosTTo],0)),"")</f>
        <v>0</v>
      </c>
      <c r="AV76" s="154">
        <f>IFERROR(INDEX(AcuariosTto[NomProd],MATCH(C76,AcuariosTto[AcuariosTTo],0)),"")</f>
        <v>0</v>
      </c>
      <c r="AW76" s="18" t="str">
        <f>IF(B76&lt;&gt;0,IFERROR(IF(COUNTIF(ItemOcPreven[],B76),"SI",""),""),"")</f>
        <v/>
      </c>
      <c r="AX76" s="18">
        <f>IFERROR(INDEX(ItemOcPreven[TipoProPrev],MATCH(B76,ItemOcPreven[ItemOcPreven],0)),"")</f>
        <v>0</v>
      </c>
      <c r="AY76" s="18">
        <f>IFERROR(INDEX(ItemOcPreven[NomProPrev],MATCH(B76,ItemOcPreven[ItemOcPreven],0)),"")</f>
        <v>0</v>
      </c>
      <c r="AZ76" s="18" t="str">
        <f>IF(B76&lt;&gt;0,IFERROR(IF(COUNTIF(PrevTodas[],"SI"),"SI",""),""),"")</f>
        <v/>
      </c>
      <c r="BA76" s="154" t="str">
        <f>IFERROR(INDEX(ItemOcPreven[TipoProPrev],MATCH(AZ76,PrevTodas[PrevTodas],0)),"")</f>
        <v/>
      </c>
      <c r="BB76" s="154" t="str">
        <f>IFERROR(INDEX(ItemOcPreven[NomProPrev],MATCH(AZ76,PrevTodas[PrevTodas],0)),"")</f>
        <v/>
      </c>
      <c r="BC76" s="18" t="str">
        <f>IF(B76&lt;&gt;0,IFERROR(IF(COUNTIF(ItemOcEvto[],B76),"SI",""),""),"")</f>
        <v/>
      </c>
      <c r="BD76" s="154">
        <f>IFERROR(INDEX(ItemOcEvto[TipoEvto],MATCH(B76,ItemOcEvto[ItemOcEvto],0)),"")</f>
        <v>0</v>
      </c>
      <c r="BE76" s="18" t="str">
        <f>IF(B76&lt;&gt;0,IFERROR(IF(COUNTIF(EvtoTodas[],"SI"),"SI",""),""),"")</f>
        <v/>
      </c>
      <c r="BF76" s="154" t="str">
        <f>IFERROR(INDEX(ItemOcEvto[TipoEvto],MATCH(BE76,EvtoTodas[EvtoTodas],0)),"")</f>
        <v/>
      </c>
      <c r="BG76" s="154">
        <f t="shared" si="4"/>
        <v>0</v>
      </c>
      <c r="BH76" s="154">
        <f t="shared" si="5"/>
        <v>0</v>
      </c>
      <c r="BI76" s="223"/>
    </row>
    <row r="77" spans="2:61" ht="18" customHeight="1" x14ac:dyDescent="0.25">
      <c r="B77" s="284"/>
      <c r="C77" s="284"/>
      <c r="D77" s="285" t="str">
        <f>IFERROR(VLOOKUP(B77,Item[],3,FALSE),IFERROR(VLOOKUP(B77,Item2[],3,FALSE),""))</f>
        <v/>
      </c>
      <c r="E77" s="286" t="str">
        <f>IFERROR(VLOOKUP(B77,Item[],2,FALSE),IFERROR(VLOOKUP(B77,Item2[],2,FALSE),""))</f>
        <v/>
      </c>
      <c r="F77" s="287"/>
      <c r="G77" s="288" t="str">
        <f t="shared" si="7"/>
        <v/>
      </c>
      <c r="H77" s="287"/>
      <c r="I77" s="287"/>
      <c r="J77" s="287"/>
      <c r="K77" s="288" t="str">
        <f t="shared" si="8"/>
        <v/>
      </c>
      <c r="L77" s="289" t="str">
        <f t="shared" si="6"/>
        <v/>
      </c>
      <c r="M77" s="287"/>
      <c r="N77" s="288" t="str">
        <f t="shared" si="3"/>
        <v/>
      </c>
      <c r="O77" s="284"/>
      <c r="P77" s="284"/>
      <c r="Q77" s="284"/>
      <c r="R77" s="284"/>
      <c r="S77" s="284"/>
      <c r="T77" s="284"/>
      <c r="U77" s="284"/>
      <c r="V77" s="284"/>
      <c r="W77" s="284"/>
      <c r="X77" s="284"/>
      <c r="Y77" s="284"/>
      <c r="Z77" s="284"/>
      <c r="AA77" s="284"/>
      <c r="AB77" s="284"/>
      <c r="AC77" s="284"/>
      <c r="AD77" s="284"/>
      <c r="AE77" s="284"/>
      <c r="AF77" s="284"/>
      <c r="AG77" s="284"/>
      <c r="AH77" s="284"/>
      <c r="AI77" s="284"/>
      <c r="AJ77" s="284"/>
      <c r="AK77" s="284"/>
      <c r="AL77" s="284"/>
      <c r="AM77" s="284"/>
      <c r="AN77" s="284"/>
      <c r="AO77" s="284"/>
      <c r="AP77" s="284"/>
      <c r="AQ77" s="284"/>
      <c r="AR77" s="284"/>
      <c r="AS77" s="290" t="str">
        <f>IF(C77&lt;&gt;0,IFERROR(IF(COUNTIF(AcuariosTto[],C77),"SI",""),""),"")</f>
        <v/>
      </c>
      <c r="AT77" s="154">
        <f>IFERROR(INDEX(AcuariosTto[SignoTTo],MATCH(C77,AcuariosTto[AcuariosTTo],0)),"")</f>
        <v>0</v>
      </c>
      <c r="AU77" s="154">
        <f>IFERROR(INDEX(AcuariosTto[TipoProd],MATCH(C77,AcuariosTto[AcuariosTTo],0)),"")</f>
        <v>0</v>
      </c>
      <c r="AV77" s="154">
        <f>IFERROR(INDEX(AcuariosTto[NomProd],MATCH(C77,AcuariosTto[AcuariosTTo],0)),"")</f>
        <v>0</v>
      </c>
      <c r="AW77" s="18" t="str">
        <f>IF(B77&lt;&gt;0,IFERROR(IF(COUNTIF(ItemOcPreven[],B77),"SI",""),""),"")</f>
        <v/>
      </c>
      <c r="AX77" s="18">
        <f>IFERROR(INDEX(ItemOcPreven[TipoProPrev],MATCH(B77,ItemOcPreven[ItemOcPreven],0)),"")</f>
        <v>0</v>
      </c>
      <c r="AY77" s="18">
        <f>IFERROR(INDEX(ItemOcPreven[NomProPrev],MATCH(B77,ItemOcPreven[ItemOcPreven],0)),"")</f>
        <v>0</v>
      </c>
      <c r="AZ77" s="18" t="str">
        <f>IF(B77&lt;&gt;0,IFERROR(IF(COUNTIF(PrevTodas[],"SI"),"SI",""),""),"")</f>
        <v/>
      </c>
      <c r="BA77" s="154" t="str">
        <f>IFERROR(INDEX(ItemOcPreven[TipoProPrev],MATCH(AZ77,PrevTodas[PrevTodas],0)),"")</f>
        <v/>
      </c>
      <c r="BB77" s="154" t="str">
        <f>IFERROR(INDEX(ItemOcPreven[NomProPrev],MATCH(AZ77,PrevTodas[PrevTodas],0)),"")</f>
        <v/>
      </c>
      <c r="BC77" s="18" t="str">
        <f>IF(B77&lt;&gt;0,IFERROR(IF(COUNTIF(ItemOcEvto[],B77),"SI",""),""),"")</f>
        <v/>
      </c>
      <c r="BD77" s="154">
        <f>IFERROR(INDEX(ItemOcEvto[TipoEvto],MATCH(B77,ItemOcEvto[ItemOcEvto],0)),"")</f>
        <v>0</v>
      </c>
      <c r="BE77" s="18" t="str">
        <f>IF(B77&lt;&gt;0,IFERROR(IF(COUNTIF(EvtoTodas[],"SI"),"SI",""),""),"")</f>
        <v/>
      </c>
      <c r="BF77" s="154" t="str">
        <f>IFERROR(INDEX(ItemOcEvto[TipoEvto],MATCH(BE77,EvtoTodas[EvtoTodas],0)),"")</f>
        <v/>
      </c>
      <c r="BG77" s="154">
        <f t="shared" si="4"/>
        <v>0</v>
      </c>
      <c r="BH77" s="154">
        <f t="shared" si="5"/>
        <v>0</v>
      </c>
      <c r="BI77" s="223"/>
    </row>
    <row r="78" spans="2:61" ht="18" customHeight="1" x14ac:dyDescent="0.25">
      <c r="B78" s="284"/>
      <c r="C78" s="284"/>
      <c r="D78" s="285" t="str">
        <f>IFERROR(VLOOKUP(B78,Item[],3,FALSE),IFERROR(VLOOKUP(B78,Item2[],3,FALSE),""))</f>
        <v/>
      </c>
      <c r="E78" s="286" t="str">
        <f>IFERROR(VLOOKUP(B78,Item[],2,FALSE),IFERROR(VLOOKUP(B78,Item2[],2,FALSE),""))</f>
        <v/>
      </c>
      <c r="F78" s="287"/>
      <c r="G78" s="288" t="str">
        <f t="shared" ref="G78:G90" si="9">IF(F78&gt;0,IFERROR(F78-K78,F78),"")</f>
        <v/>
      </c>
      <c r="H78" s="287"/>
      <c r="I78" s="287"/>
      <c r="J78" s="287"/>
      <c r="K78" s="288" t="str">
        <f t="shared" ref="K78:K90" si="10">IF(B78&gt;0,SUM(O78:AR78),"")</f>
        <v/>
      </c>
      <c r="L78" s="289" t="str">
        <f t="shared" si="6"/>
        <v/>
      </c>
      <c r="M78" s="287"/>
      <c r="N78" s="288" t="str">
        <f t="shared" si="3"/>
        <v/>
      </c>
      <c r="O78" s="284"/>
      <c r="P78" s="284"/>
      <c r="Q78" s="284"/>
      <c r="R78" s="284"/>
      <c r="S78" s="284"/>
      <c r="T78" s="284"/>
      <c r="U78" s="284"/>
      <c r="V78" s="284"/>
      <c r="W78" s="284"/>
      <c r="X78" s="284"/>
      <c r="Y78" s="284"/>
      <c r="Z78" s="284"/>
      <c r="AA78" s="284"/>
      <c r="AB78" s="284"/>
      <c r="AC78" s="284"/>
      <c r="AD78" s="284"/>
      <c r="AE78" s="284"/>
      <c r="AF78" s="284"/>
      <c r="AG78" s="284"/>
      <c r="AH78" s="284"/>
      <c r="AI78" s="284"/>
      <c r="AJ78" s="284"/>
      <c r="AK78" s="284"/>
      <c r="AL78" s="284"/>
      <c r="AM78" s="284"/>
      <c r="AN78" s="284"/>
      <c r="AO78" s="284"/>
      <c r="AP78" s="284"/>
      <c r="AQ78" s="284"/>
      <c r="AR78" s="284"/>
      <c r="AS78" s="290" t="str">
        <f>IF(C78&lt;&gt;0,IFERROR(IF(COUNTIF(AcuariosTto[],C78),"SI",""),""),"")</f>
        <v/>
      </c>
      <c r="AT78" s="154">
        <f>IFERROR(INDEX(AcuariosTto[SignoTTo],MATCH(C78,AcuariosTto[AcuariosTTo],0)),"")</f>
        <v>0</v>
      </c>
      <c r="AU78" s="154">
        <f>IFERROR(INDEX(AcuariosTto[TipoProd],MATCH(C78,AcuariosTto[AcuariosTTo],0)),"")</f>
        <v>0</v>
      </c>
      <c r="AV78" s="154">
        <f>IFERROR(INDEX(AcuariosTto[NomProd],MATCH(C78,AcuariosTto[AcuariosTTo],0)),"")</f>
        <v>0</v>
      </c>
      <c r="AW78" s="18" t="str">
        <f>IF(B78&lt;&gt;0,IFERROR(IF(COUNTIF(ItemOcPreven[],B78),"SI",""),""),"")</f>
        <v/>
      </c>
      <c r="AX78" s="18">
        <f>IFERROR(INDEX(ItemOcPreven[TipoProPrev],MATCH(B78,ItemOcPreven[ItemOcPreven],0)),"")</f>
        <v>0</v>
      </c>
      <c r="AY78" s="18">
        <f>IFERROR(INDEX(ItemOcPreven[NomProPrev],MATCH(B78,ItemOcPreven[ItemOcPreven],0)),"")</f>
        <v>0</v>
      </c>
      <c r="AZ78" s="18" t="str">
        <f>IF(B78&lt;&gt;0,IFERROR(IF(COUNTIF(PrevTodas[],"SI"),"SI",""),""),"")</f>
        <v/>
      </c>
      <c r="BA78" s="154" t="str">
        <f>IFERROR(INDEX(ItemOcPreven[TipoProPrev],MATCH(AZ78,PrevTodas[PrevTodas],0)),"")</f>
        <v/>
      </c>
      <c r="BB78" s="154" t="str">
        <f>IFERROR(INDEX(ItemOcPreven[NomProPrev],MATCH(AZ78,PrevTodas[PrevTodas],0)),"")</f>
        <v/>
      </c>
      <c r="BC78" s="18" t="str">
        <f>IF(B78&lt;&gt;0,IFERROR(IF(COUNTIF(ItemOcEvto[],B78),"SI",""),""),"")</f>
        <v/>
      </c>
      <c r="BD78" s="154">
        <f>IFERROR(INDEX(ItemOcEvto[TipoEvto],MATCH(B78,ItemOcEvto[ItemOcEvto],0)),"")</f>
        <v>0</v>
      </c>
      <c r="BE78" s="18" t="str">
        <f>IF(B78&lt;&gt;0,IFERROR(IF(COUNTIF(EvtoTodas[],"SI"),"SI",""),""),"")</f>
        <v/>
      </c>
      <c r="BF78" s="154" t="str">
        <f>IFERROR(INDEX(ItemOcEvto[TipoEvto],MATCH(BE78,EvtoTodas[EvtoTodas],0)),"")</f>
        <v/>
      </c>
      <c r="BG78" s="154">
        <f t="shared" si="4"/>
        <v>0</v>
      </c>
      <c r="BH78" s="154">
        <f t="shared" si="5"/>
        <v>0</v>
      </c>
      <c r="BI78" s="223"/>
    </row>
    <row r="79" spans="2:61" ht="18" customHeight="1" x14ac:dyDescent="0.25">
      <c r="B79" s="284"/>
      <c r="C79" s="284"/>
      <c r="D79" s="285" t="str">
        <f>IFERROR(VLOOKUP(B79,Item[],3,FALSE),IFERROR(VLOOKUP(B79,Item2[],3,FALSE),""))</f>
        <v/>
      </c>
      <c r="E79" s="286" t="str">
        <f>IFERROR(VLOOKUP(B79,Item[],2,FALSE),IFERROR(VLOOKUP(B79,Item2[],2,FALSE),""))</f>
        <v/>
      </c>
      <c r="F79" s="287"/>
      <c r="G79" s="288" t="str">
        <f t="shared" si="9"/>
        <v/>
      </c>
      <c r="H79" s="287"/>
      <c r="I79" s="287"/>
      <c r="J79" s="287"/>
      <c r="K79" s="288" t="str">
        <f t="shared" si="10"/>
        <v/>
      </c>
      <c r="L79" s="289" t="str">
        <f t="shared" si="6"/>
        <v/>
      </c>
      <c r="M79" s="287"/>
      <c r="N79" s="288" t="str">
        <f t="shared" ref="N79:N90" si="11">AS79</f>
        <v/>
      </c>
      <c r="O79" s="284"/>
      <c r="P79" s="284"/>
      <c r="Q79" s="284"/>
      <c r="R79" s="284"/>
      <c r="S79" s="284"/>
      <c r="T79" s="284"/>
      <c r="U79" s="284"/>
      <c r="V79" s="284"/>
      <c r="W79" s="284"/>
      <c r="X79" s="284"/>
      <c r="Y79" s="284"/>
      <c r="Z79" s="284"/>
      <c r="AA79" s="284"/>
      <c r="AB79" s="284"/>
      <c r="AC79" s="284"/>
      <c r="AD79" s="284"/>
      <c r="AE79" s="284"/>
      <c r="AF79" s="284"/>
      <c r="AG79" s="284"/>
      <c r="AH79" s="284"/>
      <c r="AI79" s="284"/>
      <c r="AJ79" s="284"/>
      <c r="AK79" s="284"/>
      <c r="AL79" s="284"/>
      <c r="AM79" s="284"/>
      <c r="AN79" s="284"/>
      <c r="AO79" s="284"/>
      <c r="AP79" s="284"/>
      <c r="AQ79" s="284"/>
      <c r="AR79" s="284"/>
      <c r="AS79" s="290" t="str">
        <f>IF(C79&lt;&gt;0,IFERROR(IF(COUNTIF(AcuariosTto[],C79),"SI",""),""),"")</f>
        <v/>
      </c>
      <c r="AT79" s="154">
        <f>IFERROR(INDEX(AcuariosTto[SignoTTo],MATCH(C79,AcuariosTto[AcuariosTTo],0)),"")</f>
        <v>0</v>
      </c>
      <c r="AU79" s="154">
        <f>IFERROR(INDEX(AcuariosTto[TipoProd],MATCH(C79,AcuariosTto[AcuariosTTo],0)),"")</f>
        <v>0</v>
      </c>
      <c r="AV79" s="154">
        <f>IFERROR(INDEX(AcuariosTto[NomProd],MATCH(C79,AcuariosTto[AcuariosTTo],0)),"")</f>
        <v>0</v>
      </c>
      <c r="AW79" s="18" t="str">
        <f>IF(B79&lt;&gt;0,IFERROR(IF(COUNTIF(ItemOcPreven[],B79),"SI",""),""),"")</f>
        <v/>
      </c>
      <c r="AX79" s="18">
        <f>IFERROR(INDEX(ItemOcPreven[TipoProPrev],MATCH(B79,ItemOcPreven[ItemOcPreven],0)),"")</f>
        <v>0</v>
      </c>
      <c r="AY79" s="18">
        <f>IFERROR(INDEX(ItemOcPreven[NomProPrev],MATCH(B79,ItemOcPreven[ItemOcPreven],0)),"")</f>
        <v>0</v>
      </c>
      <c r="AZ79" s="18" t="str">
        <f>IF(B79&lt;&gt;0,IFERROR(IF(COUNTIF(PrevTodas[],"SI"),"SI",""),""),"")</f>
        <v/>
      </c>
      <c r="BA79" s="154" t="str">
        <f>IFERROR(INDEX(ItemOcPreven[TipoProPrev],MATCH(AZ79,PrevTodas[PrevTodas],0)),"")</f>
        <v/>
      </c>
      <c r="BB79" s="154" t="str">
        <f>IFERROR(INDEX(ItemOcPreven[NomProPrev],MATCH(AZ79,PrevTodas[PrevTodas],0)),"")</f>
        <v/>
      </c>
      <c r="BC79" s="18" t="str">
        <f>IF(B79&lt;&gt;0,IFERROR(IF(COUNTIF(ItemOcEvto[],B79),"SI",""),""),"")</f>
        <v/>
      </c>
      <c r="BD79" s="154">
        <f>IFERROR(INDEX(ItemOcEvto[TipoEvto],MATCH(B79,ItemOcEvto[ItemOcEvto],0)),"")</f>
        <v>0</v>
      </c>
      <c r="BE79" s="18" t="str">
        <f>IF(B79&lt;&gt;0,IFERROR(IF(COUNTIF(EvtoTodas[],"SI"),"SI",""),""),"")</f>
        <v/>
      </c>
      <c r="BF79" s="154" t="str">
        <f>IFERROR(INDEX(ItemOcEvto[TipoEvto],MATCH(BE79,EvtoTodas[EvtoTodas],0)),"")</f>
        <v/>
      </c>
      <c r="BG79" s="154">
        <f t="shared" ref="BG79:BG90" si="12">SUM(P79:V79)</f>
        <v>0</v>
      </c>
      <c r="BH79" s="154">
        <f t="shared" ref="BH79:BH90" si="13">SUM(W79:AC79)</f>
        <v>0</v>
      </c>
      <c r="BI79" s="223"/>
    </row>
    <row r="80" spans="2:61" ht="18" customHeight="1" x14ac:dyDescent="0.25">
      <c r="B80" s="284"/>
      <c r="C80" s="284"/>
      <c r="D80" s="285" t="str">
        <f>IFERROR(VLOOKUP(B80,Item[],3,FALSE),IFERROR(VLOOKUP(B80,Item2[],3,FALSE),""))</f>
        <v/>
      </c>
      <c r="E80" s="286" t="str">
        <f>IFERROR(VLOOKUP(B80,Item[],2,FALSE),IFERROR(VLOOKUP(B80,Item2[],2,FALSE),""))</f>
        <v/>
      </c>
      <c r="F80" s="287"/>
      <c r="G80" s="288" t="str">
        <f t="shared" si="9"/>
        <v/>
      </c>
      <c r="H80" s="287"/>
      <c r="I80" s="287"/>
      <c r="J80" s="287"/>
      <c r="K80" s="288" t="str">
        <f t="shared" si="10"/>
        <v/>
      </c>
      <c r="L80" s="289" t="str">
        <f t="shared" si="6"/>
        <v/>
      </c>
      <c r="M80" s="287"/>
      <c r="N80" s="288" t="str">
        <f t="shared" si="11"/>
        <v/>
      </c>
      <c r="O80" s="284"/>
      <c r="P80" s="284"/>
      <c r="Q80" s="284"/>
      <c r="R80" s="284"/>
      <c r="S80" s="284"/>
      <c r="T80" s="284"/>
      <c r="U80" s="284"/>
      <c r="V80" s="284"/>
      <c r="W80" s="284"/>
      <c r="X80" s="284"/>
      <c r="Y80" s="284"/>
      <c r="Z80" s="284"/>
      <c r="AA80" s="284"/>
      <c r="AB80" s="284"/>
      <c r="AC80" s="284"/>
      <c r="AD80" s="284"/>
      <c r="AE80" s="284"/>
      <c r="AF80" s="284"/>
      <c r="AG80" s="284"/>
      <c r="AH80" s="284"/>
      <c r="AI80" s="284"/>
      <c r="AJ80" s="284"/>
      <c r="AK80" s="284"/>
      <c r="AL80" s="284"/>
      <c r="AM80" s="284"/>
      <c r="AN80" s="284"/>
      <c r="AO80" s="284"/>
      <c r="AP80" s="284"/>
      <c r="AQ80" s="284"/>
      <c r="AR80" s="284"/>
      <c r="AS80" s="290" t="str">
        <f>IF(C80&lt;&gt;0,IFERROR(IF(COUNTIF(AcuariosTto[],C80),"SI",""),""),"")</f>
        <v/>
      </c>
      <c r="AT80" s="154">
        <f>IFERROR(INDEX(AcuariosTto[SignoTTo],MATCH(C80,AcuariosTto[AcuariosTTo],0)),"")</f>
        <v>0</v>
      </c>
      <c r="AU80" s="154">
        <f>IFERROR(INDEX(AcuariosTto[TipoProd],MATCH(C80,AcuariosTto[AcuariosTTo],0)),"")</f>
        <v>0</v>
      </c>
      <c r="AV80" s="154">
        <f>IFERROR(INDEX(AcuariosTto[NomProd],MATCH(C80,AcuariosTto[AcuariosTTo],0)),"")</f>
        <v>0</v>
      </c>
      <c r="AW80" s="18" t="str">
        <f>IF(B80&lt;&gt;0,IFERROR(IF(COUNTIF(ItemOcPreven[],B80),"SI",""),""),"")</f>
        <v/>
      </c>
      <c r="AX80" s="18">
        <f>IFERROR(INDEX(ItemOcPreven[TipoProPrev],MATCH(B80,ItemOcPreven[ItemOcPreven],0)),"")</f>
        <v>0</v>
      </c>
      <c r="AY80" s="18">
        <f>IFERROR(INDEX(ItemOcPreven[NomProPrev],MATCH(B80,ItemOcPreven[ItemOcPreven],0)),"")</f>
        <v>0</v>
      </c>
      <c r="AZ80" s="18" t="str">
        <f>IF(B80&lt;&gt;0,IFERROR(IF(COUNTIF(PrevTodas[],"SI"),"SI",""),""),"")</f>
        <v/>
      </c>
      <c r="BA80" s="154" t="str">
        <f>IFERROR(INDEX(ItemOcPreven[TipoProPrev],MATCH(AZ80,PrevTodas[PrevTodas],0)),"")</f>
        <v/>
      </c>
      <c r="BB80" s="154" t="str">
        <f>IFERROR(INDEX(ItemOcPreven[NomProPrev],MATCH(AZ80,PrevTodas[PrevTodas],0)),"")</f>
        <v/>
      </c>
      <c r="BC80" s="18" t="str">
        <f>IF(B80&lt;&gt;0,IFERROR(IF(COUNTIF(ItemOcEvto[],B80),"SI",""),""),"")</f>
        <v/>
      </c>
      <c r="BD80" s="154">
        <f>IFERROR(INDEX(ItemOcEvto[TipoEvto],MATCH(B80,ItemOcEvto[ItemOcEvto],0)),"")</f>
        <v>0</v>
      </c>
      <c r="BE80" s="18" t="str">
        <f>IF(B80&lt;&gt;0,IFERROR(IF(COUNTIF(EvtoTodas[],"SI"),"SI",""),""),"")</f>
        <v/>
      </c>
      <c r="BF80" s="154" t="str">
        <f>IFERROR(INDEX(ItemOcEvto[TipoEvto],MATCH(BE80,EvtoTodas[EvtoTodas],0)),"")</f>
        <v/>
      </c>
      <c r="BG80" s="154">
        <f t="shared" si="12"/>
        <v>0</v>
      </c>
      <c r="BH80" s="154">
        <f t="shared" si="13"/>
        <v>0</v>
      </c>
      <c r="BI80" s="223"/>
    </row>
    <row r="81" spans="2:61" ht="18" customHeight="1" x14ac:dyDescent="0.25">
      <c r="B81" s="284"/>
      <c r="C81" s="284"/>
      <c r="D81" s="285" t="str">
        <f>IFERROR(VLOOKUP(B81,Item[],3,FALSE),IFERROR(VLOOKUP(B81,Item2[],3,FALSE),""))</f>
        <v/>
      </c>
      <c r="E81" s="286" t="str">
        <f>IFERROR(VLOOKUP(B81,Item[],2,FALSE),IFERROR(VLOOKUP(B81,Item2[],2,FALSE),""))</f>
        <v/>
      </c>
      <c r="F81" s="287"/>
      <c r="G81" s="288" t="str">
        <f t="shared" si="9"/>
        <v/>
      </c>
      <c r="H81" s="287"/>
      <c r="I81" s="287"/>
      <c r="J81" s="287"/>
      <c r="K81" s="288" t="str">
        <f t="shared" si="10"/>
        <v/>
      </c>
      <c r="L81" s="289" t="str">
        <f t="shared" si="6"/>
        <v/>
      </c>
      <c r="M81" s="287"/>
      <c r="N81" s="288" t="str">
        <f t="shared" si="11"/>
        <v/>
      </c>
      <c r="O81" s="284"/>
      <c r="P81" s="284"/>
      <c r="Q81" s="284"/>
      <c r="R81" s="284"/>
      <c r="S81" s="284"/>
      <c r="T81" s="284"/>
      <c r="U81" s="284"/>
      <c r="V81" s="284"/>
      <c r="W81" s="284"/>
      <c r="X81" s="284"/>
      <c r="Y81" s="284"/>
      <c r="Z81" s="284"/>
      <c r="AA81" s="284"/>
      <c r="AB81" s="284"/>
      <c r="AC81" s="284"/>
      <c r="AD81" s="284"/>
      <c r="AE81" s="284"/>
      <c r="AF81" s="284"/>
      <c r="AG81" s="284"/>
      <c r="AH81" s="284"/>
      <c r="AI81" s="284"/>
      <c r="AJ81" s="284"/>
      <c r="AK81" s="284"/>
      <c r="AL81" s="284"/>
      <c r="AM81" s="284"/>
      <c r="AN81" s="284"/>
      <c r="AO81" s="284"/>
      <c r="AP81" s="284"/>
      <c r="AQ81" s="284"/>
      <c r="AR81" s="284"/>
      <c r="AS81" s="290" t="str">
        <f>IF(C81&lt;&gt;0,IFERROR(IF(COUNTIF(AcuariosTto[],C81),"SI",""),""),"")</f>
        <v/>
      </c>
      <c r="AT81" s="154">
        <f>IFERROR(INDEX(AcuariosTto[SignoTTo],MATCH(C81,AcuariosTto[AcuariosTTo],0)),"")</f>
        <v>0</v>
      </c>
      <c r="AU81" s="154">
        <f>IFERROR(INDEX(AcuariosTto[TipoProd],MATCH(C81,AcuariosTto[AcuariosTTo],0)),"")</f>
        <v>0</v>
      </c>
      <c r="AV81" s="154">
        <f>IFERROR(INDEX(AcuariosTto[NomProd],MATCH(C81,AcuariosTto[AcuariosTTo],0)),"")</f>
        <v>0</v>
      </c>
      <c r="AW81" s="18" t="str">
        <f>IF(B81&lt;&gt;0,IFERROR(IF(COUNTIF(ItemOcPreven[],B81),"SI",""),""),"")</f>
        <v/>
      </c>
      <c r="AX81" s="18">
        <f>IFERROR(INDEX(ItemOcPreven[TipoProPrev],MATCH(B81,ItemOcPreven[ItemOcPreven],0)),"")</f>
        <v>0</v>
      </c>
      <c r="AY81" s="18">
        <f>IFERROR(INDEX(ItemOcPreven[NomProPrev],MATCH(B81,ItemOcPreven[ItemOcPreven],0)),"")</f>
        <v>0</v>
      </c>
      <c r="AZ81" s="18" t="str">
        <f>IF(B81&lt;&gt;0,IFERROR(IF(COUNTIF(PrevTodas[],"SI"),"SI",""),""),"")</f>
        <v/>
      </c>
      <c r="BA81" s="154" t="str">
        <f>IFERROR(INDEX(ItemOcPreven[TipoProPrev],MATCH(AZ81,PrevTodas[PrevTodas],0)),"")</f>
        <v/>
      </c>
      <c r="BB81" s="154" t="str">
        <f>IFERROR(INDEX(ItemOcPreven[NomProPrev],MATCH(AZ81,PrevTodas[PrevTodas],0)),"")</f>
        <v/>
      </c>
      <c r="BC81" s="18" t="str">
        <f>IF(B81&lt;&gt;0,IFERROR(IF(COUNTIF(ItemOcEvto[],B81),"SI",""),""),"")</f>
        <v/>
      </c>
      <c r="BD81" s="154">
        <f>IFERROR(INDEX(ItemOcEvto[TipoEvto],MATCH(B81,ItemOcEvto[ItemOcEvto],0)),"")</f>
        <v>0</v>
      </c>
      <c r="BE81" s="18" t="str">
        <f>IF(B81&lt;&gt;0,IFERROR(IF(COUNTIF(EvtoTodas[],"SI"),"SI",""),""),"")</f>
        <v/>
      </c>
      <c r="BF81" s="154" t="str">
        <f>IFERROR(INDEX(ItemOcEvto[TipoEvto],MATCH(BE81,EvtoTodas[EvtoTodas],0)),"")</f>
        <v/>
      </c>
      <c r="BG81" s="154">
        <f t="shared" si="12"/>
        <v>0</v>
      </c>
      <c r="BH81" s="154">
        <f t="shared" si="13"/>
        <v>0</v>
      </c>
      <c r="BI81" s="223"/>
    </row>
    <row r="82" spans="2:61" ht="18" customHeight="1" x14ac:dyDescent="0.25">
      <c r="B82" s="284"/>
      <c r="C82" s="284"/>
      <c r="D82" s="285" t="str">
        <f>IFERROR(VLOOKUP(B82,Item[],3,FALSE),IFERROR(VLOOKUP(B82,Item2[],3,FALSE),""))</f>
        <v/>
      </c>
      <c r="E82" s="286" t="str">
        <f>IFERROR(VLOOKUP(B82,Item[],2,FALSE),IFERROR(VLOOKUP(B82,Item2[],2,FALSE),""))</f>
        <v/>
      </c>
      <c r="F82" s="287"/>
      <c r="G82" s="288" t="str">
        <f t="shared" si="9"/>
        <v/>
      </c>
      <c r="H82" s="287"/>
      <c r="I82" s="287"/>
      <c r="J82" s="287"/>
      <c r="K82" s="288" t="str">
        <f t="shared" si="10"/>
        <v/>
      </c>
      <c r="L82" s="289" t="str">
        <f t="shared" si="6"/>
        <v/>
      </c>
      <c r="M82" s="287"/>
      <c r="N82" s="288" t="str">
        <f t="shared" si="11"/>
        <v/>
      </c>
      <c r="O82" s="284"/>
      <c r="P82" s="284"/>
      <c r="Q82" s="284"/>
      <c r="R82" s="284"/>
      <c r="S82" s="284"/>
      <c r="T82" s="284"/>
      <c r="U82" s="284"/>
      <c r="V82" s="284"/>
      <c r="W82" s="284"/>
      <c r="X82" s="284"/>
      <c r="Y82" s="284"/>
      <c r="Z82" s="284"/>
      <c r="AA82" s="284"/>
      <c r="AB82" s="284"/>
      <c r="AC82" s="284"/>
      <c r="AD82" s="284"/>
      <c r="AE82" s="284"/>
      <c r="AF82" s="284"/>
      <c r="AG82" s="284"/>
      <c r="AH82" s="284"/>
      <c r="AI82" s="284"/>
      <c r="AJ82" s="284"/>
      <c r="AK82" s="284"/>
      <c r="AL82" s="284"/>
      <c r="AM82" s="284"/>
      <c r="AN82" s="284"/>
      <c r="AO82" s="284"/>
      <c r="AP82" s="284"/>
      <c r="AQ82" s="284"/>
      <c r="AR82" s="284"/>
      <c r="AS82" s="290" t="str">
        <f>IF(C82&lt;&gt;0,IFERROR(IF(COUNTIF(AcuariosTto[],C82),"SI",""),""),"")</f>
        <v/>
      </c>
      <c r="AT82" s="154">
        <f>IFERROR(INDEX(AcuariosTto[SignoTTo],MATCH(C82,AcuariosTto[AcuariosTTo],0)),"")</f>
        <v>0</v>
      </c>
      <c r="AU82" s="154">
        <f>IFERROR(INDEX(AcuariosTto[TipoProd],MATCH(C82,AcuariosTto[AcuariosTTo],0)),"")</f>
        <v>0</v>
      </c>
      <c r="AV82" s="154">
        <f>IFERROR(INDEX(AcuariosTto[NomProd],MATCH(C82,AcuariosTto[AcuariosTTo],0)),"")</f>
        <v>0</v>
      </c>
      <c r="AW82" s="18" t="str">
        <f>IF(B82&lt;&gt;0,IFERROR(IF(COUNTIF(ItemOcPreven[],B82),"SI",""),""),"")</f>
        <v/>
      </c>
      <c r="AX82" s="18">
        <f>IFERROR(INDEX(ItemOcPreven[TipoProPrev],MATCH(B82,ItemOcPreven[ItemOcPreven],0)),"")</f>
        <v>0</v>
      </c>
      <c r="AY82" s="18">
        <f>IFERROR(INDEX(ItemOcPreven[NomProPrev],MATCH(B82,ItemOcPreven[ItemOcPreven],0)),"")</f>
        <v>0</v>
      </c>
      <c r="AZ82" s="18" t="str">
        <f>IF(B82&lt;&gt;0,IFERROR(IF(COUNTIF(PrevTodas[],"SI"),"SI",""),""),"")</f>
        <v/>
      </c>
      <c r="BA82" s="154" t="str">
        <f>IFERROR(INDEX(ItemOcPreven[TipoProPrev],MATCH(AZ82,PrevTodas[PrevTodas],0)),"")</f>
        <v/>
      </c>
      <c r="BB82" s="154" t="str">
        <f>IFERROR(INDEX(ItemOcPreven[NomProPrev],MATCH(AZ82,PrevTodas[PrevTodas],0)),"")</f>
        <v/>
      </c>
      <c r="BC82" s="18" t="str">
        <f>IF(B82&lt;&gt;0,IFERROR(IF(COUNTIF(ItemOcEvto[],B82),"SI",""),""),"")</f>
        <v/>
      </c>
      <c r="BD82" s="154">
        <f>IFERROR(INDEX(ItemOcEvto[TipoEvto],MATCH(B82,ItemOcEvto[ItemOcEvto],0)),"")</f>
        <v>0</v>
      </c>
      <c r="BE82" s="18" t="str">
        <f>IF(B82&lt;&gt;0,IFERROR(IF(COUNTIF(EvtoTodas[],"SI"),"SI",""),""),"")</f>
        <v/>
      </c>
      <c r="BF82" s="154" t="str">
        <f>IFERROR(INDEX(ItemOcEvto[TipoEvto],MATCH(BE82,EvtoTodas[EvtoTodas],0)),"")</f>
        <v/>
      </c>
      <c r="BG82" s="154">
        <f t="shared" si="12"/>
        <v>0</v>
      </c>
      <c r="BH82" s="154">
        <f t="shared" si="13"/>
        <v>0</v>
      </c>
      <c r="BI82" s="223"/>
    </row>
    <row r="83" spans="2:61" ht="18" customHeight="1" x14ac:dyDescent="0.25">
      <c r="B83" s="284"/>
      <c r="C83" s="284"/>
      <c r="D83" s="285" t="str">
        <f>IFERROR(VLOOKUP(B83,Item[],3,FALSE),IFERROR(VLOOKUP(B83,Item2[],3,FALSE),""))</f>
        <v/>
      </c>
      <c r="E83" s="286" t="str">
        <f>IFERROR(VLOOKUP(B83,Item[],2,FALSE),IFERROR(VLOOKUP(B83,Item2[],2,FALSE),""))</f>
        <v/>
      </c>
      <c r="F83" s="287"/>
      <c r="G83" s="288" t="str">
        <f t="shared" si="9"/>
        <v/>
      </c>
      <c r="H83" s="287"/>
      <c r="I83" s="287"/>
      <c r="J83" s="287"/>
      <c r="K83" s="288" t="str">
        <f t="shared" si="10"/>
        <v/>
      </c>
      <c r="L83" s="289" t="str">
        <f t="shared" ref="L83:L90" si="14">IFERROR(K83/F83,"")</f>
        <v/>
      </c>
      <c r="M83" s="287"/>
      <c r="N83" s="288" t="str">
        <f t="shared" si="11"/>
        <v/>
      </c>
      <c r="O83" s="284"/>
      <c r="P83" s="284"/>
      <c r="Q83" s="284"/>
      <c r="R83" s="284"/>
      <c r="S83" s="284"/>
      <c r="T83" s="284"/>
      <c r="U83" s="284"/>
      <c r="V83" s="284"/>
      <c r="W83" s="284"/>
      <c r="X83" s="284"/>
      <c r="Y83" s="284"/>
      <c r="Z83" s="284"/>
      <c r="AA83" s="284"/>
      <c r="AB83" s="284"/>
      <c r="AC83" s="284"/>
      <c r="AD83" s="284"/>
      <c r="AE83" s="284"/>
      <c r="AF83" s="284"/>
      <c r="AG83" s="284"/>
      <c r="AH83" s="284"/>
      <c r="AI83" s="284"/>
      <c r="AJ83" s="284"/>
      <c r="AK83" s="284"/>
      <c r="AL83" s="284"/>
      <c r="AM83" s="284"/>
      <c r="AN83" s="284"/>
      <c r="AO83" s="284"/>
      <c r="AP83" s="284"/>
      <c r="AQ83" s="284"/>
      <c r="AR83" s="284"/>
      <c r="AS83" s="290" t="str">
        <f>IF(C83&lt;&gt;0,IFERROR(IF(COUNTIF(AcuariosTto[],C83),"SI",""),""),"")</f>
        <v/>
      </c>
      <c r="AT83" s="154">
        <f>IFERROR(INDEX(AcuariosTto[SignoTTo],MATCH(C83,AcuariosTto[AcuariosTTo],0)),"")</f>
        <v>0</v>
      </c>
      <c r="AU83" s="154">
        <f>IFERROR(INDEX(AcuariosTto[TipoProd],MATCH(C83,AcuariosTto[AcuariosTTo],0)),"")</f>
        <v>0</v>
      </c>
      <c r="AV83" s="154">
        <f>IFERROR(INDEX(AcuariosTto[NomProd],MATCH(C83,AcuariosTto[AcuariosTTo],0)),"")</f>
        <v>0</v>
      </c>
      <c r="AW83" s="18" t="str">
        <f>IF(B83&lt;&gt;0,IFERROR(IF(COUNTIF(ItemOcPreven[],B83),"SI",""),""),"")</f>
        <v/>
      </c>
      <c r="AX83" s="18">
        <f>IFERROR(INDEX(ItemOcPreven[TipoProPrev],MATCH(B83,ItemOcPreven[ItemOcPreven],0)),"")</f>
        <v>0</v>
      </c>
      <c r="AY83" s="18">
        <f>IFERROR(INDEX(ItemOcPreven[NomProPrev],MATCH(B83,ItemOcPreven[ItemOcPreven],0)),"")</f>
        <v>0</v>
      </c>
      <c r="AZ83" s="18" t="str">
        <f>IF(B83&lt;&gt;0,IFERROR(IF(COUNTIF(PrevTodas[],"SI"),"SI",""),""),"")</f>
        <v/>
      </c>
      <c r="BA83" s="154" t="str">
        <f>IFERROR(INDEX(ItemOcPreven[TipoProPrev],MATCH(AZ83,PrevTodas[PrevTodas],0)),"")</f>
        <v/>
      </c>
      <c r="BB83" s="154" t="str">
        <f>IFERROR(INDEX(ItemOcPreven[NomProPrev],MATCH(AZ83,PrevTodas[PrevTodas],0)),"")</f>
        <v/>
      </c>
      <c r="BC83" s="18" t="str">
        <f>IF(B83&lt;&gt;0,IFERROR(IF(COUNTIF(ItemOcEvto[],B83),"SI",""),""),"")</f>
        <v/>
      </c>
      <c r="BD83" s="154">
        <f>IFERROR(INDEX(ItemOcEvto[TipoEvto],MATCH(B83,ItemOcEvto[ItemOcEvto],0)),"")</f>
        <v>0</v>
      </c>
      <c r="BE83" s="18" t="str">
        <f>IF(B83&lt;&gt;0,IFERROR(IF(COUNTIF(EvtoTodas[],"SI"),"SI",""),""),"")</f>
        <v/>
      </c>
      <c r="BF83" s="154" t="str">
        <f>IFERROR(INDEX(ItemOcEvto[TipoEvto],MATCH(BE83,EvtoTodas[EvtoTodas],0)),"")</f>
        <v/>
      </c>
      <c r="BG83" s="154">
        <f t="shared" si="12"/>
        <v>0</v>
      </c>
      <c r="BH83" s="154">
        <f t="shared" si="13"/>
        <v>0</v>
      </c>
      <c r="BI83" s="223"/>
    </row>
    <row r="84" spans="2:61" ht="18" customHeight="1" x14ac:dyDescent="0.25">
      <c r="B84" s="284"/>
      <c r="C84" s="284"/>
      <c r="D84" s="285" t="str">
        <f>IFERROR(VLOOKUP(B84,Item[],3,FALSE),IFERROR(VLOOKUP(B84,Item2[],3,FALSE),""))</f>
        <v/>
      </c>
      <c r="E84" s="286" t="str">
        <f>IFERROR(VLOOKUP(B84,Item[],2,FALSE),IFERROR(VLOOKUP(B84,Item2[],2,FALSE),""))</f>
        <v/>
      </c>
      <c r="F84" s="287"/>
      <c r="G84" s="288" t="str">
        <f t="shared" si="9"/>
        <v/>
      </c>
      <c r="H84" s="287"/>
      <c r="I84" s="287"/>
      <c r="J84" s="287"/>
      <c r="K84" s="288" t="str">
        <f t="shared" si="10"/>
        <v/>
      </c>
      <c r="L84" s="289" t="str">
        <f t="shared" si="14"/>
        <v/>
      </c>
      <c r="M84" s="287"/>
      <c r="N84" s="288" t="str">
        <f t="shared" si="11"/>
        <v/>
      </c>
      <c r="O84" s="284"/>
      <c r="P84" s="284"/>
      <c r="Q84" s="284"/>
      <c r="R84" s="284"/>
      <c r="S84" s="284"/>
      <c r="T84" s="284"/>
      <c r="U84" s="284"/>
      <c r="V84" s="284"/>
      <c r="W84" s="284"/>
      <c r="X84" s="284"/>
      <c r="Y84" s="284"/>
      <c r="Z84" s="284"/>
      <c r="AA84" s="284"/>
      <c r="AB84" s="284"/>
      <c r="AC84" s="284"/>
      <c r="AD84" s="284"/>
      <c r="AE84" s="284"/>
      <c r="AF84" s="284"/>
      <c r="AG84" s="284"/>
      <c r="AH84" s="284"/>
      <c r="AI84" s="284"/>
      <c r="AJ84" s="284"/>
      <c r="AK84" s="284"/>
      <c r="AL84" s="284"/>
      <c r="AM84" s="284"/>
      <c r="AN84" s="284"/>
      <c r="AO84" s="284"/>
      <c r="AP84" s="284"/>
      <c r="AQ84" s="284"/>
      <c r="AR84" s="284"/>
      <c r="AS84" s="290" t="str">
        <f>IF(C84&lt;&gt;0,IFERROR(IF(COUNTIF(AcuariosTto[],C84),"SI",""),""),"")</f>
        <v/>
      </c>
      <c r="AT84" s="154">
        <f>IFERROR(INDEX(AcuariosTto[SignoTTo],MATCH(C84,AcuariosTto[AcuariosTTo],0)),"")</f>
        <v>0</v>
      </c>
      <c r="AU84" s="154">
        <f>IFERROR(INDEX(AcuariosTto[TipoProd],MATCH(C84,AcuariosTto[AcuariosTTo],0)),"")</f>
        <v>0</v>
      </c>
      <c r="AV84" s="154">
        <f>IFERROR(INDEX(AcuariosTto[NomProd],MATCH(C84,AcuariosTto[AcuariosTTo],0)),"")</f>
        <v>0</v>
      </c>
      <c r="AW84" s="18" t="str">
        <f>IF(B84&lt;&gt;0,IFERROR(IF(COUNTIF(ItemOcPreven[],B84),"SI",""),""),"")</f>
        <v/>
      </c>
      <c r="AX84" s="18">
        <f>IFERROR(INDEX(ItemOcPreven[TipoProPrev],MATCH(B84,ItemOcPreven[ItemOcPreven],0)),"")</f>
        <v>0</v>
      </c>
      <c r="AY84" s="18">
        <f>IFERROR(INDEX(ItemOcPreven[NomProPrev],MATCH(B84,ItemOcPreven[ItemOcPreven],0)),"")</f>
        <v>0</v>
      </c>
      <c r="AZ84" s="18" t="str">
        <f>IF(B84&lt;&gt;0,IFERROR(IF(COUNTIF(PrevTodas[],"SI"),"SI",""),""),"")</f>
        <v/>
      </c>
      <c r="BA84" s="154" t="str">
        <f>IFERROR(INDEX(ItemOcPreven[TipoProPrev],MATCH(AZ84,PrevTodas[PrevTodas],0)),"")</f>
        <v/>
      </c>
      <c r="BB84" s="154" t="str">
        <f>IFERROR(INDEX(ItemOcPreven[NomProPrev],MATCH(AZ84,PrevTodas[PrevTodas],0)),"")</f>
        <v/>
      </c>
      <c r="BC84" s="18" t="str">
        <f>IF(B84&lt;&gt;0,IFERROR(IF(COUNTIF(ItemOcEvto[],B84),"SI",""),""),"")</f>
        <v/>
      </c>
      <c r="BD84" s="154">
        <f>IFERROR(INDEX(ItemOcEvto[TipoEvto],MATCH(B84,ItemOcEvto[ItemOcEvto],0)),"")</f>
        <v>0</v>
      </c>
      <c r="BE84" s="18" t="str">
        <f>IF(B84&lt;&gt;0,IFERROR(IF(COUNTIF(EvtoTodas[],"SI"),"SI",""),""),"")</f>
        <v/>
      </c>
      <c r="BF84" s="154" t="str">
        <f>IFERROR(INDEX(ItemOcEvto[TipoEvto],MATCH(BE84,EvtoTodas[EvtoTodas],0)),"")</f>
        <v/>
      </c>
      <c r="BG84" s="154">
        <f t="shared" si="12"/>
        <v>0</v>
      </c>
      <c r="BH84" s="154">
        <f t="shared" si="13"/>
        <v>0</v>
      </c>
      <c r="BI84" s="223"/>
    </row>
    <row r="85" spans="2:61" ht="18" customHeight="1" x14ac:dyDescent="0.25">
      <c r="B85" s="284"/>
      <c r="C85" s="284"/>
      <c r="D85" s="285" t="str">
        <f>IFERROR(VLOOKUP(B85,Item[],3,FALSE),IFERROR(VLOOKUP(B85,Item2[],3,FALSE),""))</f>
        <v/>
      </c>
      <c r="E85" s="286" t="str">
        <f>IFERROR(VLOOKUP(B85,Item[],2,FALSE),IFERROR(VLOOKUP(B85,Item2[],2,FALSE),""))</f>
        <v/>
      </c>
      <c r="F85" s="287"/>
      <c r="G85" s="288" t="str">
        <f t="shared" si="9"/>
        <v/>
      </c>
      <c r="H85" s="287"/>
      <c r="I85" s="287"/>
      <c r="J85" s="287"/>
      <c r="K85" s="288" t="str">
        <f t="shared" si="10"/>
        <v/>
      </c>
      <c r="L85" s="289" t="str">
        <f t="shared" si="14"/>
        <v/>
      </c>
      <c r="M85" s="287"/>
      <c r="N85" s="288" t="str">
        <f t="shared" si="11"/>
        <v/>
      </c>
      <c r="O85" s="284"/>
      <c r="P85" s="284"/>
      <c r="Q85" s="284"/>
      <c r="R85" s="284"/>
      <c r="S85" s="284"/>
      <c r="T85" s="284"/>
      <c r="U85" s="284"/>
      <c r="V85" s="284"/>
      <c r="W85" s="284"/>
      <c r="X85" s="284"/>
      <c r="Y85" s="284"/>
      <c r="Z85" s="284"/>
      <c r="AA85" s="284"/>
      <c r="AB85" s="284"/>
      <c r="AC85" s="284"/>
      <c r="AD85" s="284"/>
      <c r="AE85" s="284"/>
      <c r="AF85" s="284"/>
      <c r="AG85" s="284"/>
      <c r="AH85" s="284"/>
      <c r="AI85" s="284"/>
      <c r="AJ85" s="284"/>
      <c r="AK85" s="284"/>
      <c r="AL85" s="284"/>
      <c r="AM85" s="284"/>
      <c r="AN85" s="284"/>
      <c r="AO85" s="284"/>
      <c r="AP85" s="284"/>
      <c r="AQ85" s="284"/>
      <c r="AR85" s="284"/>
      <c r="AS85" s="290" t="str">
        <f>IF(C85&lt;&gt;0,IFERROR(IF(COUNTIF(AcuariosTto[],C85),"SI",""),""),"")</f>
        <v/>
      </c>
      <c r="AT85" s="154">
        <f>IFERROR(INDEX(AcuariosTto[SignoTTo],MATCH(C85,AcuariosTto[AcuariosTTo],0)),"")</f>
        <v>0</v>
      </c>
      <c r="AU85" s="154">
        <f>IFERROR(INDEX(AcuariosTto[TipoProd],MATCH(C85,AcuariosTto[AcuariosTTo],0)),"")</f>
        <v>0</v>
      </c>
      <c r="AV85" s="154">
        <f>IFERROR(INDEX(AcuariosTto[NomProd],MATCH(C85,AcuariosTto[AcuariosTTo],0)),"")</f>
        <v>0</v>
      </c>
      <c r="AW85" s="18" t="str">
        <f>IF(B85&lt;&gt;0,IFERROR(IF(COUNTIF(ItemOcPreven[],B85),"SI",""),""),"")</f>
        <v/>
      </c>
      <c r="AX85" s="18">
        <f>IFERROR(INDEX(ItemOcPreven[TipoProPrev],MATCH(B85,ItemOcPreven[ItemOcPreven],0)),"")</f>
        <v>0</v>
      </c>
      <c r="AY85" s="18">
        <f>IFERROR(INDEX(ItemOcPreven[NomProPrev],MATCH(B85,ItemOcPreven[ItemOcPreven],0)),"")</f>
        <v>0</v>
      </c>
      <c r="AZ85" s="18" t="str">
        <f>IF(B85&lt;&gt;0,IFERROR(IF(COUNTIF(PrevTodas[],"SI"),"SI",""),""),"")</f>
        <v/>
      </c>
      <c r="BA85" s="154" t="str">
        <f>IFERROR(INDEX(ItemOcPreven[TipoProPrev],MATCH(AZ85,PrevTodas[PrevTodas],0)),"")</f>
        <v/>
      </c>
      <c r="BB85" s="154" t="str">
        <f>IFERROR(INDEX(ItemOcPreven[NomProPrev],MATCH(AZ85,PrevTodas[PrevTodas],0)),"")</f>
        <v/>
      </c>
      <c r="BC85" s="18" t="str">
        <f>IF(B85&lt;&gt;0,IFERROR(IF(COUNTIF(ItemOcEvto[],B85),"SI",""),""),"")</f>
        <v/>
      </c>
      <c r="BD85" s="154">
        <f>IFERROR(INDEX(ItemOcEvto[TipoEvto],MATCH(B85,ItemOcEvto[ItemOcEvto],0)),"")</f>
        <v>0</v>
      </c>
      <c r="BE85" s="18" t="str">
        <f>IF(B85&lt;&gt;0,IFERROR(IF(COUNTIF(EvtoTodas[],"SI"),"SI",""),""),"")</f>
        <v/>
      </c>
      <c r="BF85" s="154" t="str">
        <f>IFERROR(INDEX(ItemOcEvto[TipoEvto],MATCH(BE85,EvtoTodas[EvtoTodas],0)),"")</f>
        <v/>
      </c>
      <c r="BG85" s="154">
        <f t="shared" si="12"/>
        <v>0</v>
      </c>
      <c r="BH85" s="154">
        <f t="shared" si="13"/>
        <v>0</v>
      </c>
      <c r="BI85" s="223"/>
    </row>
    <row r="86" spans="2:61" ht="18" customHeight="1" x14ac:dyDescent="0.25">
      <c r="B86" s="284"/>
      <c r="C86" s="284"/>
      <c r="D86" s="285" t="str">
        <f>IFERROR(VLOOKUP(B86,Item[],3,FALSE),IFERROR(VLOOKUP(B86,Item2[],3,FALSE),""))</f>
        <v/>
      </c>
      <c r="E86" s="286" t="str">
        <f>IFERROR(VLOOKUP(B86,Item[],2,FALSE),IFERROR(VLOOKUP(B86,Item2[],2,FALSE),""))</f>
        <v/>
      </c>
      <c r="F86" s="287"/>
      <c r="G86" s="288" t="str">
        <f t="shared" si="9"/>
        <v/>
      </c>
      <c r="H86" s="287"/>
      <c r="I86" s="287"/>
      <c r="J86" s="287"/>
      <c r="K86" s="288" t="str">
        <f t="shared" si="10"/>
        <v/>
      </c>
      <c r="L86" s="289" t="str">
        <f t="shared" si="14"/>
        <v/>
      </c>
      <c r="M86" s="287"/>
      <c r="N86" s="288" t="str">
        <f t="shared" si="11"/>
        <v/>
      </c>
      <c r="O86" s="284"/>
      <c r="P86" s="284"/>
      <c r="Q86" s="284"/>
      <c r="R86" s="284"/>
      <c r="S86" s="284"/>
      <c r="T86" s="284"/>
      <c r="U86" s="284"/>
      <c r="V86" s="284"/>
      <c r="W86" s="284"/>
      <c r="X86" s="284"/>
      <c r="Y86" s="284"/>
      <c r="Z86" s="284"/>
      <c r="AA86" s="284"/>
      <c r="AB86" s="284"/>
      <c r="AC86" s="284"/>
      <c r="AD86" s="284"/>
      <c r="AE86" s="284"/>
      <c r="AF86" s="284"/>
      <c r="AG86" s="284"/>
      <c r="AH86" s="284"/>
      <c r="AI86" s="284"/>
      <c r="AJ86" s="284"/>
      <c r="AK86" s="284"/>
      <c r="AL86" s="284"/>
      <c r="AM86" s="284"/>
      <c r="AN86" s="284"/>
      <c r="AO86" s="284"/>
      <c r="AP86" s="284"/>
      <c r="AQ86" s="284"/>
      <c r="AR86" s="284"/>
      <c r="AS86" s="290" t="str">
        <f>IF(C86&lt;&gt;0,IFERROR(IF(COUNTIF(AcuariosTto[],C86),"SI",""),""),"")</f>
        <v/>
      </c>
      <c r="AT86" s="154">
        <f>IFERROR(INDEX(AcuariosTto[SignoTTo],MATCH(C86,AcuariosTto[AcuariosTTo],0)),"")</f>
        <v>0</v>
      </c>
      <c r="AU86" s="154">
        <f>IFERROR(INDEX(AcuariosTto[TipoProd],MATCH(C86,AcuariosTto[AcuariosTTo],0)),"")</f>
        <v>0</v>
      </c>
      <c r="AV86" s="154">
        <f>IFERROR(INDEX(AcuariosTto[NomProd],MATCH(C86,AcuariosTto[AcuariosTTo],0)),"")</f>
        <v>0</v>
      </c>
      <c r="AW86" s="18" t="str">
        <f>IF(B86&lt;&gt;0,IFERROR(IF(COUNTIF(ItemOcPreven[],B86),"SI",""),""),"")</f>
        <v/>
      </c>
      <c r="AX86" s="18">
        <f>IFERROR(INDEX(ItemOcPreven[TipoProPrev],MATCH(B86,ItemOcPreven[ItemOcPreven],0)),"")</f>
        <v>0</v>
      </c>
      <c r="AY86" s="18">
        <f>IFERROR(INDEX(ItemOcPreven[NomProPrev],MATCH(B86,ItemOcPreven[ItemOcPreven],0)),"")</f>
        <v>0</v>
      </c>
      <c r="AZ86" s="18" t="str">
        <f>IF(B86&lt;&gt;0,IFERROR(IF(COUNTIF(PrevTodas[],"SI"),"SI",""),""),"")</f>
        <v/>
      </c>
      <c r="BA86" s="154" t="str">
        <f>IFERROR(INDEX(ItemOcPreven[TipoProPrev],MATCH(AZ86,PrevTodas[PrevTodas],0)),"")</f>
        <v/>
      </c>
      <c r="BB86" s="154" t="str">
        <f>IFERROR(INDEX(ItemOcPreven[NomProPrev],MATCH(AZ86,PrevTodas[PrevTodas],0)),"")</f>
        <v/>
      </c>
      <c r="BC86" s="18" t="str">
        <f>IF(B86&lt;&gt;0,IFERROR(IF(COUNTIF(ItemOcEvto[],B86),"SI",""),""),"")</f>
        <v/>
      </c>
      <c r="BD86" s="154">
        <f>IFERROR(INDEX(ItemOcEvto[TipoEvto],MATCH(B86,ItemOcEvto[ItemOcEvto],0)),"")</f>
        <v>0</v>
      </c>
      <c r="BE86" s="18" t="str">
        <f>IF(B86&lt;&gt;0,IFERROR(IF(COUNTIF(EvtoTodas[],"SI"),"SI",""),""),"")</f>
        <v/>
      </c>
      <c r="BF86" s="154" t="str">
        <f>IFERROR(INDEX(ItemOcEvto[TipoEvto],MATCH(BE86,EvtoTodas[EvtoTodas],0)),"")</f>
        <v/>
      </c>
      <c r="BG86" s="154">
        <f t="shared" si="12"/>
        <v>0</v>
      </c>
      <c r="BH86" s="154">
        <f t="shared" si="13"/>
        <v>0</v>
      </c>
      <c r="BI86" s="223"/>
    </row>
    <row r="87" spans="2:61" ht="18" customHeight="1" x14ac:dyDescent="0.25">
      <c r="B87" s="284"/>
      <c r="C87" s="284"/>
      <c r="D87" s="285" t="str">
        <f>IFERROR(VLOOKUP(B87,Item[],3,FALSE),IFERROR(VLOOKUP(B87,Item2[],3,FALSE),""))</f>
        <v/>
      </c>
      <c r="E87" s="286" t="str">
        <f>IFERROR(VLOOKUP(B87,Item[],2,FALSE),IFERROR(VLOOKUP(B87,Item2[],2,FALSE),""))</f>
        <v/>
      </c>
      <c r="F87" s="287"/>
      <c r="G87" s="288" t="str">
        <f t="shared" si="9"/>
        <v/>
      </c>
      <c r="H87" s="287"/>
      <c r="I87" s="287"/>
      <c r="J87" s="287"/>
      <c r="K87" s="288" t="str">
        <f t="shared" si="10"/>
        <v/>
      </c>
      <c r="L87" s="289" t="str">
        <f t="shared" si="14"/>
        <v/>
      </c>
      <c r="M87" s="287"/>
      <c r="N87" s="288" t="str">
        <f t="shared" si="11"/>
        <v/>
      </c>
      <c r="O87" s="284"/>
      <c r="P87" s="284"/>
      <c r="Q87" s="284"/>
      <c r="R87" s="284"/>
      <c r="S87" s="284"/>
      <c r="T87" s="284"/>
      <c r="U87" s="284"/>
      <c r="V87" s="284"/>
      <c r="W87" s="284"/>
      <c r="X87" s="284"/>
      <c r="Y87" s="284"/>
      <c r="Z87" s="284"/>
      <c r="AA87" s="284"/>
      <c r="AB87" s="284"/>
      <c r="AC87" s="284"/>
      <c r="AD87" s="284"/>
      <c r="AE87" s="284"/>
      <c r="AF87" s="284"/>
      <c r="AG87" s="284"/>
      <c r="AH87" s="284"/>
      <c r="AI87" s="284"/>
      <c r="AJ87" s="284"/>
      <c r="AK87" s="284"/>
      <c r="AL87" s="284"/>
      <c r="AM87" s="284"/>
      <c r="AN87" s="284"/>
      <c r="AO87" s="284"/>
      <c r="AP87" s="284"/>
      <c r="AQ87" s="284"/>
      <c r="AR87" s="284"/>
      <c r="AS87" s="290" t="str">
        <f>IF(C87&lt;&gt;0,IFERROR(IF(COUNTIF(AcuariosTto[],C87),"SI",""),""),"")</f>
        <v/>
      </c>
      <c r="AT87" s="154">
        <f>IFERROR(INDEX(AcuariosTto[SignoTTo],MATCH(C87,AcuariosTto[AcuariosTTo],0)),"")</f>
        <v>0</v>
      </c>
      <c r="AU87" s="154">
        <f>IFERROR(INDEX(AcuariosTto[TipoProd],MATCH(C87,AcuariosTto[AcuariosTTo],0)),"")</f>
        <v>0</v>
      </c>
      <c r="AV87" s="154">
        <f>IFERROR(INDEX(AcuariosTto[NomProd],MATCH(C87,AcuariosTto[AcuariosTTo],0)),"")</f>
        <v>0</v>
      </c>
      <c r="AW87" s="18" t="str">
        <f>IF(B87&lt;&gt;0,IFERROR(IF(COUNTIF(ItemOcPreven[],B87),"SI",""),""),"")</f>
        <v/>
      </c>
      <c r="AX87" s="18">
        <f>IFERROR(INDEX(ItemOcPreven[TipoProPrev],MATCH(B87,ItemOcPreven[ItemOcPreven],0)),"")</f>
        <v>0</v>
      </c>
      <c r="AY87" s="18">
        <f>IFERROR(INDEX(ItemOcPreven[NomProPrev],MATCH(B87,ItemOcPreven[ItemOcPreven],0)),"")</f>
        <v>0</v>
      </c>
      <c r="AZ87" s="18" t="str">
        <f>IF(B87&lt;&gt;0,IFERROR(IF(COUNTIF(PrevTodas[],"SI"),"SI",""),""),"")</f>
        <v/>
      </c>
      <c r="BA87" s="154" t="str">
        <f>IFERROR(INDEX(ItemOcPreven[TipoProPrev],MATCH(AZ87,PrevTodas[PrevTodas],0)),"")</f>
        <v/>
      </c>
      <c r="BB87" s="154" t="str">
        <f>IFERROR(INDEX(ItemOcPreven[NomProPrev],MATCH(AZ87,PrevTodas[PrevTodas],0)),"")</f>
        <v/>
      </c>
      <c r="BC87" s="18" t="str">
        <f>IF(B87&lt;&gt;0,IFERROR(IF(COUNTIF(ItemOcEvto[],B87),"SI",""),""),"")</f>
        <v/>
      </c>
      <c r="BD87" s="154">
        <f>IFERROR(INDEX(ItemOcEvto[TipoEvto],MATCH(B87,ItemOcEvto[ItemOcEvto],0)),"")</f>
        <v>0</v>
      </c>
      <c r="BE87" s="18" t="str">
        <f>IF(B87&lt;&gt;0,IFERROR(IF(COUNTIF(EvtoTodas[],"SI"),"SI",""),""),"")</f>
        <v/>
      </c>
      <c r="BF87" s="154" t="str">
        <f>IFERROR(INDEX(ItemOcEvto[TipoEvto],MATCH(BE87,EvtoTodas[EvtoTodas],0)),"")</f>
        <v/>
      </c>
      <c r="BG87" s="154">
        <f t="shared" si="12"/>
        <v>0</v>
      </c>
      <c r="BH87" s="154">
        <f t="shared" si="13"/>
        <v>0</v>
      </c>
      <c r="BI87" s="223"/>
    </row>
    <row r="88" spans="2:61" ht="18" customHeight="1" x14ac:dyDescent="0.25">
      <c r="B88" s="284"/>
      <c r="C88" s="284"/>
      <c r="D88" s="285" t="str">
        <f>IFERROR(VLOOKUP(B88,Item[],3,FALSE),IFERROR(VLOOKUP(B88,Item2[],3,FALSE),""))</f>
        <v/>
      </c>
      <c r="E88" s="286" t="str">
        <f>IFERROR(VLOOKUP(B88,Item[],2,FALSE),IFERROR(VLOOKUP(B88,Item2[],2,FALSE),""))</f>
        <v/>
      </c>
      <c r="F88" s="287"/>
      <c r="G88" s="288" t="str">
        <f t="shared" si="9"/>
        <v/>
      </c>
      <c r="H88" s="287"/>
      <c r="I88" s="287"/>
      <c r="J88" s="287"/>
      <c r="K88" s="288" t="str">
        <f t="shared" si="10"/>
        <v/>
      </c>
      <c r="L88" s="289" t="str">
        <f t="shared" si="14"/>
        <v/>
      </c>
      <c r="M88" s="287"/>
      <c r="N88" s="288" t="str">
        <f t="shared" si="11"/>
        <v/>
      </c>
      <c r="O88" s="284"/>
      <c r="P88" s="284"/>
      <c r="Q88" s="284"/>
      <c r="R88" s="284"/>
      <c r="S88" s="284"/>
      <c r="T88" s="284"/>
      <c r="U88" s="284"/>
      <c r="V88" s="284"/>
      <c r="W88" s="284"/>
      <c r="X88" s="284"/>
      <c r="Y88" s="284"/>
      <c r="Z88" s="284"/>
      <c r="AA88" s="284"/>
      <c r="AB88" s="284"/>
      <c r="AC88" s="284"/>
      <c r="AD88" s="284"/>
      <c r="AE88" s="284"/>
      <c r="AF88" s="284"/>
      <c r="AG88" s="284"/>
      <c r="AH88" s="284"/>
      <c r="AI88" s="284"/>
      <c r="AJ88" s="284"/>
      <c r="AK88" s="284"/>
      <c r="AL88" s="284"/>
      <c r="AM88" s="284"/>
      <c r="AN88" s="284"/>
      <c r="AO88" s="284"/>
      <c r="AP88" s="284"/>
      <c r="AQ88" s="284"/>
      <c r="AR88" s="284"/>
      <c r="AS88" s="290" t="str">
        <f>IF(C88&lt;&gt;0,IFERROR(IF(COUNTIF(AcuariosTto[],C88),"SI",""),""),"")</f>
        <v/>
      </c>
      <c r="AT88" s="154">
        <f>IFERROR(INDEX(AcuariosTto[SignoTTo],MATCH(C88,AcuariosTto[AcuariosTTo],0)),"")</f>
        <v>0</v>
      </c>
      <c r="AU88" s="154">
        <f>IFERROR(INDEX(AcuariosTto[TipoProd],MATCH(C88,AcuariosTto[AcuariosTTo],0)),"")</f>
        <v>0</v>
      </c>
      <c r="AV88" s="154">
        <f>IFERROR(INDEX(AcuariosTto[NomProd],MATCH(C88,AcuariosTto[AcuariosTTo],0)),"")</f>
        <v>0</v>
      </c>
      <c r="AW88" s="18" t="str">
        <f>IF(B88&lt;&gt;0,IFERROR(IF(COUNTIF(ItemOcPreven[],B88),"SI",""),""),"")</f>
        <v/>
      </c>
      <c r="AX88" s="18">
        <f>IFERROR(INDEX(ItemOcPreven[TipoProPrev],MATCH(B88,ItemOcPreven[ItemOcPreven],0)),"")</f>
        <v>0</v>
      </c>
      <c r="AY88" s="18">
        <f>IFERROR(INDEX(ItemOcPreven[NomProPrev],MATCH(B88,ItemOcPreven[ItemOcPreven],0)),"")</f>
        <v>0</v>
      </c>
      <c r="AZ88" s="18" t="str">
        <f>IF(B88&lt;&gt;0,IFERROR(IF(COUNTIF(PrevTodas[],"SI"),"SI",""),""),"")</f>
        <v/>
      </c>
      <c r="BA88" s="154" t="str">
        <f>IFERROR(INDEX(ItemOcPreven[TipoProPrev],MATCH(AZ88,PrevTodas[PrevTodas],0)),"")</f>
        <v/>
      </c>
      <c r="BB88" s="154" t="str">
        <f>IFERROR(INDEX(ItemOcPreven[NomProPrev],MATCH(AZ88,PrevTodas[PrevTodas],0)),"")</f>
        <v/>
      </c>
      <c r="BC88" s="18" t="str">
        <f>IF(B88&lt;&gt;0,IFERROR(IF(COUNTIF(ItemOcEvto[],B88),"SI",""),""),"")</f>
        <v/>
      </c>
      <c r="BD88" s="154">
        <f>IFERROR(INDEX(ItemOcEvto[TipoEvto],MATCH(B88,ItemOcEvto[ItemOcEvto],0)),"")</f>
        <v>0</v>
      </c>
      <c r="BE88" s="18" t="str">
        <f>IF(B88&lt;&gt;0,IFERROR(IF(COUNTIF(EvtoTodas[],"SI"),"SI",""),""),"")</f>
        <v/>
      </c>
      <c r="BF88" s="154" t="str">
        <f>IFERROR(INDEX(ItemOcEvto[TipoEvto],MATCH(BE88,EvtoTodas[EvtoTodas],0)),"")</f>
        <v/>
      </c>
      <c r="BG88" s="154">
        <f t="shared" si="12"/>
        <v>0</v>
      </c>
      <c r="BH88" s="154">
        <f t="shared" si="13"/>
        <v>0</v>
      </c>
      <c r="BI88" s="223"/>
    </row>
    <row r="89" spans="2:61" ht="18" customHeight="1" x14ac:dyDescent="0.25">
      <c r="B89" s="284"/>
      <c r="C89" s="284"/>
      <c r="D89" s="285" t="str">
        <f>IFERROR(VLOOKUP(B89,Item[],3,FALSE),IFERROR(VLOOKUP(B89,Item2[],3,FALSE),""))</f>
        <v/>
      </c>
      <c r="E89" s="286" t="str">
        <f>IFERROR(VLOOKUP(B89,Item[],2,FALSE),IFERROR(VLOOKUP(B89,Item2[],2,FALSE),""))</f>
        <v/>
      </c>
      <c r="F89" s="287"/>
      <c r="G89" s="288" t="str">
        <f t="shared" si="9"/>
        <v/>
      </c>
      <c r="H89" s="287"/>
      <c r="I89" s="287"/>
      <c r="J89" s="287"/>
      <c r="K89" s="288" t="str">
        <f t="shared" si="10"/>
        <v/>
      </c>
      <c r="L89" s="289" t="str">
        <f t="shared" si="14"/>
        <v/>
      </c>
      <c r="M89" s="287"/>
      <c r="N89" s="288" t="str">
        <f t="shared" si="11"/>
        <v/>
      </c>
      <c r="O89" s="284"/>
      <c r="P89" s="284"/>
      <c r="Q89" s="284"/>
      <c r="R89" s="284"/>
      <c r="S89" s="284"/>
      <c r="T89" s="284"/>
      <c r="U89" s="284"/>
      <c r="V89" s="284"/>
      <c r="W89" s="284"/>
      <c r="X89" s="284"/>
      <c r="Y89" s="284"/>
      <c r="Z89" s="284"/>
      <c r="AA89" s="284"/>
      <c r="AB89" s="284"/>
      <c r="AC89" s="284"/>
      <c r="AD89" s="284"/>
      <c r="AE89" s="284"/>
      <c r="AF89" s="284"/>
      <c r="AG89" s="284"/>
      <c r="AH89" s="284"/>
      <c r="AI89" s="284"/>
      <c r="AJ89" s="284"/>
      <c r="AK89" s="284"/>
      <c r="AL89" s="284"/>
      <c r="AM89" s="284"/>
      <c r="AN89" s="284"/>
      <c r="AO89" s="284"/>
      <c r="AP89" s="284"/>
      <c r="AQ89" s="284"/>
      <c r="AR89" s="284"/>
      <c r="AS89" s="290" t="str">
        <f>IF(C89&lt;&gt;0,IFERROR(IF(COUNTIF(AcuariosTto[],C89),"SI",""),""),"")</f>
        <v/>
      </c>
      <c r="AT89" s="154">
        <f>IFERROR(INDEX(AcuariosTto[SignoTTo],MATCH(C89,AcuariosTto[AcuariosTTo],0)),"")</f>
        <v>0</v>
      </c>
      <c r="AU89" s="154">
        <f>IFERROR(INDEX(AcuariosTto[TipoProd],MATCH(C89,AcuariosTto[AcuariosTTo],0)),"")</f>
        <v>0</v>
      </c>
      <c r="AV89" s="154">
        <f>IFERROR(INDEX(AcuariosTto[NomProd],MATCH(C89,AcuariosTto[AcuariosTTo],0)),"")</f>
        <v>0</v>
      </c>
      <c r="AW89" s="18" t="str">
        <f>IF(B89&lt;&gt;0,IFERROR(IF(COUNTIF(ItemOcPreven[],B89),"SI",""),""),"")</f>
        <v/>
      </c>
      <c r="AX89" s="18">
        <f>IFERROR(INDEX(ItemOcPreven[TipoProPrev],MATCH(B89,ItemOcPreven[ItemOcPreven],0)),"")</f>
        <v>0</v>
      </c>
      <c r="AY89" s="18">
        <f>IFERROR(INDEX(ItemOcPreven[NomProPrev],MATCH(B89,ItemOcPreven[ItemOcPreven],0)),"")</f>
        <v>0</v>
      </c>
      <c r="AZ89" s="18" t="str">
        <f>IF(B89&lt;&gt;0,IFERROR(IF(COUNTIF(PrevTodas[],"SI"),"SI",""),""),"")</f>
        <v/>
      </c>
      <c r="BA89" s="154" t="str">
        <f>IFERROR(INDEX(ItemOcPreven[TipoProPrev],MATCH(AZ89,PrevTodas[PrevTodas],0)),"")</f>
        <v/>
      </c>
      <c r="BB89" s="154" t="str">
        <f>IFERROR(INDEX(ItemOcPreven[NomProPrev],MATCH(AZ89,PrevTodas[PrevTodas],0)),"")</f>
        <v/>
      </c>
      <c r="BC89" s="18" t="str">
        <f>IF(B89&lt;&gt;0,IFERROR(IF(COUNTIF(ItemOcEvto[],B89),"SI",""),""),"")</f>
        <v/>
      </c>
      <c r="BD89" s="154">
        <f>IFERROR(INDEX(ItemOcEvto[TipoEvto],MATCH(B89,ItemOcEvto[ItemOcEvto],0)),"")</f>
        <v>0</v>
      </c>
      <c r="BE89" s="18" t="str">
        <f>IF(B89&lt;&gt;0,IFERROR(IF(COUNTIF(EvtoTodas[],"SI"),"SI",""),""),"")</f>
        <v/>
      </c>
      <c r="BF89" s="154" t="str">
        <f>IFERROR(INDEX(ItemOcEvto[TipoEvto],MATCH(BE89,EvtoTodas[EvtoTodas],0)),"")</f>
        <v/>
      </c>
      <c r="BG89" s="154">
        <f t="shared" si="12"/>
        <v>0</v>
      </c>
      <c r="BH89" s="154">
        <f t="shared" si="13"/>
        <v>0</v>
      </c>
      <c r="BI89" s="223"/>
    </row>
    <row r="90" spans="2:61" ht="18" customHeight="1" x14ac:dyDescent="0.25">
      <c r="B90" s="284"/>
      <c r="C90" s="284"/>
      <c r="D90" s="285" t="str">
        <f>IFERROR(VLOOKUP(B90,Item[],3,FALSE),IFERROR(VLOOKUP(B90,Item2[],3,FALSE),""))</f>
        <v/>
      </c>
      <c r="E90" s="286" t="str">
        <f>IFERROR(VLOOKUP(B90,Item[],2,FALSE),IFERROR(VLOOKUP(B90,Item2[],2,FALSE),""))</f>
        <v/>
      </c>
      <c r="F90" s="287"/>
      <c r="G90" s="288" t="str">
        <f t="shared" si="9"/>
        <v/>
      </c>
      <c r="H90" s="287"/>
      <c r="I90" s="287"/>
      <c r="J90" s="287"/>
      <c r="K90" s="288" t="str">
        <f t="shared" si="10"/>
        <v/>
      </c>
      <c r="L90" s="289" t="str">
        <f t="shared" si="14"/>
        <v/>
      </c>
      <c r="M90" s="287"/>
      <c r="N90" s="288" t="str">
        <f t="shared" si="11"/>
        <v/>
      </c>
      <c r="O90" s="284"/>
      <c r="P90" s="284"/>
      <c r="Q90" s="284"/>
      <c r="R90" s="284"/>
      <c r="S90" s="284"/>
      <c r="T90" s="284"/>
      <c r="U90" s="284"/>
      <c r="V90" s="284"/>
      <c r="W90" s="284"/>
      <c r="X90" s="284"/>
      <c r="Y90" s="284"/>
      <c r="Z90" s="284"/>
      <c r="AA90" s="284"/>
      <c r="AB90" s="284"/>
      <c r="AC90" s="284"/>
      <c r="AD90" s="284"/>
      <c r="AE90" s="284"/>
      <c r="AF90" s="284"/>
      <c r="AG90" s="284"/>
      <c r="AH90" s="284"/>
      <c r="AI90" s="284"/>
      <c r="AJ90" s="284"/>
      <c r="AK90" s="284"/>
      <c r="AL90" s="284"/>
      <c r="AM90" s="284"/>
      <c r="AN90" s="284"/>
      <c r="AO90" s="284"/>
      <c r="AP90" s="284"/>
      <c r="AQ90" s="284"/>
      <c r="AR90" s="284"/>
      <c r="AS90" s="290" t="str">
        <f>IF(C90&lt;&gt;0,IFERROR(IF(COUNTIF(AcuariosTto[],C90),"SI",""),""),"")</f>
        <v/>
      </c>
      <c r="AT90" s="154">
        <f>IFERROR(INDEX(AcuariosTto[SignoTTo],MATCH(C90,AcuariosTto[AcuariosTTo],0)),"")</f>
        <v>0</v>
      </c>
      <c r="AU90" s="154">
        <f>IFERROR(INDEX(AcuariosTto[TipoProd],MATCH(C90,AcuariosTto[AcuariosTTo],0)),"")</f>
        <v>0</v>
      </c>
      <c r="AV90" s="154">
        <f>IFERROR(INDEX(AcuariosTto[NomProd],MATCH(C90,AcuariosTto[AcuariosTTo],0)),"")</f>
        <v>0</v>
      </c>
      <c r="AW90" s="18" t="str">
        <f>IF(B90&lt;&gt;0,IFERROR(IF(COUNTIF(ItemOcPreven[],B90),"SI",""),""),"")</f>
        <v/>
      </c>
      <c r="AX90" s="18">
        <f>IFERROR(INDEX(ItemOcPreven[TipoProPrev],MATCH(B90,ItemOcPreven[ItemOcPreven],0)),"")</f>
        <v>0</v>
      </c>
      <c r="AY90" s="18">
        <f>IFERROR(INDEX(ItemOcPreven[NomProPrev],MATCH(B90,ItemOcPreven[ItemOcPreven],0)),"")</f>
        <v>0</v>
      </c>
      <c r="AZ90" s="18" t="str">
        <f>IF(B90&lt;&gt;0,IFERROR(IF(COUNTIF(PrevTodas[],"SI"),"SI",""),""),"")</f>
        <v/>
      </c>
      <c r="BA90" s="154" t="str">
        <f>IFERROR(INDEX(ItemOcPreven[TipoProPrev],MATCH(AZ90,PrevTodas[PrevTodas],0)),"")</f>
        <v/>
      </c>
      <c r="BB90" s="154" t="str">
        <f>IFERROR(INDEX(ItemOcPreven[NomProPrev],MATCH(AZ90,PrevTodas[PrevTodas],0)),"")</f>
        <v/>
      </c>
      <c r="BC90" s="18" t="str">
        <f>IF(B90&lt;&gt;0,IFERROR(IF(COUNTIF(ItemOcEvto[],B90),"SI",""),""),"")</f>
        <v/>
      </c>
      <c r="BD90" s="154">
        <f>IFERROR(INDEX(ItemOcEvto[TipoEvto],MATCH(B90,ItemOcEvto[ItemOcEvto],0)),"")</f>
        <v>0</v>
      </c>
      <c r="BE90" s="18" t="str">
        <f>IF(B90&lt;&gt;0,IFERROR(IF(COUNTIF(EvtoTodas[],"SI"),"SI",""),""),"")</f>
        <v/>
      </c>
      <c r="BF90" s="154" t="str">
        <f>IFERROR(INDEX(ItemOcEvto[TipoEvto],MATCH(BE90,EvtoTodas[EvtoTodas],0)),"")</f>
        <v/>
      </c>
      <c r="BG90" s="154">
        <f t="shared" si="12"/>
        <v>0</v>
      </c>
      <c r="BH90" s="154">
        <f t="shared" si="13"/>
        <v>0</v>
      </c>
      <c r="BI90" s="223"/>
    </row>
    <row r="91" spans="2:61" x14ac:dyDescent="0.25">
      <c r="B91" s="56"/>
      <c r="C91" s="56"/>
      <c r="D91" s="176"/>
      <c r="E91" s="177"/>
      <c r="F91" s="130">
        <f>SUM(F14:F90)</f>
        <v>0</v>
      </c>
      <c r="G91" s="130">
        <f>SUM(G14:G90)</f>
        <v>0</v>
      </c>
      <c r="H91" s="130"/>
      <c r="I91" s="130"/>
      <c r="J91" s="130"/>
      <c r="K91" s="130">
        <f>SUM(K14:K90)</f>
        <v>0</v>
      </c>
      <c r="L91" s="130"/>
      <c r="M91" s="130"/>
      <c r="N91" s="130"/>
      <c r="O91" s="130">
        <f>SUM(O14:O90)</f>
        <v>0</v>
      </c>
      <c r="P91" s="130">
        <f t="shared" ref="P91:AR91" si="15">SUM(P14:P90)</f>
        <v>0</v>
      </c>
      <c r="Q91" s="130">
        <f t="shared" si="15"/>
        <v>0</v>
      </c>
      <c r="R91" s="130">
        <f t="shared" si="15"/>
        <v>0</v>
      </c>
      <c r="S91" s="130">
        <f t="shared" si="15"/>
        <v>0</v>
      </c>
      <c r="T91" s="130">
        <f t="shared" si="15"/>
        <v>0</v>
      </c>
      <c r="U91" s="130">
        <f t="shared" si="15"/>
        <v>0</v>
      </c>
      <c r="V91" s="130">
        <f t="shared" si="15"/>
        <v>0</v>
      </c>
      <c r="W91" s="130">
        <f t="shared" si="15"/>
        <v>0</v>
      </c>
      <c r="X91" s="130">
        <f t="shared" si="15"/>
        <v>0</v>
      </c>
      <c r="Y91" s="130">
        <f t="shared" si="15"/>
        <v>0</v>
      </c>
      <c r="Z91" s="130">
        <f t="shared" si="15"/>
        <v>0</v>
      </c>
      <c r="AA91" s="130">
        <f t="shared" si="15"/>
        <v>0</v>
      </c>
      <c r="AB91" s="130">
        <f t="shared" si="15"/>
        <v>0</v>
      </c>
      <c r="AC91" s="130">
        <f t="shared" si="15"/>
        <v>0</v>
      </c>
      <c r="AD91" s="130">
        <f t="shared" si="15"/>
        <v>0</v>
      </c>
      <c r="AE91" s="130">
        <f t="shared" si="15"/>
        <v>0</v>
      </c>
      <c r="AF91" s="17">
        <f t="shared" si="15"/>
        <v>0</v>
      </c>
      <c r="AG91" s="17">
        <f t="shared" si="15"/>
        <v>0</v>
      </c>
      <c r="AH91" s="17">
        <f t="shared" si="15"/>
        <v>0</v>
      </c>
      <c r="AI91" s="17">
        <f t="shared" si="15"/>
        <v>0</v>
      </c>
      <c r="AJ91" s="17">
        <f t="shared" si="15"/>
        <v>0</v>
      </c>
      <c r="AK91" s="17">
        <f t="shared" si="15"/>
        <v>0</v>
      </c>
      <c r="AL91" s="17">
        <f t="shared" si="15"/>
        <v>0</v>
      </c>
      <c r="AM91" s="17">
        <f t="shared" si="15"/>
        <v>0</v>
      </c>
      <c r="AN91" s="17">
        <f t="shared" si="15"/>
        <v>0</v>
      </c>
      <c r="AO91" s="17">
        <f t="shared" si="15"/>
        <v>0</v>
      </c>
      <c r="AP91" s="17">
        <f t="shared" si="15"/>
        <v>0</v>
      </c>
      <c r="AQ91" s="17">
        <f t="shared" si="15"/>
        <v>0</v>
      </c>
      <c r="AR91" s="17">
        <f t="shared" si="15"/>
        <v>0</v>
      </c>
      <c r="AS91" s="186"/>
      <c r="AT91" s="17"/>
    </row>
    <row r="92" spans="2:61" x14ac:dyDescent="0.25">
      <c r="B92"/>
      <c r="C92"/>
      <c r="F92" s="130"/>
      <c r="G92" s="130"/>
      <c r="H92" s="130"/>
      <c r="I92" s="130"/>
      <c r="J92" s="130"/>
      <c r="K92" s="130"/>
      <c r="L92" s="130"/>
      <c r="M92" s="130"/>
      <c r="N92" s="130"/>
    </row>
    <row r="93" spans="2:61" x14ac:dyDescent="0.25">
      <c r="B93"/>
      <c r="C93"/>
      <c r="F93" s="130"/>
      <c r="G93" s="130"/>
      <c r="H93" s="130"/>
      <c r="I93" s="130"/>
      <c r="J93" s="130"/>
      <c r="K93" s="130"/>
      <c r="L93" s="130"/>
      <c r="M93" s="130"/>
      <c r="N93" s="130"/>
    </row>
    <row r="94" spans="2:61" x14ac:dyDescent="0.25">
      <c r="B94"/>
      <c r="C94"/>
    </row>
    <row r="96" spans="2:61" x14ac:dyDescent="0.25">
      <c r="B96"/>
      <c r="C96" s="122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</row>
    <row r="97" spans="2:34" x14ac:dyDescent="0.25">
      <c r="B97"/>
      <c r="C97" s="122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</row>
    <row r="98" spans="2:34" x14ac:dyDescent="0.25">
      <c r="B98"/>
      <c r="C98" s="122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</row>
    <row r="99" spans="2:34" x14ac:dyDescent="0.25">
      <c r="B99"/>
      <c r="C99" s="122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</row>
    <row r="100" spans="2:34" x14ac:dyDescent="0.25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</row>
    <row r="101" spans="2:34" x14ac:dyDescent="0.25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</row>
    <row r="102" spans="2:34" x14ac:dyDescent="0.25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</row>
    <row r="103" spans="2:34" x14ac:dyDescent="0.25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</row>
    <row r="104" spans="2:34" x14ac:dyDescent="0.25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</row>
    <row r="105" spans="2:34" x14ac:dyDescent="0.25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</row>
    <row r="106" spans="2:34" x14ac:dyDescent="0.25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</row>
    <row r="107" spans="2:34" x14ac:dyDescent="0.25">
      <c r="B107"/>
      <c r="C107"/>
      <c r="D107"/>
      <c r="E107"/>
      <c r="F107"/>
      <c r="H107"/>
      <c r="I107"/>
      <c r="J107"/>
      <c r="K107"/>
      <c r="L107"/>
    </row>
    <row r="108" spans="2:34" x14ac:dyDescent="0.25">
      <c r="B108"/>
      <c r="C108"/>
      <c r="D108"/>
      <c r="E108"/>
      <c r="F108"/>
      <c r="H108"/>
      <c r="I108"/>
      <c r="J108"/>
      <c r="K108"/>
      <c r="L108"/>
    </row>
    <row r="109" spans="2:34" x14ac:dyDescent="0.25">
      <c r="B109"/>
      <c r="C109"/>
      <c r="D109"/>
      <c r="E109"/>
      <c r="F109"/>
      <c r="H109"/>
      <c r="I109"/>
      <c r="J109"/>
      <c r="K109"/>
      <c r="L109"/>
    </row>
    <row r="110" spans="2:34" x14ac:dyDescent="0.25">
      <c r="B110"/>
      <c r="C110"/>
      <c r="D110"/>
    </row>
    <row r="111" spans="2:34" x14ac:dyDescent="0.25">
      <c r="B111"/>
      <c r="C111"/>
      <c r="D111"/>
    </row>
    <row r="112" spans="2:34" x14ac:dyDescent="0.25">
      <c r="B112"/>
      <c r="C112"/>
      <c r="D112"/>
    </row>
    <row r="113" spans="2:4" x14ac:dyDescent="0.25">
      <c r="B113"/>
      <c r="C113"/>
      <c r="D113"/>
    </row>
  </sheetData>
  <sheetProtection password="CCA7" sheet="1" objects="1" scenarios="1" pivotTables="0"/>
  <mergeCells count="18">
    <mergeCell ref="T2:T3"/>
    <mergeCell ref="O4:Q5"/>
    <mergeCell ref="O8:Q9"/>
    <mergeCell ref="O6:P7"/>
    <mergeCell ref="R4:T5"/>
    <mergeCell ref="R8:T9"/>
    <mergeCell ref="Q6:Q7"/>
    <mergeCell ref="R6:R7"/>
    <mergeCell ref="S6:T7"/>
    <mergeCell ref="O2:P3"/>
    <mergeCell ref="Q2:Q3"/>
    <mergeCell ref="R2:S3"/>
    <mergeCell ref="B1:M1"/>
    <mergeCell ref="B9:M10"/>
    <mergeCell ref="B11:M11"/>
    <mergeCell ref="B3:M5"/>
    <mergeCell ref="B7:M7"/>
    <mergeCell ref="B6:M6"/>
  </mergeCells>
  <conditionalFormatting sqref="K14:K90">
    <cfRule type="expression" dxfId="21" priority="4">
      <formula>ESNUM($F14:$F90)</formula>
    </cfRule>
  </conditionalFormatting>
  <conditionalFormatting sqref="L14:M90">
    <cfRule type="expression" dxfId="20" priority="2">
      <formula>($K14:$K90/$F14:$F90)&gt;= 0.35</formula>
    </cfRule>
  </conditionalFormatting>
  <conditionalFormatting sqref="R8 D14:D90">
    <cfRule type="cellIs" dxfId="19" priority="12" operator="equal">
      <formula>0</formula>
    </cfRule>
  </conditionalFormatting>
  <conditionalFormatting sqref="T2:T3">
    <cfRule type="cellIs" dxfId="18" priority="1" operator="lessThan">
      <formula>$Q$2</formula>
    </cfRule>
  </conditionalFormatting>
  <dataValidations count="3">
    <dataValidation type="list" errorStyle="information" showInputMessage="1" sqref="M14:M90" xr:uid="{00000000-0002-0000-0500-000000000000}">
      <formula1>$BI$1:$BI$8</formula1>
    </dataValidation>
    <dataValidation type="list" errorStyle="warning" errorTitle="Mensaje" error="Debe seleccionar de lista desplegable, o dejar en blanco." sqref="J14:J90" xr:uid="{00000000-0002-0000-0500-000001000000}">
      <formula1>$BK$1:$BK$3</formula1>
    </dataValidation>
    <dataValidation type="list" errorStyle="information" showInputMessage="1" showErrorMessage="1" errorTitle="Importante" error="Elejir juvenil o adulto. O escribir estadío que estime para el lote de especie importada." sqref="I14:I90" xr:uid="{00000000-0002-0000-0500-000002000000}">
      <formula1>$BL$1:$BL$3</formula1>
    </dataValidation>
  </dataValidations>
  <pageMargins left="0.7" right="0.7" top="0.75" bottom="0.75" header="0.3" footer="0.3"/>
  <pageSetup scale="51" orientation="landscape" r:id="rId1"/>
  <rowBreaks count="1" manualBreakCount="1">
    <brk id="51" max="28" man="1"/>
  </rowBreaks>
  <colBreaks count="1" manualBreakCount="1">
    <brk id="3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1:AI86"/>
  <sheetViews>
    <sheetView view="pageBreakPreview" zoomScaleNormal="80" zoomScaleSheetLayoutView="100" workbookViewId="0">
      <selection activeCell="G15" sqref="G15"/>
    </sheetView>
  </sheetViews>
  <sheetFormatPr baseColWidth="10" defaultRowHeight="15" x14ac:dyDescent="0.25"/>
  <cols>
    <col min="1" max="1" width="2.42578125" customWidth="1"/>
    <col min="2" max="2" width="6.140625" style="17" customWidth="1"/>
    <col min="3" max="3" width="19.140625" style="17" customWidth="1"/>
    <col min="4" max="4" width="22.140625" style="21" customWidth="1"/>
    <col min="5" max="9" width="4.42578125" style="21" customWidth="1"/>
    <col min="10" max="10" width="4.42578125" style="17" customWidth="1"/>
    <col min="11" max="11" width="27.42578125" customWidth="1"/>
    <col min="12" max="12" width="18.85546875" customWidth="1"/>
    <col min="13" max="13" width="22.42578125" style="22" customWidth="1"/>
    <col min="14" max="14" width="10.85546875" style="17" customWidth="1"/>
    <col min="15" max="15" width="10.5703125" style="17" customWidth="1"/>
    <col min="16" max="16" width="10.5703125" customWidth="1"/>
    <col min="17" max="17" width="49.85546875" customWidth="1"/>
    <col min="18" max="19" width="4.140625" customWidth="1"/>
    <col min="20" max="20" width="10.85546875" hidden="1" customWidth="1"/>
    <col min="21" max="21" width="24.42578125" hidden="1" customWidth="1"/>
    <col min="22" max="22" width="16.42578125" hidden="1" customWidth="1"/>
    <col min="23" max="23" width="18" style="17" hidden="1" customWidth="1"/>
    <col min="24" max="27" width="13.140625" style="17" hidden="1" customWidth="1"/>
    <col min="28" max="31" width="14.28515625" hidden="1" customWidth="1"/>
    <col min="32" max="32" width="15.140625" style="17" hidden="1" customWidth="1"/>
    <col min="33" max="34" width="13.7109375" hidden="1" customWidth="1"/>
    <col min="35" max="35" width="11.42578125" hidden="1" customWidth="1"/>
  </cols>
  <sheetData>
    <row r="1" spans="2:35" ht="28.5" x14ac:dyDescent="0.45">
      <c r="B1" s="24" t="s">
        <v>9065</v>
      </c>
      <c r="C1" s="24"/>
      <c r="D1" s="17"/>
      <c r="E1" s="17"/>
      <c r="F1" s="17"/>
      <c r="G1" s="17"/>
      <c r="H1" s="17"/>
      <c r="I1" s="17"/>
      <c r="K1" s="17"/>
      <c r="L1" s="17"/>
      <c r="M1" s="24"/>
      <c r="P1" s="17"/>
      <c r="Q1" s="17"/>
      <c r="R1" s="17"/>
      <c r="S1" s="17"/>
      <c r="T1" s="17"/>
      <c r="U1" s="17"/>
      <c r="V1" s="17"/>
      <c r="AB1" s="17"/>
      <c r="AC1" s="17"/>
      <c r="AD1" s="17"/>
      <c r="AE1" s="17"/>
      <c r="AG1" s="17"/>
      <c r="AH1" s="17"/>
      <c r="AI1" s="17"/>
    </row>
    <row r="2" spans="2:35" x14ac:dyDescent="0.25">
      <c r="D2" s="17"/>
      <c r="E2" s="17"/>
      <c r="F2" s="17"/>
      <c r="G2" s="17"/>
      <c r="H2" s="17"/>
      <c r="I2" s="17"/>
      <c r="K2" s="17"/>
      <c r="L2" s="17"/>
      <c r="M2"/>
      <c r="P2" s="17"/>
      <c r="Q2" s="17"/>
      <c r="R2" s="17"/>
      <c r="S2" s="17"/>
      <c r="T2" s="17"/>
      <c r="U2" s="17"/>
      <c r="V2" s="11" t="s">
        <v>10132</v>
      </c>
      <c r="X2" t="s">
        <v>797</v>
      </c>
      <c r="Z2"/>
      <c r="AB2" s="17"/>
      <c r="AC2" s="17"/>
      <c r="AD2" s="17"/>
      <c r="AE2" s="17"/>
      <c r="AG2" s="17"/>
      <c r="AH2" s="17"/>
      <c r="AI2" s="17"/>
    </row>
    <row r="3" spans="2:35" ht="14.45" customHeight="1" x14ac:dyDescent="0.25">
      <c r="B3" s="593" t="s">
        <v>10135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25"/>
      <c r="S3" s="25"/>
      <c r="T3" s="25"/>
      <c r="U3" s="25"/>
      <c r="V3" s="168" t="s">
        <v>10133</v>
      </c>
      <c r="X3" s="137"/>
      <c r="Z3" s="137"/>
      <c r="AA3" s="137"/>
      <c r="AB3" s="25"/>
      <c r="AC3" s="25"/>
      <c r="AD3" s="25"/>
      <c r="AE3" s="25"/>
      <c r="AF3" s="137"/>
      <c r="AG3" s="25"/>
      <c r="AH3" s="25"/>
      <c r="AI3" s="25"/>
    </row>
    <row r="4" spans="2:35" ht="14.45" customHeight="1" x14ac:dyDescent="0.25">
      <c r="B4" s="593"/>
      <c r="C4" s="593"/>
      <c r="D4" s="593"/>
      <c r="E4" s="593"/>
      <c r="F4" s="593"/>
      <c r="G4" s="593"/>
      <c r="H4" s="593"/>
      <c r="I4" s="593"/>
      <c r="J4" s="593"/>
      <c r="K4" s="593"/>
      <c r="L4" s="593"/>
      <c r="M4" s="593"/>
      <c r="N4" s="593"/>
      <c r="O4" s="593"/>
      <c r="P4" s="593"/>
      <c r="Q4" s="593"/>
      <c r="R4" s="25"/>
      <c r="S4" s="25"/>
      <c r="T4" s="25"/>
      <c r="U4" s="25"/>
      <c r="V4" s="25" t="s">
        <v>10134</v>
      </c>
      <c r="X4" s="137"/>
      <c r="Z4" s="137"/>
      <c r="AA4" s="137"/>
      <c r="AB4" s="25"/>
      <c r="AC4" s="25"/>
      <c r="AD4" s="25"/>
      <c r="AE4" s="25"/>
      <c r="AF4" s="137"/>
      <c r="AG4" s="25"/>
      <c r="AH4" s="25"/>
      <c r="AI4" s="25"/>
    </row>
    <row r="5" spans="2:35" x14ac:dyDescent="0.25">
      <c r="B5" s="27" t="s">
        <v>10094</v>
      </c>
      <c r="C5" s="27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 t="s">
        <v>9041</v>
      </c>
      <c r="AB5" s="17"/>
      <c r="AC5" s="17"/>
      <c r="AD5" s="17"/>
      <c r="AE5" s="17"/>
      <c r="AG5" s="17"/>
      <c r="AH5" s="17"/>
      <c r="AI5" s="17"/>
    </row>
    <row r="6" spans="2:35" x14ac:dyDescent="0.25">
      <c r="B6" s="27"/>
      <c r="C6" s="27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 t="s">
        <v>9133</v>
      </c>
      <c r="W6"/>
      <c r="Y6"/>
      <c r="AB6" s="17"/>
      <c r="AC6" s="17"/>
      <c r="AD6" s="17"/>
      <c r="AE6" s="17"/>
      <c r="AG6" s="17"/>
      <c r="AH6" s="17"/>
      <c r="AI6" s="17"/>
    </row>
    <row r="7" spans="2:35" x14ac:dyDescent="0.25">
      <c r="B7" s="26"/>
      <c r="C7" s="26"/>
      <c r="D7" s="26"/>
      <c r="E7" s="143"/>
      <c r="F7" s="143"/>
      <c r="G7" s="143"/>
      <c r="H7" s="143"/>
      <c r="I7" s="143"/>
      <c r="J7" s="144"/>
      <c r="K7" s="580" t="s">
        <v>7829</v>
      </c>
      <c r="L7" s="581"/>
      <c r="M7" s="581"/>
      <c r="N7" s="581"/>
      <c r="O7" s="581"/>
      <c r="P7" s="581"/>
      <c r="Q7" s="582"/>
      <c r="R7" s="25"/>
      <c r="S7" s="25"/>
      <c r="T7" s="25"/>
      <c r="U7" s="25"/>
      <c r="V7" s="25" t="s">
        <v>9043</v>
      </c>
      <c r="W7" s="169"/>
      <c r="Y7"/>
      <c r="AB7" s="17"/>
      <c r="AC7" s="17"/>
      <c r="AD7" s="17"/>
      <c r="AE7" s="17"/>
      <c r="AG7" s="17"/>
      <c r="AH7" s="17"/>
      <c r="AI7" s="17"/>
    </row>
    <row r="8" spans="2:35" ht="38.25" x14ac:dyDescent="0.25">
      <c r="B8" s="128" t="s">
        <v>7807</v>
      </c>
      <c r="C8" s="135" t="s">
        <v>7811</v>
      </c>
      <c r="D8" s="136" t="s">
        <v>7808</v>
      </c>
      <c r="E8" s="595" t="s">
        <v>10096</v>
      </c>
      <c r="F8" s="596"/>
      <c r="G8" s="596"/>
      <c r="H8" s="596"/>
      <c r="I8" s="596"/>
      <c r="J8" s="597"/>
      <c r="K8" s="133" t="s">
        <v>10295</v>
      </c>
      <c r="L8" s="133" t="s">
        <v>10136</v>
      </c>
      <c r="M8" s="133" t="s">
        <v>9062</v>
      </c>
      <c r="N8" s="134" t="s">
        <v>7823</v>
      </c>
      <c r="O8" s="133" t="s">
        <v>7824</v>
      </c>
      <c r="P8" s="133" t="s">
        <v>8870</v>
      </c>
      <c r="Q8" s="133" t="s">
        <v>8871</v>
      </c>
      <c r="R8" s="25"/>
      <c r="S8" s="25"/>
      <c r="T8" s="291"/>
      <c r="U8" s="291" t="s">
        <v>10127</v>
      </c>
      <c r="V8" s="25" t="s">
        <v>10153</v>
      </c>
      <c r="W8" s="169"/>
      <c r="Y8"/>
      <c r="AB8" s="17"/>
      <c r="AC8" s="17"/>
      <c r="AD8" s="17"/>
      <c r="AE8" s="17"/>
      <c r="AG8" s="17"/>
      <c r="AH8" s="17"/>
      <c r="AI8" s="17"/>
    </row>
    <row r="9" spans="2:35" x14ac:dyDescent="0.25">
      <c r="B9" s="152"/>
      <c r="C9" s="23" t="str">
        <f>IFERROR(VLOOKUP(B9,Item[],3,FALSE),IFERROR(VLOOKUP(B9,Item2[],3,FALSE),""))</f>
        <v/>
      </c>
      <c r="D9" s="129" t="str">
        <f>IFERROR(VLOOKUP(B9,Item[],2,FALSE),IFERROR(VLOOKUP(B9,Item2[],2,FALSE),""))</f>
        <v/>
      </c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9"/>
      <c r="P9" s="159"/>
      <c r="Q9" s="167"/>
      <c r="S9" s="26"/>
      <c r="T9" s="292" t="s">
        <v>797</v>
      </c>
      <c r="U9" s="292" t="str">
        <f>CONCATENATE(E9,"  ",F9,"   ",G9,"   ",H9,"   ",I9,"   ",J9)</f>
        <v xml:space="preserve">              </v>
      </c>
      <c r="V9" s="25" t="s">
        <v>9042</v>
      </c>
      <c r="AB9" s="17"/>
      <c r="AC9" s="17"/>
      <c r="AD9" s="17"/>
      <c r="AE9" s="17"/>
      <c r="AG9" s="17"/>
      <c r="AH9" s="17"/>
      <c r="AI9" s="17"/>
    </row>
    <row r="10" spans="2:35" ht="14.45" customHeight="1" x14ac:dyDescent="0.25">
      <c r="B10" s="152"/>
      <c r="C10" s="23" t="str">
        <f>IFERROR(VLOOKUP(B10,Item[],3,FALSE),IFERROR(VLOOKUP(B10,Item2[],3,FALSE),""))</f>
        <v/>
      </c>
      <c r="D10" s="129" t="str">
        <f>IFERROR(VLOOKUP(B10,Item[],2,FALSE),IFERROR(VLOOKUP(B10,Item2[],2,FALSE),""))</f>
        <v/>
      </c>
      <c r="E10" s="151"/>
      <c r="F10" s="151"/>
      <c r="G10" s="151"/>
      <c r="H10" s="151"/>
      <c r="I10" s="151"/>
      <c r="J10" s="151"/>
      <c r="K10" s="151"/>
      <c r="L10" s="151"/>
      <c r="M10" s="151"/>
      <c r="N10" s="151"/>
      <c r="O10" s="159"/>
      <c r="P10" s="159"/>
      <c r="Q10" s="167"/>
      <c r="S10" s="26"/>
      <c r="T10" s="292" t="s">
        <v>797</v>
      </c>
      <c r="U10" s="292" t="str">
        <f t="shared" ref="U10:U20" si="0">CONCATENATE(E10,"  ",F10,"   ",G10,"   ",H10,"   ",I10,"   ",J10)</f>
        <v xml:space="preserve">              </v>
      </c>
      <c r="V10" s="26" t="s">
        <v>9044</v>
      </c>
      <c r="AB10" s="17"/>
      <c r="AC10" s="17"/>
      <c r="AD10" s="17"/>
      <c r="AE10" s="17"/>
      <c r="AG10" s="17"/>
      <c r="AH10" s="17"/>
      <c r="AI10" s="17"/>
    </row>
    <row r="11" spans="2:35" x14ac:dyDescent="0.25">
      <c r="B11" s="152"/>
      <c r="C11" s="23" t="str">
        <f>IFERROR(VLOOKUP(B11,Item[],3,FALSE),IFERROR(VLOOKUP(B11,Item2[],3,FALSE),""))</f>
        <v/>
      </c>
      <c r="D11" s="129" t="str">
        <f>IFERROR(VLOOKUP(B11,Item[],2,FALSE),IFERROR(VLOOKUP(B11,Item2[],2,FALSE),""))</f>
        <v/>
      </c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9"/>
      <c r="P11" s="159"/>
      <c r="Q11" s="167"/>
      <c r="S11" s="26"/>
      <c r="T11" s="292" t="s">
        <v>797</v>
      </c>
      <c r="U11" s="292" t="str">
        <f t="shared" si="0"/>
        <v xml:space="preserve">              </v>
      </c>
      <c r="V11" s="26"/>
      <c r="W11" s="17" t="s">
        <v>8874</v>
      </c>
      <c r="X11" s="17" t="s">
        <v>9047</v>
      </c>
      <c r="Y11" s="17" t="s">
        <v>9061</v>
      </c>
      <c r="Z11" s="17" t="s">
        <v>10286</v>
      </c>
      <c r="AB11" s="17" t="s">
        <v>9045</v>
      </c>
      <c r="AC11" s="17" t="s">
        <v>9051</v>
      </c>
      <c r="AD11" s="17" t="s">
        <v>9046</v>
      </c>
      <c r="AE11" s="17"/>
      <c r="AF11" s="17" t="s">
        <v>8896</v>
      </c>
      <c r="AG11" s="17" t="s">
        <v>9055</v>
      </c>
      <c r="AH11" s="17" t="s">
        <v>9063</v>
      </c>
      <c r="AI11" s="17" t="s">
        <v>8897</v>
      </c>
    </row>
    <row r="12" spans="2:35" x14ac:dyDescent="0.25">
      <c r="B12" s="152"/>
      <c r="C12" s="23" t="str">
        <f>IFERROR(VLOOKUP(B12,Item[],3,FALSE),IFERROR(VLOOKUP(B12,Item2[],3,FALSE),""))</f>
        <v/>
      </c>
      <c r="D12" s="129" t="str">
        <f>IFERROR(VLOOKUP(B12,Item[],2,FALSE),IFERROR(VLOOKUP(B12,Item2[],2,FALSE),""))</f>
        <v/>
      </c>
      <c r="E12" s="151"/>
      <c r="F12" s="151"/>
      <c r="G12" s="151"/>
      <c r="H12" s="151"/>
      <c r="I12" s="151"/>
      <c r="J12" s="151"/>
      <c r="K12" s="151"/>
      <c r="L12" s="151"/>
      <c r="M12" s="151"/>
      <c r="N12" s="151"/>
      <c r="O12" s="159"/>
      <c r="P12" s="159"/>
      <c r="Q12" s="167"/>
      <c r="S12" s="26"/>
      <c r="T12" s="292" t="s">
        <v>797</v>
      </c>
      <c r="U12" s="292" t="str">
        <f t="shared" si="0"/>
        <v xml:space="preserve">              </v>
      </c>
      <c r="W12" s="17">
        <f t="shared" ref="W12:W23" si="1">E9</f>
        <v>0</v>
      </c>
      <c r="X12" s="17">
        <f t="shared" ref="X12:Y23" si="2">L9</f>
        <v>0</v>
      </c>
      <c r="Y12" s="17">
        <f t="shared" si="2"/>
        <v>0</v>
      </c>
      <c r="Z12" s="17">
        <f t="shared" ref="Z12:Z23" si="3">K9</f>
        <v>0</v>
      </c>
      <c r="AB12" s="17">
        <f>G24</f>
        <v>0</v>
      </c>
      <c r="AC12" s="17">
        <f>K24</f>
        <v>0</v>
      </c>
      <c r="AD12" s="17">
        <f t="shared" ref="AD12:AD18" si="4">E24</f>
        <v>0</v>
      </c>
      <c r="AE12" s="17"/>
      <c r="AF12" s="17">
        <f>G36</f>
        <v>0</v>
      </c>
      <c r="AG12" s="17">
        <f t="shared" ref="AG12:AH15" si="5">K36</f>
        <v>0</v>
      </c>
      <c r="AH12" s="17">
        <f t="shared" si="5"/>
        <v>0</v>
      </c>
      <c r="AI12" s="17">
        <f>E36</f>
        <v>0</v>
      </c>
    </row>
    <row r="13" spans="2:35" x14ac:dyDescent="0.25">
      <c r="B13" s="152"/>
      <c r="C13" s="23" t="str">
        <f>IFERROR(VLOOKUP(B13,Item[],3,FALSE),IFERROR(VLOOKUP(B13,Item2[],3,FALSE),""))</f>
        <v/>
      </c>
      <c r="D13" s="129" t="str">
        <f>IFERROR(VLOOKUP(B13,Item[],2,FALSE),IFERROR(VLOOKUP(B13,Item2[],2,FALSE),""))</f>
        <v/>
      </c>
      <c r="E13" s="151"/>
      <c r="F13" s="151"/>
      <c r="G13" s="151"/>
      <c r="H13" s="151"/>
      <c r="I13" s="151"/>
      <c r="J13" s="151"/>
      <c r="K13" s="151"/>
      <c r="L13" s="151"/>
      <c r="M13" s="151"/>
      <c r="N13" s="151"/>
      <c r="O13" s="159"/>
      <c r="P13" s="159"/>
      <c r="Q13" s="167"/>
      <c r="S13" s="26"/>
      <c r="T13" s="292" t="s">
        <v>797</v>
      </c>
      <c r="U13" s="292" t="str">
        <f t="shared" si="0"/>
        <v xml:space="preserve">              </v>
      </c>
      <c r="W13" s="17">
        <f t="shared" si="1"/>
        <v>0</v>
      </c>
      <c r="X13" s="17">
        <f t="shared" si="2"/>
        <v>0</v>
      </c>
      <c r="Y13" s="17">
        <f t="shared" si="2"/>
        <v>0</v>
      </c>
      <c r="Z13" s="17">
        <f t="shared" si="3"/>
        <v>0</v>
      </c>
      <c r="AB13" s="17">
        <f t="shared" ref="AB13:AB18" si="6">G25</f>
        <v>0</v>
      </c>
      <c r="AC13" s="17">
        <f t="shared" ref="AC13:AC18" si="7">K25</f>
        <v>0</v>
      </c>
      <c r="AD13" s="17">
        <f t="shared" si="4"/>
        <v>0</v>
      </c>
      <c r="AE13" s="17"/>
      <c r="AF13" s="17">
        <f>G37</f>
        <v>0</v>
      </c>
      <c r="AG13" s="17">
        <f t="shared" si="5"/>
        <v>0</v>
      </c>
      <c r="AH13" s="17">
        <f t="shared" si="5"/>
        <v>0</v>
      </c>
      <c r="AI13" s="17">
        <f>E37</f>
        <v>0</v>
      </c>
    </row>
    <row r="14" spans="2:35" x14ac:dyDescent="0.25">
      <c r="B14" s="152"/>
      <c r="C14" s="23" t="str">
        <f>IFERROR(VLOOKUP(B14,Item[],3,FALSE),IFERROR(VLOOKUP(B14,Item2[],3,FALSE),""))</f>
        <v/>
      </c>
      <c r="D14" s="129" t="str">
        <f>IFERROR(VLOOKUP(B14,Item[],2,FALSE),IFERROR(VLOOKUP(B14,Item2[],2,FALSE),""))</f>
        <v/>
      </c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9"/>
      <c r="P14" s="159"/>
      <c r="Q14" s="167"/>
      <c r="S14" s="26"/>
      <c r="T14" s="292" t="s">
        <v>797</v>
      </c>
      <c r="U14" s="292" t="str">
        <f t="shared" si="0"/>
        <v xml:space="preserve">              </v>
      </c>
      <c r="W14" s="17">
        <f t="shared" si="1"/>
        <v>0</v>
      </c>
      <c r="X14" s="17">
        <f t="shared" si="2"/>
        <v>0</v>
      </c>
      <c r="Y14" s="17">
        <f t="shared" si="2"/>
        <v>0</v>
      </c>
      <c r="Z14" s="17">
        <f t="shared" si="3"/>
        <v>0</v>
      </c>
      <c r="AB14" s="17">
        <f t="shared" si="6"/>
        <v>0</v>
      </c>
      <c r="AC14" s="17">
        <f t="shared" si="7"/>
        <v>0</v>
      </c>
      <c r="AD14" s="17">
        <f t="shared" si="4"/>
        <v>0</v>
      </c>
      <c r="AE14" s="17"/>
      <c r="AF14" s="17">
        <f>G38</f>
        <v>0</v>
      </c>
      <c r="AG14" s="17">
        <f t="shared" si="5"/>
        <v>0</v>
      </c>
      <c r="AH14" s="17">
        <f t="shared" si="5"/>
        <v>0</v>
      </c>
      <c r="AI14" s="17">
        <f>E38</f>
        <v>0</v>
      </c>
    </row>
    <row r="15" spans="2:35" x14ac:dyDescent="0.25">
      <c r="B15" s="152"/>
      <c r="C15" s="23" t="str">
        <f>IFERROR(VLOOKUP(B15,Item[],3,FALSE),IFERROR(VLOOKUP(B15,Item2[],3,FALSE),""))</f>
        <v/>
      </c>
      <c r="D15" s="129" t="str">
        <f>IFERROR(VLOOKUP(B15,Item[],2,FALSE),IFERROR(VLOOKUP(B15,Item2[],2,FALSE),""))</f>
        <v/>
      </c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9"/>
      <c r="P15" s="159"/>
      <c r="Q15" s="167"/>
      <c r="S15" s="26"/>
      <c r="T15" s="292" t="s">
        <v>797</v>
      </c>
      <c r="U15" s="292" t="str">
        <f t="shared" si="0"/>
        <v xml:space="preserve">              </v>
      </c>
      <c r="V15" s="79"/>
      <c r="W15" s="17">
        <f t="shared" si="1"/>
        <v>0</v>
      </c>
      <c r="X15" s="17">
        <f t="shared" si="2"/>
        <v>0</v>
      </c>
      <c r="Y15" s="17">
        <f t="shared" si="2"/>
        <v>0</v>
      </c>
      <c r="Z15" s="17">
        <f t="shared" si="3"/>
        <v>0</v>
      </c>
      <c r="AB15" s="17">
        <f t="shared" si="6"/>
        <v>0</v>
      </c>
      <c r="AC15" s="17">
        <f t="shared" si="7"/>
        <v>0</v>
      </c>
      <c r="AD15" s="17">
        <f t="shared" si="4"/>
        <v>0</v>
      </c>
      <c r="AE15" s="17"/>
      <c r="AF15" s="17">
        <f>G39</f>
        <v>0</v>
      </c>
      <c r="AG15" s="17">
        <f t="shared" si="5"/>
        <v>0</v>
      </c>
      <c r="AH15" s="17">
        <f t="shared" si="5"/>
        <v>0</v>
      </c>
      <c r="AI15" s="17">
        <f>E39</f>
        <v>0</v>
      </c>
    </row>
    <row r="16" spans="2:35" x14ac:dyDescent="0.25">
      <c r="B16" s="152"/>
      <c r="C16" s="23" t="str">
        <f>IFERROR(VLOOKUP(B16,Item[],3,FALSE),IFERROR(VLOOKUP(B16,Item2[],3,FALSE),""))</f>
        <v/>
      </c>
      <c r="D16" s="129" t="str">
        <f>IFERROR(VLOOKUP(B16,Item[],2,FALSE),IFERROR(VLOOKUP(B16,Item2[],2,FALSE),""))</f>
        <v/>
      </c>
      <c r="E16" s="151"/>
      <c r="F16" s="151"/>
      <c r="G16" s="151"/>
      <c r="H16" s="151"/>
      <c r="I16" s="151"/>
      <c r="J16" s="151"/>
      <c r="K16" s="151"/>
      <c r="L16" s="151"/>
      <c r="M16" s="151"/>
      <c r="N16" s="151"/>
      <c r="O16" s="159"/>
      <c r="P16" s="159"/>
      <c r="Q16" s="167"/>
      <c r="S16" s="26"/>
      <c r="T16" s="292" t="s">
        <v>797</v>
      </c>
      <c r="U16" s="292" t="str">
        <f t="shared" si="0"/>
        <v xml:space="preserve">              </v>
      </c>
      <c r="V16" s="79"/>
      <c r="W16" s="17">
        <f t="shared" si="1"/>
        <v>0</v>
      </c>
      <c r="X16" s="17">
        <f t="shared" si="2"/>
        <v>0</v>
      </c>
      <c r="Y16" s="17">
        <f t="shared" si="2"/>
        <v>0</v>
      </c>
      <c r="Z16" s="17">
        <f t="shared" si="3"/>
        <v>0</v>
      </c>
      <c r="AB16" s="17">
        <f t="shared" si="6"/>
        <v>0</v>
      </c>
      <c r="AC16" s="17">
        <f t="shared" si="7"/>
        <v>0</v>
      </c>
      <c r="AD16" s="17">
        <f t="shared" si="4"/>
        <v>0</v>
      </c>
      <c r="AE16" s="17"/>
      <c r="AF16" s="17">
        <f>H36</f>
        <v>0</v>
      </c>
      <c r="AG16" s="17">
        <f>K36</f>
        <v>0</v>
      </c>
      <c r="AH16" s="17">
        <f>L36</f>
        <v>0</v>
      </c>
    </row>
    <row r="17" spans="2:34" x14ac:dyDescent="0.25">
      <c r="B17" s="152"/>
      <c r="C17" s="23" t="str">
        <f>IFERROR(VLOOKUP(B17,Item[],3,FALSE),IFERROR(VLOOKUP(B17,Item2[],3,FALSE),""))</f>
        <v/>
      </c>
      <c r="D17" s="129" t="str">
        <f>IFERROR(VLOOKUP(B17,Item[],2,FALSE),IFERROR(VLOOKUP(B17,Item2[],2,FALSE),""))</f>
        <v/>
      </c>
      <c r="E17" s="151"/>
      <c r="F17" s="151"/>
      <c r="G17" s="151"/>
      <c r="H17" s="151"/>
      <c r="I17" s="151"/>
      <c r="J17" s="151"/>
      <c r="K17" s="151"/>
      <c r="L17" s="151"/>
      <c r="M17" s="151"/>
      <c r="N17" s="151"/>
      <c r="O17" s="159"/>
      <c r="P17" s="159"/>
      <c r="Q17" s="167"/>
      <c r="S17" s="26"/>
      <c r="T17" s="292" t="s">
        <v>797</v>
      </c>
      <c r="U17" s="292" t="str">
        <f t="shared" si="0"/>
        <v xml:space="preserve">              </v>
      </c>
      <c r="V17" s="79"/>
      <c r="W17" s="17">
        <f t="shared" si="1"/>
        <v>0</v>
      </c>
      <c r="X17" s="17">
        <f t="shared" si="2"/>
        <v>0</v>
      </c>
      <c r="Y17" s="17">
        <f t="shared" si="2"/>
        <v>0</v>
      </c>
      <c r="Z17" s="17">
        <f t="shared" si="3"/>
        <v>0</v>
      </c>
      <c r="AB17" s="17">
        <f t="shared" si="6"/>
        <v>0</v>
      </c>
      <c r="AC17" s="17">
        <f t="shared" si="7"/>
        <v>0</v>
      </c>
      <c r="AD17" s="17">
        <f t="shared" si="4"/>
        <v>0</v>
      </c>
      <c r="AE17" s="17"/>
      <c r="AF17" s="17">
        <f>H37</f>
        <v>0</v>
      </c>
      <c r="AG17" s="17">
        <f t="shared" ref="AG17:AH19" si="8">K37</f>
        <v>0</v>
      </c>
      <c r="AH17" s="17">
        <f t="shared" si="8"/>
        <v>0</v>
      </c>
    </row>
    <row r="18" spans="2:34" x14ac:dyDescent="0.25">
      <c r="B18" s="152"/>
      <c r="C18" s="23" t="str">
        <f>IFERROR(VLOOKUP(B18,Item[],3,FALSE),IFERROR(VLOOKUP(B18,Item2[],3,FALSE),""))</f>
        <v/>
      </c>
      <c r="D18" s="129" t="str">
        <f>IFERROR(VLOOKUP(B18,Item[],2,FALSE),IFERROR(VLOOKUP(B18,Item2[],2,FALSE),""))</f>
        <v/>
      </c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9"/>
      <c r="P18" s="159"/>
      <c r="Q18" s="167"/>
      <c r="S18" s="26"/>
      <c r="T18" s="292" t="s">
        <v>797</v>
      </c>
      <c r="U18" s="292" t="str">
        <f t="shared" si="0"/>
        <v xml:space="preserve">              </v>
      </c>
      <c r="V18" s="79"/>
      <c r="W18" s="17">
        <f t="shared" si="1"/>
        <v>0</v>
      </c>
      <c r="X18" s="17">
        <f t="shared" si="2"/>
        <v>0</v>
      </c>
      <c r="Y18" s="17">
        <f t="shared" si="2"/>
        <v>0</v>
      </c>
      <c r="Z18" s="17">
        <f t="shared" si="3"/>
        <v>0</v>
      </c>
      <c r="AB18" s="17">
        <f t="shared" si="6"/>
        <v>0</v>
      </c>
      <c r="AC18" s="17">
        <f t="shared" si="7"/>
        <v>0</v>
      </c>
      <c r="AD18" s="17">
        <f t="shared" si="4"/>
        <v>0</v>
      </c>
      <c r="AE18" s="17"/>
      <c r="AF18" s="17">
        <f>H38</f>
        <v>0</v>
      </c>
      <c r="AG18" s="17">
        <f t="shared" si="8"/>
        <v>0</v>
      </c>
      <c r="AH18" s="17">
        <f t="shared" si="8"/>
        <v>0</v>
      </c>
    </row>
    <row r="19" spans="2:34" x14ac:dyDescent="0.25">
      <c r="B19" s="152"/>
      <c r="C19" s="23" t="str">
        <f>IFERROR(VLOOKUP(B19,Item[],3,FALSE),IFERROR(VLOOKUP(B19,Item2[],3,FALSE),""))</f>
        <v/>
      </c>
      <c r="D19" s="129" t="str">
        <f>IFERROR(VLOOKUP(B19,Item[],2,FALSE),IFERROR(VLOOKUP(B19,Item2[],2,FALSE),""))</f>
        <v/>
      </c>
      <c r="E19" s="151"/>
      <c r="F19" s="151"/>
      <c r="G19" s="151"/>
      <c r="H19" s="151"/>
      <c r="I19" s="151"/>
      <c r="J19" s="151"/>
      <c r="K19" s="151"/>
      <c r="L19" s="151"/>
      <c r="M19" s="151"/>
      <c r="N19" s="151"/>
      <c r="O19" s="159"/>
      <c r="P19" s="159"/>
      <c r="Q19" s="167"/>
      <c r="S19" s="26"/>
      <c r="T19" s="292" t="s">
        <v>797</v>
      </c>
      <c r="U19" s="292" t="str">
        <f t="shared" si="0"/>
        <v xml:space="preserve">              </v>
      </c>
      <c r="V19" s="79"/>
      <c r="W19" s="17">
        <f t="shared" si="1"/>
        <v>0</v>
      </c>
      <c r="X19" s="17">
        <f t="shared" si="2"/>
        <v>0</v>
      </c>
      <c r="Y19" s="17">
        <f t="shared" si="2"/>
        <v>0</v>
      </c>
      <c r="Z19" s="17">
        <f t="shared" si="3"/>
        <v>0</v>
      </c>
      <c r="AB19" s="17">
        <f>H24</f>
        <v>0</v>
      </c>
      <c r="AC19" s="17">
        <f t="shared" ref="AC19:AC25" si="9">K24</f>
        <v>0</v>
      </c>
      <c r="AD19" s="17"/>
      <c r="AE19" s="17"/>
      <c r="AF19" s="17">
        <f>H39</f>
        <v>0</v>
      </c>
      <c r="AG19" s="17">
        <f t="shared" si="8"/>
        <v>0</v>
      </c>
      <c r="AH19" s="17">
        <f t="shared" si="8"/>
        <v>0</v>
      </c>
    </row>
    <row r="20" spans="2:34" x14ac:dyDescent="0.25">
      <c r="B20" s="152"/>
      <c r="C20" s="23" t="str">
        <f>IFERROR(VLOOKUP(B20,Item[],3,FALSE),IFERROR(VLOOKUP(B20,Item2[],3,FALSE),""))</f>
        <v/>
      </c>
      <c r="D20" s="129" t="str">
        <f>IFERROR(VLOOKUP(B20,Item[],2,FALSE),IFERROR(VLOOKUP(B20,Item2[],2,FALSE),""))</f>
        <v/>
      </c>
      <c r="E20" s="151"/>
      <c r="F20" s="151"/>
      <c r="G20" s="151"/>
      <c r="H20" s="151"/>
      <c r="I20" s="151"/>
      <c r="J20" s="151"/>
      <c r="K20" s="151"/>
      <c r="L20" s="151"/>
      <c r="M20" s="151"/>
      <c r="N20" s="151"/>
      <c r="O20" s="159"/>
      <c r="P20" s="159"/>
      <c r="Q20" s="167"/>
      <c r="S20" s="26"/>
      <c r="T20" s="292" t="s">
        <v>797</v>
      </c>
      <c r="U20" s="292" t="str">
        <f t="shared" si="0"/>
        <v xml:space="preserve">              </v>
      </c>
      <c r="V20" s="79"/>
      <c r="W20" s="17">
        <f t="shared" si="1"/>
        <v>0</v>
      </c>
      <c r="X20" s="17">
        <f t="shared" si="2"/>
        <v>0</v>
      </c>
      <c r="Y20" s="17">
        <f t="shared" si="2"/>
        <v>0</v>
      </c>
      <c r="Z20" s="17">
        <f t="shared" si="3"/>
        <v>0</v>
      </c>
      <c r="AB20" s="17">
        <f t="shared" ref="AB20:AB25" si="10">H25</f>
        <v>0</v>
      </c>
      <c r="AC20" s="17">
        <f t="shared" si="9"/>
        <v>0</v>
      </c>
      <c r="AD20" s="17"/>
      <c r="AE20" s="17"/>
      <c r="AF20" s="17">
        <f>I36</f>
        <v>0</v>
      </c>
      <c r="AG20" s="17">
        <f>K36</f>
        <v>0</v>
      </c>
      <c r="AH20" s="17">
        <f>L36</f>
        <v>0</v>
      </c>
    </row>
    <row r="21" spans="2:34" x14ac:dyDescent="0.25">
      <c r="B21" s="137"/>
      <c r="C21" s="138"/>
      <c r="D21" s="139"/>
      <c r="J21" s="145"/>
      <c r="K21" s="140"/>
      <c r="L21" s="140"/>
      <c r="M21" s="140"/>
      <c r="N21" s="140"/>
      <c r="O21" s="140"/>
      <c r="P21" s="140"/>
      <c r="Q21" s="141"/>
      <c r="V21" s="79"/>
      <c r="W21" s="17">
        <f t="shared" si="1"/>
        <v>0</v>
      </c>
      <c r="X21" s="17">
        <f t="shared" si="2"/>
        <v>0</v>
      </c>
      <c r="Y21" s="17">
        <f t="shared" si="2"/>
        <v>0</v>
      </c>
      <c r="Z21" s="17">
        <f t="shared" si="3"/>
        <v>0</v>
      </c>
      <c r="AB21" s="17">
        <f t="shared" si="10"/>
        <v>0</v>
      </c>
      <c r="AC21" s="17">
        <f t="shared" si="9"/>
        <v>0</v>
      </c>
      <c r="AD21" s="17"/>
      <c r="AE21" s="17"/>
      <c r="AF21" s="17">
        <f>I37</f>
        <v>0</v>
      </c>
      <c r="AG21" s="17">
        <f t="shared" ref="AG21:AH23" si="11">K37</f>
        <v>0</v>
      </c>
      <c r="AH21" s="17">
        <f t="shared" si="11"/>
        <v>0</v>
      </c>
    </row>
    <row r="22" spans="2:34" x14ac:dyDescent="0.25">
      <c r="B22" s="26"/>
      <c r="D22" s="147"/>
      <c r="E22" s="594" t="s">
        <v>10097</v>
      </c>
      <c r="F22" s="594"/>
      <c r="G22" s="594"/>
      <c r="H22" s="594"/>
      <c r="I22" s="594"/>
      <c r="J22" s="594"/>
      <c r="K22" s="580" t="s">
        <v>10218</v>
      </c>
      <c r="L22" s="581"/>
      <c r="M22" s="581"/>
      <c r="N22" s="581"/>
      <c r="O22" s="581"/>
      <c r="P22" s="581"/>
      <c r="Q22" s="582"/>
      <c r="V22" s="79"/>
      <c r="W22" s="17">
        <f t="shared" si="1"/>
        <v>0</v>
      </c>
      <c r="X22" s="17">
        <f t="shared" si="2"/>
        <v>0</v>
      </c>
      <c r="Y22" s="17">
        <f t="shared" si="2"/>
        <v>0</v>
      </c>
      <c r="Z22" s="17">
        <f t="shared" si="3"/>
        <v>0</v>
      </c>
      <c r="AB22" s="17">
        <f t="shared" si="10"/>
        <v>0</v>
      </c>
      <c r="AC22" s="17">
        <f t="shared" si="9"/>
        <v>0</v>
      </c>
      <c r="AD22" s="17"/>
      <c r="AE22" s="17"/>
      <c r="AF22" s="17">
        <f>I38</f>
        <v>0</v>
      </c>
      <c r="AG22" s="17">
        <f t="shared" si="11"/>
        <v>0</v>
      </c>
      <c r="AH22" s="17">
        <f t="shared" si="11"/>
        <v>0</v>
      </c>
    </row>
    <row r="23" spans="2:34" ht="14.45" customHeight="1" x14ac:dyDescent="0.25">
      <c r="B23" s="146"/>
      <c r="C23" s="133" t="s">
        <v>7824</v>
      </c>
      <c r="D23" s="166" t="s">
        <v>8880</v>
      </c>
      <c r="E23" s="587" t="s">
        <v>8878</v>
      </c>
      <c r="F23" s="587"/>
      <c r="G23" s="587" t="s">
        <v>8879</v>
      </c>
      <c r="H23" s="587"/>
      <c r="I23" s="587"/>
      <c r="J23" s="587"/>
      <c r="K23" s="128" t="s">
        <v>8876</v>
      </c>
      <c r="L23" s="590" t="s">
        <v>8881</v>
      </c>
      <c r="M23" s="591"/>
      <c r="N23" s="591"/>
      <c r="O23" s="591"/>
      <c r="P23" s="591"/>
      <c r="Q23" s="592"/>
      <c r="V23" s="79"/>
      <c r="W23" s="17">
        <f t="shared" si="1"/>
        <v>0</v>
      </c>
      <c r="X23" s="17">
        <f t="shared" si="2"/>
        <v>0</v>
      </c>
      <c r="Y23" s="17">
        <f t="shared" si="2"/>
        <v>0</v>
      </c>
      <c r="Z23" s="17">
        <f t="shared" si="3"/>
        <v>0</v>
      </c>
      <c r="AB23" s="17">
        <f t="shared" si="10"/>
        <v>0</v>
      </c>
      <c r="AC23" s="17">
        <f t="shared" si="9"/>
        <v>0</v>
      </c>
      <c r="AD23" s="17"/>
      <c r="AE23" s="17"/>
      <c r="AF23" s="17">
        <f>I39</f>
        <v>0</v>
      </c>
      <c r="AG23" s="17">
        <f t="shared" si="11"/>
        <v>0</v>
      </c>
      <c r="AH23" s="17">
        <f t="shared" si="11"/>
        <v>0</v>
      </c>
    </row>
    <row r="24" spans="2:34" x14ac:dyDescent="0.25">
      <c r="B24" s="137"/>
      <c r="C24" s="149"/>
      <c r="D24" s="150"/>
      <c r="E24" s="588"/>
      <c r="F24" s="589"/>
      <c r="G24" s="151"/>
      <c r="H24" s="151"/>
      <c r="I24" s="151"/>
      <c r="J24" s="151"/>
      <c r="K24" s="293"/>
      <c r="L24" s="577"/>
      <c r="M24" s="578"/>
      <c r="N24" s="578"/>
      <c r="O24" s="578"/>
      <c r="P24" s="578"/>
      <c r="Q24" s="579"/>
      <c r="U24" s="17" t="s">
        <v>10221</v>
      </c>
      <c r="V24" s="17"/>
      <c r="W24" s="17">
        <f t="shared" ref="W24:W35" si="12">F9</f>
        <v>0</v>
      </c>
      <c r="X24" s="17">
        <f>L9</f>
        <v>0</v>
      </c>
      <c r="Y24" s="17">
        <f>M9</f>
        <v>0</v>
      </c>
      <c r="Z24" s="17">
        <f>K9</f>
        <v>0</v>
      </c>
      <c r="AB24" s="17">
        <f t="shared" si="10"/>
        <v>0</v>
      </c>
      <c r="AC24" s="17">
        <f t="shared" si="9"/>
        <v>0</v>
      </c>
      <c r="AD24" s="17"/>
      <c r="AE24" s="17"/>
      <c r="AF24" s="17">
        <f>I36</f>
        <v>0</v>
      </c>
      <c r="AG24" s="17">
        <f>K36</f>
        <v>0</v>
      </c>
      <c r="AH24" s="17">
        <f>L36</f>
        <v>0</v>
      </c>
    </row>
    <row r="25" spans="2:34" x14ac:dyDescent="0.25">
      <c r="B25" s="137"/>
      <c r="C25" s="149"/>
      <c r="D25" s="150"/>
      <c r="E25" s="588"/>
      <c r="F25" s="589"/>
      <c r="G25" s="151"/>
      <c r="H25" s="151"/>
      <c r="I25" s="151"/>
      <c r="J25" s="151"/>
      <c r="K25" s="293"/>
      <c r="L25" s="577"/>
      <c r="M25" s="578"/>
      <c r="N25" s="578"/>
      <c r="O25" s="578"/>
      <c r="P25" s="578"/>
      <c r="Q25" s="579"/>
      <c r="U25" s="17" t="s">
        <v>10292</v>
      </c>
      <c r="V25" s="17"/>
      <c r="W25" s="17">
        <f t="shared" si="12"/>
        <v>0</v>
      </c>
      <c r="X25" s="17">
        <f t="shared" ref="X25:Y35" si="13">L10</f>
        <v>0</v>
      </c>
      <c r="Y25" s="17">
        <f t="shared" si="13"/>
        <v>0</v>
      </c>
      <c r="Z25" s="17">
        <f t="shared" ref="Z25:Z35" si="14">K10</f>
        <v>0</v>
      </c>
      <c r="AB25" s="17">
        <f t="shared" si="10"/>
        <v>0</v>
      </c>
      <c r="AC25" s="17">
        <f t="shared" si="9"/>
        <v>0</v>
      </c>
      <c r="AD25" s="17"/>
      <c r="AE25" s="17"/>
      <c r="AF25" s="17">
        <f>I37</f>
        <v>0</v>
      </c>
      <c r="AG25" s="17">
        <f t="shared" ref="AG25:AH27" si="15">K37</f>
        <v>0</v>
      </c>
      <c r="AH25" s="17">
        <f t="shared" si="15"/>
        <v>0</v>
      </c>
    </row>
    <row r="26" spans="2:34" x14ac:dyDescent="0.25">
      <c r="B26" s="137"/>
      <c r="C26" s="149"/>
      <c r="D26" s="150"/>
      <c r="E26" s="588"/>
      <c r="F26" s="589"/>
      <c r="G26" s="151"/>
      <c r="H26" s="151"/>
      <c r="I26" s="151"/>
      <c r="J26" s="151"/>
      <c r="K26" s="293"/>
      <c r="L26" s="577"/>
      <c r="M26" s="578"/>
      <c r="N26" s="578"/>
      <c r="O26" s="578"/>
      <c r="P26" s="578"/>
      <c r="Q26" s="579"/>
      <c r="U26" s="17" t="s">
        <v>10062</v>
      </c>
      <c r="V26" s="137"/>
      <c r="W26" s="17">
        <f t="shared" si="12"/>
        <v>0</v>
      </c>
      <c r="X26" s="17">
        <f t="shared" si="13"/>
        <v>0</v>
      </c>
      <c r="Y26" s="17">
        <f t="shared" si="13"/>
        <v>0</v>
      </c>
      <c r="Z26" s="17">
        <f t="shared" si="14"/>
        <v>0</v>
      </c>
      <c r="AB26" s="17">
        <f>I24</f>
        <v>0</v>
      </c>
      <c r="AC26" s="17">
        <f>K24</f>
        <v>0</v>
      </c>
      <c r="AD26" s="17"/>
      <c r="AE26" s="17"/>
      <c r="AF26" s="17">
        <f>I38</f>
        <v>0</v>
      </c>
      <c r="AG26" s="17">
        <f t="shared" si="15"/>
        <v>0</v>
      </c>
      <c r="AH26" s="17">
        <f t="shared" si="15"/>
        <v>0</v>
      </c>
    </row>
    <row r="27" spans="2:34" ht="14.45" customHeight="1" x14ac:dyDescent="0.25">
      <c r="B27" s="137"/>
      <c r="C27" s="149"/>
      <c r="D27" s="150"/>
      <c r="E27" s="588"/>
      <c r="F27" s="589"/>
      <c r="G27" s="151"/>
      <c r="H27" s="151"/>
      <c r="I27" s="151"/>
      <c r="J27" s="151"/>
      <c r="K27" s="293"/>
      <c r="L27" s="577"/>
      <c r="M27" s="578"/>
      <c r="N27" s="578"/>
      <c r="O27" s="578"/>
      <c r="P27" s="578"/>
      <c r="Q27" s="579"/>
      <c r="U27" s="137" t="s">
        <v>10289</v>
      </c>
      <c r="V27" s="137"/>
      <c r="W27" s="17">
        <f t="shared" si="12"/>
        <v>0</v>
      </c>
      <c r="X27" s="17">
        <f t="shared" si="13"/>
        <v>0</v>
      </c>
      <c r="Y27" s="17">
        <f t="shared" si="13"/>
        <v>0</v>
      </c>
      <c r="Z27" s="17">
        <f t="shared" si="14"/>
        <v>0</v>
      </c>
      <c r="AB27" s="17">
        <f t="shared" ref="AB27:AB32" si="16">I25</f>
        <v>0</v>
      </c>
      <c r="AC27" s="17">
        <f t="shared" ref="AC27:AC32" si="17">K25</f>
        <v>0</v>
      </c>
      <c r="AD27" s="17"/>
      <c r="AE27" s="17"/>
      <c r="AF27" s="17">
        <f>I39</f>
        <v>0</v>
      </c>
      <c r="AG27" s="17">
        <f t="shared" si="15"/>
        <v>0</v>
      </c>
      <c r="AH27" s="17">
        <f t="shared" si="15"/>
        <v>0</v>
      </c>
    </row>
    <row r="28" spans="2:34" x14ac:dyDescent="0.25">
      <c r="B28" s="137"/>
      <c r="C28" s="149"/>
      <c r="D28" s="150"/>
      <c r="E28" s="588"/>
      <c r="F28" s="589"/>
      <c r="G28" s="151"/>
      <c r="H28" s="151"/>
      <c r="I28" s="151"/>
      <c r="J28" s="151"/>
      <c r="K28" s="293"/>
      <c r="L28" s="577"/>
      <c r="M28" s="578"/>
      <c r="N28" s="578"/>
      <c r="O28" s="578"/>
      <c r="P28" s="578"/>
      <c r="Q28" s="579"/>
      <c r="U28" s="137" t="s">
        <v>10291</v>
      </c>
      <c r="V28" s="137"/>
      <c r="W28" s="17">
        <f t="shared" si="12"/>
        <v>0</v>
      </c>
      <c r="X28" s="17">
        <f t="shared" si="13"/>
        <v>0</v>
      </c>
      <c r="Y28" s="17">
        <f t="shared" si="13"/>
        <v>0</v>
      </c>
      <c r="Z28" s="17">
        <f t="shared" si="14"/>
        <v>0</v>
      </c>
      <c r="AB28" s="17">
        <f t="shared" si="16"/>
        <v>0</v>
      </c>
      <c r="AC28" s="17">
        <f t="shared" si="17"/>
        <v>0</v>
      </c>
      <c r="AD28" s="17"/>
      <c r="AE28" s="17"/>
      <c r="AF28" s="17">
        <f>J36</f>
        <v>0</v>
      </c>
      <c r="AG28" s="17">
        <f>K36</f>
        <v>0</v>
      </c>
      <c r="AH28" s="17">
        <f>L36</f>
        <v>0</v>
      </c>
    </row>
    <row r="29" spans="2:34" x14ac:dyDescent="0.25">
      <c r="B29" s="137"/>
      <c r="C29" s="149"/>
      <c r="D29" s="150"/>
      <c r="E29" s="588"/>
      <c r="F29" s="589"/>
      <c r="G29" s="151"/>
      <c r="H29" s="151"/>
      <c r="I29" s="151"/>
      <c r="J29" s="151"/>
      <c r="K29" s="293"/>
      <c r="L29" s="577"/>
      <c r="M29" s="578"/>
      <c r="N29" s="578"/>
      <c r="O29" s="578"/>
      <c r="P29" s="578"/>
      <c r="Q29" s="579"/>
      <c r="U29" s="137" t="s">
        <v>10219</v>
      </c>
      <c r="V29" s="137"/>
      <c r="W29" s="17">
        <f t="shared" si="12"/>
        <v>0</v>
      </c>
      <c r="X29" s="17">
        <f t="shared" si="13"/>
        <v>0</v>
      </c>
      <c r="Y29" s="17">
        <f t="shared" si="13"/>
        <v>0</v>
      </c>
      <c r="Z29" s="17">
        <f t="shared" si="14"/>
        <v>0</v>
      </c>
      <c r="AB29" s="17">
        <f t="shared" si="16"/>
        <v>0</v>
      </c>
      <c r="AC29" s="17">
        <f t="shared" si="17"/>
        <v>0</v>
      </c>
      <c r="AD29" s="17"/>
      <c r="AE29" s="17"/>
      <c r="AF29" s="17">
        <f>J37</f>
        <v>0</v>
      </c>
      <c r="AG29" s="17">
        <f t="shared" ref="AG29:AH31" si="18">K37</f>
        <v>0</v>
      </c>
      <c r="AH29" s="17">
        <f t="shared" si="18"/>
        <v>0</v>
      </c>
    </row>
    <row r="30" spans="2:34" x14ac:dyDescent="0.25">
      <c r="B30" s="137"/>
      <c r="C30" s="149"/>
      <c r="D30" s="150"/>
      <c r="E30" s="588"/>
      <c r="F30" s="589"/>
      <c r="G30" s="151"/>
      <c r="H30" s="151"/>
      <c r="I30" s="151"/>
      <c r="J30" s="151"/>
      <c r="K30" s="293"/>
      <c r="L30" s="577"/>
      <c r="M30" s="578"/>
      <c r="N30" s="578"/>
      <c r="O30" s="578"/>
      <c r="P30" s="578"/>
      <c r="Q30" s="579"/>
      <c r="U30" s="17" t="s">
        <v>10220</v>
      </c>
      <c r="V30" s="17"/>
      <c r="W30" s="17">
        <f t="shared" si="12"/>
        <v>0</v>
      </c>
      <c r="X30" s="17">
        <f t="shared" si="13"/>
        <v>0</v>
      </c>
      <c r="Y30" s="17">
        <f t="shared" si="13"/>
        <v>0</v>
      </c>
      <c r="Z30" s="17">
        <f t="shared" si="14"/>
        <v>0</v>
      </c>
      <c r="AB30" s="17">
        <f t="shared" si="16"/>
        <v>0</v>
      </c>
      <c r="AC30" s="17">
        <f t="shared" si="17"/>
        <v>0</v>
      </c>
      <c r="AD30" s="17"/>
      <c r="AE30" s="17"/>
      <c r="AF30" s="17">
        <f>J38</f>
        <v>0</v>
      </c>
      <c r="AG30" s="17">
        <f t="shared" si="18"/>
        <v>0</v>
      </c>
      <c r="AH30" s="17">
        <f t="shared" si="18"/>
        <v>0</v>
      </c>
    </row>
    <row r="31" spans="2:34" x14ac:dyDescent="0.25">
      <c r="B31" s="137"/>
      <c r="C31" s="138"/>
      <c r="D31" s="139"/>
      <c r="J31" s="145"/>
      <c r="K31" s="140"/>
      <c r="L31" s="140"/>
      <c r="M31" s="140"/>
      <c r="N31" s="140"/>
      <c r="O31" s="140"/>
      <c r="P31" s="140"/>
      <c r="Q31" s="141"/>
      <c r="U31" s="17" t="s">
        <v>10058</v>
      </c>
      <c r="V31" s="17"/>
      <c r="W31" s="17">
        <f t="shared" si="12"/>
        <v>0</v>
      </c>
      <c r="X31" s="17">
        <f t="shared" si="13"/>
        <v>0</v>
      </c>
      <c r="Y31" s="17">
        <f t="shared" si="13"/>
        <v>0</v>
      </c>
      <c r="Z31" s="17">
        <f t="shared" si="14"/>
        <v>0</v>
      </c>
      <c r="AB31" s="17">
        <f t="shared" si="16"/>
        <v>0</v>
      </c>
      <c r="AC31" s="17">
        <f t="shared" si="17"/>
        <v>0</v>
      </c>
      <c r="AD31" s="17"/>
      <c r="AE31" s="17"/>
      <c r="AF31" s="17">
        <f>J39</f>
        <v>0</v>
      </c>
      <c r="AG31" s="17">
        <f t="shared" si="18"/>
        <v>0</v>
      </c>
      <c r="AH31" s="17">
        <f t="shared" si="18"/>
        <v>0</v>
      </c>
    </row>
    <row r="32" spans="2:34" ht="15.75" x14ac:dyDescent="0.25">
      <c r="B32" s="583" t="s">
        <v>8884</v>
      </c>
      <c r="C32" s="583"/>
      <c r="D32" s="583"/>
      <c r="E32" s="583"/>
      <c r="F32" s="583"/>
      <c r="G32" s="583"/>
      <c r="H32" s="583"/>
      <c r="I32" s="583"/>
      <c r="J32" s="583"/>
      <c r="K32" s="583"/>
      <c r="L32" s="583"/>
      <c r="M32" s="583"/>
      <c r="N32" s="583"/>
      <c r="O32" s="583"/>
      <c r="P32" s="583"/>
      <c r="Q32" s="583"/>
      <c r="U32" s="17" t="s">
        <v>10294</v>
      </c>
      <c r="V32" s="17"/>
      <c r="W32" s="17">
        <f t="shared" si="12"/>
        <v>0</v>
      </c>
      <c r="X32" s="17">
        <f t="shared" si="13"/>
        <v>0</v>
      </c>
      <c r="Y32" s="17">
        <f t="shared" si="13"/>
        <v>0</v>
      </c>
      <c r="Z32" s="17">
        <f t="shared" si="14"/>
        <v>0</v>
      </c>
      <c r="AB32" s="17">
        <f t="shared" si="16"/>
        <v>0</v>
      </c>
      <c r="AC32" s="17">
        <f t="shared" si="17"/>
        <v>0</v>
      </c>
      <c r="AD32" s="17"/>
      <c r="AE32" s="17"/>
    </row>
    <row r="33" spans="2:31" x14ac:dyDescent="0.25">
      <c r="B33" s="137"/>
      <c r="C33" s="138"/>
      <c r="D33" s="139"/>
      <c r="J33" s="145"/>
      <c r="K33" s="140"/>
      <c r="L33" s="140"/>
      <c r="M33" s="140"/>
      <c r="N33" s="140"/>
      <c r="O33" s="140"/>
      <c r="P33" s="140"/>
      <c r="Q33" s="141"/>
      <c r="U33" s="17" t="s">
        <v>10290</v>
      </c>
      <c r="V33" s="17"/>
      <c r="W33" s="17">
        <f t="shared" si="12"/>
        <v>0</v>
      </c>
      <c r="X33" s="17">
        <f t="shared" si="13"/>
        <v>0</v>
      </c>
      <c r="Y33" s="17">
        <f t="shared" si="13"/>
        <v>0</v>
      </c>
      <c r="Z33" s="17">
        <f t="shared" si="14"/>
        <v>0</v>
      </c>
      <c r="AB33" s="17">
        <f>J24</f>
        <v>0</v>
      </c>
      <c r="AC33" s="17">
        <f>K24</f>
        <v>0</v>
      </c>
      <c r="AD33" s="17"/>
      <c r="AE33" s="17"/>
    </row>
    <row r="34" spans="2:31" x14ac:dyDescent="0.25">
      <c r="B34" s="137"/>
      <c r="C34" s="138"/>
      <c r="D34" s="147"/>
      <c r="E34" s="594" t="s">
        <v>8877</v>
      </c>
      <c r="F34" s="594"/>
      <c r="G34" s="594"/>
      <c r="H34" s="594"/>
      <c r="I34" s="594"/>
      <c r="J34" s="594"/>
      <c r="K34" s="580" t="s">
        <v>8883</v>
      </c>
      <c r="L34" s="581"/>
      <c r="M34" s="581"/>
      <c r="N34" s="581"/>
      <c r="O34" s="581"/>
      <c r="P34" s="581"/>
      <c r="Q34" s="582"/>
      <c r="U34" s="137" t="s">
        <v>10068</v>
      </c>
      <c r="V34" s="17"/>
      <c r="W34" s="17">
        <f t="shared" si="12"/>
        <v>0</v>
      </c>
      <c r="X34" s="17">
        <f t="shared" si="13"/>
        <v>0</v>
      </c>
      <c r="Y34" s="17">
        <f t="shared" si="13"/>
        <v>0</v>
      </c>
      <c r="Z34" s="17">
        <f t="shared" si="14"/>
        <v>0</v>
      </c>
      <c r="AB34" s="17">
        <f t="shared" ref="AB34:AC39" si="19">J25</f>
        <v>0</v>
      </c>
      <c r="AC34" s="17">
        <f t="shared" si="19"/>
        <v>0</v>
      </c>
      <c r="AD34" s="17"/>
      <c r="AE34" s="17"/>
    </row>
    <row r="35" spans="2:31" ht="38.25" x14ac:dyDescent="0.25">
      <c r="B35" s="137"/>
      <c r="C35" s="138"/>
      <c r="D35" s="133" t="s">
        <v>8882</v>
      </c>
      <c r="E35" s="587" t="s">
        <v>8878</v>
      </c>
      <c r="F35" s="587"/>
      <c r="G35" s="587" t="s">
        <v>8879</v>
      </c>
      <c r="H35" s="587"/>
      <c r="I35" s="587"/>
      <c r="J35" s="587"/>
      <c r="K35" s="133" t="s">
        <v>9040</v>
      </c>
      <c r="L35" s="133" t="s">
        <v>9062</v>
      </c>
      <c r="M35" s="134" t="s">
        <v>7823</v>
      </c>
      <c r="N35" s="590" t="s">
        <v>8875</v>
      </c>
      <c r="O35" s="591"/>
      <c r="P35" s="591"/>
      <c r="Q35" s="592"/>
      <c r="U35" s="17" t="s">
        <v>10296</v>
      </c>
      <c r="W35" s="17">
        <f t="shared" si="12"/>
        <v>0</v>
      </c>
      <c r="X35" s="17">
        <f t="shared" si="13"/>
        <v>0</v>
      </c>
      <c r="Y35" s="17">
        <f t="shared" si="13"/>
        <v>0</v>
      </c>
      <c r="Z35" s="17">
        <f t="shared" si="14"/>
        <v>0</v>
      </c>
      <c r="AB35" s="17">
        <f t="shared" si="19"/>
        <v>0</v>
      </c>
      <c r="AC35" s="17">
        <f t="shared" si="19"/>
        <v>0</v>
      </c>
      <c r="AD35" s="17"/>
      <c r="AE35" s="17"/>
    </row>
    <row r="36" spans="2:31" x14ac:dyDescent="0.25">
      <c r="B36" s="137"/>
      <c r="C36" s="138"/>
      <c r="D36" s="150"/>
      <c r="E36" s="588"/>
      <c r="F36" s="589"/>
      <c r="G36" s="151"/>
      <c r="H36" s="151"/>
      <c r="I36" s="151"/>
      <c r="J36" s="151"/>
      <c r="K36" s="151"/>
      <c r="L36" s="73"/>
      <c r="M36" s="73"/>
      <c r="N36" s="584"/>
      <c r="O36" s="585"/>
      <c r="P36" s="585"/>
      <c r="Q36" s="586"/>
      <c r="W36" s="17">
        <f t="shared" ref="W36:W47" si="20">G9</f>
        <v>0</v>
      </c>
      <c r="X36" s="17">
        <f>L9</f>
        <v>0</v>
      </c>
      <c r="Y36" s="17">
        <f>M9</f>
        <v>0</v>
      </c>
      <c r="Z36" s="17">
        <f>K9</f>
        <v>0</v>
      </c>
      <c r="AB36" s="17">
        <f t="shared" si="19"/>
        <v>0</v>
      </c>
      <c r="AC36" s="17">
        <f t="shared" si="19"/>
        <v>0</v>
      </c>
      <c r="AD36" s="17"/>
      <c r="AE36" s="17"/>
    </row>
    <row r="37" spans="2:31" x14ac:dyDescent="0.25">
      <c r="B37" s="137"/>
      <c r="C37" s="138"/>
      <c r="D37" s="150"/>
      <c r="E37" s="588"/>
      <c r="F37" s="589"/>
      <c r="G37" s="151"/>
      <c r="H37" s="151"/>
      <c r="I37" s="151"/>
      <c r="J37" s="151"/>
      <c r="K37" s="151"/>
      <c r="L37" s="73"/>
      <c r="M37" s="73"/>
      <c r="N37" s="584"/>
      <c r="O37" s="585"/>
      <c r="P37" s="585"/>
      <c r="Q37" s="586"/>
      <c r="W37" s="17">
        <f t="shared" si="20"/>
        <v>0</v>
      </c>
      <c r="X37" s="17">
        <f t="shared" ref="X37:Y47" si="21">L10</f>
        <v>0</v>
      </c>
      <c r="Y37" s="17">
        <f t="shared" si="21"/>
        <v>0</v>
      </c>
      <c r="Z37" s="17">
        <f t="shared" ref="Z37:Z47" si="22">K10</f>
        <v>0</v>
      </c>
      <c r="AB37" s="17">
        <f t="shared" si="19"/>
        <v>0</v>
      </c>
      <c r="AC37" s="17">
        <f t="shared" si="19"/>
        <v>0</v>
      </c>
      <c r="AD37" s="17"/>
      <c r="AE37" s="17"/>
    </row>
    <row r="38" spans="2:31" x14ac:dyDescent="0.25">
      <c r="B38" s="137"/>
      <c r="C38" s="138"/>
      <c r="D38" s="150"/>
      <c r="E38" s="588"/>
      <c r="F38" s="589"/>
      <c r="G38" s="151"/>
      <c r="H38" s="151"/>
      <c r="I38" s="151"/>
      <c r="J38" s="151"/>
      <c r="K38" s="151"/>
      <c r="L38" s="73"/>
      <c r="M38" s="73"/>
      <c r="N38" s="584"/>
      <c r="O38" s="585"/>
      <c r="P38" s="585"/>
      <c r="Q38" s="586"/>
      <c r="W38" s="17">
        <f t="shared" si="20"/>
        <v>0</v>
      </c>
      <c r="X38" s="17">
        <f t="shared" si="21"/>
        <v>0</v>
      </c>
      <c r="Y38" s="17">
        <f t="shared" si="21"/>
        <v>0</v>
      </c>
      <c r="Z38" s="17">
        <f t="shared" si="22"/>
        <v>0</v>
      </c>
      <c r="AB38" s="17">
        <f t="shared" si="19"/>
        <v>0</v>
      </c>
      <c r="AC38" s="17">
        <f t="shared" si="19"/>
        <v>0</v>
      </c>
      <c r="AD38" s="17"/>
      <c r="AE38" s="17"/>
    </row>
    <row r="39" spans="2:31" x14ac:dyDescent="0.25">
      <c r="B39" s="137"/>
      <c r="C39" s="138"/>
      <c r="D39" s="150"/>
      <c r="E39" s="588"/>
      <c r="F39" s="589"/>
      <c r="G39" s="151"/>
      <c r="H39" s="151"/>
      <c r="I39" s="151"/>
      <c r="J39" s="151"/>
      <c r="K39" s="151"/>
      <c r="L39" s="73"/>
      <c r="M39" s="73"/>
      <c r="N39" s="584"/>
      <c r="O39" s="585"/>
      <c r="P39" s="585"/>
      <c r="Q39" s="586"/>
      <c r="W39" s="17">
        <f t="shared" si="20"/>
        <v>0</v>
      </c>
      <c r="X39" s="17">
        <f t="shared" si="21"/>
        <v>0</v>
      </c>
      <c r="Y39" s="17">
        <f t="shared" si="21"/>
        <v>0</v>
      </c>
      <c r="Z39" s="17">
        <f t="shared" si="22"/>
        <v>0</v>
      </c>
      <c r="AB39" s="17">
        <f t="shared" si="19"/>
        <v>0</v>
      </c>
      <c r="AC39" s="17">
        <f t="shared" si="19"/>
        <v>0</v>
      </c>
      <c r="AD39" s="17"/>
      <c r="AE39" s="17"/>
    </row>
    <row r="40" spans="2:31" x14ac:dyDescent="0.25">
      <c r="B40" s="137"/>
      <c r="C40" s="138"/>
      <c r="D40" s="139"/>
      <c r="J40" s="145"/>
      <c r="K40" s="140"/>
      <c r="L40" s="140"/>
      <c r="M40" s="140"/>
      <c r="N40" s="140"/>
      <c r="O40" s="140"/>
      <c r="P40" s="140"/>
      <c r="Q40" s="141"/>
      <c r="W40" s="17">
        <f t="shared" si="20"/>
        <v>0</v>
      </c>
      <c r="X40" s="17">
        <f t="shared" si="21"/>
        <v>0</v>
      </c>
      <c r="Y40" s="17">
        <f t="shared" si="21"/>
        <v>0</v>
      </c>
      <c r="Z40" s="17">
        <f t="shared" si="22"/>
        <v>0</v>
      </c>
    </row>
    <row r="41" spans="2:31" x14ac:dyDescent="0.25">
      <c r="B41" s="11" t="s">
        <v>8895</v>
      </c>
      <c r="C41" s="138"/>
      <c r="D41" s="139"/>
      <c r="J41" s="145"/>
      <c r="K41" s="140"/>
      <c r="L41" s="140"/>
      <c r="M41" s="140"/>
      <c r="N41" s="140"/>
      <c r="O41" s="140"/>
      <c r="P41" s="140"/>
      <c r="Q41" s="141"/>
      <c r="W41" s="17">
        <f t="shared" si="20"/>
        <v>0</v>
      </c>
      <c r="X41" s="17">
        <f t="shared" si="21"/>
        <v>0</v>
      </c>
      <c r="Y41" s="17">
        <f t="shared" si="21"/>
        <v>0</v>
      </c>
      <c r="Z41" s="17">
        <f t="shared" si="22"/>
        <v>0</v>
      </c>
    </row>
    <row r="42" spans="2:31" x14ac:dyDescent="0.25">
      <c r="B42" s="568"/>
      <c r="C42" s="569"/>
      <c r="D42" s="569"/>
      <c r="E42" s="569"/>
      <c r="F42" s="569"/>
      <c r="G42" s="569"/>
      <c r="H42" s="569"/>
      <c r="I42" s="569"/>
      <c r="J42" s="569"/>
      <c r="K42" s="569"/>
      <c r="L42" s="569"/>
      <c r="M42" s="569"/>
      <c r="N42" s="569"/>
      <c r="O42" s="569"/>
      <c r="P42" s="569"/>
      <c r="Q42" s="570"/>
      <c r="U42" t="s">
        <v>10293</v>
      </c>
      <c r="W42" s="17">
        <f t="shared" si="20"/>
        <v>0</v>
      </c>
      <c r="X42" s="17">
        <f t="shared" si="21"/>
        <v>0</v>
      </c>
      <c r="Y42" s="17">
        <f t="shared" si="21"/>
        <v>0</v>
      </c>
      <c r="Z42" s="17">
        <f t="shared" si="22"/>
        <v>0</v>
      </c>
    </row>
    <row r="43" spans="2:31" x14ac:dyDescent="0.25">
      <c r="B43" s="571"/>
      <c r="C43" s="572"/>
      <c r="D43" s="572"/>
      <c r="E43" s="572"/>
      <c r="F43" s="572"/>
      <c r="G43" s="572"/>
      <c r="H43" s="572"/>
      <c r="I43" s="572"/>
      <c r="J43" s="572"/>
      <c r="K43" s="572"/>
      <c r="L43" s="572"/>
      <c r="M43" s="572"/>
      <c r="N43" s="572"/>
      <c r="O43" s="572"/>
      <c r="P43" s="572"/>
      <c r="Q43" s="573"/>
      <c r="U43" s="169" t="s">
        <v>9048</v>
      </c>
      <c r="W43" s="17">
        <f t="shared" si="20"/>
        <v>0</v>
      </c>
      <c r="X43" s="17">
        <f t="shared" si="21"/>
        <v>0</v>
      </c>
      <c r="Y43" s="17">
        <f t="shared" si="21"/>
        <v>0</v>
      </c>
      <c r="Z43" s="17">
        <f t="shared" si="22"/>
        <v>0</v>
      </c>
    </row>
    <row r="44" spans="2:31" x14ac:dyDescent="0.25">
      <c r="B44" s="571"/>
      <c r="C44" s="572"/>
      <c r="D44" s="572"/>
      <c r="E44" s="572"/>
      <c r="F44" s="572"/>
      <c r="G44" s="572"/>
      <c r="H44" s="572"/>
      <c r="I44" s="572"/>
      <c r="J44" s="572"/>
      <c r="K44" s="572"/>
      <c r="L44" s="572"/>
      <c r="M44" s="572"/>
      <c r="N44" s="572"/>
      <c r="O44" s="572"/>
      <c r="P44" s="572"/>
      <c r="Q44" s="573"/>
      <c r="U44" s="26" t="s">
        <v>9049</v>
      </c>
      <c r="W44" s="17">
        <f t="shared" si="20"/>
        <v>0</v>
      </c>
      <c r="X44" s="17">
        <f t="shared" si="21"/>
        <v>0</v>
      </c>
      <c r="Y44" s="17">
        <f t="shared" si="21"/>
        <v>0</v>
      </c>
      <c r="Z44" s="17">
        <f t="shared" si="22"/>
        <v>0</v>
      </c>
    </row>
    <row r="45" spans="2:31" x14ac:dyDescent="0.25">
      <c r="B45" s="574"/>
      <c r="C45" s="575"/>
      <c r="D45" s="575"/>
      <c r="E45" s="575"/>
      <c r="F45" s="575"/>
      <c r="G45" s="575"/>
      <c r="H45" s="575"/>
      <c r="I45" s="575"/>
      <c r="J45" s="575"/>
      <c r="K45" s="575"/>
      <c r="L45" s="575"/>
      <c r="M45" s="575"/>
      <c r="N45" s="575"/>
      <c r="O45" s="575"/>
      <c r="P45" s="575"/>
      <c r="Q45" s="576"/>
      <c r="U45" s="26" t="s">
        <v>9050</v>
      </c>
      <c r="W45" s="17">
        <f t="shared" si="20"/>
        <v>0</v>
      </c>
      <c r="X45" s="17">
        <f t="shared" si="21"/>
        <v>0</v>
      </c>
      <c r="Y45" s="17">
        <f t="shared" si="21"/>
        <v>0</v>
      </c>
      <c r="Z45" s="17">
        <f t="shared" si="22"/>
        <v>0</v>
      </c>
    </row>
    <row r="46" spans="2:31" x14ac:dyDescent="0.25">
      <c r="B46" s="137"/>
      <c r="C46" s="138"/>
      <c r="D46" s="139"/>
      <c r="J46" s="145"/>
      <c r="K46" s="140"/>
      <c r="L46" s="140"/>
      <c r="M46" s="140"/>
      <c r="N46" s="140"/>
      <c r="O46" s="140"/>
      <c r="P46" s="140"/>
      <c r="Q46" s="141"/>
      <c r="U46" s="169" t="s">
        <v>10230</v>
      </c>
      <c r="W46" s="17">
        <f t="shared" si="20"/>
        <v>0</v>
      </c>
      <c r="X46" s="17">
        <f t="shared" si="21"/>
        <v>0</v>
      </c>
      <c r="Y46" s="17">
        <f t="shared" si="21"/>
        <v>0</v>
      </c>
      <c r="Z46" s="17">
        <f t="shared" si="22"/>
        <v>0</v>
      </c>
    </row>
    <row r="47" spans="2:31" x14ac:dyDescent="0.25">
      <c r="B47" s="137"/>
      <c r="C47" s="138"/>
      <c r="D47" s="139"/>
      <c r="J47" s="145"/>
      <c r="K47" s="140"/>
      <c r="L47" s="140"/>
      <c r="M47" s="140"/>
      <c r="N47" s="140"/>
      <c r="O47" s="140"/>
      <c r="P47" s="140"/>
      <c r="Q47" s="141"/>
      <c r="U47" s="17" t="s">
        <v>10296</v>
      </c>
      <c r="W47" s="17">
        <f t="shared" si="20"/>
        <v>0</v>
      </c>
      <c r="X47" s="17">
        <f t="shared" si="21"/>
        <v>0</v>
      </c>
      <c r="Y47" s="17">
        <f t="shared" si="21"/>
        <v>0</v>
      </c>
      <c r="Z47" s="17">
        <f t="shared" si="22"/>
        <v>0</v>
      </c>
    </row>
    <row r="48" spans="2:31" x14ac:dyDescent="0.25">
      <c r="B48" s="137"/>
      <c r="C48" s="138"/>
      <c r="D48" s="139"/>
      <c r="J48" s="145"/>
      <c r="K48" s="140"/>
      <c r="L48" s="140"/>
      <c r="M48" s="140"/>
      <c r="N48" s="140"/>
      <c r="O48" s="140"/>
      <c r="P48" s="140"/>
      <c r="Q48" s="141"/>
      <c r="W48" s="17">
        <f t="shared" ref="W48:W59" si="23">H9</f>
        <v>0</v>
      </c>
      <c r="X48" s="17">
        <f>L9</f>
        <v>0</v>
      </c>
      <c r="Y48" s="17">
        <f>M9</f>
        <v>0</v>
      </c>
      <c r="Z48" s="17">
        <f>K9</f>
        <v>0</v>
      </c>
    </row>
    <row r="49" spans="2:26" x14ac:dyDescent="0.25">
      <c r="B49" s="137"/>
      <c r="C49" s="138"/>
      <c r="D49" s="139"/>
      <c r="J49" s="145"/>
      <c r="K49" s="140"/>
      <c r="L49" s="140"/>
      <c r="M49" s="140"/>
      <c r="N49" s="140"/>
      <c r="O49" s="140"/>
      <c r="P49" s="140"/>
      <c r="Q49" s="141"/>
      <c r="W49" s="17">
        <f t="shared" si="23"/>
        <v>0</v>
      </c>
      <c r="X49" s="17">
        <f t="shared" ref="X49:Y59" si="24">L10</f>
        <v>0</v>
      </c>
      <c r="Y49" s="17">
        <f t="shared" si="24"/>
        <v>0</v>
      </c>
      <c r="Z49" s="17">
        <f t="shared" ref="Z49:Z59" si="25">K10</f>
        <v>0</v>
      </c>
    </row>
    <row r="50" spans="2:26" x14ac:dyDescent="0.25">
      <c r="B50" s="137"/>
      <c r="C50" s="138"/>
      <c r="D50" s="139"/>
      <c r="J50" s="145"/>
      <c r="K50" s="140"/>
      <c r="L50" s="140"/>
      <c r="M50" s="140"/>
      <c r="N50" s="140"/>
      <c r="O50" s="140"/>
      <c r="P50" s="140"/>
      <c r="Q50" s="141"/>
      <c r="W50" s="17">
        <f t="shared" si="23"/>
        <v>0</v>
      </c>
      <c r="X50" s="17">
        <f t="shared" si="24"/>
        <v>0</v>
      </c>
      <c r="Y50" s="17">
        <f t="shared" si="24"/>
        <v>0</v>
      </c>
      <c r="Z50" s="17">
        <f t="shared" si="25"/>
        <v>0</v>
      </c>
    </row>
    <row r="51" spans="2:26" x14ac:dyDescent="0.25">
      <c r="B51" s="137"/>
      <c r="C51" s="138"/>
      <c r="D51" s="139"/>
      <c r="J51" s="145"/>
      <c r="K51" s="140"/>
      <c r="L51" s="140"/>
      <c r="M51" s="140"/>
      <c r="N51" s="140"/>
      <c r="O51" s="140"/>
      <c r="P51" s="140"/>
      <c r="Q51" s="141"/>
      <c r="W51" s="17">
        <f t="shared" si="23"/>
        <v>0</v>
      </c>
      <c r="X51" s="17">
        <f t="shared" si="24"/>
        <v>0</v>
      </c>
      <c r="Y51" s="17">
        <f t="shared" si="24"/>
        <v>0</v>
      </c>
      <c r="Z51" s="17">
        <f t="shared" si="25"/>
        <v>0</v>
      </c>
    </row>
    <row r="52" spans="2:26" x14ac:dyDescent="0.25">
      <c r="B52" s="137"/>
      <c r="C52" s="138"/>
      <c r="D52" s="139"/>
      <c r="J52" s="145"/>
      <c r="K52" s="140"/>
      <c r="L52" s="140"/>
      <c r="M52" s="140"/>
      <c r="N52" s="140"/>
      <c r="O52" s="140"/>
      <c r="P52" s="140"/>
      <c r="Q52" s="141"/>
      <c r="W52" s="17">
        <f t="shared" si="23"/>
        <v>0</v>
      </c>
      <c r="X52" s="17">
        <f t="shared" si="24"/>
        <v>0</v>
      </c>
      <c r="Y52" s="17">
        <f t="shared" si="24"/>
        <v>0</v>
      </c>
      <c r="Z52" s="17">
        <f t="shared" si="25"/>
        <v>0</v>
      </c>
    </row>
    <row r="53" spans="2:26" x14ac:dyDescent="0.25">
      <c r="B53" s="137"/>
      <c r="C53" s="138"/>
      <c r="D53" s="139"/>
      <c r="J53" s="145"/>
      <c r="K53" s="140"/>
      <c r="L53" s="140"/>
      <c r="M53" s="140"/>
      <c r="N53" s="140"/>
      <c r="O53" s="140"/>
      <c r="P53" s="140"/>
      <c r="Q53" s="141"/>
      <c r="W53" s="17">
        <f t="shared" si="23"/>
        <v>0</v>
      </c>
      <c r="X53" s="17">
        <f t="shared" si="24"/>
        <v>0</v>
      </c>
      <c r="Y53" s="17">
        <f t="shared" si="24"/>
        <v>0</v>
      </c>
      <c r="Z53" s="17">
        <f t="shared" si="25"/>
        <v>0</v>
      </c>
    </row>
    <row r="54" spans="2:26" x14ac:dyDescent="0.25">
      <c r="B54" s="137"/>
      <c r="C54" s="138"/>
      <c r="D54" s="139"/>
      <c r="J54" s="145"/>
      <c r="K54" s="140"/>
      <c r="L54" s="140"/>
      <c r="M54" s="140"/>
      <c r="N54" s="140"/>
      <c r="O54" s="140"/>
      <c r="P54" s="140"/>
      <c r="Q54" s="141"/>
      <c r="W54" s="17">
        <f t="shared" si="23"/>
        <v>0</v>
      </c>
      <c r="X54" s="17">
        <f t="shared" si="24"/>
        <v>0</v>
      </c>
      <c r="Y54" s="17">
        <f t="shared" si="24"/>
        <v>0</v>
      </c>
      <c r="Z54" s="17">
        <f t="shared" si="25"/>
        <v>0</v>
      </c>
    </row>
    <row r="55" spans="2:26" x14ac:dyDescent="0.25">
      <c r="B55" s="137"/>
      <c r="C55" s="138"/>
      <c r="D55" s="139"/>
      <c r="J55" s="145"/>
      <c r="K55" s="140"/>
      <c r="L55" s="140"/>
      <c r="M55" s="140"/>
      <c r="N55" s="140"/>
      <c r="O55" s="140"/>
      <c r="P55" s="140"/>
      <c r="Q55" s="141"/>
      <c r="W55" s="17">
        <f t="shared" si="23"/>
        <v>0</v>
      </c>
      <c r="X55" s="17">
        <f t="shared" si="24"/>
        <v>0</v>
      </c>
      <c r="Y55" s="17">
        <f t="shared" si="24"/>
        <v>0</v>
      </c>
      <c r="Z55" s="17">
        <f t="shared" si="25"/>
        <v>0</v>
      </c>
    </row>
    <row r="56" spans="2:26" x14ac:dyDescent="0.25">
      <c r="B56" s="137"/>
      <c r="C56" s="138"/>
      <c r="D56" s="139"/>
      <c r="J56" s="145"/>
      <c r="K56" s="140"/>
      <c r="L56" s="140"/>
      <c r="M56" s="140"/>
      <c r="N56" s="140"/>
      <c r="O56" s="140"/>
      <c r="P56" s="140"/>
      <c r="Q56" s="141"/>
      <c r="W56" s="17">
        <f t="shared" si="23"/>
        <v>0</v>
      </c>
      <c r="X56" s="17">
        <f t="shared" si="24"/>
        <v>0</v>
      </c>
      <c r="Y56" s="17">
        <f t="shared" si="24"/>
        <v>0</v>
      </c>
      <c r="Z56" s="17">
        <f t="shared" si="25"/>
        <v>0</v>
      </c>
    </row>
    <row r="57" spans="2:26" x14ac:dyDescent="0.25">
      <c r="B57" s="137"/>
      <c r="C57" s="138"/>
      <c r="D57" s="139"/>
      <c r="J57" s="145"/>
      <c r="K57" s="140"/>
      <c r="L57" s="140"/>
      <c r="M57" s="140"/>
      <c r="N57" s="140"/>
      <c r="O57" s="140"/>
      <c r="P57" s="140"/>
      <c r="Q57" s="141"/>
      <c r="W57" s="17">
        <f t="shared" si="23"/>
        <v>0</v>
      </c>
      <c r="X57" s="17">
        <f t="shared" si="24"/>
        <v>0</v>
      </c>
      <c r="Y57" s="17">
        <f t="shared" si="24"/>
        <v>0</v>
      </c>
      <c r="Z57" s="17">
        <f t="shared" si="25"/>
        <v>0</v>
      </c>
    </row>
    <row r="58" spans="2:26" x14ac:dyDescent="0.25">
      <c r="B58" s="137"/>
      <c r="C58" s="138"/>
      <c r="D58" s="139"/>
      <c r="J58" s="145"/>
      <c r="K58" s="140"/>
      <c r="L58" s="140"/>
      <c r="M58" s="140"/>
      <c r="N58" s="140"/>
      <c r="O58" s="140"/>
      <c r="P58" s="140"/>
      <c r="Q58" s="141"/>
      <c r="W58" s="17">
        <f t="shared" si="23"/>
        <v>0</v>
      </c>
      <c r="X58" s="17">
        <f t="shared" si="24"/>
        <v>0</v>
      </c>
      <c r="Y58" s="17">
        <f t="shared" si="24"/>
        <v>0</v>
      </c>
      <c r="Z58" s="17">
        <f t="shared" si="25"/>
        <v>0</v>
      </c>
    </row>
    <row r="59" spans="2:26" x14ac:dyDescent="0.25">
      <c r="B59" s="137"/>
      <c r="C59" s="138"/>
      <c r="D59" s="139"/>
      <c r="J59" s="145"/>
      <c r="K59" s="140"/>
      <c r="L59" s="140"/>
      <c r="M59" s="140"/>
      <c r="N59" s="140"/>
      <c r="O59" s="140"/>
      <c r="P59" s="140"/>
      <c r="Q59" s="141"/>
      <c r="W59" s="17">
        <f t="shared" si="23"/>
        <v>0</v>
      </c>
      <c r="X59" s="17">
        <f t="shared" si="24"/>
        <v>0</v>
      </c>
      <c r="Y59" s="17">
        <f t="shared" si="24"/>
        <v>0</v>
      </c>
      <c r="Z59" s="17">
        <f t="shared" si="25"/>
        <v>0</v>
      </c>
    </row>
    <row r="60" spans="2:26" x14ac:dyDescent="0.25">
      <c r="B60" s="137"/>
      <c r="C60" s="138"/>
      <c r="D60" s="139"/>
      <c r="J60" s="145"/>
      <c r="K60" s="140"/>
      <c r="L60" s="140"/>
      <c r="M60" s="140"/>
      <c r="N60" s="140"/>
      <c r="O60" s="140"/>
      <c r="P60" s="140"/>
      <c r="Q60" s="141"/>
      <c r="W60" s="17">
        <f t="shared" ref="W60:W71" si="26">I9</f>
        <v>0</v>
      </c>
      <c r="X60" s="17">
        <f>L9</f>
        <v>0</v>
      </c>
      <c r="Y60" s="17">
        <f>M9</f>
        <v>0</v>
      </c>
      <c r="Z60" s="17">
        <f>K9</f>
        <v>0</v>
      </c>
    </row>
    <row r="61" spans="2:26" x14ac:dyDescent="0.25">
      <c r="B61" s="137"/>
      <c r="C61" s="138"/>
      <c r="D61" s="139"/>
      <c r="J61" s="145"/>
      <c r="K61" s="140"/>
      <c r="L61" s="140"/>
      <c r="M61" s="140"/>
      <c r="N61" s="140"/>
      <c r="O61" s="140"/>
      <c r="P61" s="140"/>
      <c r="Q61" s="141"/>
      <c r="W61" s="17">
        <f t="shared" si="26"/>
        <v>0</v>
      </c>
      <c r="X61" s="17">
        <f t="shared" ref="X61:Y71" si="27">L10</f>
        <v>0</v>
      </c>
      <c r="Y61" s="17">
        <f t="shared" si="27"/>
        <v>0</v>
      </c>
      <c r="Z61" s="17">
        <f t="shared" ref="Z61:Z71" si="28">K10</f>
        <v>0</v>
      </c>
    </row>
    <row r="62" spans="2:26" x14ac:dyDescent="0.25">
      <c r="B62" s="137"/>
      <c r="C62" s="138"/>
      <c r="D62" s="139"/>
      <c r="J62" s="145"/>
      <c r="K62" s="140"/>
      <c r="L62" s="140"/>
      <c r="M62" s="140"/>
      <c r="N62" s="140"/>
      <c r="O62" s="140"/>
      <c r="P62" s="140"/>
      <c r="Q62" s="141"/>
      <c r="W62" s="17">
        <f t="shared" si="26"/>
        <v>0</v>
      </c>
      <c r="X62" s="17">
        <f t="shared" si="27"/>
        <v>0</v>
      </c>
      <c r="Y62" s="17">
        <f t="shared" si="27"/>
        <v>0</v>
      </c>
      <c r="Z62" s="17">
        <f t="shared" si="28"/>
        <v>0</v>
      </c>
    </row>
    <row r="63" spans="2:26" x14ac:dyDescent="0.25">
      <c r="B63" s="137"/>
      <c r="C63" s="138"/>
      <c r="D63" s="139"/>
      <c r="J63" s="145"/>
      <c r="K63" s="140"/>
      <c r="L63" s="140"/>
      <c r="M63" s="140"/>
      <c r="N63" s="140"/>
      <c r="O63" s="140"/>
      <c r="P63" s="140"/>
      <c r="Q63" s="141"/>
      <c r="W63" s="17">
        <f t="shared" si="26"/>
        <v>0</v>
      </c>
      <c r="X63" s="17">
        <f t="shared" si="27"/>
        <v>0</v>
      </c>
      <c r="Y63" s="17">
        <f t="shared" si="27"/>
        <v>0</v>
      </c>
      <c r="Z63" s="17">
        <f t="shared" si="28"/>
        <v>0</v>
      </c>
    </row>
    <row r="64" spans="2:26" x14ac:dyDescent="0.25">
      <c r="B64" s="137"/>
      <c r="C64" s="138"/>
      <c r="D64" s="139"/>
      <c r="J64" s="145"/>
      <c r="K64" s="140"/>
      <c r="L64" s="140"/>
      <c r="M64" s="140"/>
      <c r="N64" s="140"/>
      <c r="O64" s="140"/>
      <c r="P64" s="140"/>
      <c r="Q64" s="141"/>
      <c r="W64" s="17">
        <f t="shared" si="26"/>
        <v>0</v>
      </c>
      <c r="X64" s="17">
        <f t="shared" si="27"/>
        <v>0</v>
      </c>
      <c r="Y64" s="17">
        <f t="shared" si="27"/>
        <v>0</v>
      </c>
      <c r="Z64" s="17">
        <f t="shared" si="28"/>
        <v>0</v>
      </c>
    </row>
    <row r="65" spans="2:26" x14ac:dyDescent="0.25">
      <c r="B65" s="137"/>
      <c r="C65" s="138"/>
      <c r="D65" s="139"/>
      <c r="J65" s="145"/>
      <c r="K65" s="140"/>
      <c r="L65" s="140"/>
      <c r="M65" s="140"/>
      <c r="N65" s="140"/>
      <c r="O65" s="140"/>
      <c r="P65" s="140"/>
      <c r="Q65" s="141"/>
      <c r="W65" s="17">
        <f t="shared" si="26"/>
        <v>0</v>
      </c>
      <c r="X65" s="17">
        <f t="shared" si="27"/>
        <v>0</v>
      </c>
      <c r="Y65" s="17">
        <f t="shared" si="27"/>
        <v>0</v>
      </c>
      <c r="Z65" s="17">
        <f t="shared" si="28"/>
        <v>0</v>
      </c>
    </row>
    <row r="66" spans="2:26" x14ac:dyDescent="0.25">
      <c r="B66" s="137"/>
      <c r="C66" s="138"/>
      <c r="D66" s="139"/>
      <c r="J66" s="145"/>
      <c r="K66" s="140"/>
      <c r="L66" s="140"/>
      <c r="M66" s="140"/>
      <c r="N66" s="140"/>
      <c r="O66" s="140"/>
      <c r="P66" s="140"/>
      <c r="Q66" s="141"/>
      <c r="W66" s="17">
        <f t="shared" si="26"/>
        <v>0</v>
      </c>
      <c r="X66" s="17">
        <f t="shared" si="27"/>
        <v>0</v>
      </c>
      <c r="Y66" s="17">
        <f t="shared" si="27"/>
        <v>0</v>
      </c>
      <c r="Z66" s="17">
        <f t="shared" si="28"/>
        <v>0</v>
      </c>
    </row>
    <row r="67" spans="2:26" x14ac:dyDescent="0.25">
      <c r="B67" s="137"/>
      <c r="C67" s="138"/>
      <c r="D67" s="139"/>
      <c r="J67" s="145"/>
      <c r="K67" s="140"/>
      <c r="L67" s="140"/>
      <c r="M67" s="140"/>
      <c r="N67" s="140"/>
      <c r="O67" s="140"/>
      <c r="P67" s="140"/>
      <c r="Q67" s="141"/>
      <c r="W67" s="17">
        <f t="shared" si="26"/>
        <v>0</v>
      </c>
      <c r="X67" s="17">
        <f t="shared" si="27"/>
        <v>0</v>
      </c>
      <c r="Y67" s="17">
        <f t="shared" si="27"/>
        <v>0</v>
      </c>
      <c r="Z67" s="17">
        <f t="shared" si="28"/>
        <v>0</v>
      </c>
    </row>
    <row r="68" spans="2:26" x14ac:dyDescent="0.25">
      <c r="B68" s="137"/>
      <c r="C68" s="138"/>
      <c r="D68" s="139"/>
      <c r="J68" s="145"/>
      <c r="K68" s="140"/>
      <c r="L68" s="140"/>
      <c r="M68" s="140"/>
      <c r="N68" s="140"/>
      <c r="O68" s="140"/>
      <c r="P68" s="140"/>
      <c r="Q68" s="141"/>
      <c r="W68" s="17">
        <f t="shared" si="26"/>
        <v>0</v>
      </c>
      <c r="X68" s="17">
        <f t="shared" si="27"/>
        <v>0</v>
      </c>
      <c r="Y68" s="17">
        <f t="shared" si="27"/>
        <v>0</v>
      </c>
      <c r="Z68" s="17">
        <f t="shared" si="28"/>
        <v>0</v>
      </c>
    </row>
    <row r="69" spans="2:26" x14ac:dyDescent="0.25">
      <c r="B69" s="137"/>
      <c r="C69" s="138"/>
      <c r="D69" s="139"/>
      <c r="J69" s="145"/>
      <c r="K69" s="140"/>
      <c r="L69" s="140"/>
      <c r="M69" s="140"/>
      <c r="N69" s="140"/>
      <c r="O69" s="140"/>
      <c r="P69" s="140"/>
      <c r="Q69" s="141"/>
      <c r="W69" s="17">
        <f t="shared" si="26"/>
        <v>0</v>
      </c>
      <c r="X69" s="17">
        <f t="shared" si="27"/>
        <v>0</v>
      </c>
      <c r="Y69" s="17">
        <f t="shared" si="27"/>
        <v>0</v>
      </c>
      <c r="Z69" s="17">
        <f t="shared" si="28"/>
        <v>0</v>
      </c>
    </row>
    <row r="70" spans="2:26" x14ac:dyDescent="0.25">
      <c r="B70" s="137"/>
      <c r="C70" s="138"/>
      <c r="D70" s="139"/>
      <c r="J70" s="145"/>
      <c r="K70" s="140"/>
      <c r="L70" s="140"/>
      <c r="M70" s="140"/>
      <c r="N70" s="140"/>
      <c r="O70" s="140"/>
      <c r="P70" s="140"/>
      <c r="Q70" s="141"/>
      <c r="W70" s="17">
        <f t="shared" si="26"/>
        <v>0</v>
      </c>
      <c r="X70" s="17">
        <f t="shared" si="27"/>
        <v>0</v>
      </c>
      <c r="Y70" s="17">
        <f t="shared" si="27"/>
        <v>0</v>
      </c>
      <c r="Z70" s="17">
        <f t="shared" si="28"/>
        <v>0</v>
      </c>
    </row>
    <row r="71" spans="2:26" x14ac:dyDescent="0.25">
      <c r="B71" s="137"/>
      <c r="C71" s="138"/>
      <c r="D71" s="139"/>
      <c r="J71" s="145"/>
      <c r="K71" s="140"/>
      <c r="L71" s="140"/>
      <c r="M71" s="140"/>
      <c r="N71" s="140"/>
      <c r="O71" s="140"/>
      <c r="P71" s="140"/>
      <c r="Q71" s="141"/>
      <c r="W71" s="17">
        <f t="shared" si="26"/>
        <v>0</v>
      </c>
      <c r="X71" s="17">
        <f t="shared" si="27"/>
        <v>0</v>
      </c>
      <c r="Y71" s="17">
        <f t="shared" si="27"/>
        <v>0</v>
      </c>
      <c r="Z71" s="17">
        <f t="shared" si="28"/>
        <v>0</v>
      </c>
    </row>
    <row r="72" spans="2:26" x14ac:dyDescent="0.25">
      <c r="B72" s="137"/>
      <c r="C72" s="138"/>
      <c r="D72" s="139"/>
      <c r="J72" s="145"/>
      <c r="K72" s="140"/>
      <c r="L72" s="140"/>
      <c r="M72" s="140"/>
      <c r="N72" s="140"/>
      <c r="O72" s="140"/>
      <c r="P72" s="140"/>
      <c r="Q72" s="141"/>
      <c r="W72" s="17">
        <f t="shared" ref="W72:W83" si="29">J9</f>
        <v>0</v>
      </c>
      <c r="X72" s="17">
        <f>L9</f>
        <v>0</v>
      </c>
      <c r="Y72" s="17">
        <f>M9</f>
        <v>0</v>
      </c>
      <c r="Z72" s="17">
        <f>K9</f>
        <v>0</v>
      </c>
    </row>
    <row r="73" spans="2:26" x14ac:dyDescent="0.25">
      <c r="B73" s="137"/>
      <c r="C73" s="138"/>
      <c r="D73" s="139"/>
      <c r="J73" s="145"/>
      <c r="K73" s="140"/>
      <c r="L73" s="140"/>
      <c r="M73" s="140"/>
      <c r="N73" s="140"/>
      <c r="O73" s="140"/>
      <c r="P73" s="140"/>
      <c r="Q73" s="141"/>
      <c r="W73" s="17">
        <f t="shared" si="29"/>
        <v>0</v>
      </c>
      <c r="X73" s="17">
        <f t="shared" ref="X73:Y83" si="30">L10</f>
        <v>0</v>
      </c>
      <c r="Y73" s="17">
        <f t="shared" si="30"/>
        <v>0</v>
      </c>
      <c r="Z73" s="17">
        <f t="shared" ref="Z73:Z83" si="31">K10</f>
        <v>0</v>
      </c>
    </row>
    <row r="74" spans="2:26" x14ac:dyDescent="0.25">
      <c r="B74" s="137"/>
      <c r="C74" s="138"/>
      <c r="D74" s="139"/>
      <c r="J74" s="145"/>
      <c r="K74" s="140"/>
      <c r="L74" s="140"/>
      <c r="M74" s="140"/>
      <c r="N74" s="140"/>
      <c r="O74" s="140"/>
      <c r="P74" s="140"/>
      <c r="Q74" s="141"/>
      <c r="W74" s="17">
        <f t="shared" si="29"/>
        <v>0</v>
      </c>
      <c r="X74" s="17">
        <f t="shared" si="30"/>
        <v>0</v>
      </c>
      <c r="Y74" s="17">
        <f t="shared" si="30"/>
        <v>0</v>
      </c>
      <c r="Z74" s="17">
        <f t="shared" si="31"/>
        <v>0</v>
      </c>
    </row>
    <row r="75" spans="2:26" x14ac:dyDescent="0.25">
      <c r="B75" s="137"/>
      <c r="C75" s="138"/>
      <c r="D75" s="139"/>
      <c r="J75" s="145"/>
      <c r="K75" s="140"/>
      <c r="L75" s="140"/>
      <c r="M75" s="140"/>
      <c r="N75" s="140"/>
      <c r="O75" s="140"/>
      <c r="P75" s="140"/>
      <c r="Q75" s="141"/>
      <c r="W75" s="17">
        <f t="shared" si="29"/>
        <v>0</v>
      </c>
      <c r="X75" s="17">
        <f t="shared" si="30"/>
        <v>0</v>
      </c>
      <c r="Y75" s="17">
        <f t="shared" si="30"/>
        <v>0</v>
      </c>
      <c r="Z75" s="17">
        <f t="shared" si="31"/>
        <v>0</v>
      </c>
    </row>
    <row r="76" spans="2:26" x14ac:dyDescent="0.25">
      <c r="B76" s="137"/>
      <c r="C76" s="138"/>
      <c r="D76" s="139"/>
      <c r="J76" s="145"/>
      <c r="K76" s="140"/>
      <c r="L76" s="140"/>
      <c r="M76" s="140"/>
      <c r="N76" s="140"/>
      <c r="O76" s="140"/>
      <c r="P76" s="140"/>
      <c r="Q76" s="141"/>
      <c r="W76" s="17">
        <f t="shared" si="29"/>
        <v>0</v>
      </c>
      <c r="X76" s="17">
        <f t="shared" si="30"/>
        <v>0</v>
      </c>
      <c r="Y76" s="17">
        <f t="shared" si="30"/>
        <v>0</v>
      </c>
      <c r="Z76" s="17">
        <f t="shared" si="31"/>
        <v>0</v>
      </c>
    </row>
    <row r="77" spans="2:26" x14ac:dyDescent="0.25">
      <c r="B77" s="137"/>
      <c r="C77" s="138"/>
      <c r="D77" s="139"/>
      <c r="J77" s="145"/>
      <c r="K77" s="140"/>
      <c r="L77" s="140"/>
      <c r="M77" s="140"/>
      <c r="N77" s="140"/>
      <c r="O77" s="140"/>
      <c r="P77" s="140"/>
      <c r="Q77" s="141"/>
      <c r="W77" s="17">
        <f t="shared" si="29"/>
        <v>0</v>
      </c>
      <c r="X77" s="17">
        <f t="shared" si="30"/>
        <v>0</v>
      </c>
      <c r="Y77" s="17">
        <f t="shared" si="30"/>
        <v>0</v>
      </c>
      <c r="Z77" s="17">
        <f t="shared" si="31"/>
        <v>0</v>
      </c>
    </row>
    <row r="78" spans="2:26" x14ac:dyDescent="0.25">
      <c r="B78" s="137"/>
      <c r="C78" s="138"/>
      <c r="D78" s="139"/>
      <c r="J78" s="145"/>
      <c r="K78" s="140"/>
      <c r="L78" s="140"/>
      <c r="M78" s="140"/>
      <c r="N78" s="140"/>
      <c r="O78" s="140"/>
      <c r="P78" s="140"/>
      <c r="Q78" s="141"/>
      <c r="W78" s="17">
        <f t="shared" si="29"/>
        <v>0</v>
      </c>
      <c r="X78" s="17">
        <f t="shared" si="30"/>
        <v>0</v>
      </c>
      <c r="Y78" s="17">
        <f t="shared" si="30"/>
        <v>0</v>
      </c>
      <c r="Z78" s="17">
        <f t="shared" si="31"/>
        <v>0</v>
      </c>
    </row>
    <row r="79" spans="2:26" x14ac:dyDescent="0.25">
      <c r="B79" s="137"/>
      <c r="C79" s="138"/>
      <c r="D79" s="139"/>
      <c r="J79" s="145"/>
      <c r="K79" s="140"/>
      <c r="L79" s="140"/>
      <c r="M79" s="140"/>
      <c r="N79" s="140"/>
      <c r="O79" s="140"/>
      <c r="P79" s="140"/>
      <c r="Q79" s="141"/>
      <c r="W79" s="17">
        <f t="shared" si="29"/>
        <v>0</v>
      </c>
      <c r="X79" s="17">
        <f t="shared" si="30"/>
        <v>0</v>
      </c>
      <c r="Y79" s="17">
        <f t="shared" si="30"/>
        <v>0</v>
      </c>
      <c r="Z79" s="17">
        <f t="shared" si="31"/>
        <v>0</v>
      </c>
    </row>
    <row r="80" spans="2:26" x14ac:dyDescent="0.25">
      <c r="B80" s="137"/>
      <c r="C80" s="138"/>
      <c r="D80" s="139"/>
      <c r="J80" s="145"/>
      <c r="K80" s="140"/>
      <c r="L80" s="140"/>
      <c r="M80" s="140"/>
      <c r="N80" s="140"/>
      <c r="O80" s="140"/>
      <c r="P80" s="140"/>
      <c r="Q80" s="141"/>
      <c r="W80" s="17">
        <f t="shared" si="29"/>
        <v>0</v>
      </c>
      <c r="X80" s="17">
        <f t="shared" si="30"/>
        <v>0</v>
      </c>
      <c r="Y80" s="17">
        <f t="shared" si="30"/>
        <v>0</v>
      </c>
      <c r="Z80" s="17">
        <f t="shared" si="31"/>
        <v>0</v>
      </c>
    </row>
    <row r="81" spans="2:26" x14ac:dyDescent="0.25">
      <c r="B81" s="137"/>
      <c r="C81" s="138"/>
      <c r="D81" s="139"/>
      <c r="J81" s="145"/>
      <c r="K81" s="140"/>
      <c r="L81" s="140"/>
      <c r="M81" s="140"/>
      <c r="N81" s="140"/>
      <c r="O81" s="140"/>
      <c r="P81" s="140"/>
      <c r="Q81" s="141"/>
      <c r="W81" s="17">
        <f t="shared" si="29"/>
        <v>0</v>
      </c>
      <c r="X81" s="17">
        <f t="shared" si="30"/>
        <v>0</v>
      </c>
      <c r="Y81" s="17">
        <f t="shared" si="30"/>
        <v>0</v>
      </c>
      <c r="Z81" s="17">
        <f t="shared" si="31"/>
        <v>0</v>
      </c>
    </row>
    <row r="82" spans="2:26" x14ac:dyDescent="0.25">
      <c r="B82" s="137"/>
      <c r="C82" s="138"/>
      <c r="D82" s="139"/>
      <c r="J82" s="145"/>
      <c r="K82" s="140"/>
      <c r="L82" s="140"/>
      <c r="M82" s="140"/>
      <c r="N82" s="140"/>
      <c r="O82" s="140"/>
      <c r="P82" s="140"/>
      <c r="Q82" s="141"/>
      <c r="W82" s="17">
        <f t="shared" si="29"/>
        <v>0</v>
      </c>
      <c r="X82" s="17">
        <f t="shared" si="30"/>
        <v>0</v>
      </c>
      <c r="Y82" s="17">
        <f t="shared" si="30"/>
        <v>0</v>
      </c>
      <c r="Z82" s="17">
        <f t="shared" si="31"/>
        <v>0</v>
      </c>
    </row>
    <row r="83" spans="2:26" x14ac:dyDescent="0.25">
      <c r="B83" s="137"/>
      <c r="C83" s="138"/>
      <c r="D83" s="139"/>
      <c r="J83" s="145"/>
      <c r="K83" s="140"/>
      <c r="L83" s="140"/>
      <c r="M83" s="140"/>
      <c r="N83" s="140"/>
      <c r="O83" s="140"/>
      <c r="P83" s="140"/>
      <c r="Q83" s="141"/>
      <c r="W83" s="17">
        <f t="shared" si="29"/>
        <v>0</v>
      </c>
      <c r="X83" s="17">
        <f t="shared" si="30"/>
        <v>0</v>
      </c>
      <c r="Y83" s="17">
        <f t="shared" si="30"/>
        <v>0</v>
      </c>
      <c r="Z83" s="17">
        <f t="shared" si="31"/>
        <v>0</v>
      </c>
    </row>
    <row r="84" spans="2:26" x14ac:dyDescent="0.25">
      <c r="B84" s="137"/>
      <c r="C84" s="138"/>
      <c r="D84" s="139"/>
      <c r="J84" s="145"/>
      <c r="K84" s="140"/>
      <c r="L84" s="140"/>
      <c r="M84" s="140"/>
      <c r="N84" s="140"/>
      <c r="O84" s="140"/>
      <c r="P84" s="140"/>
      <c r="Q84" s="141"/>
    </row>
    <row r="85" spans="2:26" x14ac:dyDescent="0.25">
      <c r="C85" s="138"/>
      <c r="D85" s="139"/>
      <c r="J85" s="145"/>
      <c r="K85" s="140"/>
      <c r="L85" s="140"/>
      <c r="M85" s="140"/>
      <c r="N85" s="140"/>
      <c r="O85" s="140"/>
      <c r="P85" s="140"/>
      <c r="Q85" s="141"/>
    </row>
    <row r="86" spans="2:26" x14ac:dyDescent="0.25">
      <c r="C86" s="138"/>
      <c r="D86" s="139"/>
      <c r="J86" s="145"/>
      <c r="K86" s="140"/>
      <c r="L86" s="140"/>
      <c r="M86" s="140"/>
      <c r="N86" s="140"/>
      <c r="O86" s="140"/>
      <c r="P86" s="140"/>
      <c r="Q86" s="141"/>
    </row>
  </sheetData>
  <sheetProtection password="CCA7" sheet="1" objects="1" scenarios="1"/>
  <mergeCells count="37">
    <mergeCell ref="E25:F25"/>
    <mergeCell ref="E26:F26"/>
    <mergeCell ref="E27:F27"/>
    <mergeCell ref="E28:F28"/>
    <mergeCell ref="E29:F29"/>
    <mergeCell ref="B3:Q4"/>
    <mergeCell ref="E34:J34"/>
    <mergeCell ref="L24:Q24"/>
    <mergeCell ref="L25:Q25"/>
    <mergeCell ref="L26:Q26"/>
    <mergeCell ref="L27:Q27"/>
    <mergeCell ref="L28:Q28"/>
    <mergeCell ref="E8:J8"/>
    <mergeCell ref="K7:Q7"/>
    <mergeCell ref="K22:Q22"/>
    <mergeCell ref="E22:J22"/>
    <mergeCell ref="E23:F23"/>
    <mergeCell ref="G23:J23"/>
    <mergeCell ref="L23:Q23"/>
    <mergeCell ref="E24:F24"/>
    <mergeCell ref="E30:F30"/>
    <mergeCell ref="B42:Q45"/>
    <mergeCell ref="L29:Q29"/>
    <mergeCell ref="L30:Q30"/>
    <mergeCell ref="K34:Q34"/>
    <mergeCell ref="B32:Q32"/>
    <mergeCell ref="N39:Q39"/>
    <mergeCell ref="E35:F35"/>
    <mergeCell ref="G35:J35"/>
    <mergeCell ref="E36:F36"/>
    <mergeCell ref="E37:F37"/>
    <mergeCell ref="E38:F38"/>
    <mergeCell ref="E39:F39"/>
    <mergeCell ref="N35:Q35"/>
    <mergeCell ref="N36:Q36"/>
    <mergeCell ref="N37:Q37"/>
    <mergeCell ref="N38:Q38"/>
  </mergeCells>
  <conditionalFormatting sqref="B9:B42 B46:B84">
    <cfRule type="cellIs" dxfId="17" priority="1" operator="equal">
      <formula>0</formula>
    </cfRule>
  </conditionalFormatting>
  <dataValidations count="4">
    <dataValidation type="list" allowBlank="1" showInputMessage="1" sqref="E24:F30 E36:F39" xr:uid="{00000000-0002-0000-0600-000000000000}">
      <formula1>$X$1:$X$2</formula1>
    </dataValidation>
    <dataValidation type="list" allowBlank="1" showInputMessage="1" showErrorMessage="1" errorTitle="Antención" error="Selecciones opción de la lista." sqref="L9:L20 K36:K39" xr:uid="{00000000-0002-0000-0600-000001000000}">
      <formula1>$V$1:$V$10</formula1>
    </dataValidation>
    <dataValidation type="list" errorStyle="information" allowBlank="1" showInputMessage="1" sqref="K24:K30" xr:uid="{00000000-0002-0000-0600-000002000000}">
      <formula1>$U$41:$U$47</formula1>
    </dataValidation>
    <dataValidation type="list" showInputMessage="1" promptTitle="Atención" prompt="Esta lista es solo una sugerencia. Puede escribir lo que estime._x000a_" sqref="K9:K20" xr:uid="{00000000-0002-0000-0600-000003000000}">
      <formula1>$U$23:$U$35</formula1>
    </dataValidation>
  </dataValidations>
  <pageMargins left="0.70866141732283472" right="0.70866141732283472" top="0.74803149606299213" bottom="0.74803149606299213" header="0.31496062992125984" footer="0.31496062992125984"/>
  <pageSetup paperSize="14" scale="63" orientation="landscape" r:id="rId1"/>
  <tableParts count="5">
    <tablePart r:id="rId2"/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Q136"/>
  <sheetViews>
    <sheetView showZeros="0" view="pageBreakPreview" zoomScaleNormal="100" zoomScaleSheetLayoutView="100" workbookViewId="0">
      <selection activeCell="P2" sqref="P2:Q3"/>
    </sheetView>
  </sheetViews>
  <sheetFormatPr baseColWidth="10" defaultRowHeight="14.25" x14ac:dyDescent="0.2"/>
  <cols>
    <col min="1" max="1" width="2.140625" style="233" customWidth="1"/>
    <col min="2" max="2" width="2.85546875" style="233" customWidth="1"/>
    <col min="3" max="3" width="22.85546875" style="233" customWidth="1"/>
    <col min="4" max="4" width="28" style="233" customWidth="1"/>
    <col min="5" max="5" width="11.5703125" style="233" customWidth="1"/>
    <col min="6" max="7" width="11.5703125" style="232" customWidth="1"/>
    <col min="8" max="8" width="8.42578125" style="232" customWidth="1"/>
    <col min="9" max="10" width="8.7109375" style="232" customWidth="1"/>
    <col min="11" max="11" width="8.7109375" style="233" customWidth="1"/>
    <col min="12" max="12" width="9.7109375" style="233" customWidth="1"/>
    <col min="13" max="13" width="8.140625" style="233" customWidth="1"/>
    <col min="14" max="14" width="9.7109375" style="233" customWidth="1"/>
    <col min="15" max="15" width="6.85546875" style="233" customWidth="1"/>
    <col min="16" max="16" width="5.5703125" style="233" customWidth="1"/>
    <col min="17" max="17" width="22.28515625" style="233" customWidth="1"/>
    <col min="18" max="18" width="2.28515625" style="233" customWidth="1"/>
    <col min="19" max="20" width="4" style="233" customWidth="1"/>
    <col min="21" max="16384" width="11.42578125" style="233"/>
  </cols>
  <sheetData>
    <row r="1" spans="2:17" x14ac:dyDescent="0.2">
      <c r="L1" s="232"/>
      <c r="M1" s="232"/>
      <c r="N1" s="232"/>
      <c r="O1" s="232"/>
      <c r="P1" s="618" t="str">
        <f>IF(E109 &gt; 0,"Página 1 de 3",IF(E58 &gt;0,"Página 1 de 2","Página 1 de 1"))</f>
        <v>Página 1 de 1</v>
      </c>
      <c r="Q1" s="618"/>
    </row>
    <row r="2" spans="2:17" ht="14.45" customHeight="1" x14ac:dyDescent="0.2">
      <c r="L2" s="607" t="s">
        <v>0</v>
      </c>
      <c r="M2" s="607"/>
      <c r="N2" s="607"/>
      <c r="O2" s="276"/>
      <c r="P2" s="608">
        <f>'ORDEN DE CUARENTENA'!AE3</f>
        <v>0</v>
      </c>
      <c r="Q2" s="608"/>
    </row>
    <row r="3" spans="2:17" ht="14.45" customHeight="1" x14ac:dyDescent="0.2">
      <c r="L3" s="607"/>
      <c r="M3" s="607"/>
      <c r="N3" s="607"/>
      <c r="O3" s="276"/>
      <c r="P3" s="608"/>
      <c r="Q3" s="608"/>
    </row>
    <row r="4" spans="2:17" x14ac:dyDescent="0.2">
      <c r="L4" s="599" t="s">
        <v>7837</v>
      </c>
      <c r="M4" s="599"/>
      <c r="N4" s="599"/>
      <c r="O4" s="277"/>
      <c r="P4" s="599" t="str">
        <f>'ORDEN DE CUARENTENA'!AE2</f>
        <v>XIII - Metropolitana</v>
      </c>
      <c r="Q4" s="599"/>
    </row>
    <row r="5" spans="2:17" ht="24.75" x14ac:dyDescent="0.3">
      <c r="C5" s="625" t="s">
        <v>5</v>
      </c>
      <c r="D5" s="625"/>
      <c r="E5" s="625"/>
      <c r="F5" s="625"/>
      <c r="G5" s="625"/>
      <c r="H5" s="625"/>
      <c r="I5" s="625"/>
      <c r="J5" s="625"/>
      <c r="K5" s="625"/>
      <c r="L5" s="625"/>
      <c r="M5" s="625"/>
      <c r="N5" s="625"/>
      <c r="O5" s="625"/>
      <c r="P5" s="625"/>
      <c r="Q5" s="625"/>
    </row>
    <row r="6" spans="2:17" ht="15" customHeight="1" x14ac:dyDescent="0.3"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</row>
    <row r="7" spans="2:17" ht="15" customHeight="1" x14ac:dyDescent="0.2">
      <c r="B7" s="657" t="s">
        <v>10145</v>
      </c>
      <c r="C7" s="657"/>
      <c r="D7" s="248">
        <f>'ORDEN DE CUARENTENA'!H7</f>
        <v>0</v>
      </c>
      <c r="E7" s="624" t="s">
        <v>10217</v>
      </c>
      <c r="F7" s="624"/>
      <c r="G7" s="624"/>
      <c r="H7" s="632" t="s">
        <v>10216</v>
      </c>
      <c r="I7" s="633"/>
      <c r="J7" s="634" t="s">
        <v>10139</v>
      </c>
      <c r="K7" s="635"/>
      <c r="L7" s="636"/>
      <c r="M7" s="255"/>
      <c r="Q7" s="256"/>
    </row>
    <row r="8" spans="2:17" ht="18.75" customHeight="1" x14ac:dyDescent="0.2">
      <c r="B8" s="657" t="s">
        <v>10144</v>
      </c>
      <c r="C8" s="657"/>
      <c r="D8" s="248">
        <f>'ORDEN DE CUARENTENA'!H9</f>
        <v>0</v>
      </c>
      <c r="E8" s="235" t="s">
        <v>10110</v>
      </c>
      <c r="F8" s="276">
        <f>'Acuario (Arribado - mortalidad)'!O91</f>
        <v>0</v>
      </c>
      <c r="G8" s="341" t="str">
        <f>IFERROR('Acuario (Arribado - mortalidad)'!O91/'Acuario (Arribado - mortalidad)'!F91,"")</f>
        <v/>
      </c>
      <c r="H8" s="235" t="s">
        <v>10110</v>
      </c>
      <c r="I8" s="340" t="str">
        <f>IFERROR(AVERAGE('ORDEN DE CUARENTENA'!BA14:BA58,ANEXO!BA14:BA58),"")</f>
        <v/>
      </c>
      <c r="J8" s="650" t="s">
        <v>10140</v>
      </c>
      <c r="K8" s="599"/>
      <c r="L8" s="260">
        <f>'ORDEN DE CUARENTENA'!$AD$59+ANEXO!$AD$59</f>
        <v>0</v>
      </c>
      <c r="M8" s="255"/>
      <c r="Q8" s="249"/>
    </row>
    <row r="9" spans="2:17" ht="18.75" customHeight="1" x14ac:dyDescent="0.2">
      <c r="B9" s="657" t="s">
        <v>9132</v>
      </c>
      <c r="C9" s="657"/>
      <c r="D9" s="248">
        <f>'ORDEN DE CUARENTENA'!Q9</f>
        <v>0</v>
      </c>
      <c r="E9" s="235" t="s">
        <v>10111</v>
      </c>
      <c r="F9" s="276">
        <f>SUM('Acuario (Arribado - mortalidad)'!P91:U91)</f>
        <v>0</v>
      </c>
      <c r="G9" s="341" t="str">
        <f>IFERROR(SUM('Acuario (Arribado - mortalidad)'!P91:U91)/'Acuario (Arribado - mortalidad)'!F91,"")</f>
        <v/>
      </c>
      <c r="H9" s="235" t="s">
        <v>10111</v>
      </c>
      <c r="I9" s="340" t="str">
        <f>IFERROR(AVERAGE('ORDEN DE CUARENTENA'!BB14:BB58,ANEXO!BB14:BB58),"")</f>
        <v/>
      </c>
      <c r="J9" s="650" t="s">
        <v>10141</v>
      </c>
      <c r="K9" s="599"/>
      <c r="L9" s="261">
        <f>'ORDEN DE CUARENTENA'!$AV$59+ANEXO!$AV$59</f>
        <v>0</v>
      </c>
      <c r="M9" s="255"/>
      <c r="Q9" s="250"/>
    </row>
    <row r="10" spans="2:17" ht="15.75" customHeight="1" x14ac:dyDescent="0.2">
      <c r="B10" s="657" t="s">
        <v>9134</v>
      </c>
      <c r="C10" s="657"/>
      <c r="D10" s="251" t="str">
        <f>IF(ISBLANK('ORDEN DE CUARENTENA'!I6),"",'ORDEN DE CUARENTENA'!Q6)</f>
        <v/>
      </c>
      <c r="E10" s="236" t="s">
        <v>10101</v>
      </c>
      <c r="F10" s="323">
        <f>SUM('Acuario (Arribado - mortalidad)'!V91:AC91)</f>
        <v>0</v>
      </c>
      <c r="G10" s="342" t="str">
        <f>IFERROR(SUM('Acuario (Arribado - mortalidad)'!V91:AC91)/'Acuario (Arribado - mortalidad)'!F91,"")</f>
        <v/>
      </c>
      <c r="H10" s="235" t="s">
        <v>10101</v>
      </c>
      <c r="I10" s="340" t="str">
        <f>IFERROR(AVERAGE('ORDEN DE CUARENTENA'!BC14:BC58,ANEXO!BC14:BC58),"")</f>
        <v/>
      </c>
      <c r="J10" s="651" t="s">
        <v>10142</v>
      </c>
      <c r="K10" s="652"/>
      <c r="L10" s="259">
        <f>'ORDEN DE CUARENTENA'!$AT$59+ANEXO!$AT$59</f>
        <v>0</v>
      </c>
      <c r="M10" s="255"/>
      <c r="Q10" s="254"/>
    </row>
    <row r="11" spans="2:17" ht="18.75" customHeight="1" x14ac:dyDescent="0.2">
      <c r="B11" s="658" t="s">
        <v>10138</v>
      </c>
      <c r="C11" s="658"/>
      <c r="D11" s="252" t="str">
        <f>IF(SUM(M15:M49,M58:M100,M109:M120)&gt;0,CONCATENATE(SUM(M15:M49,M58:M100,M109:M120)," ", "Acuarios"),"")</f>
        <v/>
      </c>
      <c r="E11" s="241" t="s">
        <v>10143</v>
      </c>
      <c r="F11" s="258">
        <f>SUM(F8:F10)</f>
        <v>0</v>
      </c>
      <c r="G11" s="343" t="str">
        <f>IFERROR(F11/L9,"")</f>
        <v/>
      </c>
      <c r="H11" s="241" t="s">
        <v>10112</v>
      </c>
      <c r="I11" s="344" t="str">
        <f>IFERROR(AVERAGE(Item[porcentaje mortalidad],Item2[porcentaje mortalidad]),"")</f>
        <v/>
      </c>
      <c r="J11" s="653" t="s">
        <v>10147</v>
      </c>
      <c r="K11" s="654"/>
      <c r="L11" s="262" t="str">
        <f>IFERROR(L10/L9,"")</f>
        <v/>
      </c>
      <c r="M11" s="253"/>
      <c r="N11" s="257"/>
      <c r="O11" s="257"/>
      <c r="Q11" s="257"/>
    </row>
    <row r="12" spans="2:17" ht="15" thickBot="1" x14ac:dyDescent="0.25"/>
    <row r="13" spans="2:17" ht="15" customHeight="1" thickTop="1" x14ac:dyDescent="0.2">
      <c r="B13" s="637" t="s">
        <v>14</v>
      </c>
      <c r="C13" s="626" t="s">
        <v>7811</v>
      </c>
      <c r="D13" s="628" t="s">
        <v>7808</v>
      </c>
      <c r="E13" s="626" t="s">
        <v>10099</v>
      </c>
      <c r="F13" s="600" t="s">
        <v>7815</v>
      </c>
      <c r="G13" s="600" t="s">
        <v>9131</v>
      </c>
      <c r="H13" s="602" t="s">
        <v>7821</v>
      </c>
      <c r="I13" s="615" t="s">
        <v>10109</v>
      </c>
      <c r="J13" s="616"/>
      <c r="K13" s="616"/>
      <c r="L13" s="617"/>
      <c r="M13" s="622" t="s">
        <v>8799</v>
      </c>
      <c r="N13" s="611" t="s">
        <v>9418</v>
      </c>
      <c r="O13" s="655" t="s">
        <v>64</v>
      </c>
      <c r="P13" s="630" t="s">
        <v>8873</v>
      </c>
      <c r="Q13" s="642" t="s">
        <v>10311</v>
      </c>
    </row>
    <row r="14" spans="2:17" x14ac:dyDescent="0.2">
      <c r="B14" s="641"/>
      <c r="C14" s="627"/>
      <c r="D14" s="629"/>
      <c r="E14" s="627"/>
      <c r="F14" s="620"/>
      <c r="G14" s="620"/>
      <c r="H14" s="621"/>
      <c r="I14" s="242" t="s">
        <v>10110</v>
      </c>
      <c r="J14" s="243" t="s">
        <v>10111</v>
      </c>
      <c r="K14" s="243" t="s">
        <v>10101</v>
      </c>
      <c r="L14" s="244" t="s">
        <v>10116</v>
      </c>
      <c r="M14" s="623"/>
      <c r="N14" s="619"/>
      <c r="O14" s="656"/>
      <c r="P14" s="631"/>
      <c r="Q14" s="643" t="s">
        <v>10126</v>
      </c>
    </row>
    <row r="15" spans="2:17" x14ac:dyDescent="0.2">
      <c r="B15" s="245">
        <v>1</v>
      </c>
      <c r="C15" s="294">
        <f>IFERROR(VLOOKUP(B15,Item[],3,FALSE),"")</f>
        <v>0</v>
      </c>
      <c r="D15" s="294" t="str">
        <f>IFERROR(VLOOKUP(B15,Item[],2,FALSE),"")</f>
        <v xml:space="preserve"> </v>
      </c>
      <c r="E15" s="295">
        <f>IFERROR('ORDEN DE CUARENTENA'!AD14,"")</f>
        <v>0</v>
      </c>
      <c r="F15" s="296">
        <f>IFERROR(VLOOKUP(B15,Item[],10,FALSE),"")</f>
        <v>0</v>
      </c>
      <c r="G15" s="295" t="str">
        <f>IFERROR(VLOOKUP(B15,Item[],7,FALSE),"")</f>
        <v/>
      </c>
      <c r="H15" s="297">
        <f>IFERROR(VLOOKUP(B15,Item[],8,FALSE),"")</f>
        <v>0</v>
      </c>
      <c r="I15" s="298" t="str">
        <f>IFERROR(VLOOKUP(B15,Item[],15,FALSE),"")</f>
        <v/>
      </c>
      <c r="J15" s="299" t="str">
        <f>IFERROR(VLOOKUP(B15,Item[],16,FALSE),"")</f>
        <v/>
      </c>
      <c r="K15" s="299" t="str">
        <f>IFERROR(VLOOKUP(B15,Item[],17,FALSE),"")</f>
        <v/>
      </c>
      <c r="L15" s="300" t="str">
        <f>IFERROR(VLOOKUP(B15,Item[],9,FALSE),"")</f>
        <v/>
      </c>
      <c r="M15" s="301">
        <f>IF(F15="No llega","N/A",COUNTIF('Acuario (Arribado - mortalidad)'!$B$14:$B$90,'Resumen de cuarentena'!B15))</f>
        <v>0</v>
      </c>
      <c r="N15" s="295" t="str">
        <f>IFERROR(VLOOKUP(D15,SuscepEARs[],2,FALSE),"")</f>
        <v/>
      </c>
      <c r="O15" s="295" t="str">
        <f>IFERROR(VLOOKUP(D15,CITES[],2,FALSE),"")</f>
        <v/>
      </c>
      <c r="P15" s="295" t="str">
        <f>IFERROR(VLOOKUP(B15,'Tratamientos-Eventos'!$B$9:$U$20,19,FALSE),"")</f>
        <v/>
      </c>
      <c r="Q15" s="302" t="str">
        <f>IF(ISTEXT(P15),IFERROR(VLOOKUP(B15,'Tratamientos-Eventos'!$B$9:$U$20,20,FALSE),""),"")</f>
        <v/>
      </c>
    </row>
    <row r="16" spans="2:17" x14ac:dyDescent="0.2">
      <c r="B16" s="245">
        <v>2</v>
      </c>
      <c r="C16" s="294">
        <f>IFERROR(VLOOKUP(B16,Item[],3,FALSE),"")</f>
        <v>0</v>
      </c>
      <c r="D16" s="294" t="str">
        <f>IFERROR(VLOOKUP(B16,Item[],2,FALSE),"")</f>
        <v xml:space="preserve"> </v>
      </c>
      <c r="E16" s="295">
        <f>IFERROR('ORDEN DE CUARENTENA'!AD15,"")</f>
        <v>0</v>
      </c>
      <c r="F16" s="296">
        <f>IFERROR(VLOOKUP(B16,Item[],10,FALSE),"")</f>
        <v>0</v>
      </c>
      <c r="G16" s="295" t="str">
        <f>IFERROR(VLOOKUP(B16,Item[],7,FALSE),"")</f>
        <v/>
      </c>
      <c r="H16" s="297">
        <f>IFERROR(VLOOKUP(B16,Item[],8,FALSE),"")</f>
        <v>0</v>
      </c>
      <c r="I16" s="298" t="str">
        <f>IFERROR(VLOOKUP(B16,Item[],15,FALSE),"")</f>
        <v/>
      </c>
      <c r="J16" s="299" t="str">
        <f>IFERROR(VLOOKUP(B16,Item[],16,FALSE),"")</f>
        <v/>
      </c>
      <c r="K16" s="299" t="str">
        <f>IFERROR(VLOOKUP(B16,Item[],17,FALSE),"")</f>
        <v/>
      </c>
      <c r="L16" s="300" t="str">
        <f>IFERROR(VLOOKUP(B16,Item[],9,FALSE),"")</f>
        <v/>
      </c>
      <c r="M16" s="301">
        <f>IF(F16="No llega","N/A",COUNTIF('Acuario (Arribado - mortalidad)'!$B$14:$B$90,'Resumen de cuarentena'!B16))</f>
        <v>0</v>
      </c>
      <c r="N16" s="295" t="str">
        <f>IFERROR(VLOOKUP(D16,SuscepEARs[],2,FALSE),"")</f>
        <v/>
      </c>
      <c r="O16" s="295" t="str">
        <f>IFERROR(VLOOKUP(D16,CITES[],2,FALSE),"")</f>
        <v/>
      </c>
      <c r="P16" s="295" t="str">
        <f>IFERROR(VLOOKUP(B16,'Tratamientos-Eventos'!$B$9:$U$20,19,FALSE),"")</f>
        <v/>
      </c>
      <c r="Q16" s="302" t="str">
        <f>IF(ISTEXT(P16),IFERROR(VLOOKUP(B16,'Tratamientos-Eventos'!$B$9:$U$20,20,FALSE),""),"")</f>
        <v/>
      </c>
    </row>
    <row r="17" spans="2:17" x14ac:dyDescent="0.2">
      <c r="B17" s="245">
        <v>3</v>
      </c>
      <c r="C17" s="294">
        <f>IFERROR(VLOOKUP(B17,Item[],3,FALSE),"")</f>
        <v>0</v>
      </c>
      <c r="D17" s="294" t="str">
        <f>IFERROR(VLOOKUP(B17,Item[],2,FALSE),"")</f>
        <v xml:space="preserve"> </v>
      </c>
      <c r="E17" s="295">
        <f>IFERROR('ORDEN DE CUARENTENA'!AD16,"")</f>
        <v>0</v>
      </c>
      <c r="F17" s="296">
        <f>IFERROR(VLOOKUP(B17,Item[],10,FALSE),"")</f>
        <v>0</v>
      </c>
      <c r="G17" s="295" t="str">
        <f>IFERROR(VLOOKUP(B17,Item[],7,FALSE),"")</f>
        <v/>
      </c>
      <c r="H17" s="297">
        <f>IFERROR(VLOOKUP(B17,Item[],8,FALSE),"")</f>
        <v>0</v>
      </c>
      <c r="I17" s="298" t="str">
        <f>IFERROR(VLOOKUP(B17,Item[],15,FALSE),"")</f>
        <v/>
      </c>
      <c r="J17" s="299" t="str">
        <f>IFERROR(VLOOKUP(B17,Item[],16,FALSE),"")</f>
        <v/>
      </c>
      <c r="K17" s="299" t="str">
        <f>IFERROR(VLOOKUP(B17,Item[],17,FALSE),"")</f>
        <v/>
      </c>
      <c r="L17" s="300" t="str">
        <f>IFERROR(VLOOKUP(B17,Item[],9,FALSE),"")</f>
        <v/>
      </c>
      <c r="M17" s="301">
        <f>IF(F17="No llega","N/A",COUNTIF('Acuario (Arribado - mortalidad)'!$B$14:$B$90,'Resumen de cuarentena'!B17))</f>
        <v>0</v>
      </c>
      <c r="N17" s="295" t="str">
        <f>IFERROR(VLOOKUP(D17,SuscepEARs[],2,FALSE),"")</f>
        <v/>
      </c>
      <c r="O17" s="295" t="str">
        <f>IFERROR(VLOOKUP(D17,CITES[],2,FALSE),"")</f>
        <v/>
      </c>
      <c r="P17" s="295" t="str">
        <f>IFERROR(VLOOKUP(B17,'Tratamientos-Eventos'!$B$9:$U$20,19,FALSE),"")</f>
        <v/>
      </c>
      <c r="Q17" s="302" t="str">
        <f>IF(ISTEXT(P17),IFERROR(VLOOKUP(B17,'Tratamientos-Eventos'!$B$9:$U$20,20,FALSE),""),"")</f>
        <v/>
      </c>
    </row>
    <row r="18" spans="2:17" x14ac:dyDescent="0.2">
      <c r="B18" s="245">
        <v>4</v>
      </c>
      <c r="C18" s="294">
        <f>IFERROR(VLOOKUP(B18,Item[],3,FALSE),"")</f>
        <v>0</v>
      </c>
      <c r="D18" s="294" t="str">
        <f>IFERROR(VLOOKUP(B18,Item[],2,FALSE),"")</f>
        <v xml:space="preserve"> </v>
      </c>
      <c r="E18" s="295">
        <f>IFERROR('ORDEN DE CUARENTENA'!AD17,"")</f>
        <v>0</v>
      </c>
      <c r="F18" s="296">
        <f>IFERROR(VLOOKUP(B18,Item[],10,FALSE),"")</f>
        <v>0</v>
      </c>
      <c r="G18" s="295" t="str">
        <f>IFERROR(VLOOKUP(B18,Item[],7,FALSE),"")</f>
        <v/>
      </c>
      <c r="H18" s="297">
        <f>IFERROR(VLOOKUP(B18,Item[],8,FALSE),"")</f>
        <v>0</v>
      </c>
      <c r="I18" s="298" t="str">
        <f>IFERROR(VLOOKUP(B18,Item[],15,FALSE),"")</f>
        <v/>
      </c>
      <c r="J18" s="299" t="str">
        <f>IFERROR(VLOOKUP(B18,Item[],16,FALSE),"")</f>
        <v/>
      </c>
      <c r="K18" s="299" t="str">
        <f>IFERROR(VLOOKUP(B18,Item[],17,FALSE),"")</f>
        <v/>
      </c>
      <c r="L18" s="300" t="str">
        <f>IFERROR(VLOOKUP(B18,Item[],9,FALSE),"")</f>
        <v/>
      </c>
      <c r="M18" s="301">
        <f>IF(F18="No llega","N/A",COUNTIF('Acuario (Arribado - mortalidad)'!$B$14:$B$90,'Resumen de cuarentena'!B18))</f>
        <v>0</v>
      </c>
      <c r="N18" s="295" t="str">
        <f>IFERROR(VLOOKUP(D18,SuscepEARs[],2,FALSE),"")</f>
        <v/>
      </c>
      <c r="O18" s="295" t="str">
        <f>IFERROR(VLOOKUP(D18,CITES[],2,FALSE),"")</f>
        <v/>
      </c>
      <c r="P18" s="295" t="str">
        <f>IFERROR(VLOOKUP(B18,'Tratamientos-Eventos'!$B$9:$U$20,19,FALSE),"")</f>
        <v/>
      </c>
      <c r="Q18" s="302" t="str">
        <f>IF(ISTEXT(P18),IFERROR(VLOOKUP(B18,'Tratamientos-Eventos'!$B$9:$U$20,20,FALSE),""),"")</f>
        <v/>
      </c>
    </row>
    <row r="19" spans="2:17" x14ac:dyDescent="0.2">
      <c r="B19" s="245">
        <v>5</v>
      </c>
      <c r="C19" s="294">
        <f>IFERROR(VLOOKUP(B19,Item[],3,FALSE),"")</f>
        <v>0</v>
      </c>
      <c r="D19" s="294" t="str">
        <f>IFERROR(VLOOKUP(B19,Item[],2,FALSE),"")</f>
        <v xml:space="preserve"> </v>
      </c>
      <c r="E19" s="295">
        <f>IFERROR('ORDEN DE CUARENTENA'!AD18,"")</f>
        <v>0</v>
      </c>
      <c r="F19" s="296">
        <f>IFERROR(VLOOKUP(B19,Item[],10,FALSE),"")</f>
        <v>0</v>
      </c>
      <c r="G19" s="295" t="str">
        <f>IFERROR(VLOOKUP(B19,Item[],7,FALSE),"")</f>
        <v/>
      </c>
      <c r="H19" s="297">
        <f>IFERROR(VLOOKUP(B19,Item[],8,FALSE),"")</f>
        <v>0</v>
      </c>
      <c r="I19" s="298" t="str">
        <f>IFERROR(VLOOKUP(B19,Item[],15,FALSE),"")</f>
        <v/>
      </c>
      <c r="J19" s="299" t="str">
        <f>IFERROR(VLOOKUP(B19,Item[],16,FALSE),"")</f>
        <v/>
      </c>
      <c r="K19" s="299" t="str">
        <f>IFERROR(VLOOKUP(B19,Item[],17,FALSE),"")</f>
        <v/>
      </c>
      <c r="L19" s="300" t="str">
        <f>IFERROR(VLOOKUP(B19,Item[],9,FALSE),"")</f>
        <v/>
      </c>
      <c r="M19" s="301">
        <f>IF(F19="No llega","N/A",COUNTIF('Acuario (Arribado - mortalidad)'!$B$14:$B$90,'Resumen de cuarentena'!B19))</f>
        <v>0</v>
      </c>
      <c r="N19" s="295" t="str">
        <f>IFERROR(VLOOKUP(D19,SuscepEARs[],2,FALSE),"")</f>
        <v/>
      </c>
      <c r="O19" s="295" t="str">
        <f>IFERROR(VLOOKUP(D19,CITES[],2,FALSE),"")</f>
        <v/>
      </c>
      <c r="P19" s="295" t="str">
        <f>IFERROR(VLOOKUP(B19,'Tratamientos-Eventos'!$B$9:$U$20,19,FALSE),"")</f>
        <v/>
      </c>
      <c r="Q19" s="302" t="str">
        <f>IF(ISTEXT(P19),IFERROR(VLOOKUP(B19,'Tratamientos-Eventos'!$B$9:$U$20,20,FALSE),""),"")</f>
        <v/>
      </c>
    </row>
    <row r="20" spans="2:17" x14ac:dyDescent="0.2">
      <c r="B20" s="245">
        <v>6</v>
      </c>
      <c r="C20" s="294">
        <f>IFERROR(VLOOKUP(B20,Item[],3,FALSE),"")</f>
        <v>0</v>
      </c>
      <c r="D20" s="294" t="str">
        <f>IFERROR(VLOOKUP(B20,Item[],2,FALSE),"")</f>
        <v xml:space="preserve"> </v>
      </c>
      <c r="E20" s="295">
        <f>IFERROR('ORDEN DE CUARENTENA'!AD19,"")</f>
        <v>0</v>
      </c>
      <c r="F20" s="296">
        <f>IFERROR(VLOOKUP(B20,Item[],10,FALSE),"")</f>
        <v>0</v>
      </c>
      <c r="G20" s="295" t="str">
        <f>IFERROR(VLOOKUP(B20,Item[],7,FALSE),"")</f>
        <v/>
      </c>
      <c r="H20" s="297">
        <f>IFERROR(VLOOKUP(B20,Item[],8,FALSE),"")</f>
        <v>0</v>
      </c>
      <c r="I20" s="298" t="str">
        <f>IFERROR(VLOOKUP(B20,Item[],15,FALSE),"")</f>
        <v/>
      </c>
      <c r="J20" s="299" t="str">
        <f>IFERROR(VLOOKUP(B20,Item[],16,FALSE),"")</f>
        <v/>
      </c>
      <c r="K20" s="299" t="str">
        <f>IFERROR(VLOOKUP(B20,Item[],17,FALSE),"")</f>
        <v/>
      </c>
      <c r="L20" s="300" t="str">
        <f>IFERROR(VLOOKUP(B20,Item[],9,FALSE),"")</f>
        <v/>
      </c>
      <c r="M20" s="301">
        <f>IF(F20="No llega","N/A",COUNTIF('Acuario (Arribado - mortalidad)'!$B$14:$B$90,'Resumen de cuarentena'!B20))</f>
        <v>0</v>
      </c>
      <c r="N20" s="295" t="str">
        <f>IFERROR(VLOOKUP(D20,SuscepEARs[],2,FALSE),"")</f>
        <v/>
      </c>
      <c r="O20" s="295" t="str">
        <f>IFERROR(VLOOKUP(D20,CITES[],2,FALSE),"")</f>
        <v/>
      </c>
      <c r="P20" s="295" t="str">
        <f>IFERROR(VLOOKUP(B20,'Tratamientos-Eventos'!$B$9:$U$20,19,FALSE),"")</f>
        <v/>
      </c>
      <c r="Q20" s="302" t="str">
        <f>IF(ISTEXT(P20),IFERROR(VLOOKUP(B20,'Tratamientos-Eventos'!$B$9:$U$20,20,FALSE),""),"")</f>
        <v/>
      </c>
    </row>
    <row r="21" spans="2:17" x14ac:dyDescent="0.2">
      <c r="B21" s="245">
        <v>7</v>
      </c>
      <c r="C21" s="294">
        <f>IFERROR(VLOOKUP(B21,Item[],3,FALSE),"")</f>
        <v>0</v>
      </c>
      <c r="D21" s="294" t="str">
        <f>IFERROR(VLOOKUP(B21,Item[],2,FALSE),"")</f>
        <v xml:space="preserve"> </v>
      </c>
      <c r="E21" s="295">
        <f>IFERROR('ORDEN DE CUARENTENA'!AD20,"")</f>
        <v>0</v>
      </c>
      <c r="F21" s="296">
        <f>IFERROR(VLOOKUP(B21,Item[],10,FALSE),"")</f>
        <v>0</v>
      </c>
      <c r="G21" s="295" t="str">
        <f>IFERROR(VLOOKUP(B21,Item[],7,FALSE),"")</f>
        <v/>
      </c>
      <c r="H21" s="297">
        <f>IFERROR(VLOOKUP(B21,Item[],8,FALSE),"")</f>
        <v>0</v>
      </c>
      <c r="I21" s="298" t="str">
        <f>IFERROR(VLOOKUP(B21,Item[],15,FALSE),"")</f>
        <v/>
      </c>
      <c r="J21" s="299" t="str">
        <f>IFERROR(VLOOKUP(B21,Item[],16,FALSE),"")</f>
        <v/>
      </c>
      <c r="K21" s="299" t="str">
        <f>IFERROR(VLOOKUP(B21,Item[],17,FALSE),"")</f>
        <v/>
      </c>
      <c r="L21" s="300" t="str">
        <f>IFERROR(VLOOKUP(B21,Item[],9,FALSE),"")</f>
        <v/>
      </c>
      <c r="M21" s="301">
        <f>IF(F21="No llega","N/A",COUNTIF('Acuario (Arribado - mortalidad)'!$B$14:$B$90,'Resumen de cuarentena'!B21))</f>
        <v>0</v>
      </c>
      <c r="N21" s="295" t="str">
        <f>IFERROR(VLOOKUP(D21,SuscepEARs[],2,FALSE),"")</f>
        <v/>
      </c>
      <c r="O21" s="295" t="str">
        <f>IFERROR(VLOOKUP(D21,CITES[],2,FALSE),"")</f>
        <v/>
      </c>
      <c r="P21" s="295" t="str">
        <f>IFERROR(VLOOKUP(B21,'Tratamientos-Eventos'!$B$9:$U$20,19,FALSE),"")</f>
        <v/>
      </c>
      <c r="Q21" s="302" t="str">
        <f>IF(ISTEXT(P21),IFERROR(VLOOKUP(B21,'Tratamientos-Eventos'!$B$9:$U$20,20,FALSE),""),"")</f>
        <v/>
      </c>
    </row>
    <row r="22" spans="2:17" x14ac:dyDescent="0.2">
      <c r="B22" s="245">
        <v>8</v>
      </c>
      <c r="C22" s="294">
        <f>IFERROR(VLOOKUP(B22,Item[],3,FALSE),"")</f>
        <v>0</v>
      </c>
      <c r="D22" s="294" t="str">
        <f>IFERROR(VLOOKUP(B22,Item[],2,FALSE),"")</f>
        <v xml:space="preserve"> </v>
      </c>
      <c r="E22" s="295">
        <f>IFERROR('ORDEN DE CUARENTENA'!AD21,"")</f>
        <v>0</v>
      </c>
      <c r="F22" s="296">
        <f>IFERROR(VLOOKUP(B22,Item[],10,FALSE),"")</f>
        <v>0</v>
      </c>
      <c r="G22" s="295" t="str">
        <f>IFERROR(VLOOKUP(B22,Item[],7,FALSE),"")</f>
        <v/>
      </c>
      <c r="H22" s="297">
        <f>IFERROR(VLOOKUP(B22,Item[],8,FALSE),"")</f>
        <v>0</v>
      </c>
      <c r="I22" s="298" t="str">
        <f>IFERROR(VLOOKUP(B22,Item[],15,FALSE),"")</f>
        <v/>
      </c>
      <c r="J22" s="299" t="str">
        <f>IFERROR(VLOOKUP(B22,Item[],16,FALSE),"")</f>
        <v/>
      </c>
      <c r="K22" s="299" t="str">
        <f>IFERROR(VLOOKUP(B22,Item[],17,FALSE),"")</f>
        <v/>
      </c>
      <c r="L22" s="300" t="str">
        <f>IFERROR(VLOOKUP(B22,Item[],9,FALSE),"")</f>
        <v/>
      </c>
      <c r="M22" s="301">
        <f>IF(F22="No llega","N/A",COUNTIF('Acuario (Arribado - mortalidad)'!$B$14:$B$90,'Resumen de cuarentena'!B22))</f>
        <v>0</v>
      </c>
      <c r="N22" s="295" t="str">
        <f>IFERROR(VLOOKUP(D22,SuscepEARs[],2,FALSE),"")</f>
        <v/>
      </c>
      <c r="O22" s="295" t="str">
        <f>IFERROR(VLOOKUP(D22,CITES[],2,FALSE),"")</f>
        <v/>
      </c>
      <c r="P22" s="295" t="str">
        <f>IFERROR(VLOOKUP(B22,'Tratamientos-Eventos'!$B$9:$U$20,19,FALSE),"")</f>
        <v/>
      </c>
      <c r="Q22" s="302" t="str">
        <f>IF(ISTEXT(P22),IFERROR(VLOOKUP(B22,'Tratamientos-Eventos'!$B$9:$U$20,20,FALSE),""),"")</f>
        <v/>
      </c>
    </row>
    <row r="23" spans="2:17" x14ac:dyDescent="0.2">
      <c r="B23" s="245">
        <v>9</v>
      </c>
      <c r="C23" s="294">
        <f>IFERROR(VLOOKUP(B23,Item[],3,FALSE),"")</f>
        <v>0</v>
      </c>
      <c r="D23" s="294" t="str">
        <f>IFERROR(VLOOKUP(B23,Item[],2,FALSE),"")</f>
        <v xml:space="preserve"> </v>
      </c>
      <c r="E23" s="295">
        <f>IFERROR('ORDEN DE CUARENTENA'!AD22,"")</f>
        <v>0</v>
      </c>
      <c r="F23" s="296">
        <f>IFERROR(VLOOKUP(B23,Item[],10,FALSE),"")</f>
        <v>0</v>
      </c>
      <c r="G23" s="295" t="str">
        <f>IFERROR(VLOOKUP(B23,Item[],7,FALSE),"")</f>
        <v/>
      </c>
      <c r="H23" s="297">
        <f>IFERROR(VLOOKUP(B23,Item[],8,FALSE),"")</f>
        <v>0</v>
      </c>
      <c r="I23" s="298" t="str">
        <f>IFERROR(VLOOKUP(B23,Item[],15,FALSE),"")</f>
        <v/>
      </c>
      <c r="J23" s="299" t="str">
        <f>IFERROR(VLOOKUP(B23,Item[],16,FALSE),"")</f>
        <v/>
      </c>
      <c r="K23" s="299" t="str">
        <f>IFERROR(VLOOKUP(B23,Item[],17,FALSE),"")</f>
        <v/>
      </c>
      <c r="L23" s="300" t="str">
        <f>IFERROR(VLOOKUP(B23,Item[],9,FALSE),"")</f>
        <v/>
      </c>
      <c r="M23" s="301">
        <f>IF(F23="No llega","N/A",COUNTIF('Acuario (Arribado - mortalidad)'!$B$14:$B$90,'Resumen de cuarentena'!B23))</f>
        <v>0</v>
      </c>
      <c r="N23" s="295" t="str">
        <f>IFERROR(VLOOKUP(D23,SuscepEARs[],2,FALSE),"")</f>
        <v/>
      </c>
      <c r="O23" s="295" t="str">
        <f>IFERROR(VLOOKUP(D23,CITES[],2,FALSE),"")</f>
        <v/>
      </c>
      <c r="P23" s="295" t="str">
        <f>IFERROR(VLOOKUP(B23,'Tratamientos-Eventos'!$B$9:$U$20,19,FALSE),"")</f>
        <v/>
      </c>
      <c r="Q23" s="302" t="str">
        <f>IF(ISTEXT(P23),IFERROR(VLOOKUP(B23,'Tratamientos-Eventos'!$B$9:$U$20,20,FALSE),""),"")</f>
        <v/>
      </c>
    </row>
    <row r="24" spans="2:17" x14ac:dyDescent="0.2">
      <c r="B24" s="245">
        <v>10</v>
      </c>
      <c r="C24" s="294">
        <f>IFERROR(VLOOKUP(B24,Item[],3,FALSE),"")</f>
        <v>0</v>
      </c>
      <c r="D24" s="294" t="str">
        <f>IFERROR(VLOOKUP(B24,Item[],2,FALSE),"")</f>
        <v xml:space="preserve"> </v>
      </c>
      <c r="E24" s="295">
        <f>IFERROR('ORDEN DE CUARENTENA'!AD23,"")</f>
        <v>0</v>
      </c>
      <c r="F24" s="296">
        <f>IFERROR(VLOOKUP(B24,Item[],10,FALSE),"")</f>
        <v>0</v>
      </c>
      <c r="G24" s="295" t="str">
        <f>IFERROR(VLOOKUP(B24,Item[],7,FALSE),"")</f>
        <v/>
      </c>
      <c r="H24" s="297">
        <f>IFERROR(VLOOKUP(B24,Item[],8,FALSE),"")</f>
        <v>0</v>
      </c>
      <c r="I24" s="298" t="str">
        <f>IFERROR(VLOOKUP(B24,Item[],15,FALSE),"")</f>
        <v/>
      </c>
      <c r="J24" s="299" t="str">
        <f>IFERROR(VLOOKUP(B24,Item[],16,FALSE),"")</f>
        <v/>
      </c>
      <c r="K24" s="299" t="str">
        <f>IFERROR(VLOOKUP(B24,Item[],17,FALSE),"")</f>
        <v/>
      </c>
      <c r="L24" s="300" t="str">
        <f>IFERROR(VLOOKUP(B24,Item[],9,FALSE),"")</f>
        <v/>
      </c>
      <c r="M24" s="301">
        <f>IF(F24="No llega","N/A",COUNTIF('Acuario (Arribado - mortalidad)'!$B$14:$B$90,'Resumen de cuarentena'!B24))</f>
        <v>0</v>
      </c>
      <c r="N24" s="295" t="str">
        <f>IFERROR(VLOOKUP(D24,SuscepEARs[],2,FALSE),"")</f>
        <v/>
      </c>
      <c r="O24" s="295" t="str">
        <f>IFERROR(VLOOKUP(D24,CITES[],2,FALSE),"")</f>
        <v/>
      </c>
      <c r="P24" s="295" t="str">
        <f>IFERROR(VLOOKUP(B24,'Tratamientos-Eventos'!$B$9:$U$20,19,FALSE),"")</f>
        <v/>
      </c>
      <c r="Q24" s="302" t="str">
        <f>IF(ISTEXT(P24),IFERROR(VLOOKUP(B24,'Tratamientos-Eventos'!$B$9:$U$20,20,FALSE),""),"")</f>
        <v/>
      </c>
    </row>
    <row r="25" spans="2:17" x14ac:dyDescent="0.2">
      <c r="B25" s="245">
        <v>11</v>
      </c>
      <c r="C25" s="294">
        <f>IFERROR(VLOOKUP(B25,Item[],3,FALSE),"")</f>
        <v>0</v>
      </c>
      <c r="D25" s="294" t="str">
        <f>IFERROR(VLOOKUP(B25,Item[],2,FALSE),"")</f>
        <v xml:space="preserve"> </v>
      </c>
      <c r="E25" s="295">
        <f>IFERROR('ORDEN DE CUARENTENA'!AD24,"")</f>
        <v>0</v>
      </c>
      <c r="F25" s="296">
        <f>IFERROR(VLOOKUP(B25,Item[],10,FALSE),"")</f>
        <v>0</v>
      </c>
      <c r="G25" s="295" t="str">
        <f>IFERROR(VLOOKUP(B25,Item[],7,FALSE),"")</f>
        <v/>
      </c>
      <c r="H25" s="297">
        <f>IFERROR(VLOOKUP(B25,Item[],8,FALSE),"")</f>
        <v>0</v>
      </c>
      <c r="I25" s="298" t="str">
        <f>IFERROR(VLOOKUP(B25,Item[],15,FALSE),"")</f>
        <v/>
      </c>
      <c r="J25" s="299" t="str">
        <f>IFERROR(VLOOKUP(B25,Item[],16,FALSE),"")</f>
        <v/>
      </c>
      <c r="K25" s="299" t="str">
        <f>IFERROR(VLOOKUP(B25,Item[],17,FALSE),"")</f>
        <v/>
      </c>
      <c r="L25" s="300" t="str">
        <f>IFERROR(VLOOKUP(B25,Item[],9,FALSE),"")</f>
        <v/>
      </c>
      <c r="M25" s="301">
        <f>IF(F25="No llega","N/A",COUNTIF('Acuario (Arribado - mortalidad)'!$B$14:$B$90,'Resumen de cuarentena'!B25))</f>
        <v>0</v>
      </c>
      <c r="N25" s="295" t="str">
        <f>IFERROR(VLOOKUP(D25,SuscepEARs[],2,FALSE),"")</f>
        <v/>
      </c>
      <c r="O25" s="295" t="str">
        <f>IFERROR(VLOOKUP(D25,CITES[],2,FALSE),"")</f>
        <v/>
      </c>
      <c r="P25" s="295" t="str">
        <f>IFERROR(VLOOKUP(B25,'Tratamientos-Eventos'!$B$9:$U$20,19,FALSE),"")</f>
        <v/>
      </c>
      <c r="Q25" s="302" t="str">
        <f>IF(ISTEXT(P25),IFERROR(VLOOKUP(B25,'Tratamientos-Eventos'!$B$9:$U$20,20,FALSE),""),"")</f>
        <v/>
      </c>
    </row>
    <row r="26" spans="2:17" x14ac:dyDescent="0.2">
      <c r="B26" s="245">
        <v>12</v>
      </c>
      <c r="C26" s="294">
        <f>IFERROR(VLOOKUP(B26,Item[],3,FALSE),"")</f>
        <v>0</v>
      </c>
      <c r="D26" s="294" t="str">
        <f>IFERROR(VLOOKUP(B26,Item[],2,FALSE),"")</f>
        <v xml:space="preserve"> </v>
      </c>
      <c r="E26" s="295">
        <f>IFERROR('ORDEN DE CUARENTENA'!AD25,"")</f>
        <v>0</v>
      </c>
      <c r="F26" s="296">
        <f>IFERROR(VLOOKUP(B26,Item[],10,FALSE),"")</f>
        <v>0</v>
      </c>
      <c r="G26" s="295" t="str">
        <f>IFERROR(VLOOKUP(B26,Item[],7,FALSE),"")</f>
        <v/>
      </c>
      <c r="H26" s="297">
        <f>IFERROR(VLOOKUP(B26,Item[],8,FALSE),"")</f>
        <v>0</v>
      </c>
      <c r="I26" s="298" t="str">
        <f>IFERROR(VLOOKUP(B26,Item[],15,FALSE),"")</f>
        <v/>
      </c>
      <c r="J26" s="299" t="str">
        <f>IFERROR(VLOOKUP(B26,Item[],16,FALSE),"")</f>
        <v/>
      </c>
      <c r="K26" s="299" t="str">
        <f>IFERROR(VLOOKUP(B26,Item[],17,FALSE),"")</f>
        <v/>
      </c>
      <c r="L26" s="300" t="str">
        <f>IFERROR(VLOOKUP(B26,Item[],9,FALSE),"")</f>
        <v/>
      </c>
      <c r="M26" s="301">
        <f>IF(F26="No llega","N/A",COUNTIF('Acuario (Arribado - mortalidad)'!$B$14:$B$90,'Resumen de cuarentena'!B26))</f>
        <v>0</v>
      </c>
      <c r="N26" s="295" t="str">
        <f>IFERROR(VLOOKUP(D26,SuscepEARs[],2,FALSE),"")</f>
        <v/>
      </c>
      <c r="O26" s="295" t="str">
        <f>IFERROR(VLOOKUP(D26,CITES[],2,FALSE),"")</f>
        <v/>
      </c>
      <c r="P26" s="295" t="str">
        <f>IFERROR(VLOOKUP(B26,'Tratamientos-Eventos'!$B$9:$U$20,19,FALSE),"")</f>
        <v/>
      </c>
      <c r="Q26" s="302" t="str">
        <f>IF(ISTEXT(P26),IFERROR(VLOOKUP(B26,'Tratamientos-Eventos'!$B$9:$U$20,20,FALSE),""),"")</f>
        <v/>
      </c>
    </row>
    <row r="27" spans="2:17" x14ac:dyDescent="0.2">
      <c r="B27" s="245">
        <v>13</v>
      </c>
      <c r="C27" s="294">
        <f>IFERROR(VLOOKUP(B27,Item[],3,FALSE),"")</f>
        <v>0</v>
      </c>
      <c r="D27" s="294" t="str">
        <f>IFERROR(VLOOKUP(B27,Item[],2,FALSE),"")</f>
        <v xml:space="preserve"> </v>
      </c>
      <c r="E27" s="295">
        <f>IFERROR('ORDEN DE CUARENTENA'!AD26,"")</f>
        <v>0</v>
      </c>
      <c r="F27" s="296">
        <f>IFERROR(VLOOKUP(B27,Item[],10,FALSE),"")</f>
        <v>0</v>
      </c>
      <c r="G27" s="295" t="str">
        <f>IFERROR(VLOOKUP(B27,Item[],7,FALSE),"")</f>
        <v/>
      </c>
      <c r="H27" s="297">
        <f>IFERROR(VLOOKUP(B27,Item[],8,FALSE),"")</f>
        <v>0</v>
      </c>
      <c r="I27" s="298" t="str">
        <f>IFERROR(VLOOKUP(B27,Item[],15,FALSE),"")</f>
        <v/>
      </c>
      <c r="J27" s="299" t="str">
        <f>IFERROR(VLOOKUP(B27,Item[],16,FALSE),"")</f>
        <v/>
      </c>
      <c r="K27" s="299" t="str">
        <f>IFERROR(VLOOKUP(B27,Item[],17,FALSE),"")</f>
        <v/>
      </c>
      <c r="L27" s="300" t="str">
        <f>IFERROR(VLOOKUP(B27,Item[],9,FALSE),"")</f>
        <v/>
      </c>
      <c r="M27" s="301">
        <f>IF(F27="No llega","N/A",COUNTIF('Acuario (Arribado - mortalidad)'!$B$14:$B$90,'Resumen de cuarentena'!B27))</f>
        <v>0</v>
      </c>
      <c r="N27" s="295" t="str">
        <f>IFERROR(VLOOKUP(D27,SuscepEARs[],2,FALSE),"")</f>
        <v/>
      </c>
      <c r="O27" s="295" t="str">
        <f>IFERROR(VLOOKUP(D27,CITES[],2,FALSE),"")</f>
        <v/>
      </c>
      <c r="P27" s="295" t="str">
        <f>IFERROR(VLOOKUP(B27,'Tratamientos-Eventos'!$B$9:$U$20,19,FALSE),"")</f>
        <v/>
      </c>
      <c r="Q27" s="302" t="str">
        <f>IF(ISTEXT(P27),IFERROR(VLOOKUP(B27,'Tratamientos-Eventos'!$B$9:$U$20,20,FALSE),""),"")</f>
        <v/>
      </c>
    </row>
    <row r="28" spans="2:17" x14ac:dyDescent="0.2">
      <c r="B28" s="245">
        <v>14</v>
      </c>
      <c r="C28" s="294">
        <f>IFERROR(VLOOKUP(B28,Item[],3,FALSE),"")</f>
        <v>0</v>
      </c>
      <c r="D28" s="294" t="str">
        <f>IFERROR(VLOOKUP(B28,Item[],2,FALSE),"")</f>
        <v xml:space="preserve"> </v>
      </c>
      <c r="E28" s="295">
        <f>IFERROR('ORDEN DE CUARENTENA'!AD27,"")</f>
        <v>0</v>
      </c>
      <c r="F28" s="296">
        <f>IFERROR(VLOOKUP(B28,Item[],10,FALSE),"")</f>
        <v>0</v>
      </c>
      <c r="G28" s="295" t="str">
        <f>IFERROR(VLOOKUP(B28,Item[],7,FALSE),"")</f>
        <v/>
      </c>
      <c r="H28" s="297">
        <f>IFERROR(VLOOKUP(B28,Item[],8,FALSE),"")</f>
        <v>0</v>
      </c>
      <c r="I28" s="298" t="str">
        <f>IFERROR(VLOOKUP(B28,Item[],15,FALSE),"")</f>
        <v/>
      </c>
      <c r="J28" s="299" t="str">
        <f>IFERROR(VLOOKUP(B28,Item[],16,FALSE),"")</f>
        <v/>
      </c>
      <c r="K28" s="299" t="str">
        <f>IFERROR(VLOOKUP(B28,Item[],17,FALSE),"")</f>
        <v/>
      </c>
      <c r="L28" s="300" t="str">
        <f>IFERROR(VLOOKUP(B28,Item[],9,FALSE),"")</f>
        <v/>
      </c>
      <c r="M28" s="301">
        <f>IF(F28="No llega","N/A",COUNTIF('Acuario (Arribado - mortalidad)'!$B$14:$B$90,'Resumen de cuarentena'!B28))</f>
        <v>0</v>
      </c>
      <c r="N28" s="295" t="str">
        <f>IFERROR(VLOOKUP(D28,SuscepEARs[],2,FALSE),"")</f>
        <v/>
      </c>
      <c r="O28" s="295" t="str">
        <f>IFERROR(VLOOKUP(D28,CITES[],2,FALSE),"")</f>
        <v/>
      </c>
      <c r="P28" s="295" t="str">
        <f>IFERROR(VLOOKUP(B28,'Tratamientos-Eventos'!$B$9:$U$20,19,FALSE),"")</f>
        <v/>
      </c>
      <c r="Q28" s="302" t="str">
        <f>IF(ISTEXT(P28),IFERROR(VLOOKUP(B28,'Tratamientos-Eventos'!$B$9:$U$20,20,FALSE),""),"")</f>
        <v/>
      </c>
    </row>
    <row r="29" spans="2:17" x14ac:dyDescent="0.2">
      <c r="B29" s="245">
        <v>15</v>
      </c>
      <c r="C29" s="294">
        <f>IFERROR(VLOOKUP(B29,Item[],3,FALSE),"")</f>
        <v>0</v>
      </c>
      <c r="D29" s="294" t="str">
        <f>IFERROR(VLOOKUP(B29,Item[],2,FALSE),"")</f>
        <v xml:space="preserve"> </v>
      </c>
      <c r="E29" s="295">
        <f>IFERROR('ORDEN DE CUARENTENA'!AD28,"")</f>
        <v>0</v>
      </c>
      <c r="F29" s="296">
        <f>IFERROR(VLOOKUP(B29,Item[],10,FALSE),"")</f>
        <v>0</v>
      </c>
      <c r="G29" s="295" t="str">
        <f>IFERROR(VLOOKUP(B29,Item[],7,FALSE),"")</f>
        <v/>
      </c>
      <c r="H29" s="297">
        <f>IFERROR(VLOOKUP(B29,Item[],8,FALSE),"")</f>
        <v>0</v>
      </c>
      <c r="I29" s="298" t="str">
        <f>IFERROR(VLOOKUP(B29,Item[],15,FALSE),"")</f>
        <v/>
      </c>
      <c r="J29" s="299" t="str">
        <f>IFERROR(VLOOKUP(B29,Item[],16,FALSE),"")</f>
        <v/>
      </c>
      <c r="K29" s="299" t="str">
        <f>IFERROR(VLOOKUP(B29,Item[],17,FALSE),"")</f>
        <v/>
      </c>
      <c r="L29" s="300" t="str">
        <f>IFERROR(VLOOKUP(B29,Item[],9,FALSE),"")</f>
        <v/>
      </c>
      <c r="M29" s="301">
        <f>IF(F29="No llega","N/A",COUNTIF('Acuario (Arribado - mortalidad)'!$B$14:$B$90,'Resumen de cuarentena'!B29))</f>
        <v>0</v>
      </c>
      <c r="N29" s="295" t="str">
        <f>IFERROR(VLOOKUP(D29,SuscepEARs[],2,FALSE),"")</f>
        <v/>
      </c>
      <c r="O29" s="295" t="str">
        <f>IFERROR(VLOOKUP(D29,CITES[],2,FALSE),"")</f>
        <v/>
      </c>
      <c r="P29" s="295" t="str">
        <f>IFERROR(VLOOKUP(B29,'Tratamientos-Eventos'!$B$9:$U$20,19,FALSE),"")</f>
        <v/>
      </c>
      <c r="Q29" s="302" t="str">
        <f>IF(ISTEXT(P29),IFERROR(VLOOKUP(B29,'Tratamientos-Eventos'!$B$9:$U$20,20,FALSE),""),"")</f>
        <v/>
      </c>
    </row>
    <row r="30" spans="2:17" x14ac:dyDescent="0.2">
      <c r="B30" s="245">
        <v>16</v>
      </c>
      <c r="C30" s="294">
        <f>IFERROR(VLOOKUP(B30,Item[],3,FALSE),"")</f>
        <v>0</v>
      </c>
      <c r="D30" s="294" t="str">
        <f>IFERROR(VLOOKUP(B30,Item[],2,FALSE),"")</f>
        <v xml:space="preserve"> </v>
      </c>
      <c r="E30" s="295">
        <f>IFERROR('ORDEN DE CUARENTENA'!AD29,"")</f>
        <v>0</v>
      </c>
      <c r="F30" s="296">
        <f>IFERROR(VLOOKUP(B30,Item[],10,FALSE),"")</f>
        <v>0</v>
      </c>
      <c r="G30" s="295" t="str">
        <f>IFERROR(VLOOKUP(B30,Item[],7,FALSE),"")</f>
        <v/>
      </c>
      <c r="H30" s="297">
        <f>IFERROR(VLOOKUP(B30,Item[],8,FALSE),"")</f>
        <v>0</v>
      </c>
      <c r="I30" s="298" t="str">
        <f>IFERROR(VLOOKUP(B30,Item[],15,FALSE),"")</f>
        <v/>
      </c>
      <c r="J30" s="299" t="str">
        <f>IFERROR(VLOOKUP(B30,Item[],16,FALSE),"")</f>
        <v/>
      </c>
      <c r="K30" s="299" t="str">
        <f>IFERROR(VLOOKUP(B30,Item[],17,FALSE),"")</f>
        <v/>
      </c>
      <c r="L30" s="300" t="str">
        <f>IFERROR(VLOOKUP(B30,Item[],9,FALSE),"")</f>
        <v/>
      </c>
      <c r="M30" s="301">
        <f>IF(F30="No llega","N/A",COUNTIF('Acuario (Arribado - mortalidad)'!$B$14:$B$90,'Resumen de cuarentena'!B30))</f>
        <v>0</v>
      </c>
      <c r="N30" s="295" t="str">
        <f>IFERROR(VLOOKUP(D30,SuscepEARs[],2,FALSE),"")</f>
        <v/>
      </c>
      <c r="O30" s="295" t="str">
        <f>IFERROR(VLOOKUP(D30,CITES[],2,FALSE),"")</f>
        <v/>
      </c>
      <c r="P30" s="295" t="str">
        <f>IFERROR(VLOOKUP(B30,'Tratamientos-Eventos'!$B$9:$U$20,19,FALSE),"")</f>
        <v/>
      </c>
      <c r="Q30" s="302" t="str">
        <f>IF(ISTEXT(P30),IFERROR(VLOOKUP(B30,'Tratamientos-Eventos'!$B$9:$U$20,20,FALSE),""),"")</f>
        <v/>
      </c>
    </row>
    <row r="31" spans="2:17" x14ac:dyDescent="0.2">
      <c r="B31" s="245">
        <v>17</v>
      </c>
      <c r="C31" s="294">
        <f>IFERROR(VLOOKUP(B31,Item[],3,FALSE),"")</f>
        <v>0</v>
      </c>
      <c r="D31" s="294" t="str">
        <f>IFERROR(VLOOKUP(B31,Item[],2,FALSE),"")</f>
        <v xml:space="preserve"> </v>
      </c>
      <c r="E31" s="295">
        <f>IFERROR('ORDEN DE CUARENTENA'!AD30,"")</f>
        <v>0</v>
      </c>
      <c r="F31" s="296">
        <f>IFERROR(VLOOKUP(B31,Item[],10,FALSE),"")</f>
        <v>0</v>
      </c>
      <c r="G31" s="295" t="str">
        <f>IFERROR(VLOOKUP(B31,Item[],7,FALSE),"")</f>
        <v/>
      </c>
      <c r="H31" s="297">
        <f>IFERROR(VLOOKUP(B31,Item[],8,FALSE),"")</f>
        <v>0</v>
      </c>
      <c r="I31" s="298" t="str">
        <f>IFERROR(VLOOKUP(B31,Item[],15,FALSE),"")</f>
        <v/>
      </c>
      <c r="J31" s="299" t="str">
        <f>IFERROR(VLOOKUP(B31,Item[],16,FALSE),"")</f>
        <v/>
      </c>
      <c r="K31" s="299" t="str">
        <f>IFERROR(VLOOKUP(B31,Item[],17,FALSE),"")</f>
        <v/>
      </c>
      <c r="L31" s="300" t="str">
        <f>IFERROR(VLOOKUP(B31,Item[],9,FALSE),"")</f>
        <v/>
      </c>
      <c r="M31" s="301">
        <f>IF(F31="No llega","N/A",COUNTIF('Acuario (Arribado - mortalidad)'!$B$14:$B$90,'Resumen de cuarentena'!B31))</f>
        <v>0</v>
      </c>
      <c r="N31" s="295" t="str">
        <f>IFERROR(VLOOKUP(D31,SuscepEARs[],2,FALSE),"")</f>
        <v/>
      </c>
      <c r="O31" s="295" t="str">
        <f>IFERROR(VLOOKUP(D31,CITES[],2,FALSE),"")</f>
        <v/>
      </c>
      <c r="P31" s="295" t="str">
        <f>IFERROR(VLOOKUP(B31,'Tratamientos-Eventos'!$B$9:$U$20,19,FALSE),"")</f>
        <v/>
      </c>
      <c r="Q31" s="302" t="str">
        <f>IF(ISTEXT(P31),IFERROR(VLOOKUP(B31,'Tratamientos-Eventos'!$B$9:$U$20,20,FALSE),""),"")</f>
        <v/>
      </c>
    </row>
    <row r="32" spans="2:17" x14ac:dyDescent="0.2">
      <c r="B32" s="245">
        <v>18</v>
      </c>
      <c r="C32" s="294">
        <f>IFERROR(VLOOKUP(B32,Item[],3,FALSE),"")</f>
        <v>0</v>
      </c>
      <c r="D32" s="294" t="str">
        <f>IFERROR(VLOOKUP(B32,Item[],2,FALSE),"")</f>
        <v xml:space="preserve"> </v>
      </c>
      <c r="E32" s="295">
        <f>IFERROR('ORDEN DE CUARENTENA'!AD31,"")</f>
        <v>0</v>
      </c>
      <c r="F32" s="296">
        <f>IFERROR(VLOOKUP(B32,Item[],10,FALSE),"")</f>
        <v>0</v>
      </c>
      <c r="G32" s="295" t="str">
        <f>IFERROR(VLOOKUP(B32,Item[],7,FALSE),"")</f>
        <v/>
      </c>
      <c r="H32" s="297">
        <f>IFERROR(VLOOKUP(B32,Item[],8,FALSE),"")</f>
        <v>0</v>
      </c>
      <c r="I32" s="298" t="str">
        <f>IFERROR(VLOOKUP(B32,Item[],15,FALSE),"")</f>
        <v/>
      </c>
      <c r="J32" s="299" t="str">
        <f>IFERROR(VLOOKUP(B32,Item[],16,FALSE),"")</f>
        <v/>
      </c>
      <c r="K32" s="299" t="str">
        <f>IFERROR(VLOOKUP(B32,Item[],17,FALSE),"")</f>
        <v/>
      </c>
      <c r="L32" s="300" t="str">
        <f>IFERROR(VLOOKUP(B32,Item[],9,FALSE),"")</f>
        <v/>
      </c>
      <c r="M32" s="301">
        <f>IF(F32="No llega","N/A",COUNTIF('Acuario (Arribado - mortalidad)'!$B$14:$B$90,'Resumen de cuarentena'!B32))</f>
        <v>0</v>
      </c>
      <c r="N32" s="295" t="str">
        <f>IFERROR(VLOOKUP(D32,SuscepEARs[],2,FALSE),"")</f>
        <v/>
      </c>
      <c r="O32" s="295" t="str">
        <f>IFERROR(VLOOKUP(D32,CITES[],2,FALSE),"")</f>
        <v/>
      </c>
      <c r="P32" s="295" t="str">
        <f>IFERROR(VLOOKUP(B32,'Tratamientos-Eventos'!$B$9:$U$20,19,FALSE),"")</f>
        <v/>
      </c>
      <c r="Q32" s="302" t="str">
        <f>IF(ISTEXT(P32),IFERROR(VLOOKUP(B32,'Tratamientos-Eventos'!$B$9:$U$20,20,FALSE),""),"")</f>
        <v/>
      </c>
    </row>
    <row r="33" spans="2:17" x14ac:dyDescent="0.2">
      <c r="B33" s="245">
        <v>19</v>
      </c>
      <c r="C33" s="294">
        <f>IFERROR(VLOOKUP(B33,Item[],3,FALSE),"")</f>
        <v>0</v>
      </c>
      <c r="D33" s="294" t="str">
        <f>IFERROR(VLOOKUP(B33,Item[],2,FALSE),"")</f>
        <v xml:space="preserve"> </v>
      </c>
      <c r="E33" s="295">
        <f>IFERROR('ORDEN DE CUARENTENA'!AD32,"")</f>
        <v>0</v>
      </c>
      <c r="F33" s="296">
        <f>IFERROR(VLOOKUP(B33,Item[],10,FALSE),"")</f>
        <v>0</v>
      </c>
      <c r="G33" s="295" t="str">
        <f>IFERROR(VLOOKUP(B33,Item[],7,FALSE),"")</f>
        <v/>
      </c>
      <c r="H33" s="297">
        <f>IFERROR(VLOOKUP(B33,Item[],8,FALSE),"")</f>
        <v>0</v>
      </c>
      <c r="I33" s="298" t="str">
        <f>IFERROR(VLOOKUP(B33,Item[],15,FALSE),"")</f>
        <v/>
      </c>
      <c r="J33" s="299" t="str">
        <f>IFERROR(VLOOKUP(B33,Item[],16,FALSE),"")</f>
        <v/>
      </c>
      <c r="K33" s="299" t="str">
        <f>IFERROR(VLOOKUP(B33,Item[],17,FALSE),"")</f>
        <v/>
      </c>
      <c r="L33" s="300" t="str">
        <f>IFERROR(VLOOKUP(B33,Item[],9,FALSE),"")</f>
        <v/>
      </c>
      <c r="M33" s="301">
        <f>IF(F33="No llega","N/A",COUNTIF('Acuario (Arribado - mortalidad)'!$B$14:$B$90,'Resumen de cuarentena'!B33))</f>
        <v>0</v>
      </c>
      <c r="N33" s="295" t="str">
        <f>IFERROR(VLOOKUP(D33,SuscepEARs[],2,FALSE),"")</f>
        <v/>
      </c>
      <c r="O33" s="295" t="str">
        <f>IFERROR(VLOOKUP(D33,CITES[],2,FALSE),"")</f>
        <v/>
      </c>
      <c r="P33" s="295" t="str">
        <f>IFERROR(VLOOKUP(B33,'Tratamientos-Eventos'!$B$9:$U$20,19,FALSE),"")</f>
        <v/>
      </c>
      <c r="Q33" s="302" t="str">
        <f>IF(ISTEXT(P33),IFERROR(VLOOKUP(B33,'Tratamientos-Eventos'!$B$9:$U$20,20,FALSE),""),"")</f>
        <v/>
      </c>
    </row>
    <row r="34" spans="2:17" x14ac:dyDescent="0.2">
      <c r="B34" s="245">
        <v>20</v>
      </c>
      <c r="C34" s="294">
        <f>IFERROR(VLOOKUP(B34,Item[],3,FALSE),"")</f>
        <v>0</v>
      </c>
      <c r="D34" s="294" t="str">
        <f>IFERROR(VLOOKUP(B34,Item[],2,FALSE),"")</f>
        <v xml:space="preserve"> </v>
      </c>
      <c r="E34" s="295">
        <f>IFERROR('ORDEN DE CUARENTENA'!AD33,"")</f>
        <v>0</v>
      </c>
      <c r="F34" s="296">
        <f>IFERROR(VLOOKUP(B34,Item[],10,FALSE),"")</f>
        <v>0</v>
      </c>
      <c r="G34" s="295" t="str">
        <f>IFERROR(VLOOKUP(B34,Item[],7,FALSE),"")</f>
        <v/>
      </c>
      <c r="H34" s="297">
        <f>IFERROR(VLOOKUP(B34,Item[],8,FALSE),"")</f>
        <v>0</v>
      </c>
      <c r="I34" s="298" t="str">
        <f>IFERROR(VLOOKUP(B34,Item[],15,FALSE),"")</f>
        <v/>
      </c>
      <c r="J34" s="299" t="str">
        <f>IFERROR(VLOOKUP(B34,Item[],16,FALSE),"")</f>
        <v/>
      </c>
      <c r="K34" s="299" t="str">
        <f>IFERROR(VLOOKUP(B34,Item[],17,FALSE),"")</f>
        <v/>
      </c>
      <c r="L34" s="300" t="str">
        <f>IFERROR(VLOOKUP(B34,Item[],9,FALSE),"")</f>
        <v/>
      </c>
      <c r="M34" s="301">
        <f>IF(F34="No llega","N/A",COUNTIF('Acuario (Arribado - mortalidad)'!$B$14:$B$90,'Resumen de cuarentena'!B34))</f>
        <v>0</v>
      </c>
      <c r="N34" s="295" t="str">
        <f>IFERROR(VLOOKUP(D34,SuscepEARs[],2,FALSE),"")</f>
        <v/>
      </c>
      <c r="O34" s="295" t="str">
        <f>IFERROR(VLOOKUP(D34,CITES[],2,FALSE),"")</f>
        <v/>
      </c>
      <c r="P34" s="295" t="str">
        <f>IFERROR(VLOOKUP(B34,'Tratamientos-Eventos'!$B$9:$U$20,19,FALSE),"")</f>
        <v/>
      </c>
      <c r="Q34" s="302" t="str">
        <f>IF(ISTEXT(P34),IFERROR(VLOOKUP(B34,'Tratamientos-Eventos'!$B$9:$U$20,20,FALSE),""),"")</f>
        <v/>
      </c>
    </row>
    <row r="35" spans="2:17" x14ac:dyDescent="0.2">
      <c r="B35" s="245">
        <v>21</v>
      </c>
      <c r="C35" s="294">
        <f>IFERROR(VLOOKUP(B35,Item[],3,FALSE),"")</f>
        <v>0</v>
      </c>
      <c r="D35" s="294" t="str">
        <f>IFERROR(VLOOKUP(B35,Item[],2,FALSE),"")</f>
        <v xml:space="preserve"> </v>
      </c>
      <c r="E35" s="295">
        <f>IFERROR('ORDEN DE CUARENTENA'!AD34,"")</f>
        <v>0</v>
      </c>
      <c r="F35" s="296">
        <f>IFERROR(VLOOKUP(B35,Item[],10,FALSE),"")</f>
        <v>0</v>
      </c>
      <c r="G35" s="295" t="str">
        <f>IFERROR(VLOOKUP(B35,Item[],7,FALSE),"")</f>
        <v/>
      </c>
      <c r="H35" s="297">
        <f>IFERROR(VLOOKUP(B35,Item[],8,FALSE),"")</f>
        <v>0</v>
      </c>
      <c r="I35" s="298" t="str">
        <f>IFERROR(VLOOKUP(B35,Item[],15,FALSE),"")</f>
        <v/>
      </c>
      <c r="J35" s="299" t="str">
        <f>IFERROR(VLOOKUP(B35,Item[],16,FALSE),"")</f>
        <v/>
      </c>
      <c r="K35" s="299" t="str">
        <f>IFERROR(VLOOKUP(B35,Item[],17,FALSE),"")</f>
        <v/>
      </c>
      <c r="L35" s="300" t="str">
        <f>IFERROR(VLOOKUP(B35,Item[],9,FALSE),"")</f>
        <v/>
      </c>
      <c r="M35" s="301">
        <f>IF(F35="No llega","N/A",COUNTIF('Acuario (Arribado - mortalidad)'!$B$14:$B$90,'Resumen de cuarentena'!B35))</f>
        <v>0</v>
      </c>
      <c r="N35" s="295" t="str">
        <f>IFERROR(VLOOKUP(D35,SuscepEARs[],2,FALSE),"")</f>
        <v/>
      </c>
      <c r="O35" s="295" t="str">
        <f>IFERROR(VLOOKUP(D35,CITES[],2,FALSE),"")</f>
        <v/>
      </c>
      <c r="P35" s="295" t="str">
        <f>IFERROR(VLOOKUP(B35,'Tratamientos-Eventos'!$B$9:$U$20,19,FALSE),"")</f>
        <v/>
      </c>
      <c r="Q35" s="302" t="str">
        <f>IF(ISTEXT(P35),IFERROR(VLOOKUP(B35,'Tratamientos-Eventos'!$B$9:$U$20,20,FALSE),""),"")</f>
        <v/>
      </c>
    </row>
    <row r="36" spans="2:17" x14ac:dyDescent="0.2">
      <c r="B36" s="245">
        <v>22</v>
      </c>
      <c r="C36" s="294">
        <f>IFERROR(VLOOKUP(B36,Item[],3,FALSE),"")</f>
        <v>0</v>
      </c>
      <c r="D36" s="294" t="str">
        <f>IFERROR(VLOOKUP(B36,Item[],2,FALSE),"")</f>
        <v xml:space="preserve"> </v>
      </c>
      <c r="E36" s="295">
        <f>IFERROR('ORDEN DE CUARENTENA'!AD35,"")</f>
        <v>0</v>
      </c>
      <c r="F36" s="296">
        <f>IFERROR(VLOOKUP(B36,Item[],10,FALSE),"")</f>
        <v>0</v>
      </c>
      <c r="G36" s="295" t="str">
        <f>IFERROR(VLOOKUP(B36,Item[],7,FALSE),"")</f>
        <v/>
      </c>
      <c r="H36" s="297">
        <f>IFERROR(VLOOKUP(B36,Item[],8,FALSE),"")</f>
        <v>0</v>
      </c>
      <c r="I36" s="298" t="str">
        <f>IFERROR(VLOOKUP(B36,Item[],15,FALSE),"")</f>
        <v/>
      </c>
      <c r="J36" s="299" t="str">
        <f>IFERROR(VLOOKUP(B36,Item[],16,FALSE),"")</f>
        <v/>
      </c>
      <c r="K36" s="299" t="str">
        <f>IFERROR(VLOOKUP(B36,Item[],17,FALSE),"")</f>
        <v/>
      </c>
      <c r="L36" s="300" t="str">
        <f>IFERROR(VLOOKUP(B36,Item[],9,FALSE),"")</f>
        <v/>
      </c>
      <c r="M36" s="301">
        <f>IF(F36="No llega","N/A",COUNTIF('Acuario (Arribado - mortalidad)'!$B$14:$B$90,'Resumen de cuarentena'!B36))</f>
        <v>0</v>
      </c>
      <c r="N36" s="295" t="str">
        <f>IFERROR(VLOOKUP(D36,SuscepEARs[],2,FALSE),"")</f>
        <v/>
      </c>
      <c r="O36" s="295" t="str">
        <f>IFERROR(VLOOKUP(D36,CITES[],2,FALSE),"")</f>
        <v/>
      </c>
      <c r="P36" s="295" t="str">
        <f>IFERROR(VLOOKUP(B36,'Tratamientos-Eventos'!$B$9:$U$20,19,FALSE),"")</f>
        <v/>
      </c>
      <c r="Q36" s="302" t="str">
        <f>IF(ISTEXT(P36),IFERROR(VLOOKUP(B36,'Tratamientos-Eventos'!$B$9:$U$20,20,FALSE),""),"")</f>
        <v/>
      </c>
    </row>
    <row r="37" spans="2:17" x14ac:dyDescent="0.2">
      <c r="B37" s="245">
        <v>23</v>
      </c>
      <c r="C37" s="294">
        <f>IFERROR(VLOOKUP(B37,Item[],3,FALSE),"")</f>
        <v>0</v>
      </c>
      <c r="D37" s="294" t="str">
        <f>IFERROR(VLOOKUP(B37,Item[],2,FALSE),"")</f>
        <v xml:space="preserve"> </v>
      </c>
      <c r="E37" s="295">
        <f>IFERROR('ORDEN DE CUARENTENA'!AD36,"")</f>
        <v>0</v>
      </c>
      <c r="F37" s="296">
        <f>IFERROR(VLOOKUP(B37,Item[],10,FALSE),"")</f>
        <v>0</v>
      </c>
      <c r="G37" s="295" t="str">
        <f>IFERROR(VLOOKUP(B37,Item[],7,FALSE),"")</f>
        <v/>
      </c>
      <c r="H37" s="297">
        <f>IFERROR(VLOOKUP(B37,Item[],8,FALSE),"")</f>
        <v>0</v>
      </c>
      <c r="I37" s="298" t="str">
        <f>IFERROR(VLOOKUP(B37,Item[],15,FALSE),"")</f>
        <v/>
      </c>
      <c r="J37" s="299" t="str">
        <f>IFERROR(VLOOKUP(B37,Item[],16,FALSE),"")</f>
        <v/>
      </c>
      <c r="K37" s="299" t="str">
        <f>IFERROR(VLOOKUP(B37,Item[],17,FALSE),"")</f>
        <v/>
      </c>
      <c r="L37" s="300" t="str">
        <f>IFERROR(VLOOKUP(B37,Item[],9,FALSE),"")</f>
        <v/>
      </c>
      <c r="M37" s="301">
        <f>IF(F37="No llega","N/A",COUNTIF('Acuario (Arribado - mortalidad)'!$B$14:$B$90,'Resumen de cuarentena'!B37))</f>
        <v>0</v>
      </c>
      <c r="N37" s="295" t="str">
        <f>IFERROR(VLOOKUP(D37,SuscepEARs[],2,FALSE),"")</f>
        <v/>
      </c>
      <c r="O37" s="295" t="str">
        <f>IFERROR(VLOOKUP(D37,CITES[],2,FALSE),"")</f>
        <v/>
      </c>
      <c r="P37" s="295" t="str">
        <f>IFERROR(VLOOKUP(B37,'Tratamientos-Eventos'!$B$9:$U$20,19,FALSE),"")</f>
        <v/>
      </c>
      <c r="Q37" s="302" t="str">
        <f>IF(ISTEXT(P37),IFERROR(VLOOKUP(B37,'Tratamientos-Eventos'!$B$9:$U$20,20,FALSE),""),"")</f>
        <v/>
      </c>
    </row>
    <row r="38" spans="2:17" x14ac:dyDescent="0.2">
      <c r="B38" s="245">
        <v>24</v>
      </c>
      <c r="C38" s="294">
        <f>IFERROR(VLOOKUP(B38,Item[],3,FALSE),"")</f>
        <v>0</v>
      </c>
      <c r="D38" s="294" t="str">
        <f>IFERROR(VLOOKUP(B38,Item[],2,FALSE),"")</f>
        <v xml:space="preserve"> </v>
      </c>
      <c r="E38" s="295">
        <f>IFERROR('ORDEN DE CUARENTENA'!AD37,"")</f>
        <v>0</v>
      </c>
      <c r="F38" s="296">
        <f>IFERROR(VLOOKUP(B38,Item[],10,FALSE),"")</f>
        <v>0</v>
      </c>
      <c r="G38" s="295" t="str">
        <f>IFERROR(VLOOKUP(B38,Item[],7,FALSE),"")</f>
        <v/>
      </c>
      <c r="H38" s="297">
        <f>IFERROR(VLOOKUP(B38,Item[],8,FALSE),"")</f>
        <v>0</v>
      </c>
      <c r="I38" s="298" t="str">
        <f>IFERROR(VLOOKUP(B38,Item[],15,FALSE),"")</f>
        <v/>
      </c>
      <c r="J38" s="299" t="str">
        <f>IFERROR(VLOOKUP(B38,Item[],16,FALSE),"")</f>
        <v/>
      </c>
      <c r="K38" s="299" t="str">
        <f>IFERROR(VLOOKUP(B38,Item[],17,FALSE),"")</f>
        <v/>
      </c>
      <c r="L38" s="300" t="str">
        <f>IFERROR(VLOOKUP(B38,Item[],9,FALSE),"")</f>
        <v/>
      </c>
      <c r="M38" s="301">
        <f>IF(F38="No llega","N/A",COUNTIF('Acuario (Arribado - mortalidad)'!$B$14:$B$90,'Resumen de cuarentena'!B38))</f>
        <v>0</v>
      </c>
      <c r="N38" s="295" t="str">
        <f>IFERROR(VLOOKUP(D38,SuscepEARs[],2,FALSE),"")</f>
        <v/>
      </c>
      <c r="O38" s="295" t="str">
        <f>IFERROR(VLOOKUP(D38,CITES[],2,FALSE),"")</f>
        <v/>
      </c>
      <c r="P38" s="295" t="str">
        <f>IFERROR(VLOOKUP(B38,'Tratamientos-Eventos'!$B$9:$U$20,19,FALSE),"")</f>
        <v/>
      </c>
      <c r="Q38" s="302" t="str">
        <f>IF(ISTEXT(P38),IFERROR(VLOOKUP(B38,'Tratamientos-Eventos'!$B$9:$U$20,20,FALSE),""),"")</f>
        <v/>
      </c>
    </row>
    <row r="39" spans="2:17" x14ac:dyDescent="0.2">
      <c r="B39" s="245">
        <v>25</v>
      </c>
      <c r="C39" s="294">
        <f>IFERROR(VLOOKUP(B39,Item[],3,FALSE),"")</f>
        <v>0</v>
      </c>
      <c r="D39" s="294" t="str">
        <f>IFERROR(VLOOKUP(B39,Item[],2,FALSE),"")</f>
        <v xml:space="preserve"> </v>
      </c>
      <c r="E39" s="295">
        <f>IFERROR('ORDEN DE CUARENTENA'!AD38,"")</f>
        <v>0</v>
      </c>
      <c r="F39" s="296">
        <f>IFERROR(VLOOKUP(B39,Item[],10,FALSE),"")</f>
        <v>0</v>
      </c>
      <c r="G39" s="295" t="str">
        <f>IFERROR(VLOOKUP(B39,Item[],7,FALSE),"")</f>
        <v/>
      </c>
      <c r="H39" s="297">
        <f>IFERROR(VLOOKUP(B39,Item[],8,FALSE),"")</f>
        <v>0</v>
      </c>
      <c r="I39" s="298" t="str">
        <f>IFERROR(VLOOKUP(B39,Item[],15,FALSE),"")</f>
        <v/>
      </c>
      <c r="J39" s="299" t="str">
        <f>IFERROR(VLOOKUP(B39,Item[],16,FALSE),"")</f>
        <v/>
      </c>
      <c r="K39" s="299" t="str">
        <f>IFERROR(VLOOKUP(B39,Item[],17,FALSE),"")</f>
        <v/>
      </c>
      <c r="L39" s="300" t="str">
        <f>IFERROR(VLOOKUP(B39,Item[],9,FALSE),"")</f>
        <v/>
      </c>
      <c r="M39" s="301">
        <f>IF(F39="No llega","N/A",COUNTIF('Acuario (Arribado - mortalidad)'!$B$14:$B$90,'Resumen de cuarentena'!B39))</f>
        <v>0</v>
      </c>
      <c r="N39" s="295" t="str">
        <f>IFERROR(VLOOKUP(D39,SuscepEARs[],2,FALSE),"")</f>
        <v/>
      </c>
      <c r="O39" s="295" t="str">
        <f>IFERROR(VLOOKUP(D39,CITES[],2,FALSE),"")</f>
        <v/>
      </c>
      <c r="P39" s="295" t="str">
        <f>IFERROR(VLOOKUP(B39,'Tratamientos-Eventos'!$B$9:$U$20,19,FALSE),"")</f>
        <v/>
      </c>
      <c r="Q39" s="302" t="str">
        <f>IF(ISTEXT(P39),IFERROR(VLOOKUP(B39,'Tratamientos-Eventos'!$B$9:$U$20,20,FALSE),""),"")</f>
        <v/>
      </c>
    </row>
    <row r="40" spans="2:17" x14ac:dyDescent="0.2">
      <c r="B40" s="245">
        <v>26</v>
      </c>
      <c r="C40" s="294">
        <f>IFERROR(VLOOKUP(B40,Item[],3,FALSE),"")</f>
        <v>0</v>
      </c>
      <c r="D40" s="294" t="str">
        <f>IFERROR(VLOOKUP(B40,Item[],2,FALSE),"")</f>
        <v xml:space="preserve"> </v>
      </c>
      <c r="E40" s="295">
        <f>IFERROR('ORDEN DE CUARENTENA'!AD39,"")</f>
        <v>0</v>
      </c>
      <c r="F40" s="296">
        <f>IFERROR(VLOOKUP(B40,Item[],10,FALSE),"")</f>
        <v>0</v>
      </c>
      <c r="G40" s="295" t="str">
        <f>IFERROR(VLOOKUP(B40,Item[],7,FALSE),"")</f>
        <v/>
      </c>
      <c r="H40" s="297">
        <f>IFERROR(VLOOKUP(B40,Item[],8,FALSE),"")</f>
        <v>0</v>
      </c>
      <c r="I40" s="298" t="str">
        <f>IFERROR(VLOOKUP(B40,Item[],15,FALSE),"")</f>
        <v/>
      </c>
      <c r="J40" s="299" t="str">
        <f>IFERROR(VLOOKUP(B40,Item[],16,FALSE),"")</f>
        <v/>
      </c>
      <c r="K40" s="299" t="str">
        <f>IFERROR(VLOOKUP(B40,Item[],17,FALSE),"")</f>
        <v/>
      </c>
      <c r="L40" s="300" t="str">
        <f>IFERROR(VLOOKUP(B40,Item[],9,FALSE),"")</f>
        <v/>
      </c>
      <c r="M40" s="301">
        <f>IF(F40="No llega","N/A",COUNTIF('Acuario (Arribado - mortalidad)'!$B$14:$B$90,'Resumen de cuarentena'!B40))</f>
        <v>0</v>
      </c>
      <c r="N40" s="295" t="str">
        <f>IFERROR(VLOOKUP(D40,SuscepEARs[],2,FALSE),"")</f>
        <v/>
      </c>
      <c r="O40" s="295" t="str">
        <f>IFERROR(VLOOKUP(D40,CITES[],2,FALSE),"")</f>
        <v/>
      </c>
      <c r="P40" s="295" t="str">
        <f>IFERROR(VLOOKUP(B40,'Tratamientos-Eventos'!$B$9:$U$20,19,FALSE),"")</f>
        <v/>
      </c>
      <c r="Q40" s="302" t="str">
        <f>IF(ISTEXT(P40),IFERROR(VLOOKUP(B40,'Tratamientos-Eventos'!$B$9:$U$20,20,FALSE),""),"")</f>
        <v/>
      </c>
    </row>
    <row r="41" spans="2:17" x14ac:dyDescent="0.2">
      <c r="B41" s="245">
        <v>27</v>
      </c>
      <c r="C41" s="294">
        <f>IFERROR(VLOOKUP(B41,Item[],3,FALSE),"")</f>
        <v>0</v>
      </c>
      <c r="D41" s="294" t="str">
        <f>IFERROR(VLOOKUP(B41,Item[],2,FALSE),"")</f>
        <v xml:space="preserve"> </v>
      </c>
      <c r="E41" s="295">
        <f>IFERROR('ORDEN DE CUARENTENA'!AD40,"")</f>
        <v>0</v>
      </c>
      <c r="F41" s="296">
        <f>IFERROR(VLOOKUP(B41,Item[],10,FALSE),"")</f>
        <v>0</v>
      </c>
      <c r="G41" s="295" t="str">
        <f>IFERROR(VLOOKUP(B41,Item[],7,FALSE),"")</f>
        <v/>
      </c>
      <c r="H41" s="297">
        <f>IFERROR(VLOOKUP(B41,Item[],8,FALSE),"")</f>
        <v>0</v>
      </c>
      <c r="I41" s="298" t="str">
        <f>IFERROR(VLOOKUP(B41,Item[],15,FALSE),"")</f>
        <v/>
      </c>
      <c r="J41" s="299" t="str">
        <f>IFERROR(VLOOKUP(B41,Item[],16,FALSE),"")</f>
        <v/>
      </c>
      <c r="K41" s="299" t="str">
        <f>IFERROR(VLOOKUP(B41,Item[],17,FALSE),"")</f>
        <v/>
      </c>
      <c r="L41" s="300" t="str">
        <f>IFERROR(VLOOKUP(B41,Item[],9,FALSE),"")</f>
        <v/>
      </c>
      <c r="M41" s="301">
        <f>IF(F41="No llega","N/A",COUNTIF('Acuario (Arribado - mortalidad)'!$B$14:$B$90,'Resumen de cuarentena'!B41))</f>
        <v>0</v>
      </c>
      <c r="N41" s="295" t="str">
        <f>IFERROR(VLOOKUP(D41,SuscepEARs[],2,FALSE),"")</f>
        <v/>
      </c>
      <c r="O41" s="295" t="str">
        <f>IFERROR(VLOOKUP(D41,CITES[],2,FALSE),"")</f>
        <v/>
      </c>
      <c r="P41" s="295" t="str">
        <f>IFERROR(VLOOKUP(B41,'Tratamientos-Eventos'!$B$9:$U$20,19,FALSE),"")</f>
        <v/>
      </c>
      <c r="Q41" s="302" t="str">
        <f>IF(ISTEXT(P41),IFERROR(VLOOKUP(B41,'Tratamientos-Eventos'!$B$9:$U$20,20,FALSE),""),"")</f>
        <v/>
      </c>
    </row>
    <row r="42" spans="2:17" x14ac:dyDescent="0.2">
      <c r="B42" s="245">
        <v>28</v>
      </c>
      <c r="C42" s="294">
        <f>IFERROR(VLOOKUP(B42,Item[],3,FALSE),"")</f>
        <v>0</v>
      </c>
      <c r="D42" s="294" t="str">
        <f>IFERROR(VLOOKUP(B42,Item[],2,FALSE),"")</f>
        <v xml:space="preserve"> </v>
      </c>
      <c r="E42" s="295">
        <f>IFERROR('ORDEN DE CUARENTENA'!AD41,"")</f>
        <v>0</v>
      </c>
      <c r="F42" s="296">
        <f>IFERROR(VLOOKUP(B42,Item[],10,FALSE),"")</f>
        <v>0</v>
      </c>
      <c r="G42" s="295" t="str">
        <f>IFERROR(VLOOKUP(B42,Item[],7,FALSE),"")</f>
        <v/>
      </c>
      <c r="H42" s="297">
        <f>IFERROR(VLOOKUP(B42,Item[],8,FALSE),"")</f>
        <v>0</v>
      </c>
      <c r="I42" s="298" t="str">
        <f>IFERROR(VLOOKUP(B42,Item[],15,FALSE),"")</f>
        <v/>
      </c>
      <c r="J42" s="299" t="str">
        <f>IFERROR(VLOOKUP(B42,Item[],16,FALSE),"")</f>
        <v/>
      </c>
      <c r="K42" s="299" t="str">
        <f>IFERROR(VLOOKUP(B42,Item[],17,FALSE),"")</f>
        <v/>
      </c>
      <c r="L42" s="300" t="str">
        <f>IFERROR(VLOOKUP(B42,Item[],9,FALSE),"")</f>
        <v/>
      </c>
      <c r="M42" s="301">
        <f>IF(F42="No llega","N/A",COUNTIF('Acuario (Arribado - mortalidad)'!$B$14:$B$90,'Resumen de cuarentena'!B42))</f>
        <v>0</v>
      </c>
      <c r="N42" s="295" t="str">
        <f>IFERROR(VLOOKUP(D42,SuscepEARs[],2,FALSE),"")</f>
        <v/>
      </c>
      <c r="O42" s="295" t="str">
        <f>IFERROR(VLOOKUP(D42,CITES[],2,FALSE),"")</f>
        <v/>
      </c>
      <c r="P42" s="295" t="str">
        <f>IFERROR(VLOOKUP(B42,'Tratamientos-Eventos'!$B$9:$U$20,19,FALSE),"")</f>
        <v/>
      </c>
      <c r="Q42" s="302" t="str">
        <f>IF(ISTEXT(P42),IFERROR(VLOOKUP(B42,'Tratamientos-Eventos'!$B$9:$U$20,20,FALSE),""),"")</f>
        <v/>
      </c>
    </row>
    <row r="43" spans="2:17" x14ac:dyDescent="0.2">
      <c r="B43" s="245">
        <v>29</v>
      </c>
      <c r="C43" s="294">
        <f>IFERROR(VLOOKUP(B43,Item[],3,FALSE),"")</f>
        <v>0</v>
      </c>
      <c r="D43" s="294" t="str">
        <f>IFERROR(VLOOKUP(B43,Item[],2,FALSE),"")</f>
        <v xml:space="preserve"> </v>
      </c>
      <c r="E43" s="295">
        <f>IFERROR('ORDEN DE CUARENTENA'!AD42,"")</f>
        <v>0</v>
      </c>
      <c r="F43" s="296">
        <f>IFERROR(VLOOKUP(B43,Item[],10,FALSE),"")</f>
        <v>0</v>
      </c>
      <c r="G43" s="295" t="str">
        <f>IFERROR(VLOOKUP(B43,Item[],7,FALSE),"")</f>
        <v/>
      </c>
      <c r="H43" s="297">
        <f>IFERROR(VLOOKUP(B43,Item[],8,FALSE),"")</f>
        <v>0</v>
      </c>
      <c r="I43" s="298" t="str">
        <f>IFERROR(VLOOKUP(B43,Item[],15,FALSE),"")</f>
        <v/>
      </c>
      <c r="J43" s="299" t="str">
        <f>IFERROR(VLOOKUP(B43,Item[],16,FALSE),"")</f>
        <v/>
      </c>
      <c r="K43" s="299" t="str">
        <f>IFERROR(VLOOKUP(B43,Item[],17,FALSE),"")</f>
        <v/>
      </c>
      <c r="L43" s="300" t="str">
        <f>IFERROR(VLOOKUP(B43,Item[],9,FALSE),"")</f>
        <v/>
      </c>
      <c r="M43" s="301">
        <f>IF(F43="No llega","N/A",COUNTIF('Acuario (Arribado - mortalidad)'!$B$14:$B$90,'Resumen de cuarentena'!B43))</f>
        <v>0</v>
      </c>
      <c r="N43" s="295" t="str">
        <f>IFERROR(VLOOKUP(D43,SuscepEARs[],2,FALSE),"")</f>
        <v/>
      </c>
      <c r="O43" s="295" t="str">
        <f>IFERROR(VLOOKUP(D43,CITES[],2,FALSE),"")</f>
        <v/>
      </c>
      <c r="P43" s="295" t="str">
        <f>IFERROR(VLOOKUP(B43,'Tratamientos-Eventos'!$B$9:$U$20,19,FALSE),"")</f>
        <v/>
      </c>
      <c r="Q43" s="302" t="str">
        <f>IF(ISTEXT(P43),IFERROR(VLOOKUP(B43,'Tratamientos-Eventos'!$B$9:$U$20,20,FALSE),""),"")</f>
        <v/>
      </c>
    </row>
    <row r="44" spans="2:17" x14ac:dyDescent="0.2">
      <c r="B44" s="245">
        <v>30</v>
      </c>
      <c r="C44" s="294">
        <f>IFERROR(VLOOKUP(B44,Item[],3,FALSE),"")</f>
        <v>0</v>
      </c>
      <c r="D44" s="294" t="str">
        <f>IFERROR(VLOOKUP(B44,Item[],2,FALSE),"")</f>
        <v xml:space="preserve"> </v>
      </c>
      <c r="E44" s="295">
        <f>IFERROR('ORDEN DE CUARENTENA'!AD43,"")</f>
        <v>0</v>
      </c>
      <c r="F44" s="296">
        <f>IFERROR(VLOOKUP(B44,Item[],10,FALSE),"")</f>
        <v>0</v>
      </c>
      <c r="G44" s="295" t="str">
        <f>IFERROR(VLOOKUP(B44,Item[],7,FALSE),"")</f>
        <v/>
      </c>
      <c r="H44" s="297">
        <f>IFERROR(VLOOKUP(B44,Item[],8,FALSE),"")</f>
        <v>0</v>
      </c>
      <c r="I44" s="298" t="str">
        <f>IFERROR(VLOOKUP(B44,Item[],15,FALSE),"")</f>
        <v/>
      </c>
      <c r="J44" s="299" t="str">
        <f>IFERROR(VLOOKUP(B44,Item[],16,FALSE),"")</f>
        <v/>
      </c>
      <c r="K44" s="299" t="str">
        <f>IFERROR(VLOOKUP(B44,Item[],17,FALSE),"")</f>
        <v/>
      </c>
      <c r="L44" s="300" t="str">
        <f>IFERROR(VLOOKUP(B44,Item[],9,FALSE),"")</f>
        <v/>
      </c>
      <c r="M44" s="301">
        <f>IF(F44="No llega","N/A",COUNTIF('Acuario (Arribado - mortalidad)'!$B$14:$B$90,'Resumen de cuarentena'!B44))</f>
        <v>0</v>
      </c>
      <c r="N44" s="295" t="str">
        <f>IFERROR(VLOOKUP(D44,SuscepEARs[],2,FALSE),"")</f>
        <v/>
      </c>
      <c r="O44" s="295" t="str">
        <f>IFERROR(VLOOKUP(D44,CITES[],2,FALSE),"")</f>
        <v/>
      </c>
      <c r="P44" s="295" t="str">
        <f>IFERROR(VLOOKUP(B44,'Tratamientos-Eventos'!$B$9:$U$20,19,FALSE),"")</f>
        <v/>
      </c>
      <c r="Q44" s="302" t="str">
        <f>IF(ISTEXT(P44),IFERROR(VLOOKUP(B44,'Tratamientos-Eventos'!$B$9:$U$20,20,FALSE),""),"")</f>
        <v/>
      </c>
    </row>
    <row r="45" spans="2:17" x14ac:dyDescent="0.2">
      <c r="B45" s="245">
        <v>31</v>
      </c>
      <c r="C45" s="294">
        <f>IFERROR(VLOOKUP(B45,Item[],3,FALSE),"")</f>
        <v>0</v>
      </c>
      <c r="D45" s="294" t="str">
        <f>IFERROR(VLOOKUP(B45,Item[],2,FALSE),"")</f>
        <v xml:space="preserve"> </v>
      </c>
      <c r="E45" s="295">
        <f>IFERROR('ORDEN DE CUARENTENA'!AD44,"")</f>
        <v>0</v>
      </c>
      <c r="F45" s="296">
        <f>IFERROR(VLOOKUP(B45,Item[],10,FALSE),"")</f>
        <v>0</v>
      </c>
      <c r="G45" s="295" t="str">
        <f>IFERROR(VLOOKUP(B45,Item[],7,FALSE),"")</f>
        <v/>
      </c>
      <c r="H45" s="297">
        <f>IFERROR(VLOOKUP(B45,Item[],8,FALSE),"")</f>
        <v>0</v>
      </c>
      <c r="I45" s="298" t="str">
        <f>IFERROR(VLOOKUP(B45,Item[],15,FALSE),"")</f>
        <v/>
      </c>
      <c r="J45" s="299" t="str">
        <f>IFERROR(VLOOKUP(B45,Item[],16,FALSE),"")</f>
        <v/>
      </c>
      <c r="K45" s="299" t="str">
        <f>IFERROR(VLOOKUP(B45,Item[],17,FALSE),"")</f>
        <v/>
      </c>
      <c r="L45" s="300" t="str">
        <f>IFERROR(VLOOKUP(B45,Item[],9,FALSE),"")</f>
        <v/>
      </c>
      <c r="M45" s="301">
        <f>IF(F45="No llega","N/A",COUNTIF('Acuario (Arribado - mortalidad)'!$B$14:$B$90,'Resumen de cuarentena'!B45))</f>
        <v>0</v>
      </c>
      <c r="N45" s="295" t="str">
        <f>IFERROR(VLOOKUP(D45,SuscepEARs[],2,FALSE),"")</f>
        <v/>
      </c>
      <c r="O45" s="295" t="str">
        <f>IFERROR(VLOOKUP(D45,CITES[],2,FALSE),"")</f>
        <v/>
      </c>
      <c r="P45" s="295" t="str">
        <f>IFERROR(VLOOKUP(B45,'Tratamientos-Eventos'!$B$9:$U$20,19,FALSE),"")</f>
        <v/>
      </c>
      <c r="Q45" s="302" t="str">
        <f>IF(ISTEXT(P45),IFERROR(VLOOKUP(B45,'Tratamientos-Eventos'!$B$9:$U$20,20,FALSE),""),"")</f>
        <v/>
      </c>
    </row>
    <row r="46" spans="2:17" x14ac:dyDescent="0.2">
      <c r="B46" s="245">
        <v>32</v>
      </c>
      <c r="C46" s="294">
        <f>IFERROR(VLOOKUP(B46,Item[],3,FALSE),"")</f>
        <v>0</v>
      </c>
      <c r="D46" s="294" t="str">
        <f>IFERROR(VLOOKUP(B46,Item[],2,FALSE),"")</f>
        <v xml:space="preserve"> </v>
      </c>
      <c r="E46" s="295">
        <f>IFERROR('ORDEN DE CUARENTENA'!AD45,"")</f>
        <v>0</v>
      </c>
      <c r="F46" s="296">
        <f>IFERROR(VLOOKUP(B46,Item[],10,FALSE),"")</f>
        <v>0</v>
      </c>
      <c r="G46" s="295" t="str">
        <f>IFERROR(VLOOKUP(B46,Item[],7,FALSE),"")</f>
        <v/>
      </c>
      <c r="H46" s="297">
        <f>IFERROR(VLOOKUP(B46,Item[],8,FALSE),"")</f>
        <v>0</v>
      </c>
      <c r="I46" s="298" t="str">
        <f>IFERROR(VLOOKUP(B46,Item[],15,FALSE),"")</f>
        <v/>
      </c>
      <c r="J46" s="299" t="str">
        <f>IFERROR(VLOOKUP(B46,Item[],16,FALSE),"")</f>
        <v/>
      </c>
      <c r="K46" s="299" t="str">
        <f>IFERROR(VLOOKUP(B46,Item[],17,FALSE),"")</f>
        <v/>
      </c>
      <c r="L46" s="300" t="str">
        <f>IFERROR(VLOOKUP(B46,Item[],9,FALSE),"")</f>
        <v/>
      </c>
      <c r="M46" s="301">
        <f>IF(F46="No llega","N/A",COUNTIF('Acuario (Arribado - mortalidad)'!$B$14:$B$90,'Resumen de cuarentena'!B46))</f>
        <v>0</v>
      </c>
      <c r="N46" s="295" t="str">
        <f>IFERROR(VLOOKUP(D46,SuscepEARs[],2,FALSE),"")</f>
        <v/>
      </c>
      <c r="O46" s="295" t="str">
        <f>IFERROR(VLOOKUP(D46,CITES[],2,FALSE),"")</f>
        <v/>
      </c>
      <c r="P46" s="295" t="str">
        <f>IFERROR(VLOOKUP(B46,'Tratamientos-Eventos'!$B$9:$U$20,19,FALSE),"")</f>
        <v/>
      </c>
      <c r="Q46" s="302" t="str">
        <f>IF(ISTEXT(P46),IFERROR(VLOOKUP(B46,'Tratamientos-Eventos'!$B$9:$U$20,20,FALSE),""),"")</f>
        <v/>
      </c>
    </row>
    <row r="47" spans="2:17" x14ac:dyDescent="0.2">
      <c r="B47" s="245">
        <v>33</v>
      </c>
      <c r="C47" s="294">
        <f>IFERROR(VLOOKUP(B47,Item[],3,FALSE),"")</f>
        <v>0</v>
      </c>
      <c r="D47" s="294" t="str">
        <f>IFERROR(VLOOKUP(B47,Item[],2,FALSE),"")</f>
        <v xml:space="preserve"> </v>
      </c>
      <c r="E47" s="295">
        <f>IFERROR('ORDEN DE CUARENTENA'!AD46,"")</f>
        <v>0</v>
      </c>
      <c r="F47" s="296">
        <f>IFERROR(VLOOKUP(B47,Item[],10,FALSE),"")</f>
        <v>0</v>
      </c>
      <c r="G47" s="295" t="str">
        <f>IFERROR(VLOOKUP(B47,Item[],7,FALSE),"")</f>
        <v/>
      </c>
      <c r="H47" s="297">
        <f>IFERROR(VLOOKUP(B47,Item[],8,FALSE),"")</f>
        <v>0</v>
      </c>
      <c r="I47" s="298" t="str">
        <f>IFERROR(VLOOKUP(B47,Item[],15,FALSE),"")</f>
        <v/>
      </c>
      <c r="J47" s="299" t="str">
        <f>IFERROR(VLOOKUP(B47,Item[],16,FALSE),"")</f>
        <v/>
      </c>
      <c r="K47" s="299" t="str">
        <f>IFERROR(VLOOKUP(B47,Item[],17,FALSE),"")</f>
        <v/>
      </c>
      <c r="L47" s="300" t="str">
        <f>IFERROR(VLOOKUP(B47,Item[],9,FALSE),"")</f>
        <v/>
      </c>
      <c r="M47" s="301">
        <f>IF(F47="No llega","N/A",COUNTIF('Acuario (Arribado - mortalidad)'!$B$14:$B$90,'Resumen de cuarentena'!B47))</f>
        <v>0</v>
      </c>
      <c r="N47" s="295" t="str">
        <f>IFERROR(VLOOKUP(D47,SuscepEARs[],2,FALSE),"")</f>
        <v/>
      </c>
      <c r="O47" s="295" t="str">
        <f>IFERROR(VLOOKUP(D47,CITES[],2,FALSE),"")</f>
        <v/>
      </c>
      <c r="P47" s="295" t="str">
        <f>IFERROR(VLOOKUP(B47,'Tratamientos-Eventos'!$B$9:$U$20,19,FALSE),"")</f>
        <v/>
      </c>
      <c r="Q47" s="302" t="str">
        <f>IF(ISTEXT(P47),IFERROR(VLOOKUP(B47,'Tratamientos-Eventos'!$B$9:$U$20,20,FALSE),""),"")</f>
        <v/>
      </c>
    </row>
    <row r="48" spans="2:17" x14ac:dyDescent="0.2">
      <c r="B48" s="245">
        <v>34</v>
      </c>
      <c r="C48" s="294">
        <f>IFERROR(VLOOKUP(B48,Item[],3,FALSE),"")</f>
        <v>0</v>
      </c>
      <c r="D48" s="294" t="str">
        <f>IFERROR(VLOOKUP(B48,Item[],2,FALSE),"")</f>
        <v xml:space="preserve"> </v>
      </c>
      <c r="E48" s="295">
        <f>IFERROR('ORDEN DE CUARENTENA'!AD47,"")</f>
        <v>0</v>
      </c>
      <c r="F48" s="296">
        <f>IFERROR(VLOOKUP(B48,Item[],10,FALSE),"")</f>
        <v>0</v>
      </c>
      <c r="G48" s="295" t="str">
        <f>IFERROR(VLOOKUP(B48,Item[],7,FALSE),"")</f>
        <v/>
      </c>
      <c r="H48" s="297">
        <f>IFERROR(VLOOKUP(B48,Item[],8,FALSE),"")</f>
        <v>0</v>
      </c>
      <c r="I48" s="298" t="str">
        <f>IFERROR(VLOOKUP(B48,Item[],15,FALSE),"")</f>
        <v/>
      </c>
      <c r="J48" s="299" t="str">
        <f>IFERROR(VLOOKUP(B48,Item[],16,FALSE),"")</f>
        <v/>
      </c>
      <c r="K48" s="299" t="str">
        <f>IFERROR(VLOOKUP(B48,Item[],17,FALSE),"")</f>
        <v/>
      </c>
      <c r="L48" s="300" t="str">
        <f>IFERROR(VLOOKUP(B48,Item[],9,FALSE),"")</f>
        <v/>
      </c>
      <c r="M48" s="301">
        <f>IF(F48="No llega","N/A",COUNTIF('Acuario (Arribado - mortalidad)'!$B$14:$B$90,'Resumen de cuarentena'!B48))</f>
        <v>0</v>
      </c>
      <c r="N48" s="295" t="str">
        <f>IFERROR(VLOOKUP(D48,SuscepEARs[],2,FALSE),"")</f>
        <v/>
      </c>
      <c r="O48" s="295" t="str">
        <f>IFERROR(VLOOKUP(D48,CITES[],2,FALSE),"")</f>
        <v/>
      </c>
      <c r="P48" s="295" t="str">
        <f>IFERROR(VLOOKUP(B48,'Tratamientos-Eventos'!$B$9:$U$20,19,FALSE),"")</f>
        <v/>
      </c>
      <c r="Q48" s="302" t="str">
        <f>IF(ISTEXT(P48),IFERROR(VLOOKUP(B48,'Tratamientos-Eventos'!$B$9:$U$20,20,FALSE),""),"")</f>
        <v/>
      </c>
    </row>
    <row r="49" spans="2:17" ht="15" thickBot="1" x14ac:dyDescent="0.25">
      <c r="B49" s="246">
        <v>35</v>
      </c>
      <c r="C49" s="303">
        <f>IFERROR(VLOOKUP(B49,Item[],3,FALSE),"")</f>
        <v>0</v>
      </c>
      <c r="D49" s="303" t="str">
        <f>IFERROR(VLOOKUP(B49,Item[],2,FALSE),"")</f>
        <v xml:space="preserve"> </v>
      </c>
      <c r="E49" s="304">
        <f>IFERROR('ORDEN DE CUARENTENA'!AD48,"")</f>
        <v>0</v>
      </c>
      <c r="F49" s="305">
        <f>IFERROR(VLOOKUP(B49,Item[],10,FALSE),"")</f>
        <v>0</v>
      </c>
      <c r="G49" s="304" t="str">
        <f>IFERROR(VLOOKUP(B49,Item[],7,FALSE),"")</f>
        <v/>
      </c>
      <c r="H49" s="306">
        <f>IFERROR(VLOOKUP(B49,Item[],8,FALSE),"")</f>
        <v>0</v>
      </c>
      <c r="I49" s="307" t="str">
        <f>IFERROR(VLOOKUP(B49,Item[],15,FALSE),"")</f>
        <v/>
      </c>
      <c r="J49" s="308" t="str">
        <f>IFERROR(VLOOKUP(B49,Item[],16,FALSE),"")</f>
        <v/>
      </c>
      <c r="K49" s="308" t="str">
        <f>IFERROR(VLOOKUP(B49,Item[],17,FALSE),"")</f>
        <v/>
      </c>
      <c r="L49" s="309" t="str">
        <f>IFERROR(VLOOKUP(B49,Item[],9,FALSE),"")</f>
        <v/>
      </c>
      <c r="M49" s="301">
        <f>IF(F49="No llega","N/A",COUNTIF('Acuario (Arribado - mortalidad)'!$B$14:$B$90,'Resumen de cuarentena'!B49))</f>
        <v>0</v>
      </c>
      <c r="N49" s="304" t="str">
        <f>IFERROR(VLOOKUP(D49,SuscepEARs[],2,FALSE),"")</f>
        <v/>
      </c>
      <c r="O49" s="295" t="str">
        <f>IFERROR(VLOOKUP(D49,CITES[],2,FALSE),"")</f>
        <v/>
      </c>
      <c r="P49" s="304" t="str">
        <f>IFERROR(VLOOKUP(B49,'Tratamientos-Eventos'!$B$9:$U$20,19,FALSE),"")</f>
        <v/>
      </c>
      <c r="Q49" s="310" t="str">
        <f>IF(ISTEXT(P49),IFERROR(VLOOKUP(B49,'Tratamientos-Eventos'!$B$9:$U$20,20,FALSE),""),"")</f>
        <v/>
      </c>
    </row>
    <row r="50" spans="2:17" ht="15" thickTop="1" x14ac:dyDescent="0.2">
      <c r="B50" s="221"/>
      <c r="C50" s="224"/>
      <c r="D50" s="224"/>
      <c r="E50" s="225"/>
      <c r="F50" s="226"/>
      <c r="G50" s="225"/>
      <c r="H50" s="225"/>
      <c r="I50" s="237"/>
      <c r="J50" s="237"/>
      <c r="K50" s="237"/>
      <c r="L50" s="227"/>
      <c r="M50" s="225"/>
      <c r="N50" s="225"/>
      <c r="O50" s="225"/>
      <c r="P50" s="225"/>
    </row>
    <row r="51" spans="2:17" x14ac:dyDescent="0.2">
      <c r="B51" s="221"/>
      <c r="C51" s="224"/>
      <c r="D51" s="224"/>
      <c r="E51" s="225"/>
      <c r="F51" s="226"/>
      <c r="G51" s="225"/>
      <c r="H51" s="225"/>
      <c r="I51" s="238"/>
      <c r="J51" s="238"/>
      <c r="L51" s="181"/>
      <c r="M51" s="181"/>
      <c r="N51" s="181"/>
      <c r="O51" s="181"/>
      <c r="P51" s="606" t="str">
        <f>IF(E109 &gt; 0,"Página 2 de 3",IF(E58 &gt;0,"Página 2 de 2","-"))</f>
        <v>-</v>
      </c>
      <c r="Q51" s="606"/>
    </row>
    <row r="52" spans="2:17" x14ac:dyDescent="0.2">
      <c r="B52" s="221"/>
      <c r="C52" s="224"/>
      <c r="D52" s="224"/>
      <c r="E52" s="225"/>
      <c r="F52" s="226"/>
      <c r="G52" s="225"/>
      <c r="H52" s="225"/>
      <c r="I52" s="238"/>
      <c r="J52" s="238"/>
      <c r="L52" s="607" t="s">
        <v>0</v>
      </c>
      <c r="M52" s="607"/>
      <c r="N52" s="607"/>
      <c r="O52" s="276"/>
      <c r="P52" s="608">
        <f>P2</f>
        <v>0</v>
      </c>
      <c r="Q52" s="608"/>
    </row>
    <row r="53" spans="2:17" x14ac:dyDescent="0.2">
      <c r="B53" s="221"/>
      <c r="C53" s="224"/>
      <c r="D53" s="224"/>
      <c r="E53" s="225"/>
      <c r="F53" s="226"/>
      <c r="G53" s="225"/>
      <c r="H53" s="225"/>
      <c r="I53" s="238"/>
      <c r="J53" s="238"/>
      <c r="L53" s="607"/>
      <c r="M53" s="607"/>
      <c r="N53" s="607"/>
      <c r="O53" s="276"/>
      <c r="P53" s="608"/>
      <c r="Q53" s="608"/>
    </row>
    <row r="54" spans="2:17" x14ac:dyDescent="0.2">
      <c r="B54" s="221"/>
      <c r="C54" s="224"/>
      <c r="D54" s="224"/>
      <c r="E54" s="225"/>
      <c r="F54" s="226"/>
      <c r="G54" s="225"/>
      <c r="H54" s="225"/>
      <c r="I54" s="238"/>
      <c r="J54" s="238"/>
      <c r="L54" s="599" t="s">
        <v>7837</v>
      </c>
      <c r="M54" s="599"/>
      <c r="N54" s="599"/>
      <c r="O54" s="277"/>
      <c r="P54" s="599" t="str">
        <f>P4</f>
        <v>XIII - Metropolitana</v>
      </c>
      <c r="Q54" s="599"/>
    </row>
    <row r="55" spans="2:17" ht="15" thickBot="1" x14ac:dyDescent="0.25">
      <c r="B55" s="221"/>
      <c r="C55" s="224"/>
      <c r="D55" s="224"/>
      <c r="E55" s="225"/>
      <c r="F55" s="226"/>
      <c r="G55" s="225"/>
      <c r="H55" s="225"/>
      <c r="I55" s="237"/>
      <c r="J55" s="237"/>
      <c r="K55" s="237"/>
      <c r="L55" s="227"/>
      <c r="M55" s="225"/>
      <c r="N55" s="225"/>
      <c r="O55" s="225"/>
      <c r="P55" s="225"/>
    </row>
    <row r="56" spans="2:17" ht="15.75" customHeight="1" thickTop="1" x14ac:dyDescent="0.2">
      <c r="B56" s="637" t="s">
        <v>14</v>
      </c>
      <c r="C56" s="626" t="s">
        <v>7811</v>
      </c>
      <c r="D56" s="628" t="s">
        <v>7808</v>
      </c>
      <c r="E56" s="626" t="s">
        <v>10099</v>
      </c>
      <c r="F56" s="600" t="s">
        <v>7815</v>
      </c>
      <c r="G56" s="600" t="s">
        <v>9131</v>
      </c>
      <c r="H56" s="602" t="s">
        <v>7821</v>
      </c>
      <c r="I56" s="615" t="s">
        <v>10109</v>
      </c>
      <c r="J56" s="616"/>
      <c r="K56" s="616"/>
      <c r="L56" s="617"/>
      <c r="M56" s="604" t="s">
        <v>8799</v>
      </c>
      <c r="N56" s="646" t="s">
        <v>9418</v>
      </c>
      <c r="O56" s="655" t="s">
        <v>64</v>
      </c>
      <c r="P56" s="648" t="s">
        <v>8873</v>
      </c>
      <c r="Q56" s="644" t="s">
        <v>10128</v>
      </c>
    </row>
    <row r="57" spans="2:17" x14ac:dyDescent="0.2">
      <c r="B57" s="638"/>
      <c r="C57" s="639"/>
      <c r="D57" s="640"/>
      <c r="E57" s="639"/>
      <c r="F57" s="601"/>
      <c r="G57" s="601"/>
      <c r="H57" s="603"/>
      <c r="I57" s="229" t="s">
        <v>10110</v>
      </c>
      <c r="J57" s="230" t="s">
        <v>10111</v>
      </c>
      <c r="K57" s="230" t="s">
        <v>10101</v>
      </c>
      <c r="L57" s="231" t="s">
        <v>10116</v>
      </c>
      <c r="M57" s="605"/>
      <c r="N57" s="647"/>
      <c r="O57" s="656"/>
      <c r="P57" s="649"/>
      <c r="Q57" s="645" t="s">
        <v>10126</v>
      </c>
    </row>
    <row r="58" spans="2:17" x14ac:dyDescent="0.2">
      <c r="B58" s="247">
        <v>36</v>
      </c>
      <c r="C58" s="311">
        <f>IFERROR(VLOOKUP(B58,Item[],3,FALSE),"")</f>
        <v>0</v>
      </c>
      <c r="D58" s="311" t="str">
        <f>IFERROR(VLOOKUP(B58,Item[],2,FALSE),"")</f>
        <v xml:space="preserve"> </v>
      </c>
      <c r="E58" s="312">
        <f>IFERROR('ORDEN DE CUARENTENA'!AD49,"")</f>
        <v>0</v>
      </c>
      <c r="F58" s="313">
        <f>IFERROR(VLOOKUP(B58,Item[],10,FALSE),"")</f>
        <v>0</v>
      </c>
      <c r="G58" s="312" t="str">
        <f>IFERROR(VLOOKUP(B58,Item[],7,FALSE),"")</f>
        <v/>
      </c>
      <c r="H58" s="314">
        <f>IFERROR(VLOOKUP(B58,Item[],8,FALSE),"")</f>
        <v>0</v>
      </c>
      <c r="I58" s="298" t="str">
        <f>IFERROR(VLOOKUP(B58,Item[],15,FALSE),"")</f>
        <v/>
      </c>
      <c r="J58" s="299" t="str">
        <f>IFERROR(VLOOKUP(B58,Item[],16,FALSE),"")</f>
        <v/>
      </c>
      <c r="K58" s="299" t="str">
        <f>IFERROR(VLOOKUP(B58,Item[],17,FALSE),"")</f>
        <v/>
      </c>
      <c r="L58" s="300" t="str">
        <f>IFERROR(VLOOKUP(B58,Item[],9,FALSE),"")</f>
        <v/>
      </c>
      <c r="M58" s="315">
        <f>IF(F58="No llega","N/A",COUNTIF('Acuario (Arribado - mortalidad)'!$B$14:$B$90,'Resumen de cuarentena'!B58))</f>
        <v>0</v>
      </c>
      <c r="N58" s="295" t="str">
        <f>IFERROR(VLOOKUP(D58,SuscepEARs[],2,FALSE),"")</f>
        <v/>
      </c>
      <c r="O58" s="297" t="str">
        <f>IFERROR(VLOOKUP(D58,CITES[],2,FALSE),"")</f>
        <v/>
      </c>
      <c r="P58" s="316" t="str">
        <f>IFERROR(VLOOKUP(B58,'Tratamientos-Eventos'!$B$9:$U$20,19,FALSE),"")</f>
        <v/>
      </c>
      <c r="Q58" s="302" t="str">
        <f>IF(ISTEXT(P58),IFERROR(VLOOKUP(B58,'Tratamientos-Eventos'!$B$9:$U$20,20,FALSE),""),"")</f>
        <v/>
      </c>
    </row>
    <row r="59" spans="2:17" x14ac:dyDescent="0.2">
      <c r="B59" s="245">
        <v>37</v>
      </c>
      <c r="C59" s="294">
        <f>IFERROR(VLOOKUP(B59,Item[],3,FALSE),"")</f>
        <v>0</v>
      </c>
      <c r="D59" s="294" t="str">
        <f>IFERROR(VLOOKUP(B59,Item[],2,FALSE),"")</f>
        <v xml:space="preserve"> </v>
      </c>
      <c r="E59" s="295">
        <f>IFERROR('ORDEN DE CUARENTENA'!AD50,"")</f>
        <v>0</v>
      </c>
      <c r="F59" s="296">
        <f>IFERROR(VLOOKUP(B59,Item[],10,FALSE),"")</f>
        <v>0</v>
      </c>
      <c r="G59" s="295" t="str">
        <f>IFERROR(VLOOKUP(B59,Item[],7,FALSE),"")</f>
        <v/>
      </c>
      <c r="H59" s="297">
        <f>IFERROR(VLOOKUP(B59,Item[],8,FALSE),"")</f>
        <v>0</v>
      </c>
      <c r="I59" s="298" t="str">
        <f>IFERROR(VLOOKUP(B59,Item[],15,FALSE),"")</f>
        <v/>
      </c>
      <c r="J59" s="299" t="str">
        <f>IFERROR(VLOOKUP(B59,Item[],16,FALSE),"")</f>
        <v/>
      </c>
      <c r="K59" s="299" t="str">
        <f>IFERROR(VLOOKUP(B59,Item[],17,FALSE),"")</f>
        <v/>
      </c>
      <c r="L59" s="300" t="str">
        <f>IFERROR(VLOOKUP(B59,Item[],9,FALSE),"")</f>
        <v/>
      </c>
      <c r="M59" s="315">
        <f>IF(F59="No llega","N/A",COUNTIF('Acuario (Arribado - mortalidad)'!$B$14:$B$90,'Resumen de cuarentena'!B59))</f>
        <v>0</v>
      </c>
      <c r="N59" s="295" t="str">
        <f>IFERROR(VLOOKUP(D59,SuscepEARs[],2,FALSE),"")</f>
        <v/>
      </c>
      <c r="O59" s="297" t="str">
        <f>IFERROR(VLOOKUP(D59,CITES[],2,FALSE),"")</f>
        <v/>
      </c>
      <c r="P59" s="316" t="str">
        <f>IFERROR(VLOOKUP(B59,'Tratamientos-Eventos'!$B$9:$U$20,19,FALSE),"")</f>
        <v/>
      </c>
      <c r="Q59" s="302" t="str">
        <f>IF(ISTEXT(P59),IFERROR(VLOOKUP(B59,'Tratamientos-Eventos'!$B$9:$U$20,20,FALSE),""),"")</f>
        <v/>
      </c>
    </row>
    <row r="60" spans="2:17" x14ac:dyDescent="0.2">
      <c r="B60" s="245">
        <v>38</v>
      </c>
      <c r="C60" s="294">
        <f>IFERROR(VLOOKUP(B60,Item[],3,FALSE),"")</f>
        <v>0</v>
      </c>
      <c r="D60" s="294" t="str">
        <f>IFERROR(VLOOKUP(B60,Item[],2,FALSE),"")</f>
        <v xml:space="preserve"> </v>
      </c>
      <c r="E60" s="295">
        <f>IFERROR('ORDEN DE CUARENTENA'!AD51,"")</f>
        <v>0</v>
      </c>
      <c r="F60" s="296">
        <f>IFERROR(VLOOKUP(B60,Item[],10,FALSE),"")</f>
        <v>0</v>
      </c>
      <c r="G60" s="295" t="str">
        <f>IFERROR(VLOOKUP(B60,Item[],7,FALSE),"")</f>
        <v/>
      </c>
      <c r="H60" s="297">
        <f>IFERROR(VLOOKUP(B60,Item[],8,FALSE),"")</f>
        <v>0</v>
      </c>
      <c r="I60" s="298" t="str">
        <f>IFERROR(VLOOKUP(B60,Item[],15,FALSE),"")</f>
        <v/>
      </c>
      <c r="J60" s="299" t="str">
        <f>IFERROR(VLOOKUP(B60,Item[],16,FALSE),"")</f>
        <v/>
      </c>
      <c r="K60" s="299" t="str">
        <f>IFERROR(VLOOKUP(B60,Item[],17,FALSE),"")</f>
        <v/>
      </c>
      <c r="L60" s="300" t="str">
        <f>IFERROR(VLOOKUP(B60,Item[],9,FALSE),"")</f>
        <v/>
      </c>
      <c r="M60" s="315">
        <f>IF(F60="No llega","N/A",COUNTIF('Acuario (Arribado - mortalidad)'!$B$14:$B$90,'Resumen de cuarentena'!B60))</f>
        <v>0</v>
      </c>
      <c r="N60" s="295" t="str">
        <f>IFERROR(VLOOKUP(D60,SuscepEARs[],2,FALSE),"")</f>
        <v/>
      </c>
      <c r="O60" s="297" t="str">
        <f>IFERROR(VLOOKUP(D60,CITES[],2,FALSE),"")</f>
        <v/>
      </c>
      <c r="P60" s="316" t="str">
        <f>IFERROR(VLOOKUP(B60,'Tratamientos-Eventos'!$B$9:$U$20,19,FALSE),"")</f>
        <v/>
      </c>
      <c r="Q60" s="302" t="str">
        <f>IF(ISTEXT(P60),IFERROR(VLOOKUP(B60,'Tratamientos-Eventos'!$B$9:$U$20,20,FALSE),""),"")</f>
        <v/>
      </c>
    </row>
    <row r="61" spans="2:17" x14ac:dyDescent="0.2">
      <c r="B61" s="245">
        <v>39</v>
      </c>
      <c r="C61" s="294">
        <f>IFERROR(VLOOKUP(B61,Item[],3,FALSE),"")</f>
        <v>0</v>
      </c>
      <c r="D61" s="294" t="str">
        <f>IFERROR(VLOOKUP(B61,Item[],2,FALSE),"")</f>
        <v xml:space="preserve"> </v>
      </c>
      <c r="E61" s="295">
        <f>IFERROR('ORDEN DE CUARENTENA'!AD52,"")</f>
        <v>0</v>
      </c>
      <c r="F61" s="296">
        <f>IFERROR(VLOOKUP(B61,Item[],10,FALSE),"")</f>
        <v>0</v>
      </c>
      <c r="G61" s="295" t="str">
        <f>IFERROR(VLOOKUP(B61,Item[],7,FALSE),"")</f>
        <v/>
      </c>
      <c r="H61" s="297">
        <f>IFERROR(VLOOKUP(B61,Item[],8,FALSE),"")</f>
        <v>0</v>
      </c>
      <c r="I61" s="298" t="str">
        <f>IFERROR(VLOOKUP(B61,Item[],15,FALSE),"")</f>
        <v/>
      </c>
      <c r="J61" s="299" t="str">
        <f>IFERROR(VLOOKUP(B61,Item[],16,FALSE),"")</f>
        <v/>
      </c>
      <c r="K61" s="299" t="str">
        <f>IFERROR(VLOOKUP(B61,Item[],17,FALSE),"")</f>
        <v/>
      </c>
      <c r="L61" s="300" t="str">
        <f>IFERROR(VLOOKUP(B61,Item[],9,FALSE),"")</f>
        <v/>
      </c>
      <c r="M61" s="315">
        <f>IF(F61="No llega","N/A",COUNTIF('Acuario (Arribado - mortalidad)'!$B$14:$B$90,'Resumen de cuarentena'!B61))</f>
        <v>0</v>
      </c>
      <c r="N61" s="295" t="str">
        <f>IFERROR(VLOOKUP(D61,SuscepEARs[],2,FALSE),"")</f>
        <v/>
      </c>
      <c r="O61" s="297" t="str">
        <f>IFERROR(VLOOKUP(D61,CITES[],2,FALSE),"")</f>
        <v/>
      </c>
      <c r="P61" s="316" t="str">
        <f>IFERROR(VLOOKUP(B61,'Tratamientos-Eventos'!$B$9:$U$20,19,FALSE),"")</f>
        <v/>
      </c>
      <c r="Q61" s="302" t="str">
        <f>IF(ISTEXT(P61),IFERROR(VLOOKUP(B61,'Tratamientos-Eventos'!$B$9:$U$20,20,FALSE),""),"")</f>
        <v/>
      </c>
    </row>
    <row r="62" spans="2:17" x14ac:dyDescent="0.2">
      <c r="B62" s="245">
        <v>40</v>
      </c>
      <c r="C62" s="294">
        <f>IFERROR(VLOOKUP(B62,Item[],3,FALSE),"")</f>
        <v>0</v>
      </c>
      <c r="D62" s="294" t="str">
        <f>IFERROR(VLOOKUP(B62,Item[],2,FALSE),"")</f>
        <v xml:space="preserve"> </v>
      </c>
      <c r="E62" s="295">
        <f>IFERROR('ORDEN DE CUARENTENA'!AD53,"")</f>
        <v>0</v>
      </c>
      <c r="F62" s="296">
        <f>IFERROR(VLOOKUP(B62,Item[],10,FALSE),"")</f>
        <v>0</v>
      </c>
      <c r="G62" s="295" t="str">
        <f>IFERROR(VLOOKUP(B62,Item[],7,FALSE),"")</f>
        <v/>
      </c>
      <c r="H62" s="297">
        <f>IFERROR(VLOOKUP(B62,Item[],8,FALSE),"")</f>
        <v>0</v>
      </c>
      <c r="I62" s="298" t="str">
        <f>IFERROR(VLOOKUP(B62,Item[],15,FALSE),"")</f>
        <v/>
      </c>
      <c r="J62" s="299" t="str">
        <f>IFERROR(VLOOKUP(B62,Item[],16,FALSE),"")</f>
        <v/>
      </c>
      <c r="K62" s="299" t="str">
        <f>IFERROR(VLOOKUP(B62,Item[],17,FALSE),"")</f>
        <v/>
      </c>
      <c r="L62" s="300" t="str">
        <f>IFERROR(VLOOKUP(B62,Item[],9,FALSE),"")</f>
        <v/>
      </c>
      <c r="M62" s="315">
        <f>IF(F62="No llega","N/A",COUNTIF('Acuario (Arribado - mortalidad)'!$B$14:$B$90,'Resumen de cuarentena'!B62))</f>
        <v>0</v>
      </c>
      <c r="N62" s="295" t="str">
        <f>IFERROR(VLOOKUP(D62,SuscepEARs[],2,FALSE),"")</f>
        <v/>
      </c>
      <c r="O62" s="297" t="str">
        <f>IFERROR(VLOOKUP(D62,CITES[],2,FALSE),"")</f>
        <v/>
      </c>
      <c r="P62" s="316" t="str">
        <f>IFERROR(VLOOKUP(B62,'Tratamientos-Eventos'!$B$9:$U$20,19,FALSE),"")</f>
        <v/>
      </c>
      <c r="Q62" s="302" t="str">
        <f>IF(ISTEXT(P62),IFERROR(VLOOKUP(B62,'Tratamientos-Eventos'!$B$9:$U$20,20,FALSE),""),"")</f>
        <v/>
      </c>
    </row>
    <row r="63" spans="2:17" x14ac:dyDescent="0.2">
      <c r="B63" s="245">
        <v>41</v>
      </c>
      <c r="C63" s="294">
        <f>IFERROR(VLOOKUP(B63,Item[],3,FALSE),"")</f>
        <v>0</v>
      </c>
      <c r="D63" s="294" t="str">
        <f>IFERROR(VLOOKUP(B63,Item[],2,FALSE),"")</f>
        <v xml:space="preserve"> </v>
      </c>
      <c r="E63" s="295">
        <f>IFERROR('ORDEN DE CUARENTENA'!AD54,"")</f>
        <v>0</v>
      </c>
      <c r="F63" s="296">
        <f>IFERROR(VLOOKUP(B63,Item[],10,FALSE),"")</f>
        <v>0</v>
      </c>
      <c r="G63" s="295" t="str">
        <f>IFERROR(VLOOKUP(B63,Item[],7,FALSE),"")</f>
        <v/>
      </c>
      <c r="H63" s="297">
        <f>IFERROR(VLOOKUP(B63,Item[],8,FALSE),"")</f>
        <v>0</v>
      </c>
      <c r="I63" s="298" t="str">
        <f>IFERROR(VLOOKUP(B63,Item[],15,FALSE),"")</f>
        <v/>
      </c>
      <c r="J63" s="299" t="str">
        <f>IFERROR(VLOOKUP(B63,Item[],16,FALSE),"")</f>
        <v/>
      </c>
      <c r="K63" s="299" t="str">
        <f>IFERROR(VLOOKUP(B63,Item[],17,FALSE),"")</f>
        <v/>
      </c>
      <c r="L63" s="300" t="str">
        <f>IFERROR(VLOOKUP(B63,Item[],9,FALSE),"")</f>
        <v/>
      </c>
      <c r="M63" s="315">
        <f>IF(F63="No llega","N/A",COUNTIF('Acuario (Arribado - mortalidad)'!$B$14:$B$90,'Resumen de cuarentena'!B63))</f>
        <v>0</v>
      </c>
      <c r="N63" s="295" t="str">
        <f>IFERROR(VLOOKUP(D63,SuscepEARs[],2,FALSE),"")</f>
        <v/>
      </c>
      <c r="O63" s="297" t="str">
        <f>IFERROR(VLOOKUP(D63,CITES[],2,FALSE),"")</f>
        <v/>
      </c>
      <c r="P63" s="316" t="str">
        <f>IFERROR(VLOOKUP(B63,'Tratamientos-Eventos'!$B$9:$U$20,19,FALSE),"")</f>
        <v/>
      </c>
      <c r="Q63" s="302" t="str">
        <f>IF(ISTEXT(P63),IFERROR(VLOOKUP(B63,'Tratamientos-Eventos'!$B$9:$U$20,20,FALSE),""),"")</f>
        <v/>
      </c>
    </row>
    <row r="64" spans="2:17" x14ac:dyDescent="0.2">
      <c r="B64" s="245">
        <v>42</v>
      </c>
      <c r="C64" s="294">
        <f>IFERROR(VLOOKUP(B64,Item[],3,FALSE),"")</f>
        <v>0</v>
      </c>
      <c r="D64" s="294" t="str">
        <f>IFERROR(VLOOKUP(B64,Item[],2,FALSE),"")</f>
        <v xml:space="preserve"> </v>
      </c>
      <c r="E64" s="295">
        <f>IFERROR('ORDEN DE CUARENTENA'!AD55,"")</f>
        <v>0</v>
      </c>
      <c r="F64" s="296">
        <f>IFERROR(VLOOKUP(B64,Item[],10,FALSE),"")</f>
        <v>0</v>
      </c>
      <c r="G64" s="295" t="str">
        <f>IFERROR(VLOOKUP(B64,Item[],7,FALSE),"")</f>
        <v/>
      </c>
      <c r="H64" s="297">
        <f>IFERROR(VLOOKUP(B64,Item[],8,FALSE),"")</f>
        <v>0</v>
      </c>
      <c r="I64" s="298" t="str">
        <f>IFERROR(VLOOKUP(B64,Item[],15,FALSE),"")</f>
        <v/>
      </c>
      <c r="J64" s="299" t="str">
        <f>IFERROR(VLOOKUP(B64,Item[],16,FALSE),"")</f>
        <v/>
      </c>
      <c r="K64" s="299" t="str">
        <f>IFERROR(VLOOKUP(B64,Item[],17,FALSE),"")</f>
        <v/>
      </c>
      <c r="L64" s="300" t="str">
        <f>IFERROR(VLOOKUP(B64,Item[],9,FALSE),"")</f>
        <v/>
      </c>
      <c r="M64" s="315">
        <f>IF(F64="No llega","N/A",COUNTIF('Acuario (Arribado - mortalidad)'!$B$14:$B$90,'Resumen de cuarentena'!B64))</f>
        <v>0</v>
      </c>
      <c r="N64" s="295" t="str">
        <f>IFERROR(VLOOKUP(D64,SuscepEARs[],2,FALSE),"")</f>
        <v/>
      </c>
      <c r="O64" s="297" t="str">
        <f>IFERROR(VLOOKUP(D64,CITES[],2,FALSE),"")</f>
        <v/>
      </c>
      <c r="P64" s="316" t="str">
        <f>IFERROR(VLOOKUP(B64,'Tratamientos-Eventos'!$B$9:$U$20,19,FALSE),"")</f>
        <v/>
      </c>
      <c r="Q64" s="302" t="str">
        <f>IF(ISTEXT(P64),IFERROR(VLOOKUP(B64,'Tratamientos-Eventos'!$B$9:$U$20,20,FALSE),""),"")</f>
        <v/>
      </c>
    </row>
    <row r="65" spans="2:17" x14ac:dyDescent="0.2">
      <c r="B65" s="245">
        <v>43</v>
      </c>
      <c r="C65" s="294">
        <f>IFERROR(VLOOKUP(B65,Item[],3,FALSE),"")</f>
        <v>0</v>
      </c>
      <c r="D65" s="294" t="str">
        <f>IFERROR(VLOOKUP(B65,Item[],2,FALSE),"")</f>
        <v xml:space="preserve"> </v>
      </c>
      <c r="E65" s="295">
        <f>IFERROR('ORDEN DE CUARENTENA'!AD56,"")</f>
        <v>0</v>
      </c>
      <c r="F65" s="296">
        <f>IFERROR(VLOOKUP(B65,Item[],10,FALSE),"")</f>
        <v>0</v>
      </c>
      <c r="G65" s="295" t="str">
        <f>IFERROR(VLOOKUP(B65,Item[],7,FALSE),"")</f>
        <v/>
      </c>
      <c r="H65" s="297">
        <f>IFERROR(VLOOKUP(B65,Item[],8,FALSE),"")</f>
        <v>0</v>
      </c>
      <c r="I65" s="298" t="str">
        <f>IFERROR(VLOOKUP(B65,Item[],15,FALSE),"")</f>
        <v/>
      </c>
      <c r="J65" s="299" t="str">
        <f>IFERROR(VLOOKUP(B65,Item[],16,FALSE),"")</f>
        <v/>
      </c>
      <c r="K65" s="299" t="str">
        <f>IFERROR(VLOOKUP(B65,Item[],17,FALSE),"")</f>
        <v/>
      </c>
      <c r="L65" s="300" t="str">
        <f>IFERROR(VLOOKUP(B65,Item[],9,FALSE),"")</f>
        <v/>
      </c>
      <c r="M65" s="315">
        <f>IF(F65="No llega","N/A",COUNTIF('Acuario (Arribado - mortalidad)'!$B$14:$B$90,'Resumen de cuarentena'!B65))</f>
        <v>0</v>
      </c>
      <c r="N65" s="295" t="str">
        <f>IFERROR(VLOOKUP(D65,SuscepEARs[],2,FALSE),"")</f>
        <v/>
      </c>
      <c r="O65" s="297" t="str">
        <f>IFERROR(VLOOKUP(D65,CITES[],2,FALSE),"")</f>
        <v/>
      </c>
      <c r="P65" s="316" t="str">
        <f>IFERROR(VLOOKUP(B65,'Tratamientos-Eventos'!$B$9:$U$20,19,FALSE),"")</f>
        <v/>
      </c>
      <c r="Q65" s="302" t="str">
        <f>IF(ISTEXT(P65),IFERROR(VLOOKUP(B65,'Tratamientos-Eventos'!$B$9:$U$20,20,FALSE),""),"")</f>
        <v/>
      </c>
    </row>
    <row r="66" spans="2:17" x14ac:dyDescent="0.2">
      <c r="B66" s="245">
        <v>44</v>
      </c>
      <c r="C66" s="294">
        <f>IFERROR(VLOOKUP(B66,Item[],3,FALSE),"")</f>
        <v>0</v>
      </c>
      <c r="D66" s="294" t="str">
        <f>IFERROR(VLOOKUP(B66,Item[],2,FALSE),"")</f>
        <v xml:space="preserve"> </v>
      </c>
      <c r="E66" s="295">
        <f>IFERROR('ORDEN DE CUARENTENA'!AD57,"")</f>
        <v>0</v>
      </c>
      <c r="F66" s="296">
        <f>IFERROR(VLOOKUP(B66,Item[],10,FALSE),"")</f>
        <v>0</v>
      </c>
      <c r="G66" s="295" t="str">
        <f>IFERROR(VLOOKUP(B66,Item[],7,FALSE),"")</f>
        <v/>
      </c>
      <c r="H66" s="297">
        <f>IFERROR(VLOOKUP(B66,Item[],8,FALSE),"")</f>
        <v>0</v>
      </c>
      <c r="I66" s="298" t="str">
        <f>IFERROR(VLOOKUP(B66,Item[],15,FALSE),"")</f>
        <v/>
      </c>
      <c r="J66" s="299" t="str">
        <f>IFERROR(VLOOKUP(B66,Item[],16,FALSE),"")</f>
        <v/>
      </c>
      <c r="K66" s="299" t="str">
        <f>IFERROR(VLOOKUP(B66,Item[],17,FALSE),"")</f>
        <v/>
      </c>
      <c r="L66" s="300" t="str">
        <f>IFERROR(VLOOKUP(B66,Item[],9,FALSE),"")</f>
        <v/>
      </c>
      <c r="M66" s="315">
        <f>IF(F66="No llega","N/A",COUNTIF('Acuario (Arribado - mortalidad)'!$B$14:$B$90,'Resumen de cuarentena'!B66))</f>
        <v>0</v>
      </c>
      <c r="N66" s="295" t="str">
        <f>IFERROR(VLOOKUP(D66,SuscepEARs[],2,FALSE),"")</f>
        <v/>
      </c>
      <c r="O66" s="297" t="str">
        <f>IFERROR(VLOOKUP(D66,CITES[],2,FALSE),"")</f>
        <v/>
      </c>
      <c r="P66" s="316" t="str">
        <f>IFERROR(VLOOKUP(B66,'Tratamientos-Eventos'!$B$9:$U$20,19,FALSE),"")</f>
        <v/>
      </c>
      <c r="Q66" s="302" t="str">
        <f>IF(ISTEXT(P66),IFERROR(VLOOKUP(B66,'Tratamientos-Eventos'!$B$9:$U$20,20,FALSE),""),"")</f>
        <v/>
      </c>
    </row>
    <row r="67" spans="2:17" x14ac:dyDescent="0.2">
      <c r="B67" s="245">
        <v>45</v>
      </c>
      <c r="C67" s="294">
        <f>IFERROR(VLOOKUP(B67,Item[],3,FALSE),"")</f>
        <v>0</v>
      </c>
      <c r="D67" s="294" t="str">
        <f>IFERROR(VLOOKUP(B67,Item[],2,FALSE),"")</f>
        <v xml:space="preserve"> </v>
      </c>
      <c r="E67" s="295">
        <f>IFERROR('ORDEN DE CUARENTENA'!AD58,"")</f>
        <v>0</v>
      </c>
      <c r="F67" s="296">
        <f>IFERROR(VLOOKUP(B67,Item[],10,FALSE),"")</f>
        <v>0</v>
      </c>
      <c r="G67" s="295" t="str">
        <f>IFERROR(VLOOKUP(B67,Item[],7,FALSE),"")</f>
        <v/>
      </c>
      <c r="H67" s="297">
        <f>IFERROR(VLOOKUP(B67,Item[],8,FALSE),"")</f>
        <v>0</v>
      </c>
      <c r="I67" s="298" t="str">
        <f>IFERROR(VLOOKUP(B67,Item[],15,FALSE),"")</f>
        <v/>
      </c>
      <c r="J67" s="299" t="str">
        <f>IFERROR(VLOOKUP(B67,Item[],16,FALSE),"")</f>
        <v/>
      </c>
      <c r="K67" s="299" t="str">
        <f>IFERROR(VLOOKUP(B67,Item[],17,FALSE),"")</f>
        <v/>
      </c>
      <c r="L67" s="300" t="str">
        <f>IFERROR(VLOOKUP(B67,Item[],9,FALSE),"")</f>
        <v/>
      </c>
      <c r="M67" s="315">
        <f>IF(F67="No llega","N/A",COUNTIF('Acuario (Arribado - mortalidad)'!$B$14:$B$90,'Resumen de cuarentena'!B67))</f>
        <v>0</v>
      </c>
      <c r="N67" s="295" t="str">
        <f>IFERROR(VLOOKUP(D67,SuscepEARs[],2,FALSE),"")</f>
        <v/>
      </c>
      <c r="O67" s="297" t="str">
        <f>IFERROR(VLOOKUP(D67,CITES[],2,FALSE),"")</f>
        <v/>
      </c>
      <c r="P67" s="316" t="str">
        <f>IFERROR(VLOOKUP(B67,'Tratamientos-Eventos'!$B$9:$U$20,19,FALSE),"")</f>
        <v/>
      </c>
      <c r="Q67" s="302" t="str">
        <f>IF(ISTEXT(P67),IFERROR(VLOOKUP(B67,'Tratamientos-Eventos'!$B$9:$U$20,20,FALSE),""),"")</f>
        <v/>
      </c>
    </row>
    <row r="68" spans="2:17" x14ac:dyDescent="0.2">
      <c r="B68" s="245">
        <v>46</v>
      </c>
      <c r="C68" s="294">
        <f>IFERROR(VLOOKUP(B68,Item2[],3,FALSE),"")</f>
        <v>0</v>
      </c>
      <c r="D68" s="294" t="str">
        <f>IFERROR(VLOOKUP(B68,Item2[],2,FALSE),"")</f>
        <v xml:space="preserve"> </v>
      </c>
      <c r="E68" s="295">
        <f>IFERROR(ANEXO!AD14,"")</f>
        <v>0</v>
      </c>
      <c r="F68" s="296">
        <f>IFERROR(VLOOKUP(B68,Item2[],10,FALSE),"")</f>
        <v>0</v>
      </c>
      <c r="G68" s="295" t="str">
        <f>IFERROR(VLOOKUP(B68,Item2[],7,FALSE),"")</f>
        <v/>
      </c>
      <c r="H68" s="297">
        <f>IFERROR(VLOOKUP(B68,Item2[],8,FALSE),"")</f>
        <v>0</v>
      </c>
      <c r="I68" s="298" t="str">
        <f>IFERROR(VLOOKUP(B68,Item2[],15,FALSE),"")</f>
        <v/>
      </c>
      <c r="J68" s="299" t="str">
        <f>IFERROR(VLOOKUP(B68,Item2[],16,FALSE),"")</f>
        <v/>
      </c>
      <c r="K68" s="299" t="str">
        <f>IFERROR(VLOOKUP(B68,Item2[],17,FALSE),"")</f>
        <v/>
      </c>
      <c r="L68" s="300" t="str">
        <f>IFERROR(VLOOKUP(B68,Item[],9,FALSE),"")</f>
        <v/>
      </c>
      <c r="M68" s="315">
        <f>IF(F68="No llega","N/A",COUNTIF('Acuario (Arribado - mortalidad)'!$B$14:$B$90,'Resumen de cuarentena'!B68))</f>
        <v>0</v>
      </c>
      <c r="N68" s="295" t="str">
        <f>IFERROR(VLOOKUP(D68,SuscepEARs[],2,FALSE),"")</f>
        <v/>
      </c>
      <c r="O68" s="297" t="str">
        <f>IFERROR(VLOOKUP(D68,CITES[],2,FALSE),"")</f>
        <v/>
      </c>
      <c r="P68" s="316" t="str">
        <f>IFERROR(VLOOKUP(B68,'Tratamientos-Eventos'!$B$9:$U$20,19,FALSE),"")</f>
        <v/>
      </c>
      <c r="Q68" s="302" t="str">
        <f>IF(ISTEXT(P68),IFERROR(VLOOKUP(B68,'Tratamientos-Eventos'!$B$9:$U$20,20,FALSE),""),"")</f>
        <v/>
      </c>
    </row>
    <row r="69" spans="2:17" x14ac:dyDescent="0.2">
      <c r="B69" s="245">
        <v>47</v>
      </c>
      <c r="C69" s="294">
        <f>IFERROR(VLOOKUP(B69,Item2[],3,FALSE),"")</f>
        <v>0</v>
      </c>
      <c r="D69" s="294" t="str">
        <f>IFERROR(VLOOKUP(B69,Item2[],2,FALSE),"")</f>
        <v xml:space="preserve"> </v>
      </c>
      <c r="E69" s="312">
        <f>IFERROR(ANEXO!AD15,"")</f>
        <v>0</v>
      </c>
      <c r="F69" s="296">
        <f>IFERROR(VLOOKUP(B69,Item2[],10,FALSE),"")</f>
        <v>0</v>
      </c>
      <c r="G69" s="295" t="str">
        <f>IFERROR(VLOOKUP(B69,Item2[],7,FALSE),"")</f>
        <v/>
      </c>
      <c r="H69" s="297">
        <f>IFERROR(VLOOKUP(B69,Item2[],8,FALSE),"")</f>
        <v>0</v>
      </c>
      <c r="I69" s="298" t="str">
        <f>IFERROR(VLOOKUP(B69,Item2[],15,FALSE),"")</f>
        <v/>
      </c>
      <c r="J69" s="299" t="str">
        <f>IFERROR(VLOOKUP(B69,Item2[],16,FALSE),"")</f>
        <v/>
      </c>
      <c r="K69" s="299" t="str">
        <f>IFERROR(VLOOKUP(B69,Item2[],17,FALSE),"")</f>
        <v/>
      </c>
      <c r="L69" s="300" t="str">
        <f>IFERROR(VLOOKUP(B69,Item[],9,FALSE),"")</f>
        <v/>
      </c>
      <c r="M69" s="315">
        <f>IF(F69="No llega","N/A",COUNTIF('Acuario (Arribado - mortalidad)'!$B$14:$B$90,'Resumen de cuarentena'!B69))</f>
        <v>0</v>
      </c>
      <c r="N69" s="295" t="str">
        <f>IFERROR(VLOOKUP(D69,SuscepEARs[],2,FALSE),"")</f>
        <v/>
      </c>
      <c r="O69" s="297" t="str">
        <f>IFERROR(VLOOKUP(D69,CITES[],2,FALSE),"")</f>
        <v/>
      </c>
      <c r="P69" s="316" t="str">
        <f>IFERROR(VLOOKUP(B69,'Tratamientos-Eventos'!$B$9:$U$20,19,FALSE),"")</f>
        <v/>
      </c>
      <c r="Q69" s="302" t="str">
        <f>IF(ISTEXT(P69),IFERROR(VLOOKUP(B69,'Tratamientos-Eventos'!$B$9:$U$20,20,FALSE),""),"")</f>
        <v/>
      </c>
    </row>
    <row r="70" spans="2:17" x14ac:dyDescent="0.2">
      <c r="B70" s="245">
        <v>48</v>
      </c>
      <c r="C70" s="294">
        <f>IFERROR(VLOOKUP(B70,Item2[],3,FALSE),"")</f>
        <v>0</v>
      </c>
      <c r="D70" s="294" t="str">
        <f>IFERROR(VLOOKUP(B70,Item2[],2,FALSE),"")</f>
        <v xml:space="preserve"> </v>
      </c>
      <c r="E70" s="312">
        <f>IFERROR(ANEXO!AD16,"")</f>
        <v>0</v>
      </c>
      <c r="F70" s="296">
        <f>IFERROR(VLOOKUP(B70,Item2[],10,FALSE),"")</f>
        <v>0</v>
      </c>
      <c r="G70" s="295" t="str">
        <f>IFERROR(VLOOKUP(B70,Item2[],7,FALSE),"")</f>
        <v/>
      </c>
      <c r="H70" s="297">
        <f>IFERROR(VLOOKUP(B70,Item2[],8,FALSE),"")</f>
        <v>0</v>
      </c>
      <c r="I70" s="298" t="str">
        <f>IFERROR(VLOOKUP(B70,Item2[],15,FALSE),"")</f>
        <v/>
      </c>
      <c r="J70" s="299" t="str">
        <f>IFERROR(VLOOKUP(B70,Item2[],16,FALSE),"")</f>
        <v/>
      </c>
      <c r="K70" s="299" t="str">
        <f>IFERROR(VLOOKUP(B70,Item2[],17,FALSE),"")</f>
        <v/>
      </c>
      <c r="L70" s="300" t="str">
        <f>IFERROR(VLOOKUP(B70,Item[],9,FALSE),"")</f>
        <v/>
      </c>
      <c r="M70" s="315">
        <f>IF(F70="No llega","N/A",COUNTIF('Acuario (Arribado - mortalidad)'!$B$14:$B$90,'Resumen de cuarentena'!B70))</f>
        <v>0</v>
      </c>
      <c r="N70" s="295" t="str">
        <f>IFERROR(VLOOKUP(D70,SuscepEARs[],2,FALSE),"")</f>
        <v/>
      </c>
      <c r="O70" s="297" t="str">
        <f>IFERROR(VLOOKUP(D70,CITES[],2,FALSE),"")</f>
        <v/>
      </c>
      <c r="P70" s="316" t="str">
        <f>IFERROR(VLOOKUP(B70,'Tratamientos-Eventos'!$B$9:$U$20,19,FALSE),"")</f>
        <v/>
      </c>
      <c r="Q70" s="302" t="str">
        <f>IF(ISTEXT(P70),IFERROR(VLOOKUP(B70,'Tratamientos-Eventos'!$B$9:$U$20,20,FALSE),""),"")</f>
        <v/>
      </c>
    </row>
    <row r="71" spans="2:17" x14ac:dyDescent="0.2">
      <c r="B71" s="245">
        <v>49</v>
      </c>
      <c r="C71" s="294">
        <f>IFERROR(VLOOKUP(B71,Item2[],3,FALSE),"")</f>
        <v>0</v>
      </c>
      <c r="D71" s="294" t="str">
        <f>IFERROR(VLOOKUP(B71,Item2[],2,FALSE),"")</f>
        <v xml:space="preserve"> </v>
      </c>
      <c r="E71" s="312">
        <f>IFERROR(ANEXO!AD17,"")</f>
        <v>0</v>
      </c>
      <c r="F71" s="296">
        <f>IFERROR(VLOOKUP(B71,Item2[],10,FALSE),"")</f>
        <v>0</v>
      </c>
      <c r="G71" s="295" t="str">
        <f>IFERROR(VLOOKUP(B71,Item2[],7,FALSE),"")</f>
        <v/>
      </c>
      <c r="H71" s="297">
        <f>IFERROR(VLOOKUP(B71,Item2[],8,FALSE),"")</f>
        <v>0</v>
      </c>
      <c r="I71" s="298" t="str">
        <f>IFERROR(VLOOKUP(B71,Item2[],15,FALSE),"")</f>
        <v/>
      </c>
      <c r="J71" s="299" t="str">
        <f>IFERROR(VLOOKUP(B71,Item2[],16,FALSE),"")</f>
        <v/>
      </c>
      <c r="K71" s="299" t="str">
        <f>IFERROR(VLOOKUP(B71,Item2[],17,FALSE),"")</f>
        <v/>
      </c>
      <c r="L71" s="300" t="str">
        <f>IFERROR(VLOOKUP(B71,Item[],9,FALSE),"")</f>
        <v/>
      </c>
      <c r="M71" s="315">
        <f>IF(F71="No llega","N/A",COUNTIF('Acuario (Arribado - mortalidad)'!$B$14:$B$90,'Resumen de cuarentena'!B71))</f>
        <v>0</v>
      </c>
      <c r="N71" s="295" t="str">
        <f>IFERROR(VLOOKUP(D71,SuscepEARs[],2,FALSE),"")</f>
        <v/>
      </c>
      <c r="O71" s="297" t="str">
        <f>IFERROR(VLOOKUP(D71,CITES[],2,FALSE),"")</f>
        <v/>
      </c>
      <c r="P71" s="316" t="str">
        <f>IFERROR(VLOOKUP(B71,'Tratamientos-Eventos'!$B$9:$U$20,19,FALSE),"")</f>
        <v/>
      </c>
      <c r="Q71" s="302" t="str">
        <f>IF(ISTEXT(P71),IFERROR(VLOOKUP(B71,'Tratamientos-Eventos'!$B$9:$U$20,20,FALSE),""),"")</f>
        <v/>
      </c>
    </row>
    <row r="72" spans="2:17" x14ac:dyDescent="0.2">
      <c r="B72" s="245">
        <v>50</v>
      </c>
      <c r="C72" s="294">
        <f>IFERROR(VLOOKUP(B72,Item2[],3,FALSE),"")</f>
        <v>0</v>
      </c>
      <c r="D72" s="294" t="str">
        <f>IFERROR(VLOOKUP(B72,Item2[],2,FALSE),"")</f>
        <v xml:space="preserve"> </v>
      </c>
      <c r="E72" s="312">
        <f>IFERROR(ANEXO!AD18,"")</f>
        <v>0</v>
      </c>
      <c r="F72" s="296">
        <f>IFERROR(VLOOKUP(B72,Item2[],10,FALSE),"")</f>
        <v>0</v>
      </c>
      <c r="G72" s="295" t="str">
        <f>IFERROR(VLOOKUP(B72,Item2[],7,FALSE),"")</f>
        <v/>
      </c>
      <c r="H72" s="297">
        <f>IFERROR(VLOOKUP(B72,Item2[],8,FALSE),"")</f>
        <v>0</v>
      </c>
      <c r="I72" s="298" t="str">
        <f>IFERROR(VLOOKUP(B72,Item2[],15,FALSE),"")</f>
        <v/>
      </c>
      <c r="J72" s="299" t="str">
        <f>IFERROR(VLOOKUP(B72,Item2[],16,FALSE),"")</f>
        <v/>
      </c>
      <c r="K72" s="299" t="str">
        <f>IFERROR(VLOOKUP(B72,Item2[],17,FALSE),"")</f>
        <v/>
      </c>
      <c r="L72" s="300" t="str">
        <f>IFERROR(VLOOKUP(B72,Item[],9,FALSE),"")</f>
        <v/>
      </c>
      <c r="M72" s="315">
        <f>IF(F72="No llega","N/A",COUNTIF('Acuario (Arribado - mortalidad)'!$B$14:$B$90,'Resumen de cuarentena'!B72))</f>
        <v>0</v>
      </c>
      <c r="N72" s="295" t="str">
        <f>IFERROR(VLOOKUP(D72,SuscepEARs[],2,FALSE),"")</f>
        <v/>
      </c>
      <c r="O72" s="297" t="str">
        <f>IFERROR(VLOOKUP(D72,CITES[],2,FALSE),"")</f>
        <v/>
      </c>
      <c r="P72" s="316" t="str">
        <f>IFERROR(VLOOKUP(B72,'Tratamientos-Eventos'!$B$9:$U$20,19,FALSE),"")</f>
        <v/>
      </c>
      <c r="Q72" s="302" t="str">
        <f>IF(ISTEXT(P72),IFERROR(VLOOKUP(B72,'Tratamientos-Eventos'!$B$9:$U$20,20,FALSE),""),"")</f>
        <v/>
      </c>
    </row>
    <row r="73" spans="2:17" x14ac:dyDescent="0.2">
      <c r="B73" s="245">
        <v>51</v>
      </c>
      <c r="C73" s="294">
        <f>IFERROR(VLOOKUP(B73,Item2[],3,FALSE),"")</f>
        <v>0</v>
      </c>
      <c r="D73" s="294" t="str">
        <f>IFERROR(VLOOKUP(B73,Item2[],2,FALSE),"")</f>
        <v xml:space="preserve"> </v>
      </c>
      <c r="E73" s="312">
        <f>IFERROR(ANEXO!AD19,"")</f>
        <v>0</v>
      </c>
      <c r="F73" s="296">
        <f>IFERROR(VLOOKUP(B73,Item2[],10,FALSE),"")</f>
        <v>0</v>
      </c>
      <c r="G73" s="295" t="str">
        <f>IFERROR(VLOOKUP(B73,Item2[],7,FALSE),"")</f>
        <v/>
      </c>
      <c r="H73" s="297">
        <f>IFERROR(VLOOKUP(B73,Item2[],8,FALSE),"")</f>
        <v>0</v>
      </c>
      <c r="I73" s="298" t="str">
        <f>IFERROR(VLOOKUP(B73,Item2[],15,FALSE),"")</f>
        <v/>
      </c>
      <c r="J73" s="299" t="str">
        <f>IFERROR(VLOOKUP(B73,Item2[],16,FALSE),"")</f>
        <v/>
      </c>
      <c r="K73" s="299" t="str">
        <f>IFERROR(VLOOKUP(B73,Item2[],17,FALSE),"")</f>
        <v/>
      </c>
      <c r="L73" s="300" t="str">
        <f>IFERROR(VLOOKUP(B73,Item[],9,FALSE),"")</f>
        <v/>
      </c>
      <c r="M73" s="315">
        <f>IF(F73="No llega","N/A",COUNTIF('Acuario (Arribado - mortalidad)'!$B$14:$B$90,'Resumen de cuarentena'!B73))</f>
        <v>0</v>
      </c>
      <c r="N73" s="295" t="str">
        <f>IFERROR(VLOOKUP(D73,SuscepEARs[],2,FALSE),"")</f>
        <v/>
      </c>
      <c r="O73" s="297" t="str">
        <f>IFERROR(VLOOKUP(D73,CITES[],2,FALSE),"")</f>
        <v/>
      </c>
      <c r="P73" s="316" t="str">
        <f>IFERROR(VLOOKUP(B73,'Tratamientos-Eventos'!$B$9:$U$20,19,FALSE),"")</f>
        <v/>
      </c>
      <c r="Q73" s="302" t="str">
        <f>IF(ISTEXT(P73),IFERROR(VLOOKUP(B73,'Tratamientos-Eventos'!$B$9:$U$20,20,FALSE),""),"")</f>
        <v/>
      </c>
    </row>
    <row r="74" spans="2:17" x14ac:dyDescent="0.2">
      <c r="B74" s="245">
        <v>52</v>
      </c>
      <c r="C74" s="294">
        <f>IFERROR(VLOOKUP(B74,Item2[],3,FALSE),"")</f>
        <v>0</v>
      </c>
      <c r="D74" s="294" t="str">
        <f>IFERROR(VLOOKUP(B74,Item2[],2,FALSE),"")</f>
        <v xml:space="preserve"> </v>
      </c>
      <c r="E74" s="312">
        <f>IFERROR(ANEXO!AD20,"")</f>
        <v>0</v>
      </c>
      <c r="F74" s="296">
        <f>IFERROR(VLOOKUP(B74,Item2[],10,FALSE),"")</f>
        <v>0</v>
      </c>
      <c r="G74" s="295" t="str">
        <f>IFERROR(VLOOKUP(B74,Item2[],7,FALSE),"")</f>
        <v/>
      </c>
      <c r="H74" s="297">
        <f>IFERROR(VLOOKUP(B74,Item2[],8,FALSE),"")</f>
        <v>0</v>
      </c>
      <c r="I74" s="298" t="str">
        <f>IFERROR(VLOOKUP(B74,Item2[],15,FALSE),"")</f>
        <v/>
      </c>
      <c r="J74" s="299" t="str">
        <f>IFERROR(VLOOKUP(B74,Item2[],16,FALSE),"")</f>
        <v/>
      </c>
      <c r="K74" s="299" t="str">
        <f>IFERROR(VLOOKUP(B74,Item2[],17,FALSE),"")</f>
        <v/>
      </c>
      <c r="L74" s="300" t="str">
        <f>IFERROR(VLOOKUP(B74,Item[],9,FALSE),"")</f>
        <v/>
      </c>
      <c r="M74" s="315">
        <f>IF(F74="No llega","N/A",COUNTIF('Acuario (Arribado - mortalidad)'!$B$14:$B$90,'Resumen de cuarentena'!B74))</f>
        <v>0</v>
      </c>
      <c r="N74" s="295" t="str">
        <f>IFERROR(VLOOKUP(D74,SuscepEARs[],2,FALSE),"")</f>
        <v/>
      </c>
      <c r="O74" s="297" t="str">
        <f>IFERROR(VLOOKUP(D74,CITES[],2,FALSE),"")</f>
        <v/>
      </c>
      <c r="P74" s="316" t="str">
        <f>IFERROR(VLOOKUP(B74,'Tratamientos-Eventos'!$B$9:$U$20,19,FALSE),"")</f>
        <v/>
      </c>
      <c r="Q74" s="302" t="str">
        <f>IF(ISTEXT(P74),IFERROR(VLOOKUP(B74,'Tratamientos-Eventos'!$B$9:$U$20,20,FALSE),""),"")</f>
        <v/>
      </c>
    </row>
    <row r="75" spans="2:17" x14ac:dyDescent="0.2">
      <c r="B75" s="245">
        <v>53</v>
      </c>
      <c r="C75" s="294">
        <f>IFERROR(VLOOKUP(B75,Item2[],3,FALSE),"")</f>
        <v>0</v>
      </c>
      <c r="D75" s="294" t="str">
        <f>IFERROR(VLOOKUP(B75,Item2[],2,FALSE),"")</f>
        <v xml:space="preserve"> </v>
      </c>
      <c r="E75" s="312">
        <f>IFERROR(ANEXO!AD21,"")</f>
        <v>0</v>
      </c>
      <c r="F75" s="296">
        <f>IFERROR(VLOOKUP(B75,Item2[],10,FALSE),"")</f>
        <v>0</v>
      </c>
      <c r="G75" s="295" t="str">
        <f>IFERROR(VLOOKUP(B75,Item2[],7,FALSE),"")</f>
        <v/>
      </c>
      <c r="H75" s="297">
        <f>IFERROR(VLOOKUP(B75,Item2[],8,FALSE),"")</f>
        <v>0</v>
      </c>
      <c r="I75" s="298" t="str">
        <f>IFERROR(VLOOKUP(B75,Item2[],15,FALSE),"")</f>
        <v/>
      </c>
      <c r="J75" s="299" t="str">
        <f>IFERROR(VLOOKUP(B75,Item2[],16,FALSE),"")</f>
        <v/>
      </c>
      <c r="K75" s="299" t="str">
        <f>IFERROR(VLOOKUP(B75,Item2[],17,FALSE),"")</f>
        <v/>
      </c>
      <c r="L75" s="300" t="str">
        <f>IFERROR(VLOOKUP(B75,Item[],9,FALSE),"")</f>
        <v/>
      </c>
      <c r="M75" s="315">
        <f>IF(F75="No llega","N/A",COUNTIF('Acuario (Arribado - mortalidad)'!$B$14:$B$90,'Resumen de cuarentena'!B75))</f>
        <v>0</v>
      </c>
      <c r="N75" s="295" t="str">
        <f>IFERROR(VLOOKUP(D75,SuscepEARs[],2,FALSE),"")</f>
        <v/>
      </c>
      <c r="O75" s="297" t="str">
        <f>IFERROR(VLOOKUP(D75,CITES[],2,FALSE),"")</f>
        <v/>
      </c>
      <c r="P75" s="316" t="str">
        <f>IFERROR(VLOOKUP(B75,'Tratamientos-Eventos'!$B$9:$U$20,19,FALSE),"")</f>
        <v/>
      </c>
      <c r="Q75" s="302" t="str">
        <f>IF(ISTEXT(P75),IFERROR(VLOOKUP(B75,'Tratamientos-Eventos'!$B$9:$U$20,20,FALSE),""),"")</f>
        <v/>
      </c>
    </row>
    <row r="76" spans="2:17" x14ac:dyDescent="0.2">
      <c r="B76" s="245">
        <v>54</v>
      </c>
      <c r="C76" s="294">
        <f>IFERROR(VLOOKUP(B76,Item2[],3,FALSE),"")</f>
        <v>0</v>
      </c>
      <c r="D76" s="294" t="str">
        <f>IFERROR(VLOOKUP(B76,Item2[],2,FALSE),"")</f>
        <v xml:space="preserve"> </v>
      </c>
      <c r="E76" s="312">
        <f>IFERROR(ANEXO!AD22,"")</f>
        <v>0</v>
      </c>
      <c r="F76" s="296">
        <f>IFERROR(VLOOKUP(B76,Item2[],10,FALSE),"")</f>
        <v>0</v>
      </c>
      <c r="G76" s="295" t="str">
        <f>IFERROR(VLOOKUP(B76,Item2[],7,FALSE),"")</f>
        <v/>
      </c>
      <c r="H76" s="297">
        <f>IFERROR(VLOOKUP(B76,Item2[],8,FALSE),"")</f>
        <v>0</v>
      </c>
      <c r="I76" s="298" t="str">
        <f>IFERROR(VLOOKUP(B76,Item2[],15,FALSE),"")</f>
        <v/>
      </c>
      <c r="J76" s="299" t="str">
        <f>IFERROR(VLOOKUP(B76,Item2[],16,FALSE),"")</f>
        <v/>
      </c>
      <c r="K76" s="299" t="str">
        <f>IFERROR(VLOOKUP(B76,Item2[],17,FALSE),"")</f>
        <v/>
      </c>
      <c r="L76" s="300" t="str">
        <f>IFERROR(VLOOKUP(B76,Item[],9,FALSE),"")</f>
        <v/>
      </c>
      <c r="M76" s="315">
        <f>IF(F76="No llega","N/A",COUNTIF('Acuario (Arribado - mortalidad)'!$B$14:$B$90,'Resumen de cuarentena'!B76))</f>
        <v>0</v>
      </c>
      <c r="N76" s="295" t="str">
        <f>IFERROR(VLOOKUP(D76,SuscepEARs[],2,FALSE),"")</f>
        <v/>
      </c>
      <c r="O76" s="297" t="str">
        <f>IFERROR(VLOOKUP(D76,CITES[],2,FALSE),"")</f>
        <v/>
      </c>
      <c r="P76" s="316" t="str">
        <f>IFERROR(VLOOKUP(B76,'Tratamientos-Eventos'!$B$9:$U$20,19,FALSE),"")</f>
        <v/>
      </c>
      <c r="Q76" s="302" t="str">
        <f>IF(ISTEXT(P76),IFERROR(VLOOKUP(B76,'Tratamientos-Eventos'!$B$9:$U$20,20,FALSE),""),"")</f>
        <v/>
      </c>
    </row>
    <row r="77" spans="2:17" x14ac:dyDescent="0.2">
      <c r="B77" s="245">
        <v>55</v>
      </c>
      <c r="C77" s="294">
        <f>IFERROR(VLOOKUP(B77,Item2[],3,FALSE),"")</f>
        <v>0</v>
      </c>
      <c r="D77" s="294" t="str">
        <f>IFERROR(VLOOKUP(B77,Item2[],2,FALSE),"")</f>
        <v xml:space="preserve"> </v>
      </c>
      <c r="E77" s="312">
        <f>IFERROR(ANEXO!AD23,"")</f>
        <v>0</v>
      </c>
      <c r="F77" s="296">
        <f>IFERROR(VLOOKUP(B77,Item2[],10,FALSE),"")</f>
        <v>0</v>
      </c>
      <c r="G77" s="295" t="str">
        <f>IFERROR(VLOOKUP(B77,Item2[],7,FALSE),"")</f>
        <v/>
      </c>
      <c r="H77" s="297">
        <f>IFERROR(VLOOKUP(B77,Item2[],8,FALSE),"")</f>
        <v>0</v>
      </c>
      <c r="I77" s="298" t="str">
        <f>IFERROR(VLOOKUP(B77,Item2[],15,FALSE),"")</f>
        <v/>
      </c>
      <c r="J77" s="299" t="str">
        <f>IFERROR(VLOOKUP(B77,Item2[],16,FALSE),"")</f>
        <v/>
      </c>
      <c r="K77" s="299" t="str">
        <f>IFERROR(VLOOKUP(B77,Item2[],17,FALSE),"")</f>
        <v/>
      </c>
      <c r="L77" s="300" t="str">
        <f>IFERROR(VLOOKUP(B77,Item[],9,FALSE),"")</f>
        <v/>
      </c>
      <c r="M77" s="315">
        <f>IF(F77="No llega","N/A",COUNTIF('Acuario (Arribado - mortalidad)'!$B$14:$B$90,'Resumen de cuarentena'!B77))</f>
        <v>0</v>
      </c>
      <c r="N77" s="295" t="str">
        <f>IFERROR(VLOOKUP(D77,SuscepEARs[],2,FALSE),"")</f>
        <v/>
      </c>
      <c r="O77" s="297" t="str">
        <f>IFERROR(VLOOKUP(D77,CITES[],2,FALSE),"")</f>
        <v/>
      </c>
      <c r="P77" s="316" t="str">
        <f>IFERROR(VLOOKUP(B77,'Tratamientos-Eventos'!$B$9:$U$20,19,FALSE),"")</f>
        <v/>
      </c>
      <c r="Q77" s="302" t="str">
        <f>IF(ISTEXT(P77),IFERROR(VLOOKUP(B77,'Tratamientos-Eventos'!$B$9:$U$20,20,FALSE),""),"")</f>
        <v/>
      </c>
    </row>
    <row r="78" spans="2:17" x14ac:dyDescent="0.2">
      <c r="B78" s="245">
        <v>56</v>
      </c>
      <c r="C78" s="294">
        <f>IFERROR(VLOOKUP(B78,Item2[],3,FALSE),"")</f>
        <v>0</v>
      </c>
      <c r="D78" s="294" t="str">
        <f>IFERROR(VLOOKUP(B78,Item2[],2,FALSE),"")</f>
        <v xml:space="preserve"> </v>
      </c>
      <c r="E78" s="312">
        <f>IFERROR(ANEXO!AD24,"")</f>
        <v>0</v>
      </c>
      <c r="F78" s="296">
        <f>IFERROR(VLOOKUP(B78,Item2[],10,FALSE),"")</f>
        <v>0</v>
      </c>
      <c r="G78" s="295" t="str">
        <f>IFERROR(VLOOKUP(B78,Item2[],7,FALSE),"")</f>
        <v/>
      </c>
      <c r="H78" s="297">
        <f>IFERROR(VLOOKUP(B78,Item2[],8,FALSE),"")</f>
        <v>0</v>
      </c>
      <c r="I78" s="298" t="str">
        <f>IFERROR(VLOOKUP(B78,Item2[],15,FALSE),"")</f>
        <v/>
      </c>
      <c r="J78" s="299" t="str">
        <f>IFERROR(VLOOKUP(B78,Item2[],16,FALSE),"")</f>
        <v/>
      </c>
      <c r="K78" s="299" t="str">
        <f>IFERROR(VLOOKUP(B78,Item2[],17,FALSE),"")</f>
        <v/>
      </c>
      <c r="L78" s="300" t="str">
        <f>IFERROR(VLOOKUP(B78,Item[],9,FALSE),"")</f>
        <v/>
      </c>
      <c r="M78" s="315">
        <f>IF(F78="No llega","N/A",COUNTIF('Acuario (Arribado - mortalidad)'!$B$14:$B$90,'Resumen de cuarentena'!B78))</f>
        <v>0</v>
      </c>
      <c r="N78" s="295" t="str">
        <f>IFERROR(VLOOKUP(D78,SuscepEARs[],2,FALSE),"")</f>
        <v/>
      </c>
      <c r="O78" s="297" t="str">
        <f>IFERROR(VLOOKUP(D78,CITES[],2,FALSE),"")</f>
        <v/>
      </c>
      <c r="P78" s="316" t="str">
        <f>IFERROR(VLOOKUP(B78,'Tratamientos-Eventos'!$B$9:$U$20,19,FALSE),"")</f>
        <v/>
      </c>
      <c r="Q78" s="302" t="str">
        <f>IF(ISTEXT(P78),IFERROR(VLOOKUP(B78,'Tratamientos-Eventos'!$B$9:$U$20,20,FALSE),""),"")</f>
        <v/>
      </c>
    </row>
    <row r="79" spans="2:17" x14ac:dyDescent="0.2">
      <c r="B79" s="245">
        <v>57</v>
      </c>
      <c r="C79" s="294">
        <f>IFERROR(VLOOKUP(B79,Item2[],3,FALSE),"")</f>
        <v>0</v>
      </c>
      <c r="D79" s="294" t="str">
        <f>IFERROR(VLOOKUP(B79,Item2[],2,FALSE),"")</f>
        <v xml:space="preserve"> </v>
      </c>
      <c r="E79" s="312">
        <f>IFERROR(ANEXO!AD25,"")</f>
        <v>0</v>
      </c>
      <c r="F79" s="296">
        <f>IFERROR(VLOOKUP(B79,Item2[],10,FALSE),"")</f>
        <v>0</v>
      </c>
      <c r="G79" s="295" t="str">
        <f>IFERROR(VLOOKUP(B79,Item2[],7,FALSE),"")</f>
        <v/>
      </c>
      <c r="H79" s="297">
        <f>IFERROR(VLOOKUP(B79,Item2[],8,FALSE),"")</f>
        <v>0</v>
      </c>
      <c r="I79" s="298" t="str">
        <f>IFERROR(VLOOKUP(B79,Item2[],15,FALSE),"")</f>
        <v/>
      </c>
      <c r="J79" s="299" t="str">
        <f>IFERROR(VLOOKUP(B79,Item2[],16,FALSE),"")</f>
        <v/>
      </c>
      <c r="K79" s="299" t="str">
        <f>IFERROR(VLOOKUP(B79,Item2[],17,FALSE),"")</f>
        <v/>
      </c>
      <c r="L79" s="300" t="str">
        <f>IFERROR(VLOOKUP(B79,Item[],9,FALSE),"")</f>
        <v/>
      </c>
      <c r="M79" s="315">
        <f>IF(F79="No llega","N/A",COUNTIF('Acuario (Arribado - mortalidad)'!$B$14:$B$90,'Resumen de cuarentena'!B79))</f>
        <v>0</v>
      </c>
      <c r="N79" s="295" t="str">
        <f>IFERROR(VLOOKUP(D79,SuscepEARs[],2,FALSE),"")</f>
        <v/>
      </c>
      <c r="O79" s="297" t="str">
        <f>IFERROR(VLOOKUP(D79,CITES[],2,FALSE),"")</f>
        <v/>
      </c>
      <c r="P79" s="316" t="str">
        <f>IFERROR(VLOOKUP(B79,'Tratamientos-Eventos'!$B$9:$U$20,19,FALSE),"")</f>
        <v/>
      </c>
      <c r="Q79" s="302" t="str">
        <f>IF(ISTEXT(P79),IFERROR(VLOOKUP(B79,'Tratamientos-Eventos'!$B$9:$U$20,20,FALSE),""),"")</f>
        <v/>
      </c>
    </row>
    <row r="80" spans="2:17" x14ac:dyDescent="0.2">
      <c r="B80" s="245">
        <v>58</v>
      </c>
      <c r="C80" s="294">
        <f>IFERROR(VLOOKUP(B80,Item2[],3,FALSE),"")</f>
        <v>0</v>
      </c>
      <c r="D80" s="294" t="str">
        <f>IFERROR(VLOOKUP(B80,Item2[],2,FALSE),"")</f>
        <v xml:space="preserve"> </v>
      </c>
      <c r="E80" s="312">
        <f>IFERROR(ANEXO!AD26,"")</f>
        <v>0</v>
      </c>
      <c r="F80" s="296">
        <f>IFERROR(VLOOKUP(B80,Item2[],10,FALSE),"")</f>
        <v>0</v>
      </c>
      <c r="G80" s="295" t="str">
        <f>IFERROR(VLOOKUP(B80,Item2[],7,FALSE),"")</f>
        <v/>
      </c>
      <c r="H80" s="297">
        <f>IFERROR(VLOOKUP(B80,Item2[],8,FALSE),"")</f>
        <v>0</v>
      </c>
      <c r="I80" s="298" t="str">
        <f>IFERROR(VLOOKUP(B80,Item2[],15,FALSE),"")</f>
        <v/>
      </c>
      <c r="J80" s="299" t="str">
        <f>IFERROR(VLOOKUP(B80,Item2[],16,FALSE),"")</f>
        <v/>
      </c>
      <c r="K80" s="299" t="str">
        <f>IFERROR(VLOOKUP(B80,Item2[],17,FALSE),"")</f>
        <v/>
      </c>
      <c r="L80" s="300" t="str">
        <f>IFERROR(VLOOKUP(B80,Item[],9,FALSE),"")</f>
        <v/>
      </c>
      <c r="M80" s="315">
        <f>IF(F80="No llega","N/A",COUNTIF('Acuario (Arribado - mortalidad)'!$B$14:$B$90,'Resumen de cuarentena'!B80))</f>
        <v>0</v>
      </c>
      <c r="N80" s="295" t="str">
        <f>IFERROR(VLOOKUP(D80,SuscepEARs[],2,FALSE),"")</f>
        <v/>
      </c>
      <c r="O80" s="297" t="str">
        <f>IFERROR(VLOOKUP(D80,CITES[],2,FALSE),"")</f>
        <v/>
      </c>
      <c r="P80" s="316" t="str">
        <f>IFERROR(VLOOKUP(B80,'Tratamientos-Eventos'!$B$9:$U$20,19,FALSE),"")</f>
        <v/>
      </c>
      <c r="Q80" s="302" t="str">
        <f>IF(ISTEXT(P80),IFERROR(VLOOKUP(B80,'Tratamientos-Eventos'!$B$9:$U$20,20,FALSE),""),"")</f>
        <v/>
      </c>
    </row>
    <row r="81" spans="2:17" x14ac:dyDescent="0.2">
      <c r="B81" s="245">
        <v>59</v>
      </c>
      <c r="C81" s="294">
        <f>IFERROR(VLOOKUP(B81,Item2[],3,FALSE),"")</f>
        <v>0</v>
      </c>
      <c r="D81" s="294" t="str">
        <f>IFERROR(VLOOKUP(B81,Item2[],2,FALSE),"")</f>
        <v xml:space="preserve"> </v>
      </c>
      <c r="E81" s="312">
        <f>IFERROR(ANEXO!AD27,"")</f>
        <v>0</v>
      </c>
      <c r="F81" s="296">
        <f>IFERROR(VLOOKUP(B81,Item2[],10,FALSE),"")</f>
        <v>0</v>
      </c>
      <c r="G81" s="295" t="str">
        <f>IFERROR(VLOOKUP(B81,Item2[],7,FALSE),"")</f>
        <v/>
      </c>
      <c r="H81" s="297">
        <f>IFERROR(VLOOKUP(B81,Item2[],8,FALSE),"")</f>
        <v>0</v>
      </c>
      <c r="I81" s="298" t="str">
        <f>IFERROR(VLOOKUP(B81,Item2[],15,FALSE),"")</f>
        <v/>
      </c>
      <c r="J81" s="299" t="str">
        <f>IFERROR(VLOOKUP(B81,Item2[],16,FALSE),"")</f>
        <v/>
      </c>
      <c r="K81" s="299" t="str">
        <f>IFERROR(VLOOKUP(B81,Item2[],17,FALSE),"")</f>
        <v/>
      </c>
      <c r="L81" s="300" t="str">
        <f>IFERROR(VLOOKUP(B81,Item[],9,FALSE),"")</f>
        <v/>
      </c>
      <c r="M81" s="315">
        <f>IF(F81="No llega","N/A",COUNTIF('Acuario (Arribado - mortalidad)'!$B$14:$B$90,'Resumen de cuarentena'!B81))</f>
        <v>0</v>
      </c>
      <c r="N81" s="295" t="str">
        <f>IFERROR(VLOOKUP(D81,SuscepEARs[],2,FALSE),"")</f>
        <v/>
      </c>
      <c r="O81" s="297" t="str">
        <f>IFERROR(VLOOKUP(D81,CITES[],2,FALSE),"")</f>
        <v/>
      </c>
      <c r="P81" s="316" t="str">
        <f>IFERROR(VLOOKUP(B81,'Tratamientos-Eventos'!$B$9:$U$20,19,FALSE),"")</f>
        <v/>
      </c>
      <c r="Q81" s="302" t="str">
        <f>IF(ISTEXT(P81),IFERROR(VLOOKUP(B81,'Tratamientos-Eventos'!$B$9:$U$20,20,FALSE),""),"")</f>
        <v/>
      </c>
    </row>
    <row r="82" spans="2:17" x14ac:dyDescent="0.2">
      <c r="B82" s="245">
        <v>60</v>
      </c>
      <c r="C82" s="294">
        <f>IFERROR(VLOOKUP(B82,Item2[],3,FALSE),"")</f>
        <v>0</v>
      </c>
      <c r="D82" s="294" t="str">
        <f>IFERROR(VLOOKUP(B82,Item2[],2,FALSE),"")</f>
        <v xml:space="preserve"> </v>
      </c>
      <c r="E82" s="312">
        <f>IFERROR(ANEXO!AD28,"")</f>
        <v>0</v>
      </c>
      <c r="F82" s="296">
        <f>IFERROR(VLOOKUP(B82,Item2[],10,FALSE),"")</f>
        <v>0</v>
      </c>
      <c r="G82" s="295" t="str">
        <f>IFERROR(VLOOKUP(B82,Item2[],7,FALSE),"")</f>
        <v/>
      </c>
      <c r="H82" s="297">
        <f>IFERROR(VLOOKUP(B82,Item2[],8,FALSE),"")</f>
        <v>0</v>
      </c>
      <c r="I82" s="298" t="str">
        <f>IFERROR(VLOOKUP(B82,Item2[],15,FALSE),"")</f>
        <v/>
      </c>
      <c r="J82" s="299" t="str">
        <f>IFERROR(VLOOKUP(B82,Item2[],16,FALSE),"")</f>
        <v/>
      </c>
      <c r="K82" s="299" t="str">
        <f>IFERROR(VLOOKUP(B82,Item2[],17,FALSE),"")</f>
        <v/>
      </c>
      <c r="L82" s="300" t="str">
        <f>IFERROR(VLOOKUP(B82,Item[],9,FALSE),"")</f>
        <v/>
      </c>
      <c r="M82" s="315">
        <f>IF(F82="No llega","N/A",COUNTIF('Acuario (Arribado - mortalidad)'!$B$14:$B$90,'Resumen de cuarentena'!B82))</f>
        <v>0</v>
      </c>
      <c r="N82" s="295" t="str">
        <f>IFERROR(VLOOKUP(D82,SuscepEARs[],2,FALSE),"")</f>
        <v/>
      </c>
      <c r="O82" s="297" t="str">
        <f>IFERROR(VLOOKUP(D82,CITES[],2,FALSE),"")</f>
        <v/>
      </c>
      <c r="P82" s="316" t="str">
        <f>IFERROR(VLOOKUP(B82,'Tratamientos-Eventos'!$B$9:$U$20,19,FALSE),"")</f>
        <v/>
      </c>
      <c r="Q82" s="302" t="str">
        <f>IF(ISTEXT(P82),IFERROR(VLOOKUP(B82,'Tratamientos-Eventos'!$B$9:$U$20,20,FALSE),""),"")</f>
        <v/>
      </c>
    </row>
    <row r="83" spans="2:17" x14ac:dyDescent="0.2">
      <c r="B83" s="245">
        <v>61</v>
      </c>
      <c r="C83" s="294">
        <f>IFERROR(VLOOKUP(B83,Item2[],3,FALSE),"")</f>
        <v>0</v>
      </c>
      <c r="D83" s="294" t="str">
        <f>IFERROR(VLOOKUP(B83,Item2[],2,FALSE),"")</f>
        <v xml:space="preserve"> </v>
      </c>
      <c r="E83" s="312">
        <f>IFERROR(ANEXO!AD29,"")</f>
        <v>0</v>
      </c>
      <c r="F83" s="296">
        <f>IFERROR(VLOOKUP(B83,Item2[],10,FALSE),"")</f>
        <v>0</v>
      </c>
      <c r="G83" s="295" t="str">
        <f>IFERROR(VLOOKUP(B83,Item2[],7,FALSE),"")</f>
        <v/>
      </c>
      <c r="H83" s="297">
        <f>IFERROR(VLOOKUP(B83,Item2[],8,FALSE),"")</f>
        <v>0</v>
      </c>
      <c r="I83" s="298" t="str">
        <f>IFERROR(VLOOKUP(B83,Item2[],15,FALSE),"")</f>
        <v/>
      </c>
      <c r="J83" s="299" t="str">
        <f>IFERROR(VLOOKUP(B83,Item2[],16,FALSE),"")</f>
        <v/>
      </c>
      <c r="K83" s="299" t="str">
        <f>IFERROR(VLOOKUP(B83,Item2[],17,FALSE),"")</f>
        <v/>
      </c>
      <c r="L83" s="300" t="str">
        <f>IFERROR(VLOOKUP(B83,Item[],9,FALSE),"")</f>
        <v/>
      </c>
      <c r="M83" s="315">
        <f>IF(F83="No llega","N/A",COUNTIF('Acuario (Arribado - mortalidad)'!$B$14:$B$90,'Resumen de cuarentena'!B83))</f>
        <v>0</v>
      </c>
      <c r="N83" s="295" t="str">
        <f>IFERROR(VLOOKUP(D83,SuscepEARs[],2,FALSE),"")</f>
        <v/>
      </c>
      <c r="O83" s="297" t="str">
        <f>IFERROR(VLOOKUP(D83,CITES[],2,FALSE),"")</f>
        <v/>
      </c>
      <c r="P83" s="316" t="str">
        <f>IFERROR(VLOOKUP(B83,'Tratamientos-Eventos'!$B$9:$U$20,19,FALSE),"")</f>
        <v/>
      </c>
      <c r="Q83" s="302" t="str">
        <f>IF(ISTEXT(P83),IFERROR(VLOOKUP(B83,'Tratamientos-Eventos'!$B$9:$U$20,20,FALSE),""),"")</f>
        <v/>
      </c>
    </row>
    <row r="84" spans="2:17" x14ac:dyDescent="0.2">
      <c r="B84" s="245">
        <v>62</v>
      </c>
      <c r="C84" s="294">
        <f>IFERROR(VLOOKUP(B84,Item2[],3,FALSE),"")</f>
        <v>0</v>
      </c>
      <c r="D84" s="294" t="str">
        <f>IFERROR(VLOOKUP(B84,Item2[],2,FALSE),"")</f>
        <v xml:space="preserve"> </v>
      </c>
      <c r="E84" s="312">
        <f>IFERROR(ANEXO!AD30,"")</f>
        <v>0</v>
      </c>
      <c r="F84" s="296">
        <f>IFERROR(VLOOKUP(B84,Item2[],10,FALSE),"")</f>
        <v>0</v>
      </c>
      <c r="G84" s="295" t="str">
        <f>IFERROR(VLOOKUP(B84,Item2[],7,FALSE),"")</f>
        <v/>
      </c>
      <c r="H84" s="297">
        <f>IFERROR(VLOOKUP(B84,Item2[],8,FALSE),"")</f>
        <v>0</v>
      </c>
      <c r="I84" s="298" t="str">
        <f>IFERROR(VLOOKUP(B84,Item2[],15,FALSE),"")</f>
        <v/>
      </c>
      <c r="J84" s="299" t="str">
        <f>IFERROR(VLOOKUP(B84,Item2[],16,FALSE),"")</f>
        <v/>
      </c>
      <c r="K84" s="299" t="str">
        <f>IFERROR(VLOOKUP(B84,Item2[],17,FALSE),"")</f>
        <v/>
      </c>
      <c r="L84" s="300" t="str">
        <f>IFERROR(VLOOKUP(B84,Item[],9,FALSE),"")</f>
        <v/>
      </c>
      <c r="M84" s="315">
        <f>IF(F84="No llega","N/A",COUNTIF('Acuario (Arribado - mortalidad)'!$B$14:$B$90,'Resumen de cuarentena'!B84))</f>
        <v>0</v>
      </c>
      <c r="N84" s="295" t="str">
        <f>IFERROR(VLOOKUP(D84,SuscepEARs[],2,FALSE),"")</f>
        <v/>
      </c>
      <c r="O84" s="297" t="str">
        <f>IFERROR(VLOOKUP(D84,CITES[],2,FALSE),"")</f>
        <v/>
      </c>
      <c r="P84" s="316" t="str">
        <f>IFERROR(VLOOKUP(B84,'Tratamientos-Eventos'!$B$9:$U$20,19,FALSE),"")</f>
        <v/>
      </c>
      <c r="Q84" s="302" t="str">
        <f>IF(ISTEXT(P84),IFERROR(VLOOKUP(B84,'Tratamientos-Eventos'!$B$9:$U$20,20,FALSE),""),"")</f>
        <v/>
      </c>
    </row>
    <row r="85" spans="2:17" x14ac:dyDescent="0.2">
      <c r="B85" s="245">
        <v>63</v>
      </c>
      <c r="C85" s="294">
        <f>IFERROR(VLOOKUP(B85,Item2[],3,FALSE),"")</f>
        <v>0</v>
      </c>
      <c r="D85" s="294" t="str">
        <f>IFERROR(VLOOKUP(B85,Item2[],2,FALSE),"")</f>
        <v xml:space="preserve"> </v>
      </c>
      <c r="E85" s="312">
        <f>IFERROR(ANEXO!AD31,"")</f>
        <v>0</v>
      </c>
      <c r="F85" s="296">
        <f>IFERROR(VLOOKUP(B85,Item2[],10,FALSE),"")</f>
        <v>0</v>
      </c>
      <c r="G85" s="295" t="str">
        <f>IFERROR(VLOOKUP(B85,Item2[],7,FALSE),"")</f>
        <v/>
      </c>
      <c r="H85" s="297">
        <f>IFERROR(VLOOKUP(B85,Item2[],8,FALSE),"")</f>
        <v>0</v>
      </c>
      <c r="I85" s="298" t="str">
        <f>IFERROR(VLOOKUP(B85,Item2[],15,FALSE),"")</f>
        <v/>
      </c>
      <c r="J85" s="299" t="str">
        <f>IFERROR(VLOOKUP(B85,Item2[],16,FALSE),"")</f>
        <v/>
      </c>
      <c r="K85" s="299" t="str">
        <f>IFERROR(VLOOKUP(B85,Item2[],17,FALSE),"")</f>
        <v/>
      </c>
      <c r="L85" s="300" t="str">
        <f>IFERROR(VLOOKUP(B85,Item[],9,FALSE),"")</f>
        <v/>
      </c>
      <c r="M85" s="315">
        <f>IF(F85="No llega","N/A",COUNTIF('Acuario (Arribado - mortalidad)'!$B$14:$B$90,'Resumen de cuarentena'!B85))</f>
        <v>0</v>
      </c>
      <c r="N85" s="295" t="str">
        <f>IFERROR(VLOOKUP(D85,SuscepEARs[],2,FALSE),"")</f>
        <v/>
      </c>
      <c r="O85" s="297" t="str">
        <f>IFERROR(VLOOKUP(D85,CITES[],2,FALSE),"")</f>
        <v/>
      </c>
      <c r="P85" s="316" t="str">
        <f>IFERROR(VLOOKUP(B85,'Tratamientos-Eventos'!$B$9:$U$20,19,FALSE),"")</f>
        <v/>
      </c>
      <c r="Q85" s="302" t="str">
        <f>IF(ISTEXT(P85),IFERROR(VLOOKUP(B85,'Tratamientos-Eventos'!$B$9:$U$20,20,FALSE),""),"")</f>
        <v/>
      </c>
    </row>
    <row r="86" spans="2:17" x14ac:dyDescent="0.2">
      <c r="B86" s="245">
        <v>64</v>
      </c>
      <c r="C86" s="294">
        <f>IFERROR(VLOOKUP(B86,Item2[],3,FALSE),"")</f>
        <v>0</v>
      </c>
      <c r="D86" s="294" t="str">
        <f>IFERROR(VLOOKUP(B86,Item2[],2,FALSE),"")</f>
        <v xml:space="preserve"> </v>
      </c>
      <c r="E86" s="312">
        <f>IFERROR(ANEXO!AD32,"")</f>
        <v>0</v>
      </c>
      <c r="F86" s="296">
        <f>IFERROR(VLOOKUP(B86,Item2[],10,FALSE),"")</f>
        <v>0</v>
      </c>
      <c r="G86" s="295" t="str">
        <f>IFERROR(VLOOKUP(B86,Item2[],7,FALSE),"")</f>
        <v/>
      </c>
      <c r="H86" s="297">
        <f>IFERROR(VLOOKUP(B86,Item2[],8,FALSE),"")</f>
        <v>0</v>
      </c>
      <c r="I86" s="298" t="str">
        <f>IFERROR(VLOOKUP(B86,Item2[],15,FALSE),"")</f>
        <v/>
      </c>
      <c r="J86" s="299" t="str">
        <f>IFERROR(VLOOKUP(B86,Item2[],16,FALSE),"")</f>
        <v/>
      </c>
      <c r="K86" s="299" t="str">
        <f>IFERROR(VLOOKUP(B86,Item2[],17,FALSE),"")</f>
        <v/>
      </c>
      <c r="L86" s="300" t="str">
        <f>IFERROR(VLOOKUP(B86,Item[],9,FALSE),"")</f>
        <v/>
      </c>
      <c r="M86" s="315">
        <f>IF(F86="No llega","N/A",COUNTIF('Acuario (Arribado - mortalidad)'!$B$14:$B$90,'Resumen de cuarentena'!B86))</f>
        <v>0</v>
      </c>
      <c r="N86" s="295" t="str">
        <f>IFERROR(VLOOKUP(D86,SuscepEARs[],2,FALSE),"")</f>
        <v/>
      </c>
      <c r="O86" s="297" t="str">
        <f>IFERROR(VLOOKUP(D86,CITES[],2,FALSE),"")</f>
        <v/>
      </c>
      <c r="P86" s="316" t="str">
        <f>IFERROR(VLOOKUP(B86,'Tratamientos-Eventos'!$B$9:$U$20,19,FALSE),"")</f>
        <v/>
      </c>
      <c r="Q86" s="302" t="str">
        <f>IF(ISTEXT(P86),IFERROR(VLOOKUP(B86,'Tratamientos-Eventos'!$B$9:$U$20,20,FALSE),""),"")</f>
        <v/>
      </c>
    </row>
    <row r="87" spans="2:17" x14ac:dyDescent="0.2">
      <c r="B87" s="245">
        <v>65</v>
      </c>
      <c r="C87" s="294">
        <f>IFERROR(VLOOKUP(B87,Item2[],3,FALSE),"")</f>
        <v>0</v>
      </c>
      <c r="D87" s="294" t="str">
        <f>IFERROR(VLOOKUP(B87,Item2[],2,FALSE),"")</f>
        <v xml:space="preserve"> </v>
      </c>
      <c r="E87" s="312">
        <f>IFERROR(ANEXO!AD33,"")</f>
        <v>0</v>
      </c>
      <c r="F87" s="296">
        <f>IFERROR(VLOOKUP(B87,Item2[],10,FALSE),"")</f>
        <v>0</v>
      </c>
      <c r="G87" s="295" t="str">
        <f>IFERROR(VLOOKUP(B87,Item2[],7,FALSE),"")</f>
        <v/>
      </c>
      <c r="H87" s="297">
        <f>IFERROR(VLOOKUP(B87,Item2[],8,FALSE),"")</f>
        <v>0</v>
      </c>
      <c r="I87" s="298" t="str">
        <f>IFERROR(VLOOKUP(B87,Item2[],15,FALSE),"")</f>
        <v/>
      </c>
      <c r="J87" s="299" t="str">
        <f>IFERROR(VLOOKUP(B87,Item2[],16,FALSE),"")</f>
        <v/>
      </c>
      <c r="K87" s="299" t="str">
        <f>IFERROR(VLOOKUP(B87,Item2[],17,FALSE),"")</f>
        <v/>
      </c>
      <c r="L87" s="300" t="str">
        <f>IFERROR(VLOOKUP(B87,Item[],9,FALSE),"")</f>
        <v/>
      </c>
      <c r="M87" s="315">
        <f>IF(F87="No llega","N/A",COUNTIF('Acuario (Arribado - mortalidad)'!$B$14:$B$90,'Resumen de cuarentena'!B87))</f>
        <v>0</v>
      </c>
      <c r="N87" s="295" t="str">
        <f>IFERROR(VLOOKUP(D87,SuscepEARs[],2,FALSE),"")</f>
        <v/>
      </c>
      <c r="O87" s="297" t="str">
        <f>IFERROR(VLOOKUP(D87,CITES[],2,FALSE),"")</f>
        <v/>
      </c>
      <c r="P87" s="316" t="str">
        <f>IFERROR(VLOOKUP(B87,'Tratamientos-Eventos'!$B$9:$U$20,19,FALSE),"")</f>
        <v/>
      </c>
      <c r="Q87" s="302" t="str">
        <f>IF(ISTEXT(P87),IFERROR(VLOOKUP(B87,'Tratamientos-Eventos'!$B$9:$U$20,20,FALSE),""),"")</f>
        <v/>
      </c>
    </row>
    <row r="88" spans="2:17" x14ac:dyDescent="0.2">
      <c r="B88" s="245">
        <v>66</v>
      </c>
      <c r="C88" s="294">
        <f>IFERROR(VLOOKUP(B88,Item2[],3,FALSE),"")</f>
        <v>0</v>
      </c>
      <c r="D88" s="294" t="str">
        <f>IFERROR(VLOOKUP(B88,Item2[],2,FALSE),"")</f>
        <v xml:space="preserve"> </v>
      </c>
      <c r="E88" s="312">
        <f>IFERROR(ANEXO!AD34,"")</f>
        <v>0</v>
      </c>
      <c r="F88" s="296">
        <f>IFERROR(VLOOKUP(B88,Item2[],10,FALSE),"")</f>
        <v>0</v>
      </c>
      <c r="G88" s="295" t="str">
        <f>IFERROR(VLOOKUP(B88,Item2[],7,FALSE),"")</f>
        <v/>
      </c>
      <c r="H88" s="297">
        <f>IFERROR(VLOOKUP(B88,Item2[],8,FALSE),"")</f>
        <v>0</v>
      </c>
      <c r="I88" s="298" t="str">
        <f>IFERROR(VLOOKUP(B88,Item2[],15,FALSE),"")</f>
        <v/>
      </c>
      <c r="J88" s="299" t="str">
        <f>IFERROR(VLOOKUP(B88,Item2[],16,FALSE),"")</f>
        <v/>
      </c>
      <c r="K88" s="299" t="str">
        <f>IFERROR(VLOOKUP(B88,Item2[],17,FALSE),"")</f>
        <v/>
      </c>
      <c r="L88" s="300" t="str">
        <f>IFERROR(VLOOKUP(B88,Item[],9,FALSE),"")</f>
        <v/>
      </c>
      <c r="M88" s="315">
        <f>IF(F88="No llega","N/A",COUNTIF('Acuario (Arribado - mortalidad)'!$B$14:$B$90,'Resumen de cuarentena'!B88))</f>
        <v>0</v>
      </c>
      <c r="N88" s="295" t="str">
        <f>IFERROR(VLOOKUP(D88,SuscepEARs[],2,FALSE),"")</f>
        <v/>
      </c>
      <c r="O88" s="297" t="str">
        <f>IFERROR(VLOOKUP(D88,CITES[],2,FALSE),"")</f>
        <v/>
      </c>
      <c r="P88" s="316" t="str">
        <f>IFERROR(VLOOKUP(B88,'Tratamientos-Eventos'!$B$9:$U$20,19,FALSE),"")</f>
        <v/>
      </c>
      <c r="Q88" s="302" t="str">
        <f>IF(ISTEXT(P88),IFERROR(VLOOKUP(B88,'Tratamientos-Eventos'!$B$9:$U$20,20,FALSE),""),"")</f>
        <v/>
      </c>
    </row>
    <row r="89" spans="2:17" x14ac:dyDescent="0.2">
      <c r="B89" s="245">
        <v>67</v>
      </c>
      <c r="C89" s="294">
        <f>IFERROR(VLOOKUP(B89,Item2[],3,FALSE),"")</f>
        <v>0</v>
      </c>
      <c r="D89" s="294" t="str">
        <f>IFERROR(VLOOKUP(B89,Item2[],2,FALSE),"")</f>
        <v xml:space="preserve"> </v>
      </c>
      <c r="E89" s="312">
        <f>IFERROR(ANEXO!AD35,"")</f>
        <v>0</v>
      </c>
      <c r="F89" s="296">
        <f>IFERROR(VLOOKUP(B89,Item2[],10,FALSE),"")</f>
        <v>0</v>
      </c>
      <c r="G89" s="295" t="str">
        <f>IFERROR(VLOOKUP(B89,Item2[],7,FALSE),"")</f>
        <v/>
      </c>
      <c r="H89" s="297">
        <f>IFERROR(VLOOKUP(B89,Item2[],8,FALSE),"")</f>
        <v>0</v>
      </c>
      <c r="I89" s="298" t="str">
        <f>IFERROR(VLOOKUP(B89,Item2[],15,FALSE),"")</f>
        <v/>
      </c>
      <c r="J89" s="299" t="str">
        <f>IFERROR(VLOOKUP(B89,Item2[],16,FALSE),"")</f>
        <v/>
      </c>
      <c r="K89" s="299" t="str">
        <f>IFERROR(VLOOKUP(B89,Item2[],17,FALSE),"")</f>
        <v/>
      </c>
      <c r="L89" s="300" t="str">
        <f>IFERROR(VLOOKUP(B89,Item[],9,FALSE),"")</f>
        <v/>
      </c>
      <c r="M89" s="315">
        <f>IF(F89="No llega","N/A",COUNTIF('Acuario (Arribado - mortalidad)'!$B$14:$B$90,'Resumen de cuarentena'!B89))</f>
        <v>0</v>
      </c>
      <c r="N89" s="295" t="str">
        <f>IFERROR(VLOOKUP(D89,SuscepEARs[],2,FALSE),"")</f>
        <v/>
      </c>
      <c r="O89" s="297" t="str">
        <f>IFERROR(VLOOKUP(D89,CITES[],2,FALSE),"")</f>
        <v/>
      </c>
      <c r="P89" s="316" t="str">
        <f>IFERROR(VLOOKUP(B89,'Tratamientos-Eventos'!$B$9:$U$20,19,FALSE),"")</f>
        <v/>
      </c>
      <c r="Q89" s="302" t="str">
        <f>IF(ISTEXT(P89),IFERROR(VLOOKUP(B89,'Tratamientos-Eventos'!$B$9:$U$20,20,FALSE),""),"")</f>
        <v/>
      </c>
    </row>
    <row r="90" spans="2:17" x14ac:dyDescent="0.2">
      <c r="B90" s="245">
        <v>68</v>
      </c>
      <c r="C90" s="294">
        <f>IFERROR(VLOOKUP(B90,Item2[],3,FALSE),"")</f>
        <v>0</v>
      </c>
      <c r="D90" s="294" t="str">
        <f>IFERROR(VLOOKUP(B90,Item2[],2,FALSE),"")</f>
        <v xml:space="preserve"> </v>
      </c>
      <c r="E90" s="312">
        <f>IFERROR(ANEXO!AD36,"")</f>
        <v>0</v>
      </c>
      <c r="F90" s="296">
        <f>IFERROR(VLOOKUP(B90,Item2[],10,FALSE),"")</f>
        <v>0</v>
      </c>
      <c r="G90" s="295" t="str">
        <f>IFERROR(VLOOKUP(B90,Item2[],7,FALSE),"")</f>
        <v/>
      </c>
      <c r="H90" s="297">
        <f>IFERROR(VLOOKUP(B90,Item2[],8,FALSE),"")</f>
        <v>0</v>
      </c>
      <c r="I90" s="298" t="str">
        <f>IFERROR(VLOOKUP(B90,Item2[],15,FALSE),"")</f>
        <v/>
      </c>
      <c r="J90" s="299" t="str">
        <f>IFERROR(VLOOKUP(B90,Item2[],16,FALSE),"")</f>
        <v/>
      </c>
      <c r="K90" s="299" t="str">
        <f>IFERROR(VLOOKUP(B90,Item2[],17,FALSE),"")</f>
        <v/>
      </c>
      <c r="L90" s="300" t="str">
        <f>IFERROR(VLOOKUP(B90,Item[],9,FALSE),"")</f>
        <v/>
      </c>
      <c r="M90" s="315">
        <f>IF(F90="No llega","N/A",COUNTIF('Acuario (Arribado - mortalidad)'!$B$14:$B$90,'Resumen de cuarentena'!B90))</f>
        <v>0</v>
      </c>
      <c r="N90" s="295" t="str">
        <f>IFERROR(VLOOKUP(D90,SuscepEARs[],2,FALSE),"")</f>
        <v/>
      </c>
      <c r="O90" s="297" t="str">
        <f>IFERROR(VLOOKUP(D90,CITES[],2,FALSE),"")</f>
        <v/>
      </c>
      <c r="P90" s="316" t="str">
        <f>IFERROR(VLOOKUP(B90,'Tratamientos-Eventos'!$B$9:$U$20,19,FALSE),"")</f>
        <v/>
      </c>
      <c r="Q90" s="302" t="str">
        <f>IF(ISTEXT(P90),IFERROR(VLOOKUP(B90,'Tratamientos-Eventos'!$B$9:$U$20,20,FALSE),""),"")</f>
        <v/>
      </c>
    </row>
    <row r="91" spans="2:17" x14ac:dyDescent="0.2">
      <c r="B91" s="245">
        <v>69</v>
      </c>
      <c r="C91" s="294">
        <f>IFERROR(VLOOKUP(B91,Item2[],3,FALSE),"")</f>
        <v>0</v>
      </c>
      <c r="D91" s="294" t="str">
        <f>IFERROR(VLOOKUP(B91,Item2[],2,FALSE),"")</f>
        <v xml:space="preserve"> </v>
      </c>
      <c r="E91" s="312">
        <f>IFERROR(ANEXO!AD37,"")</f>
        <v>0</v>
      </c>
      <c r="F91" s="296">
        <f>IFERROR(VLOOKUP(B91,Item2[],10,FALSE),"")</f>
        <v>0</v>
      </c>
      <c r="G91" s="295" t="str">
        <f>IFERROR(VLOOKUP(B91,Item2[],7,FALSE),"")</f>
        <v/>
      </c>
      <c r="H91" s="297">
        <f>IFERROR(VLOOKUP(B91,Item2[],8,FALSE),"")</f>
        <v>0</v>
      </c>
      <c r="I91" s="298" t="str">
        <f>IFERROR(VLOOKUP(B91,Item2[],15,FALSE),"")</f>
        <v/>
      </c>
      <c r="J91" s="299" t="str">
        <f>IFERROR(VLOOKUP(B91,Item2[],16,FALSE),"")</f>
        <v/>
      </c>
      <c r="K91" s="299" t="str">
        <f>IFERROR(VLOOKUP(B91,Item2[],17,FALSE),"")</f>
        <v/>
      </c>
      <c r="L91" s="300" t="str">
        <f>IFERROR(VLOOKUP(B91,Item[],9,FALSE),"")</f>
        <v/>
      </c>
      <c r="M91" s="315">
        <f>IF(F91="No llega","N/A",COUNTIF('Acuario (Arribado - mortalidad)'!$B$14:$B$90,'Resumen de cuarentena'!B91))</f>
        <v>0</v>
      </c>
      <c r="N91" s="295" t="str">
        <f>IFERROR(VLOOKUP(D91,SuscepEARs[],2,FALSE),"")</f>
        <v/>
      </c>
      <c r="O91" s="297" t="str">
        <f>IFERROR(VLOOKUP(D91,CITES[],2,FALSE),"")</f>
        <v/>
      </c>
      <c r="P91" s="316" t="str">
        <f>IFERROR(VLOOKUP(B91,'Tratamientos-Eventos'!$B$9:$U$20,19,FALSE),"")</f>
        <v/>
      </c>
      <c r="Q91" s="302" t="str">
        <f>IF(ISTEXT(P91),IFERROR(VLOOKUP(B91,'Tratamientos-Eventos'!$B$9:$U$20,20,FALSE),""),"")</f>
        <v/>
      </c>
    </row>
    <row r="92" spans="2:17" x14ac:dyDescent="0.2">
      <c r="B92" s="245">
        <v>70</v>
      </c>
      <c r="C92" s="294">
        <f>IFERROR(VLOOKUP(B92,Item2[],3,FALSE),"")</f>
        <v>0</v>
      </c>
      <c r="D92" s="294" t="str">
        <f>IFERROR(VLOOKUP(B92,Item2[],2,FALSE),"")</f>
        <v xml:space="preserve"> </v>
      </c>
      <c r="E92" s="312">
        <f>IFERROR(ANEXO!AD38,"")</f>
        <v>0</v>
      </c>
      <c r="F92" s="296">
        <f>IFERROR(VLOOKUP(B92,Item2[],10,FALSE),"")</f>
        <v>0</v>
      </c>
      <c r="G92" s="295" t="str">
        <f>IFERROR(VLOOKUP(B92,Item2[],7,FALSE),"")</f>
        <v/>
      </c>
      <c r="H92" s="297">
        <f>IFERROR(VLOOKUP(B92,Item2[],8,FALSE),"")</f>
        <v>0</v>
      </c>
      <c r="I92" s="298" t="str">
        <f>IFERROR(VLOOKUP(B92,Item2[],15,FALSE),"")</f>
        <v/>
      </c>
      <c r="J92" s="299" t="str">
        <f>IFERROR(VLOOKUP(B92,Item2[],16,FALSE),"")</f>
        <v/>
      </c>
      <c r="K92" s="299" t="str">
        <f>IFERROR(VLOOKUP(B92,Item2[],17,FALSE),"")</f>
        <v/>
      </c>
      <c r="L92" s="300" t="str">
        <f>IFERROR(VLOOKUP(B92,Item[],9,FALSE),"")</f>
        <v/>
      </c>
      <c r="M92" s="315">
        <f>IF(F92="No llega","N/A",COUNTIF('Acuario (Arribado - mortalidad)'!$B$14:$B$90,'Resumen de cuarentena'!B92))</f>
        <v>0</v>
      </c>
      <c r="N92" s="295" t="str">
        <f>IFERROR(VLOOKUP(D92,SuscepEARs[],2,FALSE),"")</f>
        <v/>
      </c>
      <c r="O92" s="297" t="str">
        <f>IFERROR(VLOOKUP(D92,CITES[],2,FALSE),"")</f>
        <v/>
      </c>
      <c r="P92" s="316" t="str">
        <f>IFERROR(VLOOKUP(B92,'Tratamientos-Eventos'!$B$9:$U$20,19,FALSE),"")</f>
        <v/>
      </c>
      <c r="Q92" s="317" t="str">
        <f>IF(ISTEXT(P92),IFERROR(VLOOKUP(B92,'Tratamientos-Eventos'!$B$9:$U$20,20,FALSE),""),"")</f>
        <v/>
      </c>
    </row>
    <row r="93" spans="2:17" x14ac:dyDescent="0.2">
      <c r="B93" s="245">
        <v>71</v>
      </c>
      <c r="C93" s="294">
        <f>IFERROR(VLOOKUP(B93,Item2[],3,FALSE),"")</f>
        <v>0</v>
      </c>
      <c r="D93" s="294" t="str">
        <f>IFERROR(VLOOKUP(B93,Item2[],2,FALSE),"")</f>
        <v xml:space="preserve"> </v>
      </c>
      <c r="E93" s="312">
        <f>IFERROR(ANEXO!AD39,"")</f>
        <v>0</v>
      </c>
      <c r="F93" s="296">
        <f>IFERROR(VLOOKUP(B93,Item2[],10,FALSE),"")</f>
        <v>0</v>
      </c>
      <c r="G93" s="295" t="str">
        <f>IFERROR(VLOOKUP(B93,Item2[],7,FALSE),"")</f>
        <v/>
      </c>
      <c r="H93" s="297">
        <f>IFERROR(VLOOKUP(B93,Item2[],8,FALSE),"")</f>
        <v>0</v>
      </c>
      <c r="I93" s="298" t="str">
        <f>IFERROR(VLOOKUP(B93,Item2[],15,FALSE),"")</f>
        <v/>
      </c>
      <c r="J93" s="299" t="str">
        <f>IFERROR(VLOOKUP(B93,Item2[],16,FALSE),"")</f>
        <v/>
      </c>
      <c r="K93" s="299" t="str">
        <f>IFERROR(VLOOKUP(B93,Item2[],17,FALSE),"")</f>
        <v/>
      </c>
      <c r="L93" s="300" t="str">
        <f>IFERROR(VLOOKUP(B93,Item[],9,FALSE),"")</f>
        <v/>
      </c>
      <c r="M93" s="315">
        <f>IF(F93="No llega","N/A",COUNTIF('Acuario (Arribado - mortalidad)'!$B$14:$B$90,'Resumen de cuarentena'!B93))</f>
        <v>0</v>
      </c>
      <c r="N93" s="295" t="str">
        <f>IFERROR(VLOOKUP(D93,SuscepEARs[],2,FALSE),"")</f>
        <v/>
      </c>
      <c r="O93" s="297" t="str">
        <f>IFERROR(VLOOKUP(D93,CITES[],2,FALSE),"")</f>
        <v/>
      </c>
      <c r="P93" s="316" t="str">
        <f>IFERROR(VLOOKUP(B93,'Tratamientos-Eventos'!$B$9:$U$20,19,FALSE),"")</f>
        <v/>
      </c>
      <c r="Q93" s="318" t="str">
        <f>IF(ISTEXT(P93),IFERROR(VLOOKUP(B93,'Tratamientos-Eventos'!$B$9:$U$20,20,FALSE),""),"")</f>
        <v/>
      </c>
    </row>
    <row r="94" spans="2:17" x14ac:dyDescent="0.2">
      <c r="B94" s="245">
        <v>72</v>
      </c>
      <c r="C94" s="294">
        <f>IFERROR(VLOOKUP(B94,Item2[],3,FALSE),"")</f>
        <v>0</v>
      </c>
      <c r="D94" s="294" t="str">
        <f>IFERROR(VLOOKUP(B94,Item2[],2,FALSE),"")</f>
        <v xml:space="preserve"> </v>
      </c>
      <c r="E94" s="312">
        <f>IFERROR(ANEXO!AD40,"")</f>
        <v>0</v>
      </c>
      <c r="F94" s="296">
        <f>IFERROR(VLOOKUP(B94,Item2[],10,FALSE),"")</f>
        <v>0</v>
      </c>
      <c r="G94" s="295" t="str">
        <f>IFERROR(VLOOKUP(B94,Item2[],7,FALSE),"")</f>
        <v/>
      </c>
      <c r="H94" s="297">
        <f>IFERROR(VLOOKUP(B94,Item2[],8,FALSE),"")</f>
        <v>0</v>
      </c>
      <c r="I94" s="298" t="str">
        <f>IFERROR(VLOOKUP(B94,Item2[],15,FALSE),"")</f>
        <v/>
      </c>
      <c r="J94" s="299" t="str">
        <f>IFERROR(VLOOKUP(B94,Item2[],16,FALSE),"")</f>
        <v/>
      </c>
      <c r="K94" s="299" t="str">
        <f>IFERROR(VLOOKUP(B94,Item2[],17,FALSE),"")</f>
        <v/>
      </c>
      <c r="L94" s="300" t="str">
        <f>IFERROR(VLOOKUP(B94,Item[],9,FALSE),"")</f>
        <v/>
      </c>
      <c r="M94" s="315">
        <f>IF(F94="No llega","N/A",COUNTIF('Acuario (Arribado - mortalidad)'!$B$14:$B$90,'Resumen de cuarentena'!B94))</f>
        <v>0</v>
      </c>
      <c r="N94" s="295" t="str">
        <f>IFERROR(VLOOKUP(D94,SuscepEARs[],2,FALSE),"")</f>
        <v/>
      </c>
      <c r="O94" s="297" t="str">
        <f>IFERROR(VLOOKUP(D94,CITES[],2,FALSE),"")</f>
        <v/>
      </c>
      <c r="P94" s="316" t="str">
        <f>IFERROR(VLOOKUP(B94,'Tratamientos-Eventos'!$B$9:$U$20,19,FALSE),"")</f>
        <v/>
      </c>
      <c r="Q94" s="318" t="str">
        <f>IF(ISTEXT(P94),IFERROR(VLOOKUP(B94,'Tratamientos-Eventos'!$B$9:$U$20,20,FALSE),""),"")</f>
        <v/>
      </c>
    </row>
    <row r="95" spans="2:17" x14ac:dyDescent="0.2">
      <c r="B95" s="245">
        <v>73</v>
      </c>
      <c r="C95" s="294">
        <f>IFERROR(VLOOKUP(B95,Item2[],3,FALSE),"")</f>
        <v>0</v>
      </c>
      <c r="D95" s="294" t="str">
        <f>IFERROR(VLOOKUP(B95,Item2[],2,FALSE),"")</f>
        <v xml:space="preserve"> </v>
      </c>
      <c r="E95" s="312">
        <f>IFERROR(ANEXO!AD41,"")</f>
        <v>0</v>
      </c>
      <c r="F95" s="296">
        <f>IFERROR(VLOOKUP(B95,Item2[],10,FALSE),"")</f>
        <v>0</v>
      </c>
      <c r="G95" s="295" t="str">
        <f>IFERROR(VLOOKUP(B95,Item2[],7,FALSE),"")</f>
        <v/>
      </c>
      <c r="H95" s="297">
        <f>IFERROR(VLOOKUP(B95,Item2[],8,FALSE),"")</f>
        <v>0</v>
      </c>
      <c r="I95" s="298" t="str">
        <f>IFERROR(VLOOKUP(B95,Item2[],15,FALSE),"")</f>
        <v/>
      </c>
      <c r="J95" s="299" t="str">
        <f>IFERROR(VLOOKUP(B95,Item2[],16,FALSE),"")</f>
        <v/>
      </c>
      <c r="K95" s="299" t="str">
        <f>IFERROR(VLOOKUP(B95,Item2[],17,FALSE),"")</f>
        <v/>
      </c>
      <c r="L95" s="300" t="str">
        <f>IFERROR(VLOOKUP(B95,Item[],9,FALSE),"")</f>
        <v/>
      </c>
      <c r="M95" s="315">
        <f>IF(F95="No llega","N/A",COUNTIF('Acuario (Arribado - mortalidad)'!$B$14:$B$90,'Resumen de cuarentena'!B95))</f>
        <v>0</v>
      </c>
      <c r="N95" s="295" t="str">
        <f>IFERROR(VLOOKUP(D95,SuscepEARs[],2,FALSE),"")</f>
        <v/>
      </c>
      <c r="O95" s="297" t="str">
        <f>IFERROR(VLOOKUP(D95,CITES[],2,FALSE),"")</f>
        <v/>
      </c>
      <c r="P95" s="316" t="str">
        <f>IFERROR(VLOOKUP(B95,'Tratamientos-Eventos'!$B$9:$U$20,19,FALSE),"")</f>
        <v/>
      </c>
      <c r="Q95" s="318" t="str">
        <f>IF(ISTEXT(P95),IFERROR(VLOOKUP(B95,'Tratamientos-Eventos'!$B$9:$U$20,20,FALSE),""),"")</f>
        <v/>
      </c>
    </row>
    <row r="96" spans="2:17" x14ac:dyDescent="0.2">
      <c r="B96" s="245">
        <v>74</v>
      </c>
      <c r="C96" s="294">
        <f>IFERROR(VLOOKUP(B96,Item2[],3,FALSE),"")</f>
        <v>0</v>
      </c>
      <c r="D96" s="294" t="str">
        <f>IFERROR(VLOOKUP(B96,Item2[],2,FALSE),"")</f>
        <v xml:space="preserve"> </v>
      </c>
      <c r="E96" s="312">
        <f>IFERROR(ANEXO!AD42,"")</f>
        <v>0</v>
      </c>
      <c r="F96" s="296">
        <f>IFERROR(VLOOKUP(B96,Item2[],10,FALSE),"")</f>
        <v>0</v>
      </c>
      <c r="G96" s="295" t="str">
        <f>IFERROR(VLOOKUP(B96,Item2[],7,FALSE),"")</f>
        <v/>
      </c>
      <c r="H96" s="297">
        <f>IFERROR(VLOOKUP(B96,Item2[],8,FALSE),"")</f>
        <v>0</v>
      </c>
      <c r="I96" s="298" t="str">
        <f>IFERROR(VLOOKUP(B96,Item2[],15,FALSE),"")</f>
        <v/>
      </c>
      <c r="J96" s="299" t="str">
        <f>IFERROR(VLOOKUP(B96,Item2[],16,FALSE),"")</f>
        <v/>
      </c>
      <c r="K96" s="299" t="str">
        <f>IFERROR(VLOOKUP(B96,Item2[],17,FALSE),"")</f>
        <v/>
      </c>
      <c r="L96" s="300" t="str">
        <f>IFERROR(VLOOKUP(B96,Item[],9,FALSE),"")</f>
        <v/>
      </c>
      <c r="M96" s="315">
        <f>IF(F96="No llega","N/A",COUNTIF('Acuario (Arribado - mortalidad)'!$B$14:$B$90,'Resumen de cuarentena'!B96))</f>
        <v>0</v>
      </c>
      <c r="N96" s="295" t="str">
        <f>IFERROR(VLOOKUP(D96,SuscepEARs[],2,FALSE),"")</f>
        <v/>
      </c>
      <c r="O96" s="297" t="str">
        <f>IFERROR(VLOOKUP(D96,CITES[],2,FALSE),"")</f>
        <v/>
      </c>
      <c r="P96" s="316" t="str">
        <f>IFERROR(VLOOKUP(B96,'Tratamientos-Eventos'!$B$9:$U$20,19,FALSE),"")</f>
        <v/>
      </c>
      <c r="Q96" s="318" t="str">
        <f>IF(ISTEXT(P96),IFERROR(VLOOKUP(B96,'Tratamientos-Eventos'!$B$9:$U$20,20,FALSE),""),"")</f>
        <v/>
      </c>
    </row>
    <row r="97" spans="2:17" x14ac:dyDescent="0.2">
      <c r="B97" s="245">
        <v>75</v>
      </c>
      <c r="C97" s="294">
        <f>IFERROR(VLOOKUP(B97,Item2[],3,FALSE),"")</f>
        <v>0</v>
      </c>
      <c r="D97" s="294" t="str">
        <f>IFERROR(VLOOKUP(B97,Item2[],2,FALSE),"")</f>
        <v xml:space="preserve"> </v>
      </c>
      <c r="E97" s="312">
        <f>IFERROR(ANEXO!AD43,"")</f>
        <v>0</v>
      </c>
      <c r="F97" s="296">
        <f>IFERROR(VLOOKUP(B97,Item2[],10,FALSE),"")</f>
        <v>0</v>
      </c>
      <c r="G97" s="295" t="str">
        <f>IFERROR(VLOOKUP(B97,Item2[],7,FALSE),"")</f>
        <v/>
      </c>
      <c r="H97" s="297">
        <f>IFERROR(VLOOKUP(B97,Item2[],8,FALSE),"")</f>
        <v>0</v>
      </c>
      <c r="I97" s="298" t="str">
        <f>IFERROR(VLOOKUP(B97,Item2[],15,FALSE),"")</f>
        <v/>
      </c>
      <c r="J97" s="299" t="str">
        <f>IFERROR(VLOOKUP(B97,Item2[],16,FALSE),"")</f>
        <v/>
      </c>
      <c r="K97" s="299" t="str">
        <f>IFERROR(VLOOKUP(B97,Item2[],17,FALSE),"")</f>
        <v/>
      </c>
      <c r="L97" s="300" t="str">
        <f>IFERROR(VLOOKUP(B97,Item[],9,FALSE),"")</f>
        <v/>
      </c>
      <c r="M97" s="315">
        <f>IF(F97="No llega","N/A",COUNTIF('Acuario (Arribado - mortalidad)'!$B$14:$B$90,'Resumen de cuarentena'!B97))</f>
        <v>0</v>
      </c>
      <c r="N97" s="295" t="str">
        <f>IFERROR(VLOOKUP(D97,SuscepEARs[],2,FALSE),"")</f>
        <v/>
      </c>
      <c r="O97" s="297" t="str">
        <f>IFERROR(VLOOKUP(D97,CITES[],2,FALSE),"")</f>
        <v/>
      </c>
      <c r="P97" s="316" t="str">
        <f>IFERROR(VLOOKUP(B97,'Tratamientos-Eventos'!$B$9:$U$20,19,FALSE),"")</f>
        <v/>
      </c>
      <c r="Q97" s="318" t="str">
        <f>IF(ISTEXT(P97),IFERROR(VLOOKUP(B97,'Tratamientos-Eventos'!$B$9:$U$20,20,FALSE),""),"")</f>
        <v/>
      </c>
    </row>
    <row r="98" spans="2:17" x14ac:dyDescent="0.2">
      <c r="B98" s="245">
        <v>76</v>
      </c>
      <c r="C98" s="294">
        <f>IFERROR(VLOOKUP(B98,Item2[],3,FALSE),"")</f>
        <v>0</v>
      </c>
      <c r="D98" s="294" t="str">
        <f>IFERROR(VLOOKUP(B98,Item2[],2,FALSE),"")</f>
        <v xml:space="preserve"> </v>
      </c>
      <c r="E98" s="312">
        <f>IFERROR(ANEXO!AD44,"")</f>
        <v>0</v>
      </c>
      <c r="F98" s="296">
        <f>IFERROR(VLOOKUP(B98,Item2[],10,FALSE),"")</f>
        <v>0</v>
      </c>
      <c r="G98" s="295" t="str">
        <f>IFERROR(VLOOKUP(B98,Item2[],7,FALSE),"")</f>
        <v/>
      </c>
      <c r="H98" s="297">
        <f>IFERROR(VLOOKUP(B98,Item2[],8,FALSE),"")</f>
        <v>0</v>
      </c>
      <c r="I98" s="298" t="str">
        <f>IFERROR(VLOOKUP(B98,Item2[],15,FALSE),"")</f>
        <v/>
      </c>
      <c r="J98" s="299" t="str">
        <f>IFERROR(VLOOKUP(B98,Item2[],16,FALSE),"")</f>
        <v/>
      </c>
      <c r="K98" s="299" t="str">
        <f>IFERROR(VLOOKUP(B98,Item2[],17,FALSE),"")</f>
        <v/>
      </c>
      <c r="L98" s="300" t="str">
        <f>IFERROR(VLOOKUP(B98,Item[],9,FALSE),"")</f>
        <v/>
      </c>
      <c r="M98" s="315">
        <f>IF(F98="No llega","N/A",COUNTIF('Acuario (Arribado - mortalidad)'!$B$14:$B$90,'Resumen de cuarentena'!B98))</f>
        <v>0</v>
      </c>
      <c r="N98" s="295" t="str">
        <f>IFERROR(VLOOKUP(D98,SuscepEARs[],2,FALSE),"")</f>
        <v/>
      </c>
      <c r="O98" s="297" t="str">
        <f>IFERROR(VLOOKUP(D98,CITES[],2,FALSE),"")</f>
        <v/>
      </c>
      <c r="P98" s="316" t="str">
        <f>IFERROR(VLOOKUP(B98,'Tratamientos-Eventos'!$B$9:$U$20,19,FALSE),"")</f>
        <v/>
      </c>
      <c r="Q98" s="318" t="str">
        <f>IF(ISTEXT(P98),IFERROR(VLOOKUP(B98,'Tratamientos-Eventos'!$B$9:$U$20,20,FALSE),""),"")</f>
        <v/>
      </c>
    </row>
    <row r="99" spans="2:17" x14ac:dyDescent="0.2">
      <c r="B99" s="245">
        <v>77</v>
      </c>
      <c r="C99" s="294">
        <f>IFERROR(VLOOKUP(B99,Item2[],3,FALSE),"")</f>
        <v>0</v>
      </c>
      <c r="D99" s="294" t="str">
        <f>IFERROR(VLOOKUP(B99,Item2[],2,FALSE),"")</f>
        <v xml:space="preserve"> </v>
      </c>
      <c r="E99" s="312">
        <f>IFERROR(ANEXO!AD45,"")</f>
        <v>0</v>
      </c>
      <c r="F99" s="296">
        <f>IFERROR(VLOOKUP(B99,Item2[],10,FALSE),"")</f>
        <v>0</v>
      </c>
      <c r="G99" s="295" t="str">
        <f>IFERROR(VLOOKUP(B99,Item2[],7,FALSE),"")</f>
        <v/>
      </c>
      <c r="H99" s="297">
        <f>IFERROR(VLOOKUP(B99,Item2[],8,FALSE),"")</f>
        <v>0</v>
      </c>
      <c r="I99" s="298" t="str">
        <f>IFERROR(VLOOKUP(B99,Item2[],15,FALSE),"")</f>
        <v/>
      </c>
      <c r="J99" s="299" t="str">
        <f>IFERROR(VLOOKUP(B99,Item2[],16,FALSE),"")</f>
        <v/>
      </c>
      <c r="K99" s="299" t="str">
        <f>IFERROR(VLOOKUP(B99,Item2[],17,FALSE),"")</f>
        <v/>
      </c>
      <c r="L99" s="300" t="str">
        <f>IFERROR(VLOOKUP(B99,Item[],9,FALSE),"")</f>
        <v/>
      </c>
      <c r="M99" s="315">
        <f>IF(F99="No llega","N/A",COUNTIF('Acuario (Arribado - mortalidad)'!$B$14:$B$90,'Resumen de cuarentena'!B99))</f>
        <v>0</v>
      </c>
      <c r="N99" s="295" t="str">
        <f>IFERROR(VLOOKUP(D99,SuscepEARs[],2,FALSE),"")</f>
        <v/>
      </c>
      <c r="O99" s="297" t="str">
        <f>IFERROR(VLOOKUP(D99,CITES[],2,FALSE),"")</f>
        <v/>
      </c>
      <c r="P99" s="316" t="str">
        <f>IFERROR(VLOOKUP(B99,'Tratamientos-Eventos'!$B$9:$U$20,19,FALSE),"")</f>
        <v/>
      </c>
      <c r="Q99" s="318" t="str">
        <f>IF(ISTEXT(P99),IFERROR(VLOOKUP(B99,'Tratamientos-Eventos'!$B$9:$U$20,20,FALSE),""),"")</f>
        <v/>
      </c>
    </row>
    <row r="100" spans="2:17" ht="15" thickBot="1" x14ac:dyDescent="0.25">
      <c r="B100" s="246">
        <v>78</v>
      </c>
      <c r="C100" s="303">
        <f>IFERROR(VLOOKUP(B100,Item2[],3,FALSE),"")</f>
        <v>0</v>
      </c>
      <c r="D100" s="303" t="str">
        <f>IFERROR(VLOOKUP(B100,Item2[],2,FALSE),"")</f>
        <v xml:space="preserve"> </v>
      </c>
      <c r="E100" s="304">
        <f>IFERROR(ANEXO!AD46,"")</f>
        <v>0</v>
      </c>
      <c r="F100" s="305">
        <f>IFERROR(VLOOKUP(B100,Item2[],10,FALSE),"")</f>
        <v>0</v>
      </c>
      <c r="G100" s="304" t="str">
        <f>IFERROR(VLOOKUP(B100,Item2[],7,FALSE),"")</f>
        <v/>
      </c>
      <c r="H100" s="306">
        <f>IFERROR(VLOOKUP(B100,Item2[],8,FALSE),"")</f>
        <v>0</v>
      </c>
      <c r="I100" s="307" t="str">
        <f>IFERROR(VLOOKUP(B100,Item2[],15,FALSE),"")</f>
        <v/>
      </c>
      <c r="J100" s="308" t="str">
        <f>IFERROR(VLOOKUP(B100,Item2[],16,FALSE),"")</f>
        <v/>
      </c>
      <c r="K100" s="308" t="str">
        <f>IFERROR(VLOOKUP(B100,Item2[],17,FALSE),"")</f>
        <v/>
      </c>
      <c r="L100" s="309" t="str">
        <f>IFERROR(VLOOKUP(B100,Item[],9,FALSE),"")</f>
        <v/>
      </c>
      <c r="M100" s="315">
        <f>IF(F100="No llega","N/A",COUNTIF('Acuario (Arribado - mortalidad)'!$B$14:$B$90,'Resumen de cuarentena'!B100))</f>
        <v>0</v>
      </c>
      <c r="N100" s="304" t="str">
        <f>IFERROR(VLOOKUP(D100,SuscepEARs[],2,FALSE),"")</f>
        <v/>
      </c>
      <c r="O100" s="297" t="str">
        <f>IFERROR(VLOOKUP(D100,CITES[],2,FALSE),"")</f>
        <v/>
      </c>
      <c r="P100" s="319" t="str">
        <f>IFERROR(VLOOKUP(B100,'Tratamientos-Eventos'!$B$9:$U$20,19,FALSE),"")</f>
        <v/>
      </c>
      <c r="Q100" s="320" t="str">
        <f>IF(ISTEXT(P100),IFERROR(VLOOKUP(B100,'Tratamientos-Eventos'!$B$9:$U$20,20,FALSE),""),"")</f>
        <v/>
      </c>
    </row>
    <row r="101" spans="2:17" ht="15" thickTop="1" x14ac:dyDescent="0.2">
      <c r="B101" s="221"/>
      <c r="C101" s="224"/>
      <c r="D101" s="224"/>
      <c r="E101" s="225"/>
      <c r="F101" s="226"/>
      <c r="G101" s="225"/>
      <c r="H101" s="225"/>
      <c r="I101" s="237"/>
      <c r="J101" s="237"/>
      <c r="K101" s="237"/>
      <c r="L101" s="228"/>
      <c r="M101" s="225"/>
      <c r="N101" s="225"/>
      <c r="O101" s="225"/>
      <c r="P101" s="225"/>
    </row>
    <row r="102" spans="2:17" x14ac:dyDescent="0.2">
      <c r="B102" s="221"/>
      <c r="C102" s="224"/>
      <c r="D102" s="224"/>
      <c r="E102" s="225"/>
      <c r="F102" s="226"/>
      <c r="G102" s="225"/>
      <c r="H102" s="225"/>
      <c r="I102" s="238"/>
      <c r="J102" s="238"/>
      <c r="L102" s="181"/>
      <c r="M102" s="181"/>
      <c r="N102" s="181"/>
      <c r="O102" s="181"/>
      <c r="P102" s="606" t="str">
        <f>IF(E109 &gt; 0,"Página 3 de 3","-")</f>
        <v>-</v>
      </c>
      <c r="Q102" s="606"/>
    </row>
    <row r="103" spans="2:17" ht="15" customHeight="1" x14ac:dyDescent="0.2">
      <c r="B103" s="221"/>
      <c r="C103" s="224"/>
      <c r="D103" s="224"/>
      <c r="E103" s="225"/>
      <c r="F103" s="226"/>
      <c r="G103" s="225"/>
      <c r="H103" s="225"/>
      <c r="I103" s="238"/>
      <c r="J103" s="238"/>
      <c r="L103" s="607" t="s">
        <v>0</v>
      </c>
      <c r="M103" s="607"/>
      <c r="N103" s="607"/>
      <c r="O103" s="276"/>
      <c r="P103" s="608">
        <f>P52</f>
        <v>0</v>
      </c>
      <c r="Q103" s="608"/>
    </row>
    <row r="104" spans="2:17" ht="15" customHeight="1" x14ac:dyDescent="0.2">
      <c r="B104" s="221"/>
      <c r="C104" s="224"/>
      <c r="D104" s="224"/>
      <c r="E104" s="225"/>
      <c r="F104" s="226"/>
      <c r="G104" s="225"/>
      <c r="H104" s="225"/>
      <c r="I104" s="238"/>
      <c r="J104" s="238"/>
      <c r="L104" s="607"/>
      <c r="M104" s="607"/>
      <c r="N104" s="607"/>
      <c r="O104" s="276"/>
      <c r="P104" s="608"/>
      <c r="Q104" s="608"/>
    </row>
    <row r="105" spans="2:17" x14ac:dyDescent="0.2">
      <c r="B105" s="221"/>
      <c r="C105" s="224"/>
      <c r="D105" s="224"/>
      <c r="E105" s="225"/>
      <c r="F105" s="226"/>
      <c r="G105" s="225"/>
      <c r="H105" s="225"/>
      <c r="I105" s="238"/>
      <c r="J105" s="238"/>
      <c r="L105" s="599" t="s">
        <v>7837</v>
      </c>
      <c r="M105" s="599"/>
      <c r="N105" s="599"/>
      <c r="O105" s="277"/>
      <c r="P105" s="599" t="str">
        <f>P54</f>
        <v>XIII - Metropolitana</v>
      </c>
      <c r="Q105" s="599"/>
    </row>
    <row r="106" spans="2:17" ht="15" thickBot="1" x14ac:dyDescent="0.25">
      <c r="B106" s="221"/>
      <c r="C106" s="224"/>
      <c r="D106" s="224"/>
      <c r="E106" s="225"/>
      <c r="F106" s="226"/>
      <c r="G106" s="225"/>
      <c r="H106" s="225"/>
      <c r="I106" s="239"/>
      <c r="J106" s="239"/>
      <c r="K106" s="239"/>
      <c r="L106" s="227"/>
      <c r="M106" s="225"/>
      <c r="N106" s="239"/>
      <c r="O106" s="239"/>
      <c r="P106" s="239"/>
    </row>
    <row r="107" spans="2:17" ht="15.75" customHeight="1" thickTop="1" x14ac:dyDescent="0.2">
      <c r="B107" s="637" t="s">
        <v>14</v>
      </c>
      <c r="C107" s="626" t="s">
        <v>7811</v>
      </c>
      <c r="D107" s="628" t="s">
        <v>7808</v>
      </c>
      <c r="E107" s="626" t="s">
        <v>10099</v>
      </c>
      <c r="F107" s="600" t="s">
        <v>7815</v>
      </c>
      <c r="G107" s="600" t="s">
        <v>9131</v>
      </c>
      <c r="H107" s="602" t="s">
        <v>7821</v>
      </c>
      <c r="I107" s="615" t="s">
        <v>10109</v>
      </c>
      <c r="J107" s="616"/>
      <c r="K107" s="616"/>
      <c r="L107" s="617"/>
      <c r="M107" s="609" t="s">
        <v>8799</v>
      </c>
      <c r="N107" s="611" t="s">
        <v>9418</v>
      </c>
      <c r="O107" s="655" t="s">
        <v>64</v>
      </c>
      <c r="P107" s="613" t="s">
        <v>8873</v>
      </c>
      <c r="Q107" s="644" t="s">
        <v>10128</v>
      </c>
    </row>
    <row r="108" spans="2:17" x14ac:dyDescent="0.2">
      <c r="B108" s="638"/>
      <c r="C108" s="639"/>
      <c r="D108" s="640"/>
      <c r="E108" s="639"/>
      <c r="F108" s="601"/>
      <c r="G108" s="601"/>
      <c r="H108" s="603"/>
      <c r="I108" s="229" t="s">
        <v>10110</v>
      </c>
      <c r="J108" s="230" t="s">
        <v>10111</v>
      </c>
      <c r="K108" s="230" t="s">
        <v>10101</v>
      </c>
      <c r="L108" s="231" t="s">
        <v>10116</v>
      </c>
      <c r="M108" s="610"/>
      <c r="N108" s="612"/>
      <c r="O108" s="656"/>
      <c r="P108" s="614"/>
      <c r="Q108" s="645" t="s">
        <v>10126</v>
      </c>
    </row>
    <row r="109" spans="2:17" x14ac:dyDescent="0.2">
      <c r="B109" s="321">
        <v>79</v>
      </c>
      <c r="C109" s="294">
        <f>IFERROR(VLOOKUP(B109,Item2[],3,FALSE),"")</f>
        <v>0</v>
      </c>
      <c r="D109" s="294" t="str">
        <f>IFERROR(VLOOKUP(B109,Item2[],2,FALSE),"")</f>
        <v xml:space="preserve"> </v>
      </c>
      <c r="E109" s="312">
        <f>IFERROR(ANEXO!AD47,"")</f>
        <v>0</v>
      </c>
      <c r="F109" s="296">
        <f>IFERROR(VLOOKUP(B109,Item2[],10,FALSE),"")</f>
        <v>0</v>
      </c>
      <c r="G109" s="295" t="str">
        <f>IFERROR(VLOOKUP(B109,Item2[],7,FALSE),"")</f>
        <v/>
      </c>
      <c r="H109" s="297">
        <f>IFERROR(VLOOKUP(B109,Item2[],8,FALSE),"")</f>
        <v>0</v>
      </c>
      <c r="I109" s="298" t="str">
        <f>IFERROR(VLOOKUP(B109,Item2[],15,FALSE),"")</f>
        <v/>
      </c>
      <c r="J109" s="299" t="str">
        <f>IFERROR(VLOOKUP(B109,Item2[],16,FALSE),"")</f>
        <v/>
      </c>
      <c r="K109" s="299" t="str">
        <f>IFERROR(VLOOKUP(B109,Item2[],17,FALSE),"")</f>
        <v/>
      </c>
      <c r="L109" s="300" t="str">
        <f>IFERROR(VLOOKUP(B109,Item2[],9,FALSE),"")</f>
        <v/>
      </c>
      <c r="M109" s="315">
        <f>IF(F109="No llega","N/A",COUNTIF('Acuario (Arribado - mortalidad)'!$B$14:$B$90,'Resumen de cuarentena'!B109))</f>
        <v>0</v>
      </c>
      <c r="N109" s="297" t="str">
        <f>IFERROR(VLOOKUP(D109,SuscepEARs[],2,FALSE),"")</f>
        <v/>
      </c>
      <c r="O109" s="297" t="str">
        <f>IFERROR(VLOOKUP(D109,CITES[],2,FALSE),"")</f>
        <v/>
      </c>
      <c r="P109" s="316" t="str">
        <f>IFERROR(VLOOKUP(B109,'Tratamientos-Eventos'!$B$9:$U$20,19,FALSE),"")</f>
        <v/>
      </c>
      <c r="Q109" s="302" t="str">
        <f>IF(ISTEXT(P109),IFERROR(VLOOKUP(B109,'Tratamientos-Eventos'!$B$9:$U$20,20,FALSE),""),"")</f>
        <v/>
      </c>
    </row>
    <row r="110" spans="2:17" x14ac:dyDescent="0.2">
      <c r="B110" s="321">
        <v>80</v>
      </c>
      <c r="C110" s="294">
        <f>IFERROR(VLOOKUP(B110,Item2[],3,FALSE),"")</f>
        <v>0</v>
      </c>
      <c r="D110" s="294" t="str">
        <f>IFERROR(VLOOKUP(B110,Item2[],2,FALSE),"")</f>
        <v xml:space="preserve"> </v>
      </c>
      <c r="E110" s="312">
        <f>IFERROR(ANEXO!AD48,"")</f>
        <v>0</v>
      </c>
      <c r="F110" s="296">
        <f>IFERROR(VLOOKUP(B110,Item2[],10,FALSE),"")</f>
        <v>0</v>
      </c>
      <c r="G110" s="295" t="str">
        <f>IFERROR(VLOOKUP(B110,Item2[],7,FALSE),"")</f>
        <v/>
      </c>
      <c r="H110" s="297">
        <f>IFERROR(VLOOKUP(B110,Item2[],8,FALSE),"")</f>
        <v>0</v>
      </c>
      <c r="I110" s="298" t="str">
        <f>IFERROR(VLOOKUP(B110,Item2[],15,FALSE),"")</f>
        <v/>
      </c>
      <c r="J110" s="299" t="str">
        <f>IFERROR(VLOOKUP(B110,Item2[],16,FALSE),"")</f>
        <v/>
      </c>
      <c r="K110" s="299" t="str">
        <f>IFERROR(VLOOKUP(B110,Item2[],17,FALSE),"")</f>
        <v/>
      </c>
      <c r="L110" s="300" t="str">
        <f>IFERROR(VLOOKUP(B110,Item2[],9,FALSE),"")</f>
        <v/>
      </c>
      <c r="M110" s="315">
        <f>IF(F110="No llega","N/A",COUNTIF('Acuario (Arribado - mortalidad)'!$B$14:$B$90,'Resumen de cuarentena'!B110))</f>
        <v>0</v>
      </c>
      <c r="N110" s="297" t="str">
        <f>IFERROR(VLOOKUP(D110,SuscepEARs[],2,FALSE),"")</f>
        <v/>
      </c>
      <c r="O110" s="297" t="str">
        <f>IFERROR(VLOOKUP(D110,CITES[],2,FALSE),"")</f>
        <v/>
      </c>
      <c r="P110" s="316" t="str">
        <f>IFERROR(VLOOKUP(B110,'Tratamientos-Eventos'!$B$9:$U$20,19,FALSE),"")</f>
        <v/>
      </c>
      <c r="Q110" s="302" t="str">
        <f>IF(ISTEXT(P110),IFERROR(VLOOKUP(B110,'Tratamientos-Eventos'!$B$9:$U$20,20,FALSE),""),"")</f>
        <v/>
      </c>
    </row>
    <row r="111" spans="2:17" ht="14.45" customHeight="1" x14ac:dyDescent="0.2">
      <c r="B111" s="321">
        <v>81</v>
      </c>
      <c r="C111" s="294">
        <f>IFERROR(VLOOKUP(B111,Item2[],3,FALSE),"")</f>
        <v>0</v>
      </c>
      <c r="D111" s="294" t="str">
        <f>IFERROR(VLOOKUP(B111,Item2[],2,FALSE),"")</f>
        <v xml:space="preserve"> </v>
      </c>
      <c r="E111" s="312">
        <f>IFERROR(ANEXO!AD49,"")</f>
        <v>0</v>
      </c>
      <c r="F111" s="296">
        <f>IFERROR(VLOOKUP(B111,Item2[],10,FALSE),"")</f>
        <v>0</v>
      </c>
      <c r="G111" s="295" t="str">
        <f>IFERROR(VLOOKUP(B111,Item2[],7,FALSE),"")</f>
        <v/>
      </c>
      <c r="H111" s="297">
        <f>IFERROR(VLOOKUP(B111,Item2[],8,FALSE),"")</f>
        <v>0</v>
      </c>
      <c r="I111" s="298" t="str">
        <f>IFERROR(VLOOKUP(B111,Item2[],15,FALSE),"")</f>
        <v/>
      </c>
      <c r="J111" s="299" t="str">
        <f>IFERROR(VLOOKUP(B111,Item2[],16,FALSE),"")</f>
        <v/>
      </c>
      <c r="K111" s="299" t="str">
        <f>IFERROR(VLOOKUP(B111,Item2[],17,FALSE),"")</f>
        <v/>
      </c>
      <c r="L111" s="300" t="str">
        <f>IFERROR(VLOOKUP(B111,Item2[],9,FALSE),"")</f>
        <v/>
      </c>
      <c r="M111" s="315">
        <f>IF(F111="No llega","N/A",COUNTIF('Acuario (Arribado - mortalidad)'!$B$14:$B$90,'Resumen de cuarentena'!B111))</f>
        <v>0</v>
      </c>
      <c r="N111" s="297" t="str">
        <f>IFERROR(VLOOKUP(D111,SuscepEARs[],2,FALSE),"")</f>
        <v/>
      </c>
      <c r="O111" s="297" t="str">
        <f>IFERROR(VLOOKUP(D111,CITES[],2,FALSE),"")</f>
        <v/>
      </c>
      <c r="P111" s="316" t="str">
        <f>IFERROR(VLOOKUP(B111,'Tratamientos-Eventos'!$B$9:$U$20,19,FALSE),"")</f>
        <v/>
      </c>
      <c r="Q111" s="302" t="str">
        <f>IF(ISTEXT(P111),IFERROR(VLOOKUP(B111,'Tratamientos-Eventos'!$B$9:$U$20,20,FALSE),""),"")</f>
        <v/>
      </c>
    </row>
    <row r="112" spans="2:17" ht="14.45" customHeight="1" x14ac:dyDescent="0.2">
      <c r="B112" s="321">
        <v>82</v>
      </c>
      <c r="C112" s="294">
        <f>IFERROR(VLOOKUP(B112,Item2[],3,FALSE),"")</f>
        <v>0</v>
      </c>
      <c r="D112" s="294" t="str">
        <f>IFERROR(VLOOKUP(B112,Item2[],2,FALSE),"")</f>
        <v xml:space="preserve"> </v>
      </c>
      <c r="E112" s="312">
        <f>IFERROR(ANEXO!AD50,"")</f>
        <v>0</v>
      </c>
      <c r="F112" s="296">
        <f>IFERROR(VLOOKUP(B112,Item2[],10,FALSE),"")</f>
        <v>0</v>
      </c>
      <c r="G112" s="295" t="str">
        <f>IFERROR(VLOOKUP(B112,Item2[],7,FALSE),"")</f>
        <v/>
      </c>
      <c r="H112" s="297">
        <f>IFERROR(VLOOKUP(B112,Item2[],8,FALSE),"")</f>
        <v>0</v>
      </c>
      <c r="I112" s="298" t="str">
        <f>IFERROR(VLOOKUP(B112,Item2[],15,FALSE),"")</f>
        <v/>
      </c>
      <c r="J112" s="299" t="str">
        <f>IFERROR(VLOOKUP(B112,Item2[],16,FALSE),"")</f>
        <v/>
      </c>
      <c r="K112" s="299" t="str">
        <f>IFERROR(VLOOKUP(B112,Item2[],17,FALSE),"")</f>
        <v/>
      </c>
      <c r="L112" s="300" t="str">
        <f>IFERROR(VLOOKUP(B112,Item2[],9,FALSE),"")</f>
        <v/>
      </c>
      <c r="M112" s="315">
        <f>IF(F112="No llega","N/A",COUNTIF('Acuario (Arribado - mortalidad)'!$B$14:$B$90,'Resumen de cuarentena'!B112))</f>
        <v>0</v>
      </c>
      <c r="N112" s="297" t="str">
        <f>IFERROR(VLOOKUP(D112,SuscepEARs[],2,FALSE),"")</f>
        <v/>
      </c>
      <c r="O112" s="297" t="str">
        <f>IFERROR(VLOOKUP(D112,CITES[],2,FALSE),"")</f>
        <v/>
      </c>
      <c r="P112" s="316" t="str">
        <f>IFERROR(VLOOKUP(B112,'Tratamientos-Eventos'!$B$9:$U$20,19,FALSE),"")</f>
        <v/>
      </c>
      <c r="Q112" s="302" t="str">
        <f>IF(ISTEXT(P112),IFERROR(VLOOKUP(B112,'Tratamientos-Eventos'!$B$9:$U$20,20,FALSE),""),"")</f>
        <v/>
      </c>
    </row>
    <row r="113" spans="2:17" ht="15" customHeight="1" x14ac:dyDescent="0.2">
      <c r="B113" s="321">
        <v>83</v>
      </c>
      <c r="C113" s="294">
        <f>IFERROR(VLOOKUP(B113,Item2[],3,FALSE),"")</f>
        <v>0</v>
      </c>
      <c r="D113" s="294" t="str">
        <f>IFERROR(VLOOKUP(B113,Item2[],2,FALSE),"")</f>
        <v xml:space="preserve"> </v>
      </c>
      <c r="E113" s="312">
        <f>IFERROR(ANEXO!AD51,"")</f>
        <v>0</v>
      </c>
      <c r="F113" s="296">
        <f>IFERROR(VLOOKUP(B113,Item2[],10,FALSE),"")</f>
        <v>0</v>
      </c>
      <c r="G113" s="295" t="str">
        <f>IFERROR(VLOOKUP(B113,Item2[],7,FALSE),"")</f>
        <v/>
      </c>
      <c r="H113" s="297">
        <f>IFERROR(VLOOKUP(B113,Item2[],8,FALSE),"")</f>
        <v>0</v>
      </c>
      <c r="I113" s="298" t="str">
        <f>IFERROR(VLOOKUP(B113,Item2[],15,FALSE),"")</f>
        <v/>
      </c>
      <c r="J113" s="299" t="str">
        <f>IFERROR(VLOOKUP(B113,Item2[],16,FALSE),"")</f>
        <v/>
      </c>
      <c r="K113" s="299" t="str">
        <f>IFERROR(VLOOKUP(B113,Item2[],17,FALSE),"")</f>
        <v/>
      </c>
      <c r="L113" s="300" t="str">
        <f>IFERROR(VLOOKUP(B113,Item2[],9,FALSE),"")</f>
        <v/>
      </c>
      <c r="M113" s="315">
        <f>IF(F113="No llega","N/A",COUNTIF('Acuario (Arribado - mortalidad)'!$B$14:$B$90,'Resumen de cuarentena'!B113))</f>
        <v>0</v>
      </c>
      <c r="N113" s="297" t="str">
        <f>IFERROR(VLOOKUP(D113,SuscepEARs[],2,FALSE),"")</f>
        <v/>
      </c>
      <c r="O113" s="297" t="str">
        <f>IFERROR(VLOOKUP(D113,CITES[],2,FALSE),"")</f>
        <v/>
      </c>
      <c r="P113" s="316" t="str">
        <f>IFERROR(VLOOKUP(B113,'Tratamientos-Eventos'!$B$9:$U$20,19,FALSE),"")</f>
        <v/>
      </c>
      <c r="Q113" s="302" t="str">
        <f>IF(ISTEXT(P113),IFERROR(VLOOKUP(B113,'Tratamientos-Eventos'!$B$9:$U$20,20,FALSE),""),"")</f>
        <v/>
      </c>
    </row>
    <row r="114" spans="2:17" ht="15" customHeight="1" x14ac:dyDescent="0.2">
      <c r="B114" s="321">
        <v>84</v>
      </c>
      <c r="C114" s="294">
        <f>IFERROR(VLOOKUP(B114,Item2[],3,FALSE),"")</f>
        <v>0</v>
      </c>
      <c r="D114" s="294" t="str">
        <f>IFERROR(VLOOKUP(B114,Item2[],2,FALSE),"")</f>
        <v xml:space="preserve"> </v>
      </c>
      <c r="E114" s="312">
        <f>IFERROR(ANEXO!AD52,"")</f>
        <v>0</v>
      </c>
      <c r="F114" s="296">
        <f>IFERROR(VLOOKUP(B114,Item2[],10,FALSE),"")</f>
        <v>0</v>
      </c>
      <c r="G114" s="295" t="str">
        <f>IFERROR(VLOOKUP(B114,Item2[],7,FALSE),"")</f>
        <v/>
      </c>
      <c r="H114" s="297">
        <f>IFERROR(VLOOKUP(B114,Item2[],8,FALSE),"")</f>
        <v>0</v>
      </c>
      <c r="I114" s="298" t="str">
        <f>IFERROR(VLOOKUP(B114,Item2[],15,FALSE),"")</f>
        <v/>
      </c>
      <c r="J114" s="299" t="str">
        <f>IFERROR(VLOOKUP(B114,Item2[],16,FALSE),"")</f>
        <v/>
      </c>
      <c r="K114" s="299" t="str">
        <f>IFERROR(VLOOKUP(B114,Item2[],17,FALSE),"")</f>
        <v/>
      </c>
      <c r="L114" s="300" t="str">
        <f>IFERROR(VLOOKUP(B114,Item2[],9,FALSE),"")</f>
        <v/>
      </c>
      <c r="M114" s="315">
        <f>IF(F114="No llega","N/A",COUNTIF('Acuario (Arribado - mortalidad)'!$B$14:$B$90,'Resumen de cuarentena'!B114))</f>
        <v>0</v>
      </c>
      <c r="N114" s="297" t="str">
        <f>IFERROR(VLOOKUP(D114,SuscepEARs[],2,FALSE),"")</f>
        <v/>
      </c>
      <c r="O114" s="297" t="str">
        <f>IFERROR(VLOOKUP(D114,CITES[],2,FALSE),"")</f>
        <v/>
      </c>
      <c r="P114" s="316" t="str">
        <f>IFERROR(VLOOKUP(B114,'Tratamientos-Eventos'!$B$9:$U$20,19,FALSE),"")</f>
        <v/>
      </c>
      <c r="Q114" s="302" t="str">
        <f>IF(ISTEXT(P114),IFERROR(VLOOKUP(B114,'Tratamientos-Eventos'!$B$9:$U$20,20,FALSE),""),"")</f>
        <v/>
      </c>
    </row>
    <row r="115" spans="2:17" x14ac:dyDescent="0.2">
      <c r="B115" s="321">
        <v>85</v>
      </c>
      <c r="C115" s="294">
        <f>IFERROR(VLOOKUP(B115,Item2[],3,FALSE),"")</f>
        <v>0</v>
      </c>
      <c r="D115" s="294" t="str">
        <f>IFERROR(VLOOKUP(B115,Item2[],2,FALSE),"")</f>
        <v xml:space="preserve"> </v>
      </c>
      <c r="E115" s="312">
        <f>IFERROR(ANEXO!AD53,"")</f>
        <v>0</v>
      </c>
      <c r="F115" s="296">
        <f>IFERROR(VLOOKUP(B115,Item2[],10,FALSE),"")</f>
        <v>0</v>
      </c>
      <c r="G115" s="295" t="str">
        <f>IFERROR(VLOOKUP(B115,Item2[],7,FALSE),"")</f>
        <v/>
      </c>
      <c r="H115" s="297">
        <f>IFERROR(VLOOKUP(B115,Item2[],8,FALSE),"")</f>
        <v>0</v>
      </c>
      <c r="I115" s="298" t="str">
        <f>IFERROR(VLOOKUP(B115,Item2[],15,FALSE),"")</f>
        <v/>
      </c>
      <c r="J115" s="299" t="str">
        <f>IFERROR(VLOOKUP(B115,Item2[],16,FALSE),"")</f>
        <v/>
      </c>
      <c r="K115" s="299" t="str">
        <f>IFERROR(VLOOKUP(B115,Item2[],17,FALSE),"")</f>
        <v/>
      </c>
      <c r="L115" s="300" t="str">
        <f>IFERROR(VLOOKUP(B115,Item2[],9,FALSE),"")</f>
        <v/>
      </c>
      <c r="M115" s="315">
        <f>IF(F115="No llega","N/A",COUNTIF('Acuario (Arribado - mortalidad)'!$B$14:$B$90,'Resumen de cuarentena'!B115))</f>
        <v>0</v>
      </c>
      <c r="N115" s="297" t="str">
        <f>IFERROR(VLOOKUP(D115,SuscepEARs[],2,FALSE),"")</f>
        <v/>
      </c>
      <c r="O115" s="297" t="str">
        <f>IFERROR(VLOOKUP(D115,CITES[],2,FALSE),"")</f>
        <v/>
      </c>
      <c r="P115" s="316" t="str">
        <f>IFERROR(VLOOKUP(B115,'Tratamientos-Eventos'!$B$9:$U$20,19,FALSE),"")</f>
        <v/>
      </c>
      <c r="Q115" s="302" t="str">
        <f>IF(ISTEXT(P115),IFERROR(VLOOKUP(B115,'Tratamientos-Eventos'!$B$9:$U$20,20,FALSE),""),"")</f>
        <v/>
      </c>
    </row>
    <row r="116" spans="2:17" x14ac:dyDescent="0.2">
      <c r="B116" s="321">
        <v>86</v>
      </c>
      <c r="C116" s="294">
        <f>IFERROR(VLOOKUP(B116,Item2[],3,FALSE),"")</f>
        <v>0</v>
      </c>
      <c r="D116" s="294" t="str">
        <f>IFERROR(VLOOKUP(B116,Item2[],2,FALSE),"")</f>
        <v xml:space="preserve"> </v>
      </c>
      <c r="E116" s="312">
        <f>IFERROR(ANEXO!AD54,"")</f>
        <v>0</v>
      </c>
      <c r="F116" s="296">
        <f>IFERROR(VLOOKUP(B116,Item2[],10,FALSE),"")</f>
        <v>0</v>
      </c>
      <c r="G116" s="295" t="str">
        <f>IFERROR(VLOOKUP(B116,Item2[],7,FALSE),"")</f>
        <v/>
      </c>
      <c r="H116" s="297">
        <f>IFERROR(VLOOKUP(B116,Item2[],8,FALSE),"")</f>
        <v>0</v>
      </c>
      <c r="I116" s="298" t="str">
        <f>IFERROR(VLOOKUP(B116,Item2[],15,FALSE),"")</f>
        <v/>
      </c>
      <c r="J116" s="299" t="str">
        <f>IFERROR(VLOOKUP(B116,Item2[],16,FALSE),"")</f>
        <v/>
      </c>
      <c r="K116" s="299" t="str">
        <f>IFERROR(VLOOKUP(B116,Item2[],17,FALSE),"")</f>
        <v/>
      </c>
      <c r="L116" s="300" t="str">
        <f>IFERROR(VLOOKUP(B116,Item2[],9,FALSE),"")</f>
        <v/>
      </c>
      <c r="M116" s="315">
        <f>IF(F116="No llega","N/A",COUNTIF('Acuario (Arribado - mortalidad)'!$B$14:$B$90,'Resumen de cuarentena'!B116))</f>
        <v>0</v>
      </c>
      <c r="N116" s="297" t="str">
        <f>IFERROR(VLOOKUP(D116,SuscepEARs[],2,FALSE),"")</f>
        <v/>
      </c>
      <c r="O116" s="297" t="str">
        <f>IFERROR(VLOOKUP(D116,CITES[],2,FALSE),"")</f>
        <v/>
      </c>
      <c r="P116" s="316" t="str">
        <f>IFERROR(VLOOKUP(B116,'Tratamientos-Eventos'!$B$9:$U$20,19,FALSE),"")</f>
        <v/>
      </c>
      <c r="Q116" s="302" t="str">
        <f>IF(ISTEXT(P116),IFERROR(VLOOKUP(B116,'Tratamientos-Eventos'!$B$9:$U$20,20,FALSE),""),"")</f>
        <v/>
      </c>
    </row>
    <row r="117" spans="2:17" x14ac:dyDescent="0.2">
      <c r="B117" s="321">
        <v>87</v>
      </c>
      <c r="C117" s="294">
        <f>IFERROR(VLOOKUP(B117,Item2[],3,FALSE),"")</f>
        <v>0</v>
      </c>
      <c r="D117" s="294" t="str">
        <f>IFERROR(VLOOKUP(B117,Item2[],2,FALSE),"")</f>
        <v xml:space="preserve"> </v>
      </c>
      <c r="E117" s="312">
        <f>IFERROR(ANEXO!AD55,"")</f>
        <v>0</v>
      </c>
      <c r="F117" s="296">
        <f>IFERROR(VLOOKUP(B117,Item2[],10,FALSE),"")</f>
        <v>0</v>
      </c>
      <c r="G117" s="295" t="str">
        <f>IFERROR(VLOOKUP(B117,Item2[],7,FALSE),"")</f>
        <v/>
      </c>
      <c r="H117" s="297">
        <f>IFERROR(VLOOKUP(B117,Item2[],8,FALSE),"")</f>
        <v>0</v>
      </c>
      <c r="I117" s="298" t="str">
        <f>IFERROR(VLOOKUP(B117,Item2[],15,FALSE),"")</f>
        <v/>
      </c>
      <c r="J117" s="299" t="str">
        <f>IFERROR(VLOOKUP(B117,Item2[],16,FALSE),"")</f>
        <v/>
      </c>
      <c r="K117" s="299" t="str">
        <f>IFERROR(VLOOKUP(B117,Item2[],17,FALSE),"")</f>
        <v/>
      </c>
      <c r="L117" s="300" t="str">
        <f>IFERROR(VLOOKUP(B117,Item2[],9,FALSE),"")</f>
        <v/>
      </c>
      <c r="M117" s="315">
        <f>IF(F117="No llega","N/A",COUNTIF('Acuario (Arribado - mortalidad)'!$B$14:$B$90,'Resumen de cuarentena'!B117))</f>
        <v>0</v>
      </c>
      <c r="N117" s="297" t="str">
        <f>IFERROR(VLOOKUP(D117,SuscepEARs[],2,FALSE),"")</f>
        <v/>
      </c>
      <c r="O117" s="297" t="str">
        <f>IFERROR(VLOOKUP(D117,CITES[],2,FALSE),"")</f>
        <v/>
      </c>
      <c r="P117" s="316" t="str">
        <f>IFERROR(VLOOKUP(B117,'Tratamientos-Eventos'!$B$9:$U$20,19,FALSE),"")</f>
        <v/>
      </c>
      <c r="Q117" s="302" t="str">
        <f>IF(ISTEXT(P117),IFERROR(VLOOKUP(B117,'Tratamientos-Eventos'!$B$9:$U$20,20,FALSE),""),"")</f>
        <v/>
      </c>
    </row>
    <row r="118" spans="2:17" x14ac:dyDescent="0.2">
      <c r="B118" s="321">
        <v>88</v>
      </c>
      <c r="C118" s="294">
        <f>IFERROR(VLOOKUP(B118,Item2[],3,FALSE),"")</f>
        <v>0</v>
      </c>
      <c r="D118" s="294" t="str">
        <f>IFERROR(VLOOKUP(B118,Item2[],2,FALSE),"")</f>
        <v xml:space="preserve"> </v>
      </c>
      <c r="E118" s="312">
        <f>IFERROR(ANEXO!AD56,"")</f>
        <v>0</v>
      </c>
      <c r="F118" s="296">
        <f>IFERROR(VLOOKUP(B118,Item2[],10,FALSE),"")</f>
        <v>0</v>
      </c>
      <c r="G118" s="295" t="str">
        <f>IFERROR(VLOOKUP(B118,Item2[],7,FALSE),"")</f>
        <v/>
      </c>
      <c r="H118" s="297">
        <f>IFERROR(VLOOKUP(B118,Item2[],8,FALSE),"")</f>
        <v>0</v>
      </c>
      <c r="I118" s="298" t="str">
        <f>IFERROR(VLOOKUP(B118,Item2[],15,FALSE),"")</f>
        <v/>
      </c>
      <c r="J118" s="299" t="str">
        <f>IFERROR(VLOOKUP(B118,Item2[],16,FALSE),"")</f>
        <v/>
      </c>
      <c r="K118" s="299" t="str">
        <f>IFERROR(VLOOKUP(B118,Item2[],17,FALSE),"")</f>
        <v/>
      </c>
      <c r="L118" s="300" t="str">
        <f>IFERROR(VLOOKUP(B118,Item2[],9,FALSE),"")</f>
        <v/>
      </c>
      <c r="M118" s="315">
        <f>IF(F118="No llega","N/A",COUNTIF('Acuario (Arribado - mortalidad)'!$B$14:$B$90,'Resumen de cuarentena'!B118))</f>
        <v>0</v>
      </c>
      <c r="N118" s="297" t="str">
        <f>IFERROR(VLOOKUP(D118,SuscepEARs[],2,FALSE),"")</f>
        <v/>
      </c>
      <c r="O118" s="297" t="str">
        <f>IFERROR(VLOOKUP(D118,CITES[],2,FALSE),"")</f>
        <v/>
      </c>
      <c r="P118" s="316" t="str">
        <f>IFERROR(VLOOKUP(B118,'Tratamientos-Eventos'!$B$9:$U$20,19,FALSE),"")</f>
        <v/>
      </c>
      <c r="Q118" s="302" t="str">
        <f>IF(ISTEXT(P118),IFERROR(VLOOKUP(B118,'Tratamientos-Eventos'!$B$9:$U$20,20,FALSE),""),"")</f>
        <v/>
      </c>
    </row>
    <row r="119" spans="2:17" x14ac:dyDescent="0.2">
      <c r="B119" s="321">
        <v>89</v>
      </c>
      <c r="C119" s="294">
        <f>IFERROR(VLOOKUP(B119,Item2[],3,FALSE),"")</f>
        <v>0</v>
      </c>
      <c r="D119" s="294" t="str">
        <f>IFERROR(VLOOKUP(B119,Item2[],2,FALSE),"")</f>
        <v xml:space="preserve"> </v>
      </c>
      <c r="E119" s="312">
        <f>IFERROR(ANEXO!AD57,"")</f>
        <v>0</v>
      </c>
      <c r="F119" s="296">
        <f>IFERROR(VLOOKUP(B119,Item2[],10,FALSE),"")</f>
        <v>0</v>
      </c>
      <c r="G119" s="295" t="str">
        <f>IFERROR(VLOOKUP(B119,Item2[],7,FALSE),"")</f>
        <v/>
      </c>
      <c r="H119" s="297">
        <f>IFERROR(VLOOKUP(B119,Item2[],8,FALSE),"")</f>
        <v>0</v>
      </c>
      <c r="I119" s="298" t="str">
        <f>IFERROR(VLOOKUP(B119,Item2[],15,FALSE),"")</f>
        <v/>
      </c>
      <c r="J119" s="299" t="str">
        <f>IFERROR(VLOOKUP(B119,Item2[],16,FALSE),"")</f>
        <v/>
      </c>
      <c r="K119" s="299" t="str">
        <f>IFERROR(VLOOKUP(B119,Item2[],17,FALSE),"")</f>
        <v/>
      </c>
      <c r="L119" s="300" t="str">
        <f>IFERROR(VLOOKUP(B119,Item2[],9,FALSE),"")</f>
        <v/>
      </c>
      <c r="M119" s="315">
        <f>IF(F119="No llega","N/A",COUNTIF('Acuario (Arribado - mortalidad)'!$B$14:$B$90,'Resumen de cuarentena'!B119))</f>
        <v>0</v>
      </c>
      <c r="N119" s="297" t="str">
        <f>IFERROR(VLOOKUP(D119,SuscepEARs[],2,FALSE),"")</f>
        <v/>
      </c>
      <c r="O119" s="297" t="str">
        <f>IFERROR(VLOOKUP(D119,CITES[],2,FALSE),"")</f>
        <v/>
      </c>
      <c r="P119" s="316" t="str">
        <f>IFERROR(VLOOKUP(B119,'Tratamientos-Eventos'!$B$9:$U$20,19,FALSE),"")</f>
        <v/>
      </c>
      <c r="Q119" s="302" t="str">
        <f>IF(ISTEXT(P119),IFERROR(VLOOKUP(B119,'Tratamientos-Eventos'!$B$9:$U$20,20,FALSE),""),"")</f>
        <v/>
      </c>
    </row>
    <row r="120" spans="2:17" ht="15" thickBot="1" x14ac:dyDescent="0.25">
      <c r="B120" s="322">
        <v>90</v>
      </c>
      <c r="C120" s="303">
        <f>IFERROR(VLOOKUP(B120,Item2[],3,FALSE),"")</f>
        <v>0</v>
      </c>
      <c r="D120" s="303" t="str">
        <f>IFERROR(VLOOKUP(B120,Item2[],2,FALSE),"")</f>
        <v xml:space="preserve"> </v>
      </c>
      <c r="E120" s="304">
        <f>IFERROR(ANEXO!AD58,"")</f>
        <v>0</v>
      </c>
      <c r="F120" s="305">
        <f>IFERROR(VLOOKUP(B120,Item2[],10,FALSE),"")</f>
        <v>0</v>
      </c>
      <c r="G120" s="304" t="str">
        <f>IFERROR(VLOOKUP(B120,Item2[],7,FALSE),"")</f>
        <v/>
      </c>
      <c r="H120" s="306">
        <f>IFERROR(VLOOKUP(B120,Item2[],8,FALSE),"")</f>
        <v>0</v>
      </c>
      <c r="I120" s="307" t="str">
        <f>IFERROR(VLOOKUP(B120,Item2[],15,FALSE),"")</f>
        <v/>
      </c>
      <c r="J120" s="308" t="str">
        <f>IFERROR(VLOOKUP(B120,Item2[],16,FALSE),"")</f>
        <v/>
      </c>
      <c r="K120" s="308" t="str">
        <f>IFERROR(VLOOKUP(B120,Item2[],17,FALSE),"")</f>
        <v/>
      </c>
      <c r="L120" s="309" t="str">
        <f>IFERROR(VLOOKUP(B120,Item2[],9,FALSE),"")</f>
        <v/>
      </c>
      <c r="M120" s="315">
        <f>IF(F120="No llega","N/A",COUNTIF('Acuario (Arribado - mortalidad)'!$B$14:$B$90,'Resumen de cuarentena'!B120))</f>
        <v>0</v>
      </c>
      <c r="N120" s="306" t="str">
        <f>IFERROR(VLOOKUP(D120,SuscepEARs[],2,FALSE),"")</f>
        <v/>
      </c>
      <c r="O120" s="297" t="str">
        <f>IFERROR(VLOOKUP(D120,CITES[],2,FALSE),"")</f>
        <v/>
      </c>
      <c r="P120" s="319" t="str">
        <f>IFERROR(VLOOKUP(B120,'Tratamientos-Eventos'!$B$9:$U$20,19,FALSE),"")</f>
        <v/>
      </c>
      <c r="Q120" s="320" t="str">
        <f>IF(ISTEXT(P120),IFERROR(VLOOKUP(B120,'Tratamientos-Eventos'!$B$9:$U$20,20,FALSE),""),"")</f>
        <v/>
      </c>
    </row>
    <row r="121" spans="2:17" ht="15" thickTop="1" x14ac:dyDescent="0.2">
      <c r="M121" s="315"/>
      <c r="O121" s="297"/>
    </row>
    <row r="122" spans="2:17" x14ac:dyDescent="0.2">
      <c r="O122" s="297"/>
    </row>
    <row r="123" spans="2:17" x14ac:dyDescent="0.2">
      <c r="O123" s="297"/>
    </row>
    <row r="124" spans="2:17" ht="15" customHeight="1" x14ac:dyDescent="0.2">
      <c r="F124" s="233"/>
      <c r="G124" s="233"/>
      <c r="H124" s="233"/>
      <c r="I124" s="233"/>
      <c r="J124" s="233"/>
      <c r="O124" s="297"/>
    </row>
    <row r="125" spans="2:17" ht="15" customHeight="1" x14ac:dyDescent="0.2">
      <c r="F125" s="233"/>
      <c r="G125" s="233"/>
      <c r="H125" s="233"/>
      <c r="I125" s="233"/>
      <c r="J125" s="233"/>
      <c r="O125" s="297"/>
    </row>
    <row r="130" spans="3:11" x14ac:dyDescent="0.2">
      <c r="C130" s="240"/>
      <c r="D130" s="240"/>
      <c r="E130" s="240"/>
      <c r="F130" s="240"/>
    </row>
    <row r="131" spans="3:11" x14ac:dyDescent="0.2">
      <c r="C131" s="240"/>
      <c r="D131" s="240"/>
      <c r="E131" s="240"/>
      <c r="F131" s="240"/>
    </row>
    <row r="132" spans="3:11" x14ac:dyDescent="0.2">
      <c r="C132" s="240"/>
      <c r="D132" s="240"/>
      <c r="E132" s="240"/>
      <c r="F132" s="240"/>
    </row>
    <row r="133" spans="3:11" x14ac:dyDescent="0.2">
      <c r="C133" s="240"/>
      <c r="D133" s="240"/>
      <c r="E133" s="240"/>
      <c r="F133" s="240"/>
      <c r="G133" s="598"/>
      <c r="H133" s="598"/>
      <c r="I133" s="598"/>
      <c r="J133" s="598"/>
      <c r="K133" s="598"/>
    </row>
    <row r="136" spans="3:11" x14ac:dyDescent="0.2">
      <c r="K136" s="238"/>
    </row>
  </sheetData>
  <sheetProtection algorithmName="SHA-512" hashValue="DrqjOIfp1S9n6OSCtQ3Wkp9n63t09veKJYxKLeN2gUn4u25R1c3yYTJX+4yUpbAVPufBvKhCc0s072EDSIXr7g==" saltValue="ZrutQDAj2WfiHPl0Ed6XZw==" spinCount="100000" sheet="1" objects="1" scenarios="1"/>
  <mergeCells count="69">
    <mergeCell ref="B8:C8"/>
    <mergeCell ref="B9:C9"/>
    <mergeCell ref="B10:C10"/>
    <mergeCell ref="B11:C11"/>
    <mergeCell ref="B7:C7"/>
    <mergeCell ref="Q107:Q108"/>
    <mergeCell ref="G107:G108"/>
    <mergeCell ref="J8:K8"/>
    <mergeCell ref="J9:K9"/>
    <mergeCell ref="J10:K10"/>
    <mergeCell ref="J11:K11"/>
    <mergeCell ref="I56:L56"/>
    <mergeCell ref="P51:Q51"/>
    <mergeCell ref="O13:O14"/>
    <mergeCell ref="O56:O57"/>
    <mergeCell ref="O107:O108"/>
    <mergeCell ref="B13:B14"/>
    <mergeCell ref="F13:F14"/>
    <mergeCell ref="E13:E14"/>
    <mergeCell ref="Q13:Q14"/>
    <mergeCell ref="Q56:Q57"/>
    <mergeCell ref="B56:B57"/>
    <mergeCell ref="C56:C57"/>
    <mergeCell ref="D56:D57"/>
    <mergeCell ref="F56:F57"/>
    <mergeCell ref="E56:E57"/>
    <mergeCell ref="N56:N57"/>
    <mergeCell ref="L52:N53"/>
    <mergeCell ref="P52:Q53"/>
    <mergeCell ref="L54:N54"/>
    <mergeCell ref="I13:L13"/>
    <mergeCell ref="P56:P57"/>
    <mergeCell ref="B107:B108"/>
    <mergeCell ref="C107:C108"/>
    <mergeCell ref="D107:D108"/>
    <mergeCell ref="E107:E108"/>
    <mergeCell ref="F107:F108"/>
    <mergeCell ref="P1:Q1"/>
    <mergeCell ref="N13:N14"/>
    <mergeCell ref="G13:G14"/>
    <mergeCell ref="H13:H14"/>
    <mergeCell ref="M13:M14"/>
    <mergeCell ref="P2:Q3"/>
    <mergeCell ref="P4:Q4"/>
    <mergeCell ref="E7:G7"/>
    <mergeCell ref="C5:Q5"/>
    <mergeCell ref="C13:C14"/>
    <mergeCell ref="D13:D14"/>
    <mergeCell ref="L2:N3"/>
    <mergeCell ref="L4:N4"/>
    <mergeCell ref="P13:P14"/>
    <mergeCell ref="H7:I7"/>
    <mergeCell ref="J7:L7"/>
    <mergeCell ref="G133:I133"/>
    <mergeCell ref="J133:K133"/>
    <mergeCell ref="P54:Q54"/>
    <mergeCell ref="G56:G57"/>
    <mergeCell ref="H56:H57"/>
    <mergeCell ref="M56:M57"/>
    <mergeCell ref="P102:Q102"/>
    <mergeCell ref="L103:N104"/>
    <mergeCell ref="P103:Q104"/>
    <mergeCell ref="L105:N105"/>
    <mergeCell ref="H107:H108"/>
    <mergeCell ref="M107:M108"/>
    <mergeCell ref="N107:N108"/>
    <mergeCell ref="P107:P108"/>
    <mergeCell ref="I107:L107"/>
    <mergeCell ref="P105:Q105"/>
  </mergeCells>
  <conditionalFormatting sqref="B15:B49">
    <cfRule type="expression" dxfId="16" priority="5">
      <formula>$E15:$E49=0</formula>
    </cfRule>
  </conditionalFormatting>
  <conditionalFormatting sqref="B58:B100">
    <cfRule type="expression" dxfId="15" priority="3">
      <formula>$E58:$E100=0</formula>
    </cfRule>
  </conditionalFormatting>
  <conditionalFormatting sqref="B109:B120">
    <cfRule type="expression" dxfId="14" priority="1">
      <formula>$E109:$E120=0</formula>
    </cfRule>
  </conditionalFormatting>
  <conditionalFormatting sqref="B15:Q49">
    <cfRule type="expression" dxfId="13" priority="6">
      <formula>$E15:$E49=0</formula>
    </cfRule>
  </conditionalFormatting>
  <conditionalFormatting sqref="B58:Q100">
    <cfRule type="expression" dxfId="12" priority="4">
      <formula>$E58:$E100=0</formula>
    </cfRule>
  </conditionalFormatting>
  <conditionalFormatting sqref="B109:Q109 B110:L120 N110:N120 P110:Q120 M110:M121 O110:O125">
    <cfRule type="expression" dxfId="11" priority="2">
      <formula>$E109:$E120=0</formula>
    </cfRule>
  </conditionalFormatting>
  <conditionalFormatting sqref="F15:F49 F58:F100 F109:F120">
    <cfRule type="expression" dxfId="10" priority="58">
      <formula>$E15:$E120 &gt;$F15:$F120</formula>
    </cfRule>
  </conditionalFormatting>
  <conditionalFormatting sqref="F55">
    <cfRule type="expression" dxfId="9" priority="31">
      <formula>$E159:$E159 &gt;$F159:$F159</formula>
    </cfRule>
  </conditionalFormatting>
  <conditionalFormatting sqref="F58:F100 F15:F49 F109:F120">
    <cfRule type="expression" dxfId="8" priority="57">
      <formula>$E15:$E120&lt;$F15:$F120</formula>
    </cfRule>
  </conditionalFormatting>
  <conditionalFormatting sqref="F68:F101">
    <cfRule type="expression" dxfId="7" priority="38">
      <formula>$E121:$E175 &gt;$F121:$F175</formula>
    </cfRule>
  </conditionalFormatting>
  <pageMargins left="0.70866141732283472" right="0.70866141732283472" top="0.74803149606299213" bottom="0.74803149606299213" header="0.31496062992125984" footer="0.31496062992125984"/>
  <pageSetup paperSize="119" scale="64" orientation="landscape" r:id="rId1"/>
  <rowBreaks count="2" manualBreakCount="2">
    <brk id="50" max="16" man="1"/>
    <brk id="101" max="1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G756"/>
  <sheetViews>
    <sheetView zoomScale="80" zoomScaleNormal="80" workbookViewId="0">
      <pane xSplit="3" ySplit="2" topLeftCell="D117" activePane="bottomRight" state="frozen"/>
      <selection pane="topRight" activeCell="D1" sqref="D1"/>
      <selection pane="bottomLeft" activeCell="A3" sqref="A3"/>
      <selection pane="bottomRight" activeCell="C160" sqref="C160"/>
    </sheetView>
  </sheetViews>
  <sheetFormatPr baseColWidth="10" defaultRowHeight="15" x14ac:dyDescent="0.25"/>
  <cols>
    <col min="1" max="1" width="20.42578125" customWidth="1"/>
    <col min="2" max="2" width="20" customWidth="1"/>
    <col min="3" max="3" width="23.85546875" customWidth="1"/>
    <col min="4" max="4" width="12.5703125" customWidth="1"/>
    <col min="5" max="5" width="37.85546875" customWidth="1"/>
    <col min="6" max="6" width="58.5703125" customWidth="1"/>
    <col min="7" max="7" width="65.7109375" customWidth="1"/>
    <col min="8" max="8" width="10.85546875" customWidth="1"/>
  </cols>
  <sheetData>
    <row r="2" spans="2:7" x14ac:dyDescent="0.25">
      <c r="B2" t="s">
        <v>7822</v>
      </c>
      <c r="C2" t="s">
        <v>7838</v>
      </c>
      <c r="D2" t="s">
        <v>22</v>
      </c>
      <c r="E2" t="s">
        <v>8774</v>
      </c>
      <c r="F2" t="s">
        <v>7841</v>
      </c>
      <c r="G2" t="s">
        <v>7840</v>
      </c>
    </row>
    <row r="3" spans="2:7" x14ac:dyDescent="0.25">
      <c r="B3" t="s">
        <v>789</v>
      </c>
      <c r="C3" t="s">
        <v>23</v>
      </c>
      <c r="D3" t="s">
        <v>792</v>
      </c>
      <c r="E3" t="s">
        <v>7945</v>
      </c>
      <c r="F3" t="s">
        <v>7946</v>
      </c>
      <c r="G3" t="s">
        <v>8182</v>
      </c>
    </row>
    <row r="4" spans="2:7" x14ac:dyDescent="0.25">
      <c r="B4" t="s">
        <v>789</v>
      </c>
      <c r="C4" t="s">
        <v>24</v>
      </c>
      <c r="D4" t="s">
        <v>793</v>
      </c>
      <c r="E4" t="s">
        <v>8170</v>
      </c>
      <c r="F4" t="s">
        <v>7842</v>
      </c>
      <c r="G4" t="s">
        <v>8171</v>
      </c>
    </row>
    <row r="5" spans="2:7" x14ac:dyDescent="0.25">
      <c r="B5" t="s">
        <v>789</v>
      </c>
      <c r="C5" t="s">
        <v>25</v>
      </c>
      <c r="D5" t="s">
        <v>792</v>
      </c>
      <c r="E5" t="s">
        <v>8209</v>
      </c>
      <c r="F5" t="s">
        <v>7843</v>
      </c>
      <c r="G5" t="s">
        <v>7927</v>
      </c>
    </row>
    <row r="6" spans="2:7" x14ac:dyDescent="0.25">
      <c r="B6" t="s">
        <v>789</v>
      </c>
      <c r="C6" t="s">
        <v>26</v>
      </c>
      <c r="D6" t="s">
        <v>792</v>
      </c>
      <c r="E6" t="s">
        <v>7862</v>
      </c>
      <c r="F6" t="s">
        <v>7863</v>
      </c>
      <c r="G6" t="s">
        <v>7870</v>
      </c>
    </row>
    <row r="7" spans="2:7" x14ac:dyDescent="0.25">
      <c r="B7" t="s">
        <v>789</v>
      </c>
      <c r="C7" t="s">
        <v>27</v>
      </c>
      <c r="D7" t="s">
        <v>793</v>
      </c>
      <c r="E7" t="s">
        <v>8183</v>
      </c>
      <c r="F7" t="s">
        <v>7844</v>
      </c>
      <c r="G7" t="s">
        <v>8184</v>
      </c>
    </row>
    <row r="8" spans="2:7" x14ac:dyDescent="0.25">
      <c r="B8" t="s">
        <v>789</v>
      </c>
      <c r="C8" t="s">
        <v>28</v>
      </c>
      <c r="D8" t="s">
        <v>793</v>
      </c>
      <c r="E8" t="s">
        <v>8190</v>
      </c>
      <c r="F8" t="s">
        <v>8192</v>
      </c>
      <c r="G8" t="s">
        <v>8191</v>
      </c>
    </row>
    <row r="9" spans="2:7" x14ac:dyDescent="0.25">
      <c r="B9" t="s">
        <v>789</v>
      </c>
      <c r="C9" t="s">
        <v>29</v>
      </c>
      <c r="D9" t="s">
        <v>792</v>
      </c>
      <c r="E9" t="s">
        <v>8196</v>
      </c>
      <c r="F9" t="s">
        <v>7845</v>
      </c>
      <c r="G9" t="s">
        <v>8197</v>
      </c>
    </row>
    <row r="10" spans="2:7" x14ac:dyDescent="0.25">
      <c r="B10" t="s">
        <v>789</v>
      </c>
      <c r="C10" t="s">
        <v>30</v>
      </c>
      <c r="D10" t="s">
        <v>792</v>
      </c>
      <c r="E10" t="s">
        <v>8036</v>
      </c>
      <c r="F10" t="s">
        <v>7858</v>
      </c>
      <c r="G10" t="s">
        <v>8035</v>
      </c>
    </row>
    <row r="11" spans="2:7" x14ac:dyDescent="0.25">
      <c r="B11" t="s">
        <v>789</v>
      </c>
      <c r="C11" t="s">
        <v>31</v>
      </c>
      <c r="D11" t="s">
        <v>792</v>
      </c>
      <c r="E11" t="s">
        <v>8039</v>
      </c>
      <c r="F11" t="s">
        <v>7857</v>
      </c>
      <c r="G11" t="s">
        <v>8043</v>
      </c>
    </row>
    <row r="12" spans="2:7" x14ac:dyDescent="0.25">
      <c r="B12" t="s">
        <v>789</v>
      </c>
      <c r="C12" t="s">
        <v>32</v>
      </c>
      <c r="D12" t="s">
        <v>792</v>
      </c>
      <c r="E12" t="s">
        <v>8201</v>
      </c>
      <c r="F12" t="s">
        <v>7859</v>
      </c>
      <c r="G12" t="s">
        <v>8202</v>
      </c>
    </row>
    <row r="13" spans="2:7" x14ac:dyDescent="0.25">
      <c r="B13" t="s">
        <v>789</v>
      </c>
      <c r="C13" t="s">
        <v>33</v>
      </c>
      <c r="D13" t="s">
        <v>7839</v>
      </c>
      <c r="E13" t="s">
        <v>8205</v>
      </c>
      <c r="F13" t="s">
        <v>7860</v>
      </c>
      <c r="G13" t="s">
        <v>8206</v>
      </c>
    </row>
    <row r="14" spans="2:7" x14ac:dyDescent="0.25">
      <c r="B14" t="s">
        <v>789</v>
      </c>
      <c r="C14" t="s">
        <v>35</v>
      </c>
      <c r="D14" t="s">
        <v>792</v>
      </c>
      <c r="E14" t="s">
        <v>8039</v>
      </c>
      <c r="F14" t="s">
        <v>7861</v>
      </c>
      <c r="G14" t="s">
        <v>8043</v>
      </c>
    </row>
    <row r="15" spans="2:7" x14ac:dyDescent="0.25">
      <c r="B15" t="s">
        <v>789</v>
      </c>
      <c r="C15" t="s">
        <v>36</v>
      </c>
      <c r="D15" t="s">
        <v>792</v>
      </c>
      <c r="E15" t="s">
        <v>7862</v>
      </c>
      <c r="F15" t="s">
        <v>7864</v>
      </c>
      <c r="G15" t="s">
        <v>7870</v>
      </c>
    </row>
    <row r="16" spans="2:7" x14ac:dyDescent="0.25">
      <c r="B16" t="s">
        <v>789</v>
      </c>
      <c r="C16" t="s">
        <v>37</v>
      </c>
      <c r="D16" t="s">
        <v>792</v>
      </c>
      <c r="E16" t="s">
        <v>8446</v>
      </c>
      <c r="F16" t="s">
        <v>7871</v>
      </c>
      <c r="G16" t="s">
        <v>8396</v>
      </c>
    </row>
    <row r="17" spans="2:7" x14ac:dyDescent="0.25">
      <c r="B17" t="s">
        <v>789</v>
      </c>
      <c r="C17" t="s">
        <v>38</v>
      </c>
      <c r="D17" t="s">
        <v>793</v>
      </c>
      <c r="E17" t="s">
        <v>8203</v>
      </c>
      <c r="F17" t="s">
        <v>7885</v>
      </c>
      <c r="G17" t="s">
        <v>8204</v>
      </c>
    </row>
    <row r="18" spans="2:7" x14ac:dyDescent="0.25">
      <c r="B18" t="s">
        <v>789</v>
      </c>
      <c r="C18" t="s">
        <v>39</v>
      </c>
      <c r="D18" t="s">
        <v>792</v>
      </c>
      <c r="E18" t="s">
        <v>7886</v>
      </c>
      <c r="F18" t="s">
        <v>7888</v>
      </c>
      <c r="G18" t="s">
        <v>7887</v>
      </c>
    </row>
    <row r="19" spans="2:7" x14ac:dyDescent="0.25">
      <c r="B19" t="s">
        <v>789</v>
      </c>
      <c r="C19" t="s">
        <v>40</v>
      </c>
      <c r="D19" t="s">
        <v>792</v>
      </c>
      <c r="E19" t="s">
        <v>8146</v>
      </c>
      <c r="F19" t="s">
        <v>7889</v>
      </c>
      <c r="G19" t="s">
        <v>8152</v>
      </c>
    </row>
    <row r="20" spans="2:7" x14ac:dyDescent="0.25">
      <c r="B20" t="s">
        <v>789</v>
      </c>
      <c r="C20" t="s">
        <v>41</v>
      </c>
      <c r="D20" t="s">
        <v>792</v>
      </c>
      <c r="E20" t="s">
        <v>8207</v>
      </c>
      <c r="F20" t="s">
        <v>7865</v>
      </c>
      <c r="G20" t="s">
        <v>8208</v>
      </c>
    </row>
    <row r="21" spans="2:7" x14ac:dyDescent="0.25">
      <c r="B21" t="s">
        <v>789</v>
      </c>
      <c r="C21" t="s">
        <v>42</v>
      </c>
      <c r="D21" t="s">
        <v>793</v>
      </c>
      <c r="E21" t="s">
        <v>7898</v>
      </c>
      <c r="F21" t="s">
        <v>7900</v>
      </c>
      <c r="G21" t="s">
        <v>7899</v>
      </c>
    </row>
    <row r="22" spans="2:7" x14ac:dyDescent="0.25">
      <c r="B22" t="s">
        <v>789</v>
      </c>
      <c r="C22" t="s">
        <v>43</v>
      </c>
      <c r="D22" t="s">
        <v>793</v>
      </c>
      <c r="E22" t="s">
        <v>7898</v>
      </c>
      <c r="F22" t="s">
        <v>7900</v>
      </c>
      <c r="G22" t="s">
        <v>7899</v>
      </c>
    </row>
    <row r="23" spans="2:7" x14ac:dyDescent="0.25">
      <c r="B23" t="s">
        <v>789</v>
      </c>
      <c r="C23" t="s">
        <v>44</v>
      </c>
      <c r="D23" t="s">
        <v>792</v>
      </c>
      <c r="E23" t="s">
        <v>8040</v>
      </c>
      <c r="F23" t="s">
        <v>7905</v>
      </c>
      <c r="G23" t="s">
        <v>8041</v>
      </c>
    </row>
    <row r="24" spans="2:7" x14ac:dyDescent="0.25">
      <c r="B24" t="s">
        <v>789</v>
      </c>
      <c r="C24" t="s">
        <v>45</v>
      </c>
      <c r="D24" t="s">
        <v>793</v>
      </c>
      <c r="E24" t="s">
        <v>8179</v>
      </c>
      <c r="F24" t="s">
        <v>7916</v>
      </c>
      <c r="G24" t="s">
        <v>8178</v>
      </c>
    </row>
    <row r="25" spans="2:7" x14ac:dyDescent="0.25">
      <c r="B25" t="s">
        <v>789</v>
      </c>
      <c r="C25" t="s">
        <v>46</v>
      </c>
      <c r="D25" t="s">
        <v>792</v>
      </c>
      <c r="E25" t="s">
        <v>7917</v>
      </c>
      <c r="F25" t="s">
        <v>7919</v>
      </c>
      <c r="G25" t="s">
        <v>7918</v>
      </c>
    </row>
    <row r="26" spans="2:7" x14ac:dyDescent="0.25">
      <c r="B26" t="s">
        <v>789</v>
      </c>
      <c r="C26" t="s">
        <v>47</v>
      </c>
      <c r="D26" t="s">
        <v>792</v>
      </c>
      <c r="E26" t="s">
        <v>7923</v>
      </c>
      <c r="F26" t="s">
        <v>7922</v>
      </c>
      <c r="G26" t="s">
        <v>7921</v>
      </c>
    </row>
    <row r="27" spans="2:7" x14ac:dyDescent="0.25">
      <c r="B27" t="s">
        <v>789</v>
      </c>
      <c r="C27" t="s">
        <v>48</v>
      </c>
      <c r="D27" t="s">
        <v>792</v>
      </c>
      <c r="E27" t="s">
        <v>8207</v>
      </c>
      <c r="F27" t="s">
        <v>7866</v>
      </c>
      <c r="G27" t="s">
        <v>8208</v>
      </c>
    </row>
    <row r="28" spans="2:7" x14ac:dyDescent="0.25">
      <c r="B28" t="s">
        <v>789</v>
      </c>
      <c r="C28" t="s">
        <v>49</v>
      </c>
      <c r="D28" t="s">
        <v>793</v>
      </c>
      <c r="E28" t="s">
        <v>7924</v>
      </c>
      <c r="F28" t="s">
        <v>7926</v>
      </c>
      <c r="G28" t="s">
        <v>7925</v>
      </c>
    </row>
    <row r="29" spans="2:7" x14ac:dyDescent="0.25">
      <c r="B29" t="s">
        <v>789</v>
      </c>
      <c r="C29" t="s">
        <v>50</v>
      </c>
      <c r="D29" t="s">
        <v>792</v>
      </c>
      <c r="E29" t="s">
        <v>8209</v>
      </c>
      <c r="F29" t="s">
        <v>7933</v>
      </c>
      <c r="G29" t="s">
        <v>7927</v>
      </c>
    </row>
    <row r="30" spans="2:7" x14ac:dyDescent="0.25">
      <c r="B30" t="s">
        <v>789</v>
      </c>
      <c r="C30" t="s">
        <v>51</v>
      </c>
      <c r="D30" t="s">
        <v>793</v>
      </c>
      <c r="E30" t="s">
        <v>7939</v>
      </c>
      <c r="F30" t="s">
        <v>7940</v>
      </c>
      <c r="G30" t="s">
        <v>7941</v>
      </c>
    </row>
    <row r="31" spans="2:7" x14ac:dyDescent="0.25">
      <c r="B31" t="s">
        <v>789</v>
      </c>
      <c r="C31" t="s">
        <v>52</v>
      </c>
      <c r="D31" t="s">
        <v>793</v>
      </c>
      <c r="E31" t="s">
        <v>7942</v>
      </c>
      <c r="F31" t="s">
        <v>7943</v>
      </c>
      <c r="G31" t="s">
        <v>7944</v>
      </c>
    </row>
    <row r="32" spans="2:7" x14ac:dyDescent="0.25">
      <c r="B32" t="s">
        <v>789</v>
      </c>
      <c r="C32" t="s">
        <v>53</v>
      </c>
      <c r="D32" t="s">
        <v>792</v>
      </c>
      <c r="E32" t="s">
        <v>7945</v>
      </c>
      <c r="F32" t="s">
        <v>7946</v>
      </c>
      <c r="G32" t="s">
        <v>7948</v>
      </c>
    </row>
    <row r="33" spans="2:7" x14ac:dyDescent="0.25">
      <c r="B33" t="s">
        <v>789</v>
      </c>
      <c r="C33" t="s">
        <v>54</v>
      </c>
      <c r="D33" t="s">
        <v>793</v>
      </c>
      <c r="E33" t="s">
        <v>7949</v>
      </c>
      <c r="F33" t="s">
        <v>7950</v>
      </c>
      <c r="G33" t="s">
        <v>7951</v>
      </c>
    </row>
    <row r="34" spans="2:7" x14ac:dyDescent="0.25">
      <c r="B34" t="s">
        <v>789</v>
      </c>
      <c r="C34" t="s">
        <v>55</v>
      </c>
      <c r="D34" t="s">
        <v>792</v>
      </c>
      <c r="E34" t="s">
        <v>7955</v>
      </c>
      <c r="F34" t="s">
        <v>7953</v>
      </c>
      <c r="G34" t="s">
        <v>7952</v>
      </c>
    </row>
    <row r="35" spans="2:7" x14ac:dyDescent="0.25">
      <c r="B35" t="s">
        <v>789</v>
      </c>
      <c r="C35" t="s">
        <v>56</v>
      </c>
      <c r="D35" t="s">
        <v>792</v>
      </c>
      <c r="E35" t="s">
        <v>7981</v>
      </c>
      <c r="F35" t="s">
        <v>7982</v>
      </c>
      <c r="G35" t="s">
        <v>7983</v>
      </c>
    </row>
    <row r="36" spans="2:7" x14ac:dyDescent="0.25">
      <c r="B36" t="s">
        <v>789</v>
      </c>
      <c r="C36" t="s">
        <v>57</v>
      </c>
      <c r="D36" t="s">
        <v>792</v>
      </c>
      <c r="E36" t="s">
        <v>8036</v>
      </c>
      <c r="F36" t="s">
        <v>7847</v>
      </c>
      <c r="G36" t="s">
        <v>8038</v>
      </c>
    </row>
    <row r="37" spans="2:7" x14ac:dyDescent="0.25">
      <c r="B37" t="s">
        <v>789</v>
      </c>
      <c r="C37" t="s">
        <v>58</v>
      </c>
      <c r="D37" t="s">
        <v>792</v>
      </c>
      <c r="E37" t="s">
        <v>8036</v>
      </c>
      <c r="F37" t="s">
        <v>7848</v>
      </c>
      <c r="G37" t="s">
        <v>8038</v>
      </c>
    </row>
    <row r="38" spans="2:7" x14ac:dyDescent="0.25">
      <c r="B38" t="s">
        <v>789</v>
      </c>
      <c r="C38" t="s">
        <v>59</v>
      </c>
      <c r="D38" t="s">
        <v>792</v>
      </c>
      <c r="E38" t="s">
        <v>7985</v>
      </c>
      <c r="F38" t="s">
        <v>7987</v>
      </c>
      <c r="G38" t="s">
        <v>7986</v>
      </c>
    </row>
    <row r="39" spans="2:7" x14ac:dyDescent="0.25">
      <c r="B39" t="s">
        <v>789</v>
      </c>
      <c r="C39" t="s">
        <v>60</v>
      </c>
      <c r="D39" t="s">
        <v>793</v>
      </c>
      <c r="E39" t="s">
        <v>7989</v>
      </c>
      <c r="F39" t="s">
        <v>7990</v>
      </c>
      <c r="G39" t="s">
        <v>7988</v>
      </c>
    </row>
    <row r="40" spans="2:7" x14ac:dyDescent="0.25">
      <c r="B40" t="s">
        <v>789</v>
      </c>
      <c r="C40" t="s">
        <v>61</v>
      </c>
      <c r="D40" t="s">
        <v>793</v>
      </c>
      <c r="E40" t="s">
        <v>7991</v>
      </c>
      <c r="F40" t="s">
        <v>7992</v>
      </c>
      <c r="G40" t="s">
        <v>7993</v>
      </c>
    </row>
    <row r="41" spans="2:7" x14ac:dyDescent="0.25">
      <c r="B41" t="s">
        <v>789</v>
      </c>
      <c r="C41" t="s">
        <v>62</v>
      </c>
      <c r="D41" t="s">
        <v>792</v>
      </c>
      <c r="E41" t="s">
        <v>7994</v>
      </c>
      <c r="F41" t="s">
        <v>7996</v>
      </c>
      <c r="G41" t="s">
        <v>7995</v>
      </c>
    </row>
    <row r="42" spans="2:7" x14ac:dyDescent="0.25">
      <c r="B42" t="s">
        <v>789</v>
      </c>
      <c r="C42" t="s">
        <v>63</v>
      </c>
      <c r="D42" t="s">
        <v>792</v>
      </c>
      <c r="E42" t="s">
        <v>7997</v>
      </c>
      <c r="F42" t="s">
        <v>7999</v>
      </c>
      <c r="G42" t="s">
        <v>7998</v>
      </c>
    </row>
    <row r="43" spans="2:7" x14ac:dyDescent="0.25">
      <c r="B43" t="s">
        <v>789</v>
      </c>
      <c r="C43" t="s">
        <v>65</v>
      </c>
      <c r="D43" t="s">
        <v>792</v>
      </c>
      <c r="E43" t="s">
        <v>8040</v>
      </c>
      <c r="F43" t="s">
        <v>7906</v>
      </c>
      <c r="G43" t="s">
        <v>8041</v>
      </c>
    </row>
    <row r="44" spans="2:7" x14ac:dyDescent="0.25">
      <c r="B44" t="s">
        <v>789</v>
      </c>
      <c r="C44" t="s">
        <v>66</v>
      </c>
      <c r="D44" t="s">
        <v>792</v>
      </c>
      <c r="E44" t="s">
        <v>8002</v>
      </c>
      <c r="F44" t="s">
        <v>8003</v>
      </c>
      <c r="G44" t="s">
        <v>8004</v>
      </c>
    </row>
    <row r="45" spans="2:7" x14ac:dyDescent="0.25">
      <c r="B45" t="s">
        <v>789</v>
      </c>
      <c r="C45" t="s">
        <v>8915</v>
      </c>
      <c r="D45" t="s">
        <v>7839</v>
      </c>
      <c r="E45" t="s">
        <v>8007</v>
      </c>
    </row>
    <row r="46" spans="2:7" x14ac:dyDescent="0.25">
      <c r="B46" t="s">
        <v>789</v>
      </c>
      <c r="C46" t="s">
        <v>67</v>
      </c>
      <c r="D46" t="s">
        <v>792</v>
      </c>
      <c r="E46" t="s">
        <v>8146</v>
      </c>
      <c r="F46" t="s">
        <v>8159</v>
      </c>
      <c r="G46" t="s">
        <v>8153</v>
      </c>
    </row>
    <row r="47" spans="2:7" x14ac:dyDescent="0.25">
      <c r="B47" t="s">
        <v>789</v>
      </c>
      <c r="C47" t="s">
        <v>68</v>
      </c>
      <c r="D47" t="s">
        <v>7839</v>
      </c>
      <c r="E47" t="s">
        <v>8007</v>
      </c>
      <c r="F47" t="s">
        <v>8008</v>
      </c>
      <c r="G47" t="s">
        <v>8009</v>
      </c>
    </row>
    <row r="48" spans="2:7" x14ac:dyDescent="0.25">
      <c r="B48" t="s">
        <v>789</v>
      </c>
      <c r="C48" t="s">
        <v>69</v>
      </c>
      <c r="D48" t="s">
        <v>793</v>
      </c>
      <c r="E48" t="s">
        <v>8010</v>
      </c>
      <c r="F48" t="s">
        <v>8012</v>
      </c>
      <c r="G48" t="s">
        <v>8011</v>
      </c>
    </row>
    <row r="49" spans="2:7" x14ac:dyDescent="0.25">
      <c r="B49" t="s">
        <v>789</v>
      </c>
      <c r="C49" t="s">
        <v>70</v>
      </c>
      <c r="D49" t="s">
        <v>792</v>
      </c>
      <c r="E49" t="s">
        <v>8016</v>
      </c>
      <c r="F49" t="s">
        <v>8018</v>
      </c>
      <c r="G49" t="s">
        <v>8017</v>
      </c>
    </row>
    <row r="50" spans="2:7" x14ac:dyDescent="0.25">
      <c r="B50" t="s">
        <v>789</v>
      </c>
      <c r="C50" t="s">
        <v>71</v>
      </c>
      <c r="D50" t="s">
        <v>793</v>
      </c>
      <c r="E50" t="s">
        <v>8025</v>
      </c>
      <c r="F50" t="s">
        <v>8026</v>
      </c>
      <c r="G50" t="s">
        <v>8027</v>
      </c>
    </row>
    <row r="51" spans="2:7" x14ac:dyDescent="0.25">
      <c r="B51" t="s">
        <v>789</v>
      </c>
      <c r="C51" t="s">
        <v>72</v>
      </c>
      <c r="D51" t="s">
        <v>792</v>
      </c>
      <c r="E51" t="s">
        <v>8146</v>
      </c>
      <c r="F51" t="s">
        <v>7895</v>
      </c>
      <c r="G51" t="s">
        <v>8153</v>
      </c>
    </row>
    <row r="52" spans="2:7" x14ac:dyDescent="0.25">
      <c r="B52" t="s">
        <v>789</v>
      </c>
      <c r="C52" t="s">
        <v>73</v>
      </c>
      <c r="D52" t="s">
        <v>792</v>
      </c>
      <c r="E52" t="s">
        <v>8207</v>
      </c>
      <c r="F52" t="s">
        <v>7867</v>
      </c>
      <c r="G52" t="s">
        <v>8208</v>
      </c>
    </row>
    <row r="53" spans="2:7" x14ac:dyDescent="0.25">
      <c r="B53" t="s">
        <v>789</v>
      </c>
      <c r="C53" t="s">
        <v>74</v>
      </c>
      <c r="D53" t="s">
        <v>792</v>
      </c>
      <c r="E53" t="s">
        <v>8029</v>
      </c>
      <c r="F53" t="s">
        <v>8031</v>
      </c>
      <c r="G53" t="s">
        <v>8030</v>
      </c>
    </row>
    <row r="54" spans="2:7" x14ac:dyDescent="0.25">
      <c r="B54" t="s">
        <v>789</v>
      </c>
      <c r="C54" t="s">
        <v>75</v>
      </c>
      <c r="D54" t="s">
        <v>792</v>
      </c>
      <c r="E54" t="s">
        <v>7972</v>
      </c>
      <c r="F54" t="s">
        <v>7973</v>
      </c>
      <c r="G54" t="s">
        <v>7974</v>
      </c>
    </row>
    <row r="55" spans="2:7" x14ac:dyDescent="0.25">
      <c r="B55" t="s">
        <v>789</v>
      </c>
      <c r="C55" t="s">
        <v>76</v>
      </c>
      <c r="D55" t="s">
        <v>7839</v>
      </c>
      <c r="E55" t="s">
        <v>8044</v>
      </c>
      <c r="F55" t="s">
        <v>8045</v>
      </c>
      <c r="G55" t="s">
        <v>8046</v>
      </c>
    </row>
    <row r="56" spans="2:7" x14ac:dyDescent="0.25">
      <c r="B56" t="s">
        <v>789</v>
      </c>
      <c r="C56" t="s">
        <v>77</v>
      </c>
      <c r="D56" t="s">
        <v>792</v>
      </c>
      <c r="E56" t="s">
        <v>8047</v>
      </c>
      <c r="F56" t="s">
        <v>8048</v>
      </c>
      <c r="G56" t="s">
        <v>8049</v>
      </c>
    </row>
    <row r="57" spans="2:7" x14ac:dyDescent="0.25">
      <c r="B57" t="s">
        <v>789</v>
      </c>
      <c r="C57" t="s">
        <v>78</v>
      </c>
      <c r="D57" t="s">
        <v>792</v>
      </c>
      <c r="E57" t="s">
        <v>8146</v>
      </c>
      <c r="F57" t="s">
        <v>8159</v>
      </c>
      <c r="G57" t="s">
        <v>8153</v>
      </c>
    </row>
    <row r="58" spans="2:7" x14ac:dyDescent="0.25">
      <c r="B58" t="s">
        <v>789</v>
      </c>
      <c r="C58" t="s">
        <v>79</v>
      </c>
      <c r="D58" t="s">
        <v>792</v>
      </c>
      <c r="E58" t="s">
        <v>8146</v>
      </c>
      <c r="F58" t="s">
        <v>7894</v>
      </c>
      <c r="G58" t="s">
        <v>8154</v>
      </c>
    </row>
    <row r="59" spans="2:7" x14ac:dyDescent="0.25">
      <c r="B59" t="s">
        <v>789</v>
      </c>
      <c r="C59" t="s">
        <v>80</v>
      </c>
      <c r="D59" t="s">
        <v>792</v>
      </c>
      <c r="E59" t="s">
        <v>8051</v>
      </c>
      <c r="F59" t="s">
        <v>8052</v>
      </c>
      <c r="G59" t="s">
        <v>8053</v>
      </c>
    </row>
    <row r="60" spans="2:7" x14ac:dyDescent="0.25">
      <c r="B60" t="s">
        <v>789</v>
      </c>
      <c r="C60" t="s">
        <v>81</v>
      </c>
      <c r="D60" t="s">
        <v>792</v>
      </c>
      <c r="E60" t="s">
        <v>8051</v>
      </c>
      <c r="F60" t="s">
        <v>8052</v>
      </c>
      <c r="G60" t="s">
        <v>8053</v>
      </c>
    </row>
    <row r="61" spans="2:7" x14ac:dyDescent="0.25">
      <c r="B61" t="s">
        <v>789</v>
      </c>
      <c r="C61" t="s">
        <v>82</v>
      </c>
      <c r="D61" t="s">
        <v>792</v>
      </c>
      <c r="E61" t="s">
        <v>8055</v>
      </c>
      <c r="F61" t="s">
        <v>8056</v>
      </c>
      <c r="G61" t="s">
        <v>8054</v>
      </c>
    </row>
    <row r="62" spans="2:7" x14ac:dyDescent="0.25">
      <c r="B62" t="s">
        <v>789</v>
      </c>
      <c r="C62" t="s">
        <v>83</v>
      </c>
      <c r="D62" t="s">
        <v>792</v>
      </c>
      <c r="E62" t="s">
        <v>8065</v>
      </c>
      <c r="F62" t="s">
        <v>8057</v>
      </c>
      <c r="G62" t="s">
        <v>8058</v>
      </c>
    </row>
    <row r="63" spans="2:7" x14ac:dyDescent="0.25">
      <c r="B63" t="s">
        <v>789</v>
      </c>
      <c r="C63" t="s">
        <v>84</v>
      </c>
      <c r="D63" t="s">
        <v>792</v>
      </c>
      <c r="E63" t="s">
        <v>8084</v>
      </c>
      <c r="F63" t="s">
        <v>8085</v>
      </c>
      <c r="G63" t="s">
        <v>8086</v>
      </c>
    </row>
    <row r="64" spans="2:7" x14ac:dyDescent="0.25">
      <c r="B64" t="s">
        <v>789</v>
      </c>
      <c r="C64" t="s">
        <v>85</v>
      </c>
      <c r="D64" t="s">
        <v>792</v>
      </c>
      <c r="E64" t="s">
        <v>8109</v>
      </c>
      <c r="F64" t="s">
        <v>8088</v>
      </c>
      <c r="G64" t="s">
        <v>8110</v>
      </c>
    </row>
    <row r="65" spans="2:7" x14ac:dyDescent="0.25">
      <c r="B65" t="s">
        <v>789</v>
      </c>
      <c r="C65" t="s">
        <v>86</v>
      </c>
      <c r="D65" t="s">
        <v>793</v>
      </c>
      <c r="E65" t="s">
        <v>8117</v>
      </c>
      <c r="F65" t="s">
        <v>8119</v>
      </c>
      <c r="G65" t="s">
        <v>8118</v>
      </c>
    </row>
    <row r="66" spans="2:7" x14ac:dyDescent="0.25">
      <c r="B66" t="s">
        <v>789</v>
      </c>
      <c r="C66" t="s">
        <v>87</v>
      </c>
      <c r="D66" t="s">
        <v>793</v>
      </c>
      <c r="E66" t="s">
        <v>8117</v>
      </c>
      <c r="F66" t="s">
        <v>8120</v>
      </c>
      <c r="G66" t="s">
        <v>8118</v>
      </c>
    </row>
    <row r="67" spans="2:7" x14ac:dyDescent="0.25">
      <c r="B67" t="s">
        <v>789</v>
      </c>
      <c r="C67" t="s">
        <v>88</v>
      </c>
      <c r="D67" t="s">
        <v>793</v>
      </c>
      <c r="E67" t="s">
        <v>8117</v>
      </c>
      <c r="F67" t="s">
        <v>8121</v>
      </c>
      <c r="G67" t="s">
        <v>8118</v>
      </c>
    </row>
    <row r="68" spans="2:7" x14ac:dyDescent="0.25">
      <c r="B68" t="s">
        <v>789</v>
      </c>
      <c r="C68" t="s">
        <v>89</v>
      </c>
      <c r="D68" t="s">
        <v>792</v>
      </c>
      <c r="E68" t="s">
        <v>8109</v>
      </c>
      <c r="F68" t="s">
        <v>8091</v>
      </c>
      <c r="G68" t="s">
        <v>8111</v>
      </c>
    </row>
    <row r="69" spans="2:7" x14ac:dyDescent="0.25">
      <c r="B69" t="s">
        <v>789</v>
      </c>
      <c r="C69" t="s">
        <v>90</v>
      </c>
      <c r="D69" t="s">
        <v>792</v>
      </c>
      <c r="E69" t="s">
        <v>8103</v>
      </c>
      <c r="F69" t="s">
        <v>8092</v>
      </c>
      <c r="G69" t="s">
        <v>8104</v>
      </c>
    </row>
    <row r="70" spans="2:7" x14ac:dyDescent="0.25">
      <c r="B70" t="s">
        <v>789</v>
      </c>
      <c r="C70" t="s">
        <v>91</v>
      </c>
      <c r="D70" t="s">
        <v>792</v>
      </c>
      <c r="E70" t="s">
        <v>8087</v>
      </c>
      <c r="F70" t="s">
        <v>8092</v>
      </c>
      <c r="G70" t="s">
        <v>8089</v>
      </c>
    </row>
    <row r="71" spans="2:7" x14ac:dyDescent="0.25">
      <c r="B71" t="s">
        <v>789</v>
      </c>
      <c r="C71" t="s">
        <v>92</v>
      </c>
      <c r="D71" t="s">
        <v>792</v>
      </c>
      <c r="E71" t="s">
        <v>8087</v>
      </c>
      <c r="F71" t="s">
        <v>8093</v>
      </c>
      <c r="G71" t="s">
        <v>8089</v>
      </c>
    </row>
    <row r="72" spans="2:7" x14ac:dyDescent="0.25">
      <c r="B72" t="s">
        <v>789</v>
      </c>
      <c r="C72" t="s">
        <v>93</v>
      </c>
      <c r="D72" t="s">
        <v>792</v>
      </c>
      <c r="E72" t="s">
        <v>8126</v>
      </c>
      <c r="F72" t="s">
        <v>8130</v>
      </c>
      <c r="G72" t="s">
        <v>8127</v>
      </c>
    </row>
    <row r="73" spans="2:7" x14ac:dyDescent="0.25">
      <c r="B73" t="s">
        <v>789</v>
      </c>
      <c r="C73" t="s">
        <v>94</v>
      </c>
      <c r="D73" t="s">
        <v>792</v>
      </c>
      <c r="E73" t="s">
        <v>8069</v>
      </c>
      <c r="F73" t="s">
        <v>8070</v>
      </c>
      <c r="G73" t="s">
        <v>8071</v>
      </c>
    </row>
    <row r="74" spans="2:7" x14ac:dyDescent="0.25">
      <c r="B74" t="s">
        <v>789</v>
      </c>
      <c r="C74" t="s">
        <v>95</v>
      </c>
      <c r="D74" t="s">
        <v>792</v>
      </c>
      <c r="E74" t="s">
        <v>8146</v>
      </c>
      <c r="F74" t="s">
        <v>7889</v>
      </c>
      <c r="G74" t="s">
        <v>8155</v>
      </c>
    </row>
    <row r="75" spans="2:7" x14ac:dyDescent="0.25">
      <c r="B75" t="s">
        <v>789</v>
      </c>
      <c r="C75" t="s">
        <v>96</v>
      </c>
      <c r="D75" t="s">
        <v>792</v>
      </c>
      <c r="E75" t="s">
        <v>8069</v>
      </c>
      <c r="F75" t="s">
        <v>8079</v>
      </c>
      <c r="G75" t="s">
        <v>8080</v>
      </c>
    </row>
    <row r="76" spans="2:7" x14ac:dyDescent="0.25">
      <c r="B76" t="s">
        <v>789</v>
      </c>
      <c r="C76" t="s">
        <v>97</v>
      </c>
      <c r="D76" t="s">
        <v>792</v>
      </c>
      <c r="E76" t="s">
        <v>8036</v>
      </c>
      <c r="F76" t="s">
        <v>7849</v>
      </c>
      <c r="G76" t="s">
        <v>8038</v>
      </c>
    </row>
    <row r="77" spans="2:7" x14ac:dyDescent="0.25">
      <c r="B77" t="s">
        <v>789</v>
      </c>
      <c r="C77" t="s">
        <v>98</v>
      </c>
      <c r="D77" t="s">
        <v>793</v>
      </c>
      <c r="E77" t="s">
        <v>7924</v>
      </c>
      <c r="F77" t="s">
        <v>7926</v>
      </c>
      <c r="G77" t="s">
        <v>7925</v>
      </c>
    </row>
    <row r="78" spans="2:7" x14ac:dyDescent="0.25">
      <c r="B78" t="s">
        <v>789</v>
      </c>
      <c r="C78" t="s">
        <v>99</v>
      </c>
      <c r="D78" t="s">
        <v>792</v>
      </c>
      <c r="E78" t="s">
        <v>7976</v>
      </c>
      <c r="F78" t="s">
        <v>7975</v>
      </c>
      <c r="G78" t="s">
        <v>7974</v>
      </c>
    </row>
    <row r="79" spans="2:7" x14ac:dyDescent="0.25">
      <c r="B79" t="s">
        <v>789</v>
      </c>
      <c r="C79" t="s">
        <v>100</v>
      </c>
      <c r="D79" t="s">
        <v>792</v>
      </c>
      <c r="E79" t="s">
        <v>8105</v>
      </c>
      <c r="F79" t="s">
        <v>8088</v>
      </c>
      <c r="G79" t="s">
        <v>8106</v>
      </c>
    </row>
    <row r="80" spans="2:7" x14ac:dyDescent="0.25">
      <c r="B80" t="s">
        <v>789</v>
      </c>
      <c r="C80" t="s">
        <v>101</v>
      </c>
      <c r="D80" t="s">
        <v>792</v>
      </c>
      <c r="E80" t="s">
        <v>8136</v>
      </c>
      <c r="F80" t="s">
        <v>8138</v>
      </c>
      <c r="G80" t="s">
        <v>8137</v>
      </c>
    </row>
    <row r="81" spans="2:7" x14ac:dyDescent="0.25">
      <c r="B81" t="s">
        <v>789</v>
      </c>
      <c r="C81" t="s">
        <v>102</v>
      </c>
      <c r="D81" t="s">
        <v>792</v>
      </c>
      <c r="E81" t="s">
        <v>8142</v>
      </c>
      <c r="F81" t="s">
        <v>8144</v>
      </c>
      <c r="G81" t="s">
        <v>8143</v>
      </c>
    </row>
    <row r="82" spans="2:7" x14ac:dyDescent="0.25">
      <c r="B82" t="s">
        <v>789</v>
      </c>
      <c r="C82" t="s">
        <v>103</v>
      </c>
      <c r="D82" t="s">
        <v>792</v>
      </c>
      <c r="E82" t="s">
        <v>8146</v>
      </c>
      <c r="F82" t="s">
        <v>8147</v>
      </c>
      <c r="G82" t="s">
        <v>8156</v>
      </c>
    </row>
    <row r="83" spans="2:7" x14ac:dyDescent="0.25">
      <c r="B83" t="s">
        <v>789</v>
      </c>
      <c r="C83" t="s">
        <v>104</v>
      </c>
      <c r="D83" t="s">
        <v>792</v>
      </c>
      <c r="E83" t="s">
        <v>7967</v>
      </c>
      <c r="F83" t="s">
        <v>7969</v>
      </c>
      <c r="G83" t="s">
        <v>7968</v>
      </c>
    </row>
    <row r="84" spans="2:7" x14ac:dyDescent="0.25">
      <c r="B84" t="s">
        <v>789</v>
      </c>
      <c r="C84" t="s">
        <v>105</v>
      </c>
      <c r="D84" t="s">
        <v>793</v>
      </c>
      <c r="E84" t="s">
        <v>7898</v>
      </c>
      <c r="G84" t="s">
        <v>7899</v>
      </c>
    </row>
    <row r="85" spans="2:7" x14ac:dyDescent="0.25">
      <c r="B85" t="s">
        <v>789</v>
      </c>
      <c r="C85" t="s">
        <v>106</v>
      </c>
      <c r="D85" t="s">
        <v>792</v>
      </c>
      <c r="E85" t="s">
        <v>8160</v>
      </c>
      <c r="F85" t="s">
        <v>8162</v>
      </c>
      <c r="G85" t="s">
        <v>8161</v>
      </c>
    </row>
    <row r="86" spans="2:7" x14ac:dyDescent="0.25">
      <c r="B86" t="s">
        <v>789</v>
      </c>
      <c r="C86" t="s">
        <v>107</v>
      </c>
      <c r="D86" t="s">
        <v>792</v>
      </c>
      <c r="E86" t="s">
        <v>8446</v>
      </c>
      <c r="F86" t="s">
        <v>7872</v>
      </c>
      <c r="G86" t="s">
        <v>8396</v>
      </c>
    </row>
    <row r="87" spans="2:7" x14ac:dyDescent="0.25">
      <c r="B87" t="s">
        <v>789</v>
      </c>
      <c r="C87" t="s">
        <v>108</v>
      </c>
      <c r="D87" t="s">
        <v>792</v>
      </c>
      <c r="E87" t="s">
        <v>8016</v>
      </c>
      <c r="F87" t="s">
        <v>8019</v>
      </c>
      <c r="G87" t="s">
        <v>8017</v>
      </c>
    </row>
    <row r="88" spans="2:7" x14ac:dyDescent="0.25">
      <c r="B88" t="s">
        <v>789</v>
      </c>
      <c r="C88" t="s">
        <v>109</v>
      </c>
      <c r="D88" t="s">
        <v>792</v>
      </c>
      <c r="E88" t="s">
        <v>7886</v>
      </c>
      <c r="F88" t="s">
        <v>7888</v>
      </c>
      <c r="G88" t="s">
        <v>7887</v>
      </c>
    </row>
    <row r="89" spans="2:7" x14ac:dyDescent="0.25">
      <c r="B89" t="s">
        <v>789</v>
      </c>
      <c r="C89" t="s">
        <v>110</v>
      </c>
      <c r="D89" t="s">
        <v>792</v>
      </c>
      <c r="E89" t="s">
        <v>7956</v>
      </c>
      <c r="F89" t="s">
        <v>7958</v>
      </c>
      <c r="G89" t="s">
        <v>7957</v>
      </c>
    </row>
    <row r="90" spans="2:7" x14ac:dyDescent="0.25">
      <c r="B90" t="s">
        <v>789</v>
      </c>
      <c r="C90" t="s">
        <v>111</v>
      </c>
      <c r="D90" t="s">
        <v>792</v>
      </c>
      <c r="E90" t="s">
        <v>8146</v>
      </c>
      <c r="F90" t="s">
        <v>8159</v>
      </c>
      <c r="G90" t="s">
        <v>8153</v>
      </c>
    </row>
    <row r="91" spans="2:7" x14ac:dyDescent="0.25">
      <c r="B91" t="s">
        <v>789</v>
      </c>
      <c r="C91" t="s">
        <v>112</v>
      </c>
      <c r="D91" t="s">
        <v>792</v>
      </c>
      <c r="E91" t="s">
        <v>8163</v>
      </c>
    </row>
    <row r="92" spans="2:7" x14ac:dyDescent="0.25">
      <c r="B92" t="s">
        <v>789</v>
      </c>
      <c r="C92" t="s">
        <v>113</v>
      </c>
      <c r="D92" t="s">
        <v>792</v>
      </c>
      <c r="E92" t="s">
        <v>8164</v>
      </c>
      <c r="F92" t="s">
        <v>8165</v>
      </c>
      <c r="G92" t="s">
        <v>8166</v>
      </c>
    </row>
    <row r="93" spans="2:7" x14ac:dyDescent="0.25">
      <c r="B93" t="s">
        <v>789</v>
      </c>
      <c r="C93" t="s">
        <v>114</v>
      </c>
      <c r="D93" t="s">
        <v>792</v>
      </c>
      <c r="E93" t="s">
        <v>8168</v>
      </c>
      <c r="F93" t="s">
        <v>8167</v>
      </c>
      <c r="G93" t="s">
        <v>8169</v>
      </c>
    </row>
    <row r="94" spans="2:7" x14ac:dyDescent="0.25">
      <c r="B94" t="s">
        <v>789</v>
      </c>
      <c r="C94" t="s">
        <v>115</v>
      </c>
      <c r="D94" t="s">
        <v>792</v>
      </c>
      <c r="E94" t="s">
        <v>8214</v>
      </c>
      <c r="F94" t="s">
        <v>8216</v>
      </c>
      <c r="G94" t="s">
        <v>8215</v>
      </c>
    </row>
    <row r="95" spans="2:7" x14ac:dyDescent="0.25">
      <c r="B95" t="s">
        <v>789</v>
      </c>
      <c r="C95" t="s">
        <v>116</v>
      </c>
      <c r="D95" t="s">
        <v>792</v>
      </c>
      <c r="E95" t="s">
        <v>8016</v>
      </c>
      <c r="F95" t="s">
        <v>8022</v>
      </c>
      <c r="G95" t="s">
        <v>8021</v>
      </c>
    </row>
    <row r="96" spans="2:7" x14ac:dyDescent="0.25">
      <c r="B96" t="s">
        <v>789</v>
      </c>
      <c r="C96" t="s">
        <v>117</v>
      </c>
      <c r="D96" t="s">
        <v>792</v>
      </c>
      <c r="E96" t="s">
        <v>8146</v>
      </c>
      <c r="F96" t="s">
        <v>7894</v>
      </c>
      <c r="G96" t="s">
        <v>8154</v>
      </c>
    </row>
    <row r="97" spans="2:7" x14ac:dyDescent="0.25">
      <c r="B97" t="s">
        <v>789</v>
      </c>
      <c r="C97" t="s">
        <v>118</v>
      </c>
      <c r="D97" t="s">
        <v>793</v>
      </c>
      <c r="E97" t="s">
        <v>8028</v>
      </c>
      <c r="F97" t="s">
        <v>8026</v>
      </c>
      <c r="G97" t="s">
        <v>8027</v>
      </c>
    </row>
    <row r="98" spans="2:7" x14ac:dyDescent="0.25">
      <c r="B98" t="s">
        <v>789</v>
      </c>
      <c r="C98" t="s">
        <v>119</v>
      </c>
      <c r="D98" t="s">
        <v>792</v>
      </c>
      <c r="E98" t="s">
        <v>8446</v>
      </c>
      <c r="F98" t="s">
        <v>7873</v>
      </c>
      <c r="G98" t="s">
        <v>8396</v>
      </c>
    </row>
    <row r="99" spans="2:7" x14ac:dyDescent="0.25">
      <c r="B99" t="s">
        <v>789</v>
      </c>
      <c r="C99" t="s">
        <v>120</v>
      </c>
      <c r="D99" t="s">
        <v>792</v>
      </c>
      <c r="E99" t="s">
        <v>8217</v>
      </c>
      <c r="F99" t="s">
        <v>8218</v>
      </c>
      <c r="G99" t="s">
        <v>8219</v>
      </c>
    </row>
    <row r="100" spans="2:7" x14ac:dyDescent="0.25">
      <c r="B100" t="s">
        <v>789</v>
      </c>
      <c r="C100" t="s">
        <v>121</v>
      </c>
      <c r="D100" t="s">
        <v>793</v>
      </c>
      <c r="E100" t="s">
        <v>8010</v>
      </c>
      <c r="F100" t="s">
        <v>8012</v>
      </c>
      <c r="G100" t="s">
        <v>8011</v>
      </c>
    </row>
    <row r="101" spans="2:7" x14ac:dyDescent="0.25">
      <c r="B101" t="s">
        <v>789</v>
      </c>
      <c r="C101" t="s">
        <v>122</v>
      </c>
      <c r="D101" t="s">
        <v>792</v>
      </c>
      <c r="E101" t="s">
        <v>8103</v>
      </c>
      <c r="F101" t="s">
        <v>8094</v>
      </c>
      <c r="G101" t="s">
        <v>8104</v>
      </c>
    </row>
    <row r="102" spans="2:7" x14ac:dyDescent="0.25">
      <c r="B102" t="s">
        <v>789</v>
      </c>
      <c r="C102" t="s">
        <v>123</v>
      </c>
      <c r="D102" t="s">
        <v>792</v>
      </c>
      <c r="E102" t="s">
        <v>8040</v>
      </c>
      <c r="F102" t="s">
        <v>7907</v>
      </c>
      <c r="G102" t="s">
        <v>8041</v>
      </c>
    </row>
    <row r="103" spans="2:7" x14ac:dyDescent="0.25">
      <c r="B103" t="s">
        <v>789</v>
      </c>
      <c r="C103" t="s">
        <v>124</v>
      </c>
      <c r="D103" t="s">
        <v>792</v>
      </c>
      <c r="E103" t="s">
        <v>8103</v>
      </c>
      <c r="F103" t="s">
        <v>8095</v>
      </c>
      <c r="G103" t="s">
        <v>8104</v>
      </c>
    </row>
    <row r="104" spans="2:7" x14ac:dyDescent="0.25">
      <c r="B104" t="s">
        <v>789</v>
      </c>
      <c r="C104" t="s">
        <v>125</v>
      </c>
      <c r="D104" t="s">
        <v>793</v>
      </c>
      <c r="E104" t="s">
        <v>8220</v>
      </c>
      <c r="F104" t="s">
        <v>8222</v>
      </c>
      <c r="G104" t="s">
        <v>8221</v>
      </c>
    </row>
    <row r="105" spans="2:7" x14ac:dyDescent="0.25">
      <c r="B105" t="s">
        <v>789</v>
      </c>
      <c r="C105" t="s">
        <v>126</v>
      </c>
      <c r="D105" t="s">
        <v>792</v>
      </c>
      <c r="E105" t="s">
        <v>8223</v>
      </c>
      <c r="F105" t="s">
        <v>8228</v>
      </c>
      <c r="G105" t="s">
        <v>8224</v>
      </c>
    </row>
    <row r="106" spans="2:7" x14ac:dyDescent="0.25">
      <c r="B106" t="s">
        <v>789</v>
      </c>
      <c r="C106" t="s">
        <v>127</v>
      </c>
      <c r="D106" t="s">
        <v>793</v>
      </c>
      <c r="E106" t="s">
        <v>7991</v>
      </c>
      <c r="F106" t="s">
        <v>7992</v>
      </c>
      <c r="G106" t="s">
        <v>7993</v>
      </c>
    </row>
    <row r="107" spans="2:7" x14ac:dyDescent="0.25">
      <c r="B107" t="s">
        <v>789</v>
      </c>
      <c r="C107" t="s">
        <v>128</v>
      </c>
      <c r="D107" t="s">
        <v>793</v>
      </c>
      <c r="E107" t="s">
        <v>8229</v>
      </c>
      <c r="F107" t="s">
        <v>8233</v>
      </c>
      <c r="G107" t="s">
        <v>8230</v>
      </c>
    </row>
    <row r="108" spans="2:7" x14ac:dyDescent="0.25">
      <c r="B108" t="s">
        <v>789</v>
      </c>
      <c r="C108" t="s">
        <v>129</v>
      </c>
      <c r="D108" t="s">
        <v>792</v>
      </c>
      <c r="E108" t="s">
        <v>8237</v>
      </c>
      <c r="F108" t="s">
        <v>8239</v>
      </c>
      <c r="G108" t="s">
        <v>8238</v>
      </c>
    </row>
    <row r="109" spans="2:7" x14ac:dyDescent="0.25">
      <c r="B109" t="s">
        <v>789</v>
      </c>
      <c r="C109" t="s">
        <v>130</v>
      </c>
      <c r="D109" t="s">
        <v>792</v>
      </c>
      <c r="E109" t="s">
        <v>8240</v>
      </c>
      <c r="F109" t="s">
        <v>8242</v>
      </c>
      <c r="G109" t="s">
        <v>8241</v>
      </c>
    </row>
    <row r="110" spans="2:7" x14ac:dyDescent="0.25">
      <c r="B110" t="s">
        <v>789</v>
      </c>
      <c r="C110" t="s">
        <v>131</v>
      </c>
      <c r="D110" t="s">
        <v>793</v>
      </c>
      <c r="E110" t="s">
        <v>8243</v>
      </c>
      <c r="F110" t="s">
        <v>8244</v>
      </c>
      <c r="G110" t="s">
        <v>8245</v>
      </c>
    </row>
    <row r="111" spans="2:7" x14ac:dyDescent="0.25">
      <c r="B111" t="s">
        <v>789</v>
      </c>
      <c r="C111" t="s">
        <v>132</v>
      </c>
      <c r="D111" t="s">
        <v>793</v>
      </c>
      <c r="E111" t="s">
        <v>8246</v>
      </c>
      <c r="F111" t="s">
        <v>8248</v>
      </c>
      <c r="G111" t="s">
        <v>8247</v>
      </c>
    </row>
    <row r="112" spans="2:7" x14ac:dyDescent="0.25">
      <c r="B112" t="s">
        <v>789</v>
      </c>
      <c r="C112" t="s">
        <v>133</v>
      </c>
      <c r="D112" t="s">
        <v>793</v>
      </c>
      <c r="E112" t="s">
        <v>8257</v>
      </c>
      <c r="F112" t="s">
        <v>8258</v>
      </c>
      <c r="G112" t="s">
        <v>8256</v>
      </c>
    </row>
    <row r="113" spans="2:7" x14ac:dyDescent="0.25">
      <c r="B113" t="s">
        <v>789</v>
      </c>
      <c r="C113" t="s">
        <v>134</v>
      </c>
      <c r="D113" t="s">
        <v>793</v>
      </c>
      <c r="E113" t="s">
        <v>7991</v>
      </c>
      <c r="F113" t="s">
        <v>7992</v>
      </c>
      <c r="G113" t="s">
        <v>7993</v>
      </c>
    </row>
    <row r="114" spans="2:7" x14ac:dyDescent="0.25">
      <c r="B114" t="s">
        <v>789</v>
      </c>
      <c r="C114" t="s">
        <v>135</v>
      </c>
      <c r="D114" t="s">
        <v>792</v>
      </c>
      <c r="E114" t="s">
        <v>8209</v>
      </c>
      <c r="F114" t="s">
        <v>7934</v>
      </c>
      <c r="G114" t="s">
        <v>7927</v>
      </c>
    </row>
    <row r="115" spans="2:7" x14ac:dyDescent="0.25">
      <c r="B115" t="s">
        <v>789</v>
      </c>
      <c r="C115" t="s">
        <v>136</v>
      </c>
      <c r="D115" t="s">
        <v>792</v>
      </c>
      <c r="E115" t="s">
        <v>7978</v>
      </c>
      <c r="F115" t="s">
        <v>7977</v>
      </c>
      <c r="G115" t="s">
        <v>7974</v>
      </c>
    </row>
    <row r="116" spans="2:7" x14ac:dyDescent="0.25">
      <c r="B116" t="s">
        <v>789</v>
      </c>
      <c r="C116" t="s">
        <v>137</v>
      </c>
      <c r="D116" t="s">
        <v>792</v>
      </c>
      <c r="E116" t="s">
        <v>8146</v>
      </c>
      <c r="F116" t="s">
        <v>7897</v>
      </c>
      <c r="G116" t="s">
        <v>8152</v>
      </c>
    </row>
    <row r="117" spans="2:7" x14ac:dyDescent="0.25">
      <c r="B117" t="s">
        <v>789</v>
      </c>
      <c r="C117" t="s">
        <v>138</v>
      </c>
      <c r="D117" t="s">
        <v>792</v>
      </c>
      <c r="E117" t="s">
        <v>8146</v>
      </c>
      <c r="F117" t="s">
        <v>7896</v>
      </c>
      <c r="G117" t="s">
        <v>8153</v>
      </c>
    </row>
    <row r="118" spans="2:7" x14ac:dyDescent="0.25">
      <c r="B118" t="s">
        <v>789</v>
      </c>
      <c r="C118" t="s">
        <v>139</v>
      </c>
      <c r="D118" t="s">
        <v>792</v>
      </c>
      <c r="E118" t="s">
        <v>8269</v>
      </c>
      <c r="F118" t="s">
        <v>8271</v>
      </c>
      <c r="G118" t="s">
        <v>8270</v>
      </c>
    </row>
    <row r="119" spans="2:7" x14ac:dyDescent="0.25">
      <c r="B119" t="s">
        <v>789</v>
      </c>
      <c r="C119" t="s">
        <v>140</v>
      </c>
      <c r="D119" t="s">
        <v>792</v>
      </c>
      <c r="E119" t="s">
        <v>8062</v>
      </c>
      <c r="F119" t="s">
        <v>8063</v>
      </c>
      <c r="G119" t="s">
        <v>8064</v>
      </c>
    </row>
    <row r="120" spans="2:7" x14ac:dyDescent="0.25">
      <c r="B120" t="s">
        <v>789</v>
      </c>
      <c r="C120" t="s">
        <v>141</v>
      </c>
      <c r="D120" t="s">
        <v>792</v>
      </c>
      <c r="E120" t="s">
        <v>8273</v>
      </c>
      <c r="F120" t="s">
        <v>8275</v>
      </c>
      <c r="G120" t="s">
        <v>8274</v>
      </c>
    </row>
    <row r="121" spans="2:7" x14ac:dyDescent="0.25">
      <c r="B121" t="s">
        <v>789</v>
      </c>
      <c r="C121" t="s">
        <v>142</v>
      </c>
      <c r="D121" t="s">
        <v>792</v>
      </c>
      <c r="E121" t="s">
        <v>7959</v>
      </c>
      <c r="F121" t="s">
        <v>7958</v>
      </c>
      <c r="G121" t="s">
        <v>7960</v>
      </c>
    </row>
    <row r="122" spans="2:7" x14ac:dyDescent="0.25">
      <c r="B122" t="s">
        <v>789</v>
      </c>
      <c r="C122" t="s">
        <v>143</v>
      </c>
      <c r="D122" t="s">
        <v>792</v>
      </c>
      <c r="E122" t="s">
        <v>8146</v>
      </c>
      <c r="F122" t="s">
        <v>7896</v>
      </c>
      <c r="G122" t="s">
        <v>8153</v>
      </c>
    </row>
    <row r="123" spans="2:7" x14ac:dyDescent="0.25">
      <c r="B123" t="s">
        <v>789</v>
      </c>
      <c r="C123" t="s">
        <v>144</v>
      </c>
      <c r="D123" t="s">
        <v>792</v>
      </c>
      <c r="E123" t="s">
        <v>8105</v>
      </c>
      <c r="F123" t="s">
        <v>8096</v>
      </c>
      <c r="G123" t="s">
        <v>8106</v>
      </c>
    </row>
    <row r="124" spans="2:7" x14ac:dyDescent="0.25">
      <c r="B124" t="s">
        <v>789</v>
      </c>
      <c r="C124" t="s">
        <v>145</v>
      </c>
      <c r="D124" t="s">
        <v>793</v>
      </c>
      <c r="E124" t="s">
        <v>8257</v>
      </c>
      <c r="F124" t="s">
        <v>8259</v>
      </c>
      <c r="G124" t="s">
        <v>8256</v>
      </c>
    </row>
    <row r="125" spans="2:7" x14ac:dyDescent="0.25">
      <c r="B125" t="s">
        <v>789</v>
      </c>
      <c r="C125" t="s">
        <v>146</v>
      </c>
      <c r="D125" t="s">
        <v>793</v>
      </c>
      <c r="E125" t="s">
        <v>8257</v>
      </c>
      <c r="F125" t="s">
        <v>8260</v>
      </c>
      <c r="G125" t="s">
        <v>8256</v>
      </c>
    </row>
    <row r="126" spans="2:7" x14ac:dyDescent="0.25">
      <c r="B126" t="s">
        <v>789</v>
      </c>
      <c r="C126" t="s">
        <v>147</v>
      </c>
      <c r="D126" t="s">
        <v>792</v>
      </c>
      <c r="E126" t="s">
        <v>8214</v>
      </c>
      <c r="F126" t="s">
        <v>8216</v>
      </c>
      <c r="G126" t="s">
        <v>8215</v>
      </c>
    </row>
    <row r="127" spans="2:7" x14ac:dyDescent="0.25">
      <c r="B127" t="s">
        <v>789</v>
      </c>
      <c r="C127" t="s">
        <v>148</v>
      </c>
      <c r="D127" t="s">
        <v>793</v>
      </c>
      <c r="E127" t="s">
        <v>8265</v>
      </c>
      <c r="F127" t="s">
        <v>8267</v>
      </c>
      <c r="G127" t="s">
        <v>8266</v>
      </c>
    </row>
    <row r="128" spans="2:7" x14ac:dyDescent="0.25">
      <c r="B128" t="s">
        <v>789</v>
      </c>
      <c r="C128" t="s">
        <v>149</v>
      </c>
      <c r="D128" t="s">
        <v>793</v>
      </c>
      <c r="E128" t="s">
        <v>8279</v>
      </c>
      <c r="F128" t="s">
        <v>8281</v>
      </c>
      <c r="G128" t="s">
        <v>8280</v>
      </c>
    </row>
    <row r="129" spans="2:7" x14ac:dyDescent="0.25">
      <c r="B129" t="s">
        <v>789</v>
      </c>
      <c r="C129" t="s">
        <v>150</v>
      </c>
      <c r="D129" t="s">
        <v>792</v>
      </c>
      <c r="E129" t="s">
        <v>8146</v>
      </c>
      <c r="F129" t="s">
        <v>7896</v>
      </c>
      <c r="G129" t="s">
        <v>8153</v>
      </c>
    </row>
    <row r="130" spans="2:7" x14ac:dyDescent="0.25">
      <c r="B130" t="s">
        <v>789</v>
      </c>
      <c r="C130" t="s">
        <v>151</v>
      </c>
      <c r="D130" t="s">
        <v>792</v>
      </c>
      <c r="E130" t="s">
        <v>8282</v>
      </c>
      <c r="F130" t="s">
        <v>8283</v>
      </c>
      <c r="G130" t="s">
        <v>8284</v>
      </c>
    </row>
    <row r="131" spans="2:7" x14ac:dyDescent="0.25">
      <c r="B131" t="s">
        <v>789</v>
      </c>
      <c r="C131" t="s">
        <v>152</v>
      </c>
      <c r="D131" t="s">
        <v>793</v>
      </c>
      <c r="E131" t="s">
        <v>8231</v>
      </c>
      <c r="F131" t="s">
        <v>8232</v>
      </c>
      <c r="G131" t="s">
        <v>8230</v>
      </c>
    </row>
    <row r="132" spans="2:7" x14ac:dyDescent="0.25">
      <c r="B132" t="s">
        <v>789</v>
      </c>
      <c r="C132" t="s">
        <v>153</v>
      </c>
      <c r="D132" t="s">
        <v>793</v>
      </c>
      <c r="E132" t="s">
        <v>8172</v>
      </c>
      <c r="F132" t="s">
        <v>8181</v>
      </c>
      <c r="G132" t="s">
        <v>8180</v>
      </c>
    </row>
    <row r="133" spans="2:7" x14ac:dyDescent="0.25">
      <c r="B133" t="s">
        <v>789</v>
      </c>
      <c r="C133" t="s">
        <v>154</v>
      </c>
      <c r="D133" t="s">
        <v>793</v>
      </c>
      <c r="E133" t="s">
        <v>8172</v>
      </c>
      <c r="F133" t="s">
        <v>8173</v>
      </c>
      <c r="G133" t="s">
        <v>8171</v>
      </c>
    </row>
    <row r="134" spans="2:7" x14ac:dyDescent="0.25">
      <c r="B134" t="s">
        <v>789</v>
      </c>
      <c r="C134" t="s">
        <v>155</v>
      </c>
      <c r="D134" t="s">
        <v>792</v>
      </c>
      <c r="E134" t="s">
        <v>8032</v>
      </c>
      <c r="F134" t="s">
        <v>8034</v>
      </c>
      <c r="G134" t="s">
        <v>8033</v>
      </c>
    </row>
    <row r="135" spans="2:7" x14ac:dyDescent="0.25">
      <c r="B135" t="s">
        <v>789</v>
      </c>
      <c r="C135" t="s">
        <v>156</v>
      </c>
      <c r="D135" t="s">
        <v>792</v>
      </c>
      <c r="E135" t="s">
        <v>8039</v>
      </c>
      <c r="F135" t="s">
        <v>7902</v>
      </c>
      <c r="G135" t="s">
        <v>8043</v>
      </c>
    </row>
    <row r="136" spans="2:7" x14ac:dyDescent="0.25">
      <c r="B136" t="s">
        <v>789</v>
      </c>
      <c r="C136" t="s">
        <v>157</v>
      </c>
      <c r="D136" t="s">
        <v>793</v>
      </c>
      <c r="E136" t="s">
        <v>7924</v>
      </c>
      <c r="F136" t="s">
        <v>7926</v>
      </c>
      <c r="G136" t="s">
        <v>7925</v>
      </c>
    </row>
    <row r="137" spans="2:7" x14ac:dyDescent="0.25">
      <c r="B137" t="s">
        <v>789</v>
      </c>
      <c r="C137" t="s">
        <v>158</v>
      </c>
      <c r="D137" t="s">
        <v>793</v>
      </c>
      <c r="E137" t="s">
        <v>8285</v>
      </c>
      <c r="F137" t="s">
        <v>8287</v>
      </c>
      <c r="G137" t="s">
        <v>8286</v>
      </c>
    </row>
    <row r="138" spans="2:7" x14ac:dyDescent="0.25">
      <c r="B138" t="s">
        <v>789</v>
      </c>
      <c r="C138" t="s">
        <v>159</v>
      </c>
      <c r="D138" t="s">
        <v>793</v>
      </c>
      <c r="E138" t="s">
        <v>8285</v>
      </c>
      <c r="F138" t="s">
        <v>8288</v>
      </c>
      <c r="G138" t="s">
        <v>8286</v>
      </c>
    </row>
    <row r="139" spans="2:7" x14ac:dyDescent="0.25">
      <c r="B139" t="s">
        <v>789</v>
      </c>
      <c r="C139" t="s">
        <v>160</v>
      </c>
      <c r="D139" t="s">
        <v>793</v>
      </c>
      <c r="E139" t="s">
        <v>8285</v>
      </c>
      <c r="F139" t="s">
        <v>8289</v>
      </c>
      <c r="G139" t="s">
        <v>8286</v>
      </c>
    </row>
    <row r="140" spans="2:7" x14ac:dyDescent="0.25">
      <c r="B140" t="s">
        <v>789</v>
      </c>
      <c r="C140" t="s">
        <v>161</v>
      </c>
      <c r="D140" t="s">
        <v>792</v>
      </c>
      <c r="E140" t="s">
        <v>8039</v>
      </c>
      <c r="F140" t="s">
        <v>7902</v>
      </c>
      <c r="G140" t="s">
        <v>8043</v>
      </c>
    </row>
    <row r="141" spans="2:7" x14ac:dyDescent="0.25">
      <c r="B141" t="s">
        <v>789</v>
      </c>
      <c r="C141" t="s">
        <v>162</v>
      </c>
      <c r="D141" t="s">
        <v>792</v>
      </c>
      <c r="E141" t="s">
        <v>8196</v>
      </c>
      <c r="F141" t="s">
        <v>8198</v>
      </c>
      <c r="G141" t="s">
        <v>8197</v>
      </c>
    </row>
    <row r="142" spans="2:7" x14ac:dyDescent="0.25">
      <c r="B142" t="s">
        <v>789</v>
      </c>
      <c r="C142" t="s">
        <v>163</v>
      </c>
      <c r="D142" t="s">
        <v>7839</v>
      </c>
      <c r="E142" t="s">
        <v>8010</v>
      </c>
      <c r="F142" t="s">
        <v>8013</v>
      </c>
      <c r="G142" t="s">
        <v>8011</v>
      </c>
    </row>
    <row r="143" spans="2:7" x14ac:dyDescent="0.25">
      <c r="B143" t="s">
        <v>789</v>
      </c>
      <c r="C143" t="s">
        <v>164</v>
      </c>
      <c r="D143" t="s">
        <v>792</v>
      </c>
      <c r="E143" t="s">
        <v>8294</v>
      </c>
      <c r="F143" t="s">
        <v>8295</v>
      </c>
      <c r="G143" t="s">
        <v>8293</v>
      </c>
    </row>
    <row r="144" spans="2:7" x14ac:dyDescent="0.25">
      <c r="B144" t="s">
        <v>789</v>
      </c>
      <c r="C144" t="s">
        <v>165</v>
      </c>
      <c r="D144" t="s">
        <v>792</v>
      </c>
      <c r="E144" t="s">
        <v>8146</v>
      </c>
      <c r="F144" t="s">
        <v>7896</v>
      </c>
      <c r="G144" t="s">
        <v>8153</v>
      </c>
    </row>
    <row r="145" spans="2:7" x14ac:dyDescent="0.25">
      <c r="B145" t="s">
        <v>789</v>
      </c>
      <c r="C145" t="s">
        <v>166</v>
      </c>
      <c r="D145" t="s">
        <v>792</v>
      </c>
      <c r="E145" t="s">
        <v>8301</v>
      </c>
      <c r="F145" t="s">
        <v>8304</v>
      </c>
      <c r="G145" t="s">
        <v>8302</v>
      </c>
    </row>
    <row r="146" spans="2:7" x14ac:dyDescent="0.25">
      <c r="B146" t="s">
        <v>789</v>
      </c>
      <c r="C146" t="s">
        <v>167</v>
      </c>
      <c r="D146" t="s">
        <v>792</v>
      </c>
      <c r="E146" t="s">
        <v>8301</v>
      </c>
      <c r="F146" t="s">
        <v>8305</v>
      </c>
      <c r="G146" t="s">
        <v>8302</v>
      </c>
    </row>
    <row r="147" spans="2:7" x14ac:dyDescent="0.25">
      <c r="B147" t="s">
        <v>789</v>
      </c>
      <c r="C147" t="s">
        <v>168</v>
      </c>
      <c r="D147" t="s">
        <v>793</v>
      </c>
      <c r="E147" t="s">
        <v>8257</v>
      </c>
      <c r="F147" t="s">
        <v>8261</v>
      </c>
      <c r="G147" t="s">
        <v>8256</v>
      </c>
    </row>
    <row r="148" spans="2:7" x14ac:dyDescent="0.25">
      <c r="B148" t="s">
        <v>789</v>
      </c>
      <c r="C148" t="s">
        <v>169</v>
      </c>
      <c r="D148" t="s">
        <v>793</v>
      </c>
      <c r="E148" t="s">
        <v>7924</v>
      </c>
      <c r="F148" t="s">
        <v>7926</v>
      </c>
      <c r="G148" t="s">
        <v>7925</v>
      </c>
    </row>
    <row r="149" spans="2:7" x14ac:dyDescent="0.25">
      <c r="B149" t="s">
        <v>789</v>
      </c>
      <c r="C149" t="s">
        <v>170</v>
      </c>
      <c r="D149" t="s">
        <v>792</v>
      </c>
      <c r="E149" t="s">
        <v>8016</v>
      </c>
      <c r="F149" t="s">
        <v>8020</v>
      </c>
      <c r="G149" t="s">
        <v>8017</v>
      </c>
    </row>
    <row r="150" spans="2:7" x14ac:dyDescent="0.25">
      <c r="B150" t="s">
        <v>789</v>
      </c>
      <c r="C150" t="s">
        <v>171</v>
      </c>
      <c r="D150" t="s">
        <v>792</v>
      </c>
      <c r="E150" t="s">
        <v>8307</v>
      </c>
      <c r="F150" t="s">
        <v>8309</v>
      </c>
      <c r="G150" t="s">
        <v>8308</v>
      </c>
    </row>
    <row r="151" spans="2:7" x14ac:dyDescent="0.25">
      <c r="B151" t="s">
        <v>789</v>
      </c>
      <c r="C151" t="s">
        <v>172</v>
      </c>
      <c r="D151" t="s">
        <v>793</v>
      </c>
      <c r="E151" t="s">
        <v>7898</v>
      </c>
      <c r="F151" t="s">
        <v>8310</v>
      </c>
      <c r="G151" t="s">
        <v>7899</v>
      </c>
    </row>
    <row r="152" spans="2:7" x14ac:dyDescent="0.25">
      <c r="B152" t="s">
        <v>789</v>
      </c>
      <c r="C152" t="s">
        <v>173</v>
      </c>
      <c r="D152" t="s">
        <v>792</v>
      </c>
      <c r="E152" t="s">
        <v>8036</v>
      </c>
      <c r="F152" t="s">
        <v>7850</v>
      </c>
      <c r="G152" t="s">
        <v>8037</v>
      </c>
    </row>
    <row r="153" spans="2:7" x14ac:dyDescent="0.25">
      <c r="B153" t="s">
        <v>789</v>
      </c>
      <c r="C153" t="s">
        <v>174</v>
      </c>
      <c r="D153" t="s">
        <v>792</v>
      </c>
      <c r="E153" t="s">
        <v>8036</v>
      </c>
      <c r="F153" t="s">
        <v>7850</v>
      </c>
      <c r="G153" t="s">
        <v>8037</v>
      </c>
    </row>
    <row r="154" spans="2:7" x14ac:dyDescent="0.25">
      <c r="B154" t="s">
        <v>789</v>
      </c>
      <c r="C154" t="s">
        <v>175</v>
      </c>
      <c r="D154" t="s">
        <v>792</v>
      </c>
      <c r="E154" t="s">
        <v>8273</v>
      </c>
      <c r="F154" t="s">
        <v>8277</v>
      </c>
      <c r="G154" t="s">
        <v>8276</v>
      </c>
    </row>
    <row r="155" spans="2:7" x14ac:dyDescent="0.25">
      <c r="B155" t="s">
        <v>789</v>
      </c>
      <c r="C155" t="s">
        <v>176</v>
      </c>
      <c r="D155" t="s">
        <v>793</v>
      </c>
      <c r="E155" t="s">
        <v>8231</v>
      </c>
      <c r="F155" t="s">
        <v>8232</v>
      </c>
      <c r="G155" t="s">
        <v>8230</v>
      </c>
    </row>
    <row r="156" spans="2:7" x14ac:dyDescent="0.25">
      <c r="B156" t="s">
        <v>789</v>
      </c>
      <c r="C156" t="s">
        <v>177</v>
      </c>
      <c r="D156" t="s">
        <v>792</v>
      </c>
      <c r="E156" t="s">
        <v>8109</v>
      </c>
      <c r="F156" t="s">
        <v>8097</v>
      </c>
      <c r="G156" t="s">
        <v>8110</v>
      </c>
    </row>
    <row r="157" spans="2:7" x14ac:dyDescent="0.25">
      <c r="B157" t="s">
        <v>789</v>
      </c>
      <c r="C157" t="s">
        <v>178</v>
      </c>
      <c r="D157" t="s">
        <v>793</v>
      </c>
      <c r="E157" t="s">
        <v>8311</v>
      </c>
      <c r="F157" t="s">
        <v>8312</v>
      </c>
      <c r="G157" t="s">
        <v>7899</v>
      </c>
    </row>
    <row r="158" spans="2:7" x14ac:dyDescent="0.25">
      <c r="B158" t="s">
        <v>789</v>
      </c>
      <c r="C158" t="s">
        <v>179</v>
      </c>
      <c r="D158" t="s">
        <v>792</v>
      </c>
      <c r="E158" t="s">
        <v>8307</v>
      </c>
      <c r="F158" t="s">
        <v>8313</v>
      </c>
      <c r="G158" t="s">
        <v>8308</v>
      </c>
    </row>
    <row r="159" spans="2:7" x14ac:dyDescent="0.25">
      <c r="B159" t="s">
        <v>789</v>
      </c>
      <c r="C159" t="s">
        <v>180</v>
      </c>
      <c r="D159" t="s">
        <v>793</v>
      </c>
      <c r="E159" t="s">
        <v>8190</v>
      </c>
      <c r="F159" t="s">
        <v>8193</v>
      </c>
      <c r="G159" t="s">
        <v>8191</v>
      </c>
    </row>
    <row r="160" spans="2:7" x14ac:dyDescent="0.25">
      <c r="B160" t="s">
        <v>789</v>
      </c>
      <c r="C160" t="s">
        <v>181</v>
      </c>
      <c r="D160" t="s">
        <v>793</v>
      </c>
      <c r="E160" t="s">
        <v>7898</v>
      </c>
      <c r="G160" t="s">
        <v>7899</v>
      </c>
    </row>
    <row r="161" spans="2:7" x14ac:dyDescent="0.25">
      <c r="B161" t="s">
        <v>789</v>
      </c>
      <c r="C161" t="s">
        <v>182</v>
      </c>
      <c r="D161" t="s">
        <v>792</v>
      </c>
      <c r="E161" t="s">
        <v>8142</v>
      </c>
      <c r="F161" t="s">
        <v>8145</v>
      </c>
      <c r="G161" t="s">
        <v>8143</v>
      </c>
    </row>
    <row r="162" spans="2:7" x14ac:dyDescent="0.25">
      <c r="B162" t="s">
        <v>789</v>
      </c>
      <c r="C162" t="s">
        <v>183</v>
      </c>
      <c r="D162" t="s">
        <v>792</v>
      </c>
      <c r="E162" t="s">
        <v>8087</v>
      </c>
      <c r="F162" t="s">
        <v>8098</v>
      </c>
      <c r="G162" t="s">
        <v>8089</v>
      </c>
    </row>
    <row r="163" spans="2:7" x14ac:dyDescent="0.25">
      <c r="B163" t="s">
        <v>789</v>
      </c>
      <c r="C163" t="s">
        <v>184</v>
      </c>
      <c r="D163" t="s">
        <v>792</v>
      </c>
      <c r="E163" t="s">
        <v>8069</v>
      </c>
      <c r="F163" t="s">
        <v>8075</v>
      </c>
      <c r="G163" t="s">
        <v>8076</v>
      </c>
    </row>
    <row r="164" spans="2:7" x14ac:dyDescent="0.25">
      <c r="B164" t="s">
        <v>789</v>
      </c>
      <c r="C164" t="s">
        <v>185</v>
      </c>
      <c r="D164" t="s">
        <v>792</v>
      </c>
      <c r="E164" t="s">
        <v>7917</v>
      </c>
      <c r="F164" t="s">
        <v>7920</v>
      </c>
      <c r="G164" t="s">
        <v>7918</v>
      </c>
    </row>
    <row r="165" spans="2:7" x14ac:dyDescent="0.25">
      <c r="B165" t="s">
        <v>789</v>
      </c>
      <c r="C165" t="s">
        <v>186</v>
      </c>
      <c r="D165" t="s">
        <v>792</v>
      </c>
      <c r="E165" t="s">
        <v>8146</v>
      </c>
      <c r="F165" t="s">
        <v>7889</v>
      </c>
      <c r="G165" t="s">
        <v>8154</v>
      </c>
    </row>
    <row r="166" spans="2:7" x14ac:dyDescent="0.25">
      <c r="B166" t="s">
        <v>789</v>
      </c>
      <c r="C166" t="s">
        <v>187</v>
      </c>
      <c r="D166" t="s">
        <v>792</v>
      </c>
      <c r="E166" t="s">
        <v>8051</v>
      </c>
      <c r="F166" t="s">
        <v>8052</v>
      </c>
      <c r="G166" t="s">
        <v>8053</v>
      </c>
    </row>
    <row r="167" spans="2:7" x14ac:dyDescent="0.25">
      <c r="B167" t="s">
        <v>789</v>
      </c>
      <c r="C167" t="s">
        <v>188</v>
      </c>
      <c r="D167" t="s">
        <v>792</v>
      </c>
      <c r="E167" t="s">
        <v>8146</v>
      </c>
      <c r="F167" t="s">
        <v>7896</v>
      </c>
      <c r="G167" t="s">
        <v>8153</v>
      </c>
    </row>
    <row r="168" spans="2:7" x14ac:dyDescent="0.25">
      <c r="B168" t="s">
        <v>789</v>
      </c>
      <c r="C168" t="s">
        <v>189</v>
      </c>
      <c r="D168" t="s">
        <v>792</v>
      </c>
      <c r="E168" t="s">
        <v>8146</v>
      </c>
      <c r="F168" t="s">
        <v>8150</v>
      </c>
      <c r="G168" t="s">
        <v>8148</v>
      </c>
    </row>
    <row r="169" spans="2:7" x14ac:dyDescent="0.25">
      <c r="B169" t="s">
        <v>789</v>
      </c>
      <c r="C169" t="s">
        <v>190</v>
      </c>
      <c r="D169" t="s">
        <v>792</v>
      </c>
      <c r="E169" t="s">
        <v>8146</v>
      </c>
      <c r="F169" t="s">
        <v>7889</v>
      </c>
      <c r="G169" t="s">
        <v>8149</v>
      </c>
    </row>
    <row r="170" spans="2:7" x14ac:dyDescent="0.25">
      <c r="B170" t="s">
        <v>789</v>
      </c>
      <c r="C170" t="s">
        <v>191</v>
      </c>
      <c r="D170" t="s">
        <v>793</v>
      </c>
      <c r="E170" t="s">
        <v>8285</v>
      </c>
      <c r="F170" t="s">
        <v>8290</v>
      </c>
      <c r="G170" t="s">
        <v>8286</v>
      </c>
    </row>
    <row r="171" spans="2:7" x14ac:dyDescent="0.25">
      <c r="B171" t="s">
        <v>789</v>
      </c>
      <c r="C171" t="s">
        <v>192</v>
      </c>
      <c r="D171" t="s">
        <v>792</v>
      </c>
      <c r="E171" t="s">
        <v>8103</v>
      </c>
      <c r="F171" t="s">
        <v>8099</v>
      </c>
      <c r="G171" t="s">
        <v>8104</v>
      </c>
    </row>
    <row r="172" spans="2:7" x14ac:dyDescent="0.25">
      <c r="B172" t="s">
        <v>789</v>
      </c>
      <c r="C172" t="s">
        <v>193</v>
      </c>
      <c r="D172" t="s">
        <v>792</v>
      </c>
      <c r="E172" t="s">
        <v>8146</v>
      </c>
      <c r="F172" t="s">
        <v>7896</v>
      </c>
      <c r="G172" t="s">
        <v>8153</v>
      </c>
    </row>
    <row r="173" spans="2:7" x14ac:dyDescent="0.25">
      <c r="B173" t="s">
        <v>789</v>
      </c>
      <c r="C173" t="s">
        <v>194</v>
      </c>
      <c r="D173" t="s">
        <v>793</v>
      </c>
      <c r="E173" t="s">
        <v>8314</v>
      </c>
      <c r="F173" t="s">
        <v>8315</v>
      </c>
      <c r="G173" t="s">
        <v>8316</v>
      </c>
    </row>
    <row r="174" spans="2:7" x14ac:dyDescent="0.25">
      <c r="B174" t="s">
        <v>789</v>
      </c>
      <c r="C174" t="s">
        <v>195</v>
      </c>
      <c r="D174" t="s">
        <v>792</v>
      </c>
      <c r="E174" t="s">
        <v>8105</v>
      </c>
      <c r="F174" t="s">
        <v>8100</v>
      </c>
      <c r="G174" t="s">
        <v>8106</v>
      </c>
    </row>
    <row r="175" spans="2:7" x14ac:dyDescent="0.25">
      <c r="B175" t="s">
        <v>789</v>
      </c>
      <c r="C175" t="s">
        <v>196</v>
      </c>
      <c r="D175" t="s">
        <v>793</v>
      </c>
      <c r="E175" t="s">
        <v>8172</v>
      </c>
      <c r="F175" t="s">
        <v>8181</v>
      </c>
      <c r="G175" t="s">
        <v>8180</v>
      </c>
    </row>
    <row r="176" spans="2:7" x14ac:dyDescent="0.25">
      <c r="B176" t="s">
        <v>789</v>
      </c>
      <c r="C176" t="s">
        <v>197</v>
      </c>
      <c r="D176" t="s">
        <v>7839</v>
      </c>
      <c r="E176" t="s">
        <v>8317</v>
      </c>
      <c r="F176" t="s">
        <v>8318</v>
      </c>
      <c r="G176" t="s">
        <v>8319</v>
      </c>
    </row>
    <row r="177" spans="2:7" x14ac:dyDescent="0.25">
      <c r="B177" t="s">
        <v>789</v>
      </c>
      <c r="C177" t="s">
        <v>198</v>
      </c>
      <c r="D177" t="s">
        <v>792</v>
      </c>
      <c r="E177" t="s">
        <v>8209</v>
      </c>
      <c r="F177" t="s">
        <v>7935</v>
      </c>
      <c r="G177" t="s">
        <v>7927</v>
      </c>
    </row>
    <row r="178" spans="2:7" x14ac:dyDescent="0.25">
      <c r="B178" t="s">
        <v>789</v>
      </c>
      <c r="C178" t="s">
        <v>199</v>
      </c>
      <c r="D178" t="s">
        <v>793</v>
      </c>
      <c r="E178" t="s">
        <v>8320</v>
      </c>
      <c r="F178" t="s">
        <v>8321</v>
      </c>
      <c r="G178" t="s">
        <v>8322</v>
      </c>
    </row>
    <row r="179" spans="2:7" x14ac:dyDescent="0.25">
      <c r="B179" t="s">
        <v>789</v>
      </c>
      <c r="C179" t="s">
        <v>200</v>
      </c>
      <c r="D179" t="s">
        <v>7839</v>
      </c>
      <c r="E179" t="s">
        <v>8324</v>
      </c>
      <c r="F179" t="s">
        <v>8325</v>
      </c>
      <c r="G179" t="s">
        <v>8326</v>
      </c>
    </row>
    <row r="180" spans="2:7" x14ac:dyDescent="0.25">
      <c r="B180" t="s">
        <v>789</v>
      </c>
      <c r="C180" t="s">
        <v>201</v>
      </c>
      <c r="D180" t="s">
        <v>792</v>
      </c>
      <c r="E180" t="s">
        <v>8105</v>
      </c>
      <c r="F180" t="s">
        <v>8090</v>
      </c>
      <c r="G180" t="s">
        <v>8106</v>
      </c>
    </row>
    <row r="181" spans="2:7" x14ac:dyDescent="0.25">
      <c r="B181" t="s">
        <v>789</v>
      </c>
      <c r="C181" t="s">
        <v>202</v>
      </c>
      <c r="D181" t="s">
        <v>792</v>
      </c>
      <c r="E181" t="s">
        <v>8016</v>
      </c>
      <c r="F181" t="s">
        <v>8023</v>
      </c>
      <c r="G181" t="s">
        <v>8021</v>
      </c>
    </row>
    <row r="182" spans="2:7" x14ac:dyDescent="0.25">
      <c r="B182" t="s">
        <v>789</v>
      </c>
      <c r="C182" t="s">
        <v>203</v>
      </c>
      <c r="D182" t="s">
        <v>792</v>
      </c>
      <c r="E182" t="s">
        <v>7846</v>
      </c>
      <c r="F182" t="s">
        <v>7851</v>
      </c>
      <c r="G182" t="s">
        <v>8037</v>
      </c>
    </row>
    <row r="183" spans="2:7" x14ac:dyDescent="0.25">
      <c r="B183" t="s">
        <v>789</v>
      </c>
      <c r="C183" t="s">
        <v>204</v>
      </c>
      <c r="D183" t="s">
        <v>792</v>
      </c>
      <c r="E183" t="s">
        <v>8146</v>
      </c>
      <c r="F183" t="s">
        <v>7896</v>
      </c>
      <c r="G183" t="s">
        <v>8153</v>
      </c>
    </row>
    <row r="184" spans="2:7" x14ac:dyDescent="0.25">
      <c r="B184" t="s">
        <v>789</v>
      </c>
      <c r="C184" t="s">
        <v>205</v>
      </c>
      <c r="D184" t="s">
        <v>793</v>
      </c>
      <c r="E184" t="s">
        <v>8265</v>
      </c>
      <c r="F184" t="s">
        <v>8268</v>
      </c>
      <c r="G184" t="s">
        <v>8266</v>
      </c>
    </row>
    <row r="185" spans="2:7" x14ac:dyDescent="0.25">
      <c r="B185" t="s">
        <v>789</v>
      </c>
      <c r="C185" t="s">
        <v>206</v>
      </c>
      <c r="D185" t="s">
        <v>792</v>
      </c>
      <c r="E185" t="s">
        <v>8330</v>
      </c>
      <c r="F185" t="s">
        <v>8328</v>
      </c>
      <c r="G185" t="s">
        <v>8329</v>
      </c>
    </row>
    <row r="186" spans="2:7" x14ac:dyDescent="0.25">
      <c r="B186" t="s">
        <v>789</v>
      </c>
      <c r="C186" t="s">
        <v>5927</v>
      </c>
      <c r="D186" t="s">
        <v>793</v>
      </c>
      <c r="E186" t="s">
        <v>8331</v>
      </c>
      <c r="F186" t="s">
        <v>8332</v>
      </c>
      <c r="G186" t="s">
        <v>8333</v>
      </c>
    </row>
    <row r="187" spans="2:7" x14ac:dyDescent="0.25">
      <c r="B187" t="s">
        <v>789</v>
      </c>
      <c r="C187" t="s">
        <v>207</v>
      </c>
      <c r="D187" t="s">
        <v>793</v>
      </c>
      <c r="E187" t="s">
        <v>8338</v>
      </c>
      <c r="F187" t="s">
        <v>8339</v>
      </c>
      <c r="G187" t="s">
        <v>8340</v>
      </c>
    </row>
    <row r="188" spans="2:7" x14ac:dyDescent="0.25">
      <c r="B188" t="s">
        <v>789</v>
      </c>
      <c r="C188" t="s">
        <v>208</v>
      </c>
      <c r="D188" t="s">
        <v>793</v>
      </c>
      <c r="E188" t="s">
        <v>8341</v>
      </c>
      <c r="F188" t="s">
        <v>8343</v>
      </c>
      <c r="G188" t="s">
        <v>8342</v>
      </c>
    </row>
    <row r="189" spans="2:7" x14ac:dyDescent="0.25">
      <c r="B189" t="s">
        <v>789</v>
      </c>
      <c r="C189" t="s">
        <v>209</v>
      </c>
      <c r="D189" t="s">
        <v>793</v>
      </c>
      <c r="E189" t="s">
        <v>8348</v>
      </c>
      <c r="F189" t="s">
        <v>8350</v>
      </c>
      <c r="G189" t="s">
        <v>8349</v>
      </c>
    </row>
    <row r="190" spans="2:7" x14ac:dyDescent="0.25">
      <c r="B190" t="s">
        <v>789</v>
      </c>
      <c r="C190" t="s">
        <v>210</v>
      </c>
      <c r="D190" t="s">
        <v>792</v>
      </c>
      <c r="E190" t="s">
        <v>8356</v>
      </c>
      <c r="F190" t="s">
        <v>8359</v>
      </c>
      <c r="G190" t="s">
        <v>8357</v>
      </c>
    </row>
    <row r="191" spans="2:7" x14ac:dyDescent="0.25">
      <c r="B191" t="s">
        <v>789</v>
      </c>
      <c r="C191" t="s">
        <v>211</v>
      </c>
      <c r="D191" t="s">
        <v>793</v>
      </c>
      <c r="E191" t="s">
        <v>7898</v>
      </c>
      <c r="F191" t="s">
        <v>7901</v>
      </c>
      <c r="G191" t="s">
        <v>7899</v>
      </c>
    </row>
    <row r="192" spans="2:7" x14ac:dyDescent="0.25">
      <c r="B192" t="s">
        <v>789</v>
      </c>
      <c r="C192" t="s">
        <v>212</v>
      </c>
      <c r="D192" t="s">
        <v>792</v>
      </c>
      <c r="E192" t="s">
        <v>8360</v>
      </c>
      <c r="F192" t="s">
        <v>8364</v>
      </c>
      <c r="G192" t="s">
        <v>8361</v>
      </c>
    </row>
    <row r="193" spans="2:7" x14ac:dyDescent="0.25">
      <c r="B193" t="s">
        <v>789</v>
      </c>
      <c r="C193" t="s">
        <v>213</v>
      </c>
      <c r="D193" t="s">
        <v>793</v>
      </c>
      <c r="E193" t="s">
        <v>8365</v>
      </c>
      <c r="F193" t="s">
        <v>8367</v>
      </c>
      <c r="G193" t="s">
        <v>8366</v>
      </c>
    </row>
    <row r="194" spans="2:7" x14ac:dyDescent="0.25">
      <c r="B194" t="s">
        <v>789</v>
      </c>
      <c r="C194" t="s">
        <v>214</v>
      </c>
      <c r="D194" t="s">
        <v>793</v>
      </c>
      <c r="E194" t="s">
        <v>8341</v>
      </c>
      <c r="F194" t="s">
        <v>8344</v>
      </c>
      <c r="G194" t="s">
        <v>8342</v>
      </c>
    </row>
    <row r="195" spans="2:7" x14ac:dyDescent="0.25">
      <c r="B195" t="s">
        <v>789</v>
      </c>
      <c r="C195" t="s">
        <v>215</v>
      </c>
      <c r="D195" t="s">
        <v>792</v>
      </c>
      <c r="E195" t="s">
        <v>8331</v>
      </c>
      <c r="F195" t="s">
        <v>8334</v>
      </c>
      <c r="G195" t="s">
        <v>8333</v>
      </c>
    </row>
    <row r="196" spans="2:7" x14ac:dyDescent="0.25">
      <c r="B196" t="s">
        <v>789</v>
      </c>
      <c r="C196" t="s">
        <v>216</v>
      </c>
      <c r="D196" t="s">
        <v>792</v>
      </c>
      <c r="E196" t="s">
        <v>8002</v>
      </c>
      <c r="F196" t="s">
        <v>8003</v>
      </c>
      <c r="G196" t="s">
        <v>8005</v>
      </c>
    </row>
    <row r="197" spans="2:7" x14ac:dyDescent="0.25">
      <c r="B197" t="s">
        <v>789</v>
      </c>
      <c r="C197" t="s">
        <v>217</v>
      </c>
      <c r="D197" t="s">
        <v>792</v>
      </c>
      <c r="E197" t="s">
        <v>8109</v>
      </c>
      <c r="F197" t="s">
        <v>8090</v>
      </c>
      <c r="G197" t="s">
        <v>8110</v>
      </c>
    </row>
    <row r="198" spans="2:7" x14ac:dyDescent="0.25">
      <c r="B198" t="s">
        <v>789</v>
      </c>
      <c r="C198" t="s">
        <v>218</v>
      </c>
      <c r="D198" t="s">
        <v>793</v>
      </c>
      <c r="E198" t="s">
        <v>7924</v>
      </c>
      <c r="F198" t="s">
        <v>7926</v>
      </c>
      <c r="G198" t="s">
        <v>7925</v>
      </c>
    </row>
    <row r="199" spans="2:7" x14ac:dyDescent="0.25">
      <c r="B199" t="s">
        <v>789</v>
      </c>
      <c r="C199" t="s">
        <v>219</v>
      </c>
      <c r="D199" t="s">
        <v>793</v>
      </c>
      <c r="E199" t="s">
        <v>8229</v>
      </c>
      <c r="F199" t="s">
        <v>8234</v>
      </c>
      <c r="G199" t="s">
        <v>8230</v>
      </c>
    </row>
    <row r="200" spans="2:7" x14ac:dyDescent="0.25">
      <c r="B200" t="s">
        <v>789</v>
      </c>
      <c r="C200" t="s">
        <v>220</v>
      </c>
      <c r="D200" t="s">
        <v>792</v>
      </c>
      <c r="E200" t="s">
        <v>7981</v>
      </c>
      <c r="F200" t="s">
        <v>7982</v>
      </c>
      <c r="G200" t="s">
        <v>7984</v>
      </c>
    </row>
    <row r="201" spans="2:7" x14ac:dyDescent="0.25">
      <c r="B201" t="s">
        <v>789</v>
      </c>
      <c r="C201" t="s">
        <v>221</v>
      </c>
      <c r="D201" t="s">
        <v>793</v>
      </c>
      <c r="E201" t="s">
        <v>8368</v>
      </c>
      <c r="F201" t="s">
        <v>8370</v>
      </c>
      <c r="G201" t="s">
        <v>8369</v>
      </c>
    </row>
    <row r="202" spans="2:7" x14ac:dyDescent="0.25">
      <c r="B202" t="s">
        <v>789</v>
      </c>
      <c r="C202" t="s">
        <v>222</v>
      </c>
      <c r="D202" t="s">
        <v>792</v>
      </c>
      <c r="E202" t="s">
        <v>8372</v>
      </c>
      <c r="F202" t="s">
        <v>8374</v>
      </c>
      <c r="G202" t="s">
        <v>8373</v>
      </c>
    </row>
    <row r="203" spans="2:7" x14ac:dyDescent="0.25">
      <c r="B203" t="s">
        <v>789</v>
      </c>
      <c r="C203" t="s">
        <v>223</v>
      </c>
      <c r="D203" t="s">
        <v>792</v>
      </c>
      <c r="E203" t="s">
        <v>8146</v>
      </c>
      <c r="F203" t="s">
        <v>8376</v>
      </c>
      <c r="G203" t="s">
        <v>8375</v>
      </c>
    </row>
    <row r="204" spans="2:7" x14ac:dyDescent="0.25">
      <c r="B204" t="s">
        <v>789</v>
      </c>
      <c r="C204" t="s">
        <v>224</v>
      </c>
      <c r="D204" t="s">
        <v>792</v>
      </c>
      <c r="E204" t="s">
        <v>8377</v>
      </c>
      <c r="F204" t="s">
        <v>8379</v>
      </c>
      <c r="G204" t="s">
        <v>8378</v>
      </c>
    </row>
    <row r="205" spans="2:7" x14ac:dyDescent="0.25">
      <c r="B205" t="s">
        <v>789</v>
      </c>
      <c r="C205" t="s">
        <v>225</v>
      </c>
      <c r="D205" t="s">
        <v>792</v>
      </c>
      <c r="E205" t="s">
        <v>8382</v>
      </c>
      <c r="F205" t="s">
        <v>8380</v>
      </c>
      <c r="G205" t="s">
        <v>8381</v>
      </c>
    </row>
    <row r="206" spans="2:7" x14ac:dyDescent="0.25">
      <c r="B206" t="s">
        <v>789</v>
      </c>
      <c r="C206" t="s">
        <v>226</v>
      </c>
      <c r="D206" t="s">
        <v>793</v>
      </c>
      <c r="E206" t="s">
        <v>8383</v>
      </c>
      <c r="F206" t="s">
        <v>8385</v>
      </c>
      <c r="G206" t="s">
        <v>8384</v>
      </c>
    </row>
    <row r="207" spans="2:7" x14ac:dyDescent="0.25">
      <c r="B207" t="s">
        <v>789</v>
      </c>
      <c r="C207" t="s">
        <v>227</v>
      </c>
      <c r="D207" t="s">
        <v>793</v>
      </c>
      <c r="E207" t="s">
        <v>8348</v>
      </c>
      <c r="F207" t="s">
        <v>8351</v>
      </c>
      <c r="G207" t="s">
        <v>8349</v>
      </c>
    </row>
    <row r="208" spans="2:7" x14ac:dyDescent="0.25">
      <c r="B208" t="s">
        <v>789</v>
      </c>
      <c r="C208" t="s">
        <v>228</v>
      </c>
      <c r="D208" t="s">
        <v>792</v>
      </c>
      <c r="E208" t="s">
        <v>7959</v>
      </c>
      <c r="F208" t="s">
        <v>7958</v>
      </c>
      <c r="G208" t="s">
        <v>7960</v>
      </c>
    </row>
    <row r="209" spans="2:7" x14ac:dyDescent="0.25">
      <c r="B209" t="s">
        <v>789</v>
      </c>
      <c r="C209" t="s">
        <v>229</v>
      </c>
      <c r="D209" t="s">
        <v>792</v>
      </c>
      <c r="E209" t="s">
        <v>8209</v>
      </c>
      <c r="F209" t="s">
        <v>7930</v>
      </c>
      <c r="G209" t="s">
        <v>7931</v>
      </c>
    </row>
    <row r="210" spans="2:7" x14ac:dyDescent="0.25">
      <c r="B210" t="s">
        <v>789</v>
      </c>
      <c r="C210" t="s">
        <v>230</v>
      </c>
      <c r="D210" t="s">
        <v>793</v>
      </c>
      <c r="E210" t="s">
        <v>8257</v>
      </c>
      <c r="F210" t="s">
        <v>8262</v>
      </c>
      <c r="G210" t="s">
        <v>8256</v>
      </c>
    </row>
    <row r="211" spans="2:7" x14ac:dyDescent="0.25">
      <c r="B211" t="s">
        <v>789</v>
      </c>
      <c r="C211" t="s">
        <v>231</v>
      </c>
      <c r="D211" t="s">
        <v>792</v>
      </c>
      <c r="E211" t="s">
        <v>8146</v>
      </c>
      <c r="F211" t="s">
        <v>7896</v>
      </c>
      <c r="G211" t="s">
        <v>8153</v>
      </c>
    </row>
    <row r="212" spans="2:7" x14ac:dyDescent="0.25">
      <c r="B212" t="s">
        <v>789</v>
      </c>
      <c r="C212" t="s">
        <v>232</v>
      </c>
      <c r="D212" t="s">
        <v>792</v>
      </c>
      <c r="E212" t="s">
        <v>7981</v>
      </c>
      <c r="F212" t="s">
        <v>7982</v>
      </c>
      <c r="G212" t="s">
        <v>7983</v>
      </c>
    </row>
    <row r="213" spans="2:7" x14ac:dyDescent="0.25">
      <c r="B213" t="s">
        <v>789</v>
      </c>
      <c r="C213" t="s">
        <v>233</v>
      </c>
      <c r="D213" t="s">
        <v>792</v>
      </c>
      <c r="E213" t="s">
        <v>8109</v>
      </c>
      <c r="F213" t="s">
        <v>8227</v>
      </c>
      <c r="G213" t="s">
        <v>8110</v>
      </c>
    </row>
    <row r="214" spans="2:7" x14ac:dyDescent="0.25">
      <c r="B214" t="s">
        <v>789</v>
      </c>
      <c r="C214" t="s">
        <v>234</v>
      </c>
      <c r="D214" t="s">
        <v>792</v>
      </c>
      <c r="E214" t="s">
        <v>8223</v>
      </c>
      <c r="F214" t="s">
        <v>8226</v>
      </c>
      <c r="G214" t="s">
        <v>8224</v>
      </c>
    </row>
    <row r="215" spans="2:7" x14ac:dyDescent="0.25">
      <c r="B215" t="s">
        <v>789</v>
      </c>
      <c r="C215" t="s">
        <v>235</v>
      </c>
      <c r="D215" t="s">
        <v>7839</v>
      </c>
      <c r="E215" t="s">
        <v>8386</v>
      </c>
      <c r="F215" t="s">
        <v>8387</v>
      </c>
      <c r="G215" t="s">
        <v>8388</v>
      </c>
    </row>
    <row r="216" spans="2:7" x14ac:dyDescent="0.25">
      <c r="B216" t="s">
        <v>789</v>
      </c>
      <c r="C216" t="s">
        <v>236</v>
      </c>
      <c r="D216" t="s">
        <v>792</v>
      </c>
      <c r="E216" t="s">
        <v>8036</v>
      </c>
      <c r="F216" t="s">
        <v>7852</v>
      </c>
      <c r="G216" t="s">
        <v>8038</v>
      </c>
    </row>
    <row r="217" spans="2:7" x14ac:dyDescent="0.25">
      <c r="B217" t="s">
        <v>789</v>
      </c>
      <c r="C217" t="s">
        <v>237</v>
      </c>
      <c r="D217" t="s">
        <v>792</v>
      </c>
      <c r="E217" t="s">
        <v>8389</v>
      </c>
      <c r="F217" t="s">
        <v>8390</v>
      </c>
      <c r="G217" t="s">
        <v>8308</v>
      </c>
    </row>
    <row r="218" spans="2:7" x14ac:dyDescent="0.25">
      <c r="B218" t="s">
        <v>789</v>
      </c>
      <c r="C218" t="s">
        <v>238</v>
      </c>
      <c r="D218" t="s">
        <v>793</v>
      </c>
      <c r="E218" t="s">
        <v>8392</v>
      </c>
      <c r="F218" t="s">
        <v>8393</v>
      </c>
      <c r="G218" t="s">
        <v>8391</v>
      </c>
    </row>
    <row r="219" spans="2:7" x14ac:dyDescent="0.25">
      <c r="B219" t="s">
        <v>789</v>
      </c>
      <c r="C219" t="s">
        <v>239</v>
      </c>
      <c r="D219" t="s">
        <v>792</v>
      </c>
      <c r="E219" t="s">
        <v>8126</v>
      </c>
      <c r="F219" t="s">
        <v>8131</v>
      </c>
      <c r="G219" t="s">
        <v>8128</v>
      </c>
    </row>
    <row r="220" spans="2:7" x14ac:dyDescent="0.25">
      <c r="B220" t="s">
        <v>789</v>
      </c>
      <c r="C220" t="s">
        <v>240</v>
      </c>
      <c r="D220" t="s">
        <v>792</v>
      </c>
      <c r="E220" t="s">
        <v>8146</v>
      </c>
      <c r="F220" t="s">
        <v>8376</v>
      </c>
      <c r="G220" t="s">
        <v>8394</v>
      </c>
    </row>
    <row r="221" spans="2:7" x14ac:dyDescent="0.25">
      <c r="B221" t="s">
        <v>789</v>
      </c>
      <c r="C221" t="s">
        <v>241</v>
      </c>
      <c r="D221" t="s">
        <v>792</v>
      </c>
      <c r="E221" t="s">
        <v>8217</v>
      </c>
      <c r="F221" t="s">
        <v>8395</v>
      </c>
      <c r="G221" t="s">
        <v>8219</v>
      </c>
    </row>
    <row r="222" spans="2:7" x14ac:dyDescent="0.25">
      <c r="B222" t="s">
        <v>789</v>
      </c>
      <c r="C222" t="s">
        <v>5546</v>
      </c>
      <c r="D222" t="s">
        <v>7839</v>
      </c>
      <c r="E222" t="s">
        <v>7898</v>
      </c>
      <c r="F222" t="s">
        <v>10283</v>
      </c>
      <c r="G222" t="s">
        <v>7899</v>
      </c>
    </row>
    <row r="223" spans="2:7" x14ac:dyDescent="0.25">
      <c r="B223" t="s">
        <v>789</v>
      </c>
      <c r="C223" t="s">
        <v>242</v>
      </c>
      <c r="D223" t="s">
        <v>793</v>
      </c>
      <c r="E223" t="s">
        <v>7898</v>
      </c>
      <c r="F223" t="s">
        <v>7901</v>
      </c>
      <c r="G223" t="s">
        <v>7899</v>
      </c>
    </row>
    <row r="224" spans="2:7" x14ac:dyDescent="0.25">
      <c r="B224" t="s">
        <v>789</v>
      </c>
      <c r="C224" t="s">
        <v>243</v>
      </c>
      <c r="D224" t="s">
        <v>793</v>
      </c>
      <c r="E224" t="s">
        <v>7898</v>
      </c>
      <c r="F224" t="s">
        <v>7901</v>
      </c>
      <c r="G224" t="s">
        <v>7899</v>
      </c>
    </row>
    <row r="225" spans="2:7" x14ac:dyDescent="0.25">
      <c r="B225" t="s">
        <v>789</v>
      </c>
      <c r="C225" t="s">
        <v>244</v>
      </c>
      <c r="D225" t="s">
        <v>793</v>
      </c>
      <c r="E225" t="s">
        <v>7924</v>
      </c>
      <c r="F225" t="s">
        <v>7926</v>
      </c>
      <c r="G225" t="s">
        <v>7925</v>
      </c>
    </row>
    <row r="226" spans="2:7" x14ac:dyDescent="0.25">
      <c r="B226" t="s">
        <v>789</v>
      </c>
      <c r="C226" t="s">
        <v>245</v>
      </c>
      <c r="D226" t="s">
        <v>793</v>
      </c>
      <c r="E226" t="s">
        <v>8398</v>
      </c>
      <c r="F226" t="s">
        <v>8397</v>
      </c>
      <c r="G226" t="s">
        <v>8399</v>
      </c>
    </row>
    <row r="227" spans="2:7" x14ac:dyDescent="0.25">
      <c r="B227" t="s">
        <v>789</v>
      </c>
      <c r="C227" t="s">
        <v>246</v>
      </c>
      <c r="D227" t="s">
        <v>793</v>
      </c>
      <c r="E227" t="s">
        <v>8235</v>
      </c>
      <c r="F227" t="s">
        <v>8236</v>
      </c>
      <c r="G227" t="s">
        <v>8230</v>
      </c>
    </row>
    <row r="228" spans="2:7" x14ac:dyDescent="0.25">
      <c r="B228" t="s">
        <v>789</v>
      </c>
      <c r="C228" t="s">
        <v>247</v>
      </c>
      <c r="D228" t="s">
        <v>792</v>
      </c>
      <c r="E228" t="s">
        <v>8146</v>
      </c>
      <c r="F228" t="s">
        <v>8376</v>
      </c>
      <c r="G228" t="s">
        <v>8400</v>
      </c>
    </row>
    <row r="229" spans="2:7" x14ac:dyDescent="0.25">
      <c r="B229" t="s">
        <v>789</v>
      </c>
      <c r="C229" t="s">
        <v>248</v>
      </c>
      <c r="D229" t="s">
        <v>792</v>
      </c>
      <c r="E229" t="s">
        <v>7967</v>
      </c>
      <c r="F229" t="s">
        <v>7969</v>
      </c>
      <c r="G229" t="s">
        <v>7968</v>
      </c>
    </row>
    <row r="230" spans="2:7" x14ac:dyDescent="0.25">
      <c r="B230" t="s">
        <v>789</v>
      </c>
      <c r="C230" t="s">
        <v>249</v>
      </c>
      <c r="D230" t="s">
        <v>792</v>
      </c>
      <c r="E230" t="s">
        <v>8036</v>
      </c>
      <c r="F230" t="s">
        <v>7853</v>
      </c>
      <c r="G230" t="s">
        <v>8038</v>
      </c>
    </row>
    <row r="231" spans="2:7" x14ac:dyDescent="0.25">
      <c r="B231" t="s">
        <v>789</v>
      </c>
      <c r="C231" t="s">
        <v>250</v>
      </c>
      <c r="D231" t="s">
        <v>793</v>
      </c>
      <c r="E231" t="s">
        <v>8341</v>
      </c>
      <c r="F231" t="s">
        <v>8345</v>
      </c>
      <c r="G231" t="s">
        <v>8342</v>
      </c>
    </row>
    <row r="232" spans="2:7" x14ac:dyDescent="0.25">
      <c r="B232" t="s">
        <v>789</v>
      </c>
      <c r="C232" t="s">
        <v>251</v>
      </c>
      <c r="D232" t="s">
        <v>793</v>
      </c>
      <c r="E232" t="s">
        <v>8341</v>
      </c>
      <c r="F232" t="s">
        <v>8346</v>
      </c>
      <c r="G232" t="s">
        <v>8342</v>
      </c>
    </row>
    <row r="233" spans="2:7" x14ac:dyDescent="0.25">
      <c r="B233" t="s">
        <v>789</v>
      </c>
      <c r="C233" t="s">
        <v>252</v>
      </c>
      <c r="D233" t="s">
        <v>792</v>
      </c>
      <c r="E233" t="s">
        <v>8362</v>
      </c>
      <c r="F233" t="s">
        <v>8363</v>
      </c>
      <c r="G233" t="s">
        <v>8361</v>
      </c>
    </row>
    <row r="234" spans="2:7" x14ac:dyDescent="0.25">
      <c r="B234" t="s">
        <v>789</v>
      </c>
      <c r="C234" t="s">
        <v>253</v>
      </c>
      <c r="D234" t="s">
        <v>792</v>
      </c>
      <c r="E234" t="s">
        <v>8401</v>
      </c>
      <c r="F234" t="s">
        <v>8403</v>
      </c>
      <c r="G234" t="s">
        <v>8402</v>
      </c>
    </row>
    <row r="235" spans="2:7" x14ac:dyDescent="0.25">
      <c r="B235" t="s">
        <v>789</v>
      </c>
      <c r="C235" t="s">
        <v>254</v>
      </c>
      <c r="D235" t="s">
        <v>793</v>
      </c>
      <c r="E235" t="s">
        <v>7924</v>
      </c>
      <c r="F235" t="s">
        <v>7926</v>
      </c>
      <c r="G235" t="s">
        <v>7925</v>
      </c>
    </row>
    <row r="236" spans="2:7" x14ac:dyDescent="0.25">
      <c r="B236" t="s">
        <v>789</v>
      </c>
      <c r="C236" t="s">
        <v>255</v>
      </c>
      <c r="D236" t="s">
        <v>792</v>
      </c>
      <c r="E236" t="s">
        <v>8087</v>
      </c>
      <c r="F236" t="s">
        <v>8101</v>
      </c>
      <c r="G236" t="s">
        <v>8089</v>
      </c>
    </row>
    <row r="237" spans="2:7" x14ac:dyDescent="0.25">
      <c r="B237" t="s">
        <v>789</v>
      </c>
      <c r="C237" t="s">
        <v>256</v>
      </c>
      <c r="D237" t="s">
        <v>792</v>
      </c>
      <c r="E237" t="s">
        <v>8146</v>
      </c>
      <c r="F237" t="s">
        <v>8158</v>
      </c>
      <c r="G237" t="s">
        <v>8153</v>
      </c>
    </row>
    <row r="238" spans="2:7" x14ac:dyDescent="0.25">
      <c r="B238" t="s">
        <v>789</v>
      </c>
      <c r="C238" t="s">
        <v>257</v>
      </c>
      <c r="D238" t="s">
        <v>792</v>
      </c>
      <c r="E238" t="s">
        <v>7978</v>
      </c>
      <c r="F238" t="s">
        <v>7977</v>
      </c>
      <c r="G238" t="s">
        <v>7974</v>
      </c>
    </row>
    <row r="239" spans="2:7" x14ac:dyDescent="0.25">
      <c r="B239" t="s">
        <v>789</v>
      </c>
      <c r="C239" t="s">
        <v>258</v>
      </c>
      <c r="D239" t="s">
        <v>792</v>
      </c>
      <c r="E239" t="s">
        <v>8066</v>
      </c>
      <c r="F239" t="s">
        <v>8067</v>
      </c>
      <c r="G239" t="s">
        <v>8068</v>
      </c>
    </row>
    <row r="240" spans="2:7" x14ac:dyDescent="0.25">
      <c r="B240" t="s">
        <v>789</v>
      </c>
      <c r="C240" t="s">
        <v>259</v>
      </c>
      <c r="D240" t="s">
        <v>792</v>
      </c>
      <c r="E240" t="s">
        <v>8404</v>
      </c>
      <c r="F240" t="s">
        <v>8406</v>
      </c>
      <c r="G240" t="s">
        <v>8405</v>
      </c>
    </row>
    <row r="241" spans="2:7" x14ac:dyDescent="0.25">
      <c r="B241" t="s">
        <v>789</v>
      </c>
      <c r="C241" t="s">
        <v>260</v>
      </c>
      <c r="D241" t="s">
        <v>792</v>
      </c>
      <c r="E241" t="s">
        <v>8146</v>
      </c>
      <c r="F241" t="s">
        <v>8409</v>
      </c>
      <c r="G241" t="s">
        <v>8410</v>
      </c>
    </row>
    <row r="242" spans="2:7" x14ac:dyDescent="0.25">
      <c r="B242" t="s">
        <v>789</v>
      </c>
      <c r="C242" t="s">
        <v>261</v>
      </c>
      <c r="D242" t="s">
        <v>792</v>
      </c>
      <c r="E242" t="s">
        <v>7978</v>
      </c>
      <c r="F242" t="s">
        <v>7977</v>
      </c>
      <c r="G242" t="s">
        <v>7974</v>
      </c>
    </row>
    <row r="243" spans="2:7" x14ac:dyDescent="0.25">
      <c r="B243" t="s">
        <v>789</v>
      </c>
      <c r="C243" t="s">
        <v>262</v>
      </c>
      <c r="D243" t="s">
        <v>792</v>
      </c>
      <c r="E243" t="s">
        <v>8209</v>
      </c>
      <c r="F243" t="s">
        <v>8411</v>
      </c>
      <c r="G243" t="s">
        <v>8412</v>
      </c>
    </row>
    <row r="244" spans="2:7" x14ac:dyDescent="0.25">
      <c r="B244" t="s">
        <v>789</v>
      </c>
      <c r="C244" t="s">
        <v>263</v>
      </c>
      <c r="D244" t="s">
        <v>792</v>
      </c>
      <c r="E244" t="s">
        <v>8413</v>
      </c>
      <c r="F244" t="s">
        <v>7856</v>
      </c>
      <c r="G244" t="s">
        <v>8414</v>
      </c>
    </row>
    <row r="245" spans="2:7" x14ac:dyDescent="0.25">
      <c r="B245" t="s">
        <v>789</v>
      </c>
      <c r="C245" t="s">
        <v>264</v>
      </c>
      <c r="D245" t="s">
        <v>792</v>
      </c>
      <c r="E245" t="s">
        <v>8446</v>
      </c>
      <c r="F245" t="s">
        <v>7874</v>
      </c>
      <c r="G245" t="s">
        <v>8396</v>
      </c>
    </row>
    <row r="246" spans="2:7" x14ac:dyDescent="0.25">
      <c r="B246" t="s">
        <v>789</v>
      </c>
      <c r="C246" t="s">
        <v>265</v>
      </c>
      <c r="D246" t="s">
        <v>793</v>
      </c>
      <c r="E246" t="s">
        <v>8257</v>
      </c>
      <c r="F246" t="s">
        <v>8261</v>
      </c>
      <c r="G246" t="s">
        <v>8256</v>
      </c>
    </row>
    <row r="247" spans="2:7" x14ac:dyDescent="0.25">
      <c r="B247" t="s">
        <v>789</v>
      </c>
      <c r="C247" t="s">
        <v>266</v>
      </c>
      <c r="D247" t="s">
        <v>793</v>
      </c>
      <c r="E247" t="s">
        <v>8257</v>
      </c>
      <c r="F247" t="s">
        <v>8263</v>
      </c>
      <c r="G247" t="s">
        <v>8256</v>
      </c>
    </row>
    <row r="248" spans="2:7" x14ac:dyDescent="0.25">
      <c r="B248" t="s">
        <v>789</v>
      </c>
      <c r="C248" t="s">
        <v>267</v>
      </c>
      <c r="D248" t="s">
        <v>792</v>
      </c>
      <c r="E248" t="s">
        <v>8042</v>
      </c>
      <c r="F248" t="s">
        <v>7908</v>
      </c>
      <c r="G248" t="s">
        <v>8041</v>
      </c>
    </row>
    <row r="249" spans="2:7" x14ac:dyDescent="0.25">
      <c r="B249" t="s">
        <v>789</v>
      </c>
      <c r="C249" t="s">
        <v>268</v>
      </c>
      <c r="D249" t="s">
        <v>793</v>
      </c>
      <c r="E249" t="s">
        <v>8335</v>
      </c>
      <c r="F249" t="s">
        <v>8337</v>
      </c>
      <c r="G249" t="s">
        <v>8336</v>
      </c>
    </row>
    <row r="250" spans="2:7" x14ac:dyDescent="0.25">
      <c r="B250" t="s">
        <v>789</v>
      </c>
      <c r="C250" t="s">
        <v>269</v>
      </c>
      <c r="D250" t="s">
        <v>793</v>
      </c>
      <c r="E250" t="s">
        <v>7949</v>
      </c>
      <c r="F250" t="s">
        <v>7950</v>
      </c>
      <c r="G250" t="s">
        <v>7951</v>
      </c>
    </row>
    <row r="251" spans="2:7" x14ac:dyDescent="0.25">
      <c r="B251" t="s">
        <v>789</v>
      </c>
      <c r="C251" t="s">
        <v>270</v>
      </c>
      <c r="D251" t="s">
        <v>793</v>
      </c>
      <c r="E251" t="s">
        <v>7991</v>
      </c>
      <c r="F251" t="s">
        <v>8417</v>
      </c>
      <c r="G251" t="s">
        <v>7993</v>
      </c>
    </row>
    <row r="252" spans="2:7" x14ac:dyDescent="0.25">
      <c r="B252" t="s">
        <v>789</v>
      </c>
      <c r="C252" t="s">
        <v>271</v>
      </c>
      <c r="D252" t="s">
        <v>792</v>
      </c>
      <c r="E252" t="s">
        <v>8415</v>
      </c>
      <c r="F252" t="s">
        <v>8418</v>
      </c>
      <c r="G252" t="s">
        <v>8416</v>
      </c>
    </row>
    <row r="253" spans="2:7" x14ac:dyDescent="0.25">
      <c r="B253" t="s">
        <v>789</v>
      </c>
      <c r="C253" t="s">
        <v>272</v>
      </c>
      <c r="D253" t="s">
        <v>792</v>
      </c>
      <c r="E253" t="s">
        <v>8016</v>
      </c>
      <c r="F253" t="s">
        <v>8024</v>
      </c>
      <c r="G253" t="s">
        <v>8021</v>
      </c>
    </row>
    <row r="254" spans="2:7" x14ac:dyDescent="0.25">
      <c r="B254" t="s">
        <v>789</v>
      </c>
      <c r="C254" t="s">
        <v>273</v>
      </c>
      <c r="D254" t="s">
        <v>792</v>
      </c>
      <c r="E254" t="s">
        <v>8404</v>
      </c>
      <c r="F254" t="s">
        <v>8420</v>
      </c>
      <c r="G254" t="s">
        <v>8405</v>
      </c>
    </row>
    <row r="255" spans="2:7" x14ac:dyDescent="0.25">
      <c r="B255" t="s">
        <v>789</v>
      </c>
      <c r="C255" t="s">
        <v>274</v>
      </c>
      <c r="D255" t="s">
        <v>792</v>
      </c>
      <c r="E255" t="s">
        <v>8422</v>
      </c>
      <c r="F255" t="s">
        <v>8421</v>
      </c>
      <c r="G255" t="s">
        <v>8419</v>
      </c>
    </row>
    <row r="256" spans="2:7" x14ac:dyDescent="0.25">
      <c r="B256" t="s">
        <v>789</v>
      </c>
      <c r="C256" t="s">
        <v>275</v>
      </c>
      <c r="D256" t="s">
        <v>792</v>
      </c>
      <c r="E256" t="s">
        <v>7978</v>
      </c>
      <c r="F256" t="s">
        <v>7977</v>
      </c>
      <c r="G256" t="s">
        <v>7974</v>
      </c>
    </row>
    <row r="257" spans="2:7" x14ac:dyDescent="0.25">
      <c r="B257" t="s">
        <v>789</v>
      </c>
      <c r="C257" t="s">
        <v>276</v>
      </c>
      <c r="D257" t="s">
        <v>792</v>
      </c>
      <c r="E257" t="s">
        <v>8205</v>
      </c>
      <c r="F257" t="s">
        <v>8423</v>
      </c>
      <c r="G257" t="s">
        <v>8206</v>
      </c>
    </row>
    <row r="258" spans="2:7" x14ac:dyDescent="0.25">
      <c r="B258" t="s">
        <v>789</v>
      </c>
      <c r="C258" t="s">
        <v>277</v>
      </c>
      <c r="D258" t="s">
        <v>793</v>
      </c>
      <c r="E258" t="s">
        <v>8424</v>
      </c>
      <c r="F258" t="s">
        <v>8426</v>
      </c>
      <c r="G258" t="s">
        <v>8425</v>
      </c>
    </row>
    <row r="259" spans="2:7" x14ac:dyDescent="0.25">
      <c r="B259" t="s">
        <v>789</v>
      </c>
      <c r="C259" t="s">
        <v>278</v>
      </c>
      <c r="D259" t="s">
        <v>792</v>
      </c>
      <c r="E259" t="s">
        <v>8209</v>
      </c>
      <c r="F259" t="s">
        <v>7929</v>
      </c>
      <c r="G259" t="s">
        <v>7928</v>
      </c>
    </row>
    <row r="260" spans="2:7" x14ac:dyDescent="0.25">
      <c r="B260" t="s">
        <v>789</v>
      </c>
      <c r="C260" t="s">
        <v>279</v>
      </c>
      <c r="D260" t="s">
        <v>792</v>
      </c>
      <c r="E260" t="s">
        <v>8209</v>
      </c>
      <c r="F260" t="s">
        <v>7936</v>
      </c>
      <c r="G260" t="s">
        <v>7937</v>
      </c>
    </row>
    <row r="261" spans="2:7" x14ac:dyDescent="0.25">
      <c r="B261" t="s">
        <v>789</v>
      </c>
      <c r="C261" t="s">
        <v>280</v>
      </c>
      <c r="D261" t="s">
        <v>792</v>
      </c>
      <c r="E261" t="s">
        <v>8431</v>
      </c>
      <c r="F261" t="s">
        <v>8430</v>
      </c>
      <c r="G261" t="s">
        <v>8429</v>
      </c>
    </row>
    <row r="262" spans="2:7" x14ac:dyDescent="0.25">
      <c r="B262" t="s">
        <v>789</v>
      </c>
      <c r="C262" t="s">
        <v>281</v>
      </c>
      <c r="D262" t="s">
        <v>792</v>
      </c>
      <c r="E262" t="s">
        <v>7964</v>
      </c>
      <c r="F262" t="s">
        <v>8433</v>
      </c>
      <c r="G262" t="s">
        <v>7965</v>
      </c>
    </row>
    <row r="263" spans="2:7" x14ac:dyDescent="0.25">
      <c r="B263" t="s">
        <v>789</v>
      </c>
      <c r="C263" t="s">
        <v>282</v>
      </c>
      <c r="D263" t="s">
        <v>792</v>
      </c>
      <c r="E263" t="s">
        <v>8432</v>
      </c>
      <c r="F263" t="s">
        <v>8435</v>
      </c>
      <c r="G263" t="s">
        <v>8434</v>
      </c>
    </row>
    <row r="264" spans="2:7" x14ac:dyDescent="0.25">
      <c r="B264" t="s">
        <v>789</v>
      </c>
      <c r="C264" t="s">
        <v>9010</v>
      </c>
      <c r="D264" t="s">
        <v>792</v>
      </c>
      <c r="E264" t="s">
        <v>9013</v>
      </c>
      <c r="F264" t="s">
        <v>9015</v>
      </c>
      <c r="G264" t="s">
        <v>9014</v>
      </c>
    </row>
    <row r="265" spans="2:7" x14ac:dyDescent="0.25">
      <c r="B265" t="s">
        <v>789</v>
      </c>
      <c r="C265" t="s">
        <v>283</v>
      </c>
      <c r="D265" t="s">
        <v>792</v>
      </c>
      <c r="E265" t="s">
        <v>7955</v>
      </c>
      <c r="F265" t="s">
        <v>7953</v>
      </c>
      <c r="G265" t="s">
        <v>7952</v>
      </c>
    </row>
    <row r="266" spans="2:7" x14ac:dyDescent="0.25">
      <c r="B266" t="s">
        <v>789</v>
      </c>
      <c r="C266" t="s">
        <v>284</v>
      </c>
      <c r="D266" t="s">
        <v>792</v>
      </c>
      <c r="E266" t="s">
        <v>8146</v>
      </c>
      <c r="F266" t="s">
        <v>8436</v>
      </c>
      <c r="G266" t="s">
        <v>8153</v>
      </c>
    </row>
    <row r="267" spans="2:7" x14ac:dyDescent="0.25">
      <c r="B267" t="s">
        <v>789</v>
      </c>
      <c r="C267" t="s">
        <v>285</v>
      </c>
      <c r="D267" t="s">
        <v>792</v>
      </c>
      <c r="E267" t="s">
        <v>8126</v>
      </c>
      <c r="F267" t="s">
        <v>8132</v>
      </c>
      <c r="G267" t="s">
        <v>8128</v>
      </c>
    </row>
    <row r="268" spans="2:7" x14ac:dyDescent="0.25">
      <c r="B268" t="s">
        <v>789</v>
      </c>
      <c r="C268" t="s">
        <v>286</v>
      </c>
      <c r="D268" t="s">
        <v>793</v>
      </c>
      <c r="E268" t="s">
        <v>8438</v>
      </c>
      <c r="F268" t="s">
        <v>8439</v>
      </c>
      <c r="G268" t="s">
        <v>8437</v>
      </c>
    </row>
    <row r="269" spans="2:7" x14ac:dyDescent="0.25">
      <c r="B269" t="s">
        <v>789</v>
      </c>
      <c r="C269" t="s">
        <v>287</v>
      </c>
      <c r="D269" t="s">
        <v>792</v>
      </c>
      <c r="E269" t="s">
        <v>8441</v>
      </c>
      <c r="F269" t="s">
        <v>8442</v>
      </c>
      <c r="G269" t="s">
        <v>8440</v>
      </c>
    </row>
    <row r="270" spans="2:7" x14ac:dyDescent="0.25">
      <c r="B270" t="s">
        <v>789</v>
      </c>
      <c r="C270" t="s">
        <v>288</v>
      </c>
      <c r="D270" t="s">
        <v>792</v>
      </c>
      <c r="E270" t="s">
        <v>8146</v>
      </c>
      <c r="F270" t="s">
        <v>7889</v>
      </c>
      <c r="G270" t="s">
        <v>8152</v>
      </c>
    </row>
    <row r="271" spans="2:7" x14ac:dyDescent="0.25">
      <c r="B271" t="s">
        <v>789</v>
      </c>
      <c r="C271" t="s">
        <v>289</v>
      </c>
      <c r="D271" t="s">
        <v>792</v>
      </c>
      <c r="E271" t="s">
        <v>8443</v>
      </c>
      <c r="F271" t="s">
        <v>8445</v>
      </c>
      <c r="G271" t="s">
        <v>8444</v>
      </c>
    </row>
    <row r="272" spans="2:7" x14ac:dyDescent="0.25">
      <c r="B272" t="s">
        <v>789</v>
      </c>
      <c r="C272" t="s">
        <v>290</v>
      </c>
      <c r="D272" t="s">
        <v>792</v>
      </c>
      <c r="E272" t="s">
        <v>8109</v>
      </c>
      <c r="F272" t="s">
        <v>8102</v>
      </c>
      <c r="G272" t="s">
        <v>8111</v>
      </c>
    </row>
    <row r="273" spans="2:7" x14ac:dyDescent="0.25">
      <c r="B273" t="s">
        <v>789</v>
      </c>
      <c r="C273" t="s">
        <v>291</v>
      </c>
      <c r="D273" t="s">
        <v>792</v>
      </c>
      <c r="E273" t="s">
        <v>8146</v>
      </c>
      <c r="F273" t="s">
        <v>7896</v>
      </c>
      <c r="G273" t="s">
        <v>8153</v>
      </c>
    </row>
    <row r="274" spans="2:7" x14ac:dyDescent="0.25">
      <c r="B274" t="s">
        <v>789</v>
      </c>
      <c r="C274" t="s">
        <v>292</v>
      </c>
      <c r="D274" t="s">
        <v>792</v>
      </c>
      <c r="E274" t="s">
        <v>8146</v>
      </c>
      <c r="F274" t="s">
        <v>7896</v>
      </c>
      <c r="G274" t="s">
        <v>8153</v>
      </c>
    </row>
    <row r="275" spans="2:7" x14ac:dyDescent="0.25">
      <c r="B275" t="s">
        <v>789</v>
      </c>
      <c r="C275" t="s">
        <v>293</v>
      </c>
      <c r="D275" t="s">
        <v>793</v>
      </c>
      <c r="E275" t="s">
        <v>7924</v>
      </c>
      <c r="F275" t="s">
        <v>7926</v>
      </c>
      <c r="G275" t="s">
        <v>7925</v>
      </c>
    </row>
    <row r="276" spans="2:7" x14ac:dyDescent="0.25">
      <c r="B276" t="s">
        <v>789</v>
      </c>
      <c r="C276" t="s">
        <v>294</v>
      </c>
      <c r="D276" t="s">
        <v>793</v>
      </c>
      <c r="E276" t="s">
        <v>7924</v>
      </c>
      <c r="F276" t="s">
        <v>7926</v>
      </c>
      <c r="G276" t="s">
        <v>7925</v>
      </c>
    </row>
    <row r="277" spans="2:7" x14ac:dyDescent="0.25">
      <c r="B277" t="s">
        <v>789</v>
      </c>
      <c r="C277" t="s">
        <v>295</v>
      </c>
      <c r="D277" t="s">
        <v>793</v>
      </c>
      <c r="E277" t="s">
        <v>8187</v>
      </c>
      <c r="F277" t="s">
        <v>8186</v>
      </c>
      <c r="G277" t="s">
        <v>8184</v>
      </c>
    </row>
    <row r="278" spans="2:7" x14ac:dyDescent="0.25">
      <c r="B278" t="s">
        <v>789</v>
      </c>
      <c r="C278" t="s">
        <v>296</v>
      </c>
      <c r="D278" t="s">
        <v>793</v>
      </c>
      <c r="E278" t="s">
        <v>8185</v>
      </c>
      <c r="F278" t="s">
        <v>8188</v>
      </c>
      <c r="G278" t="s">
        <v>8184</v>
      </c>
    </row>
    <row r="279" spans="2:7" x14ac:dyDescent="0.25">
      <c r="B279" t="s">
        <v>789</v>
      </c>
      <c r="C279" t="s">
        <v>297</v>
      </c>
      <c r="D279" t="s">
        <v>792</v>
      </c>
      <c r="E279" t="s">
        <v>8039</v>
      </c>
      <c r="F279" t="s">
        <v>7903</v>
      </c>
      <c r="G279" t="s">
        <v>8043</v>
      </c>
    </row>
    <row r="280" spans="2:7" x14ac:dyDescent="0.25">
      <c r="B280" t="s">
        <v>789</v>
      </c>
      <c r="C280" t="s">
        <v>298</v>
      </c>
      <c r="D280" t="s">
        <v>792</v>
      </c>
      <c r="E280" t="s">
        <v>8209</v>
      </c>
      <c r="F280" t="s">
        <v>7930</v>
      </c>
      <c r="G280" t="s">
        <v>7931</v>
      </c>
    </row>
    <row r="281" spans="2:7" x14ac:dyDescent="0.25">
      <c r="B281" t="s">
        <v>789</v>
      </c>
      <c r="C281" t="s">
        <v>299</v>
      </c>
      <c r="D281" t="s">
        <v>792</v>
      </c>
      <c r="E281" t="s">
        <v>8146</v>
      </c>
      <c r="F281" t="s">
        <v>7890</v>
      </c>
      <c r="G281" t="s">
        <v>8152</v>
      </c>
    </row>
    <row r="282" spans="2:7" x14ac:dyDescent="0.25">
      <c r="B282" t="s">
        <v>789</v>
      </c>
      <c r="C282" t="s">
        <v>300</v>
      </c>
      <c r="D282" t="s">
        <v>792</v>
      </c>
      <c r="E282" t="s">
        <v>8446</v>
      </c>
      <c r="F282" t="s">
        <v>8447</v>
      </c>
      <c r="G282" t="s">
        <v>8396</v>
      </c>
    </row>
    <row r="283" spans="2:7" x14ac:dyDescent="0.25">
      <c r="B283" t="s">
        <v>789</v>
      </c>
      <c r="C283" t="s">
        <v>301</v>
      </c>
      <c r="D283" t="s">
        <v>792</v>
      </c>
      <c r="E283" t="s">
        <v>8146</v>
      </c>
      <c r="F283" t="s">
        <v>7889</v>
      </c>
      <c r="G283" t="s">
        <v>8152</v>
      </c>
    </row>
    <row r="284" spans="2:7" x14ac:dyDescent="0.25">
      <c r="B284" t="s">
        <v>789</v>
      </c>
      <c r="C284" t="s">
        <v>302</v>
      </c>
      <c r="D284" t="s">
        <v>792</v>
      </c>
      <c r="E284" t="s">
        <v>8448</v>
      </c>
      <c r="F284" t="s">
        <v>8450</v>
      </c>
      <c r="G284" t="s">
        <v>8449</v>
      </c>
    </row>
    <row r="285" spans="2:7" x14ac:dyDescent="0.25">
      <c r="B285" t="s">
        <v>789</v>
      </c>
      <c r="C285" t="s">
        <v>303</v>
      </c>
      <c r="D285" t="s">
        <v>7839</v>
      </c>
      <c r="E285" t="s">
        <v>8044</v>
      </c>
      <c r="F285" t="s">
        <v>8045</v>
      </c>
      <c r="G285" t="s">
        <v>8046</v>
      </c>
    </row>
    <row r="286" spans="2:7" x14ac:dyDescent="0.25">
      <c r="B286" t="s">
        <v>789</v>
      </c>
      <c r="C286" t="s">
        <v>304</v>
      </c>
      <c r="D286" t="s">
        <v>792</v>
      </c>
      <c r="E286" t="s">
        <v>8002</v>
      </c>
      <c r="F286" t="s">
        <v>8003</v>
      </c>
      <c r="G286" t="s">
        <v>8006</v>
      </c>
    </row>
    <row r="287" spans="2:7" x14ac:dyDescent="0.25">
      <c r="B287" t="s">
        <v>789</v>
      </c>
      <c r="C287" t="s">
        <v>305</v>
      </c>
      <c r="D287" t="s">
        <v>792</v>
      </c>
      <c r="E287" t="s">
        <v>8209</v>
      </c>
      <c r="F287" t="s">
        <v>7935</v>
      </c>
      <c r="G287" t="s">
        <v>7927</v>
      </c>
    </row>
    <row r="288" spans="2:7" x14ac:dyDescent="0.25">
      <c r="B288" t="s">
        <v>789</v>
      </c>
      <c r="C288" t="s">
        <v>306</v>
      </c>
      <c r="D288" t="s">
        <v>7945</v>
      </c>
      <c r="E288" t="s">
        <v>7946</v>
      </c>
      <c r="F288" t="s">
        <v>7947</v>
      </c>
    </row>
    <row r="289" spans="2:7" x14ac:dyDescent="0.25">
      <c r="B289" t="s">
        <v>789</v>
      </c>
      <c r="C289" t="s">
        <v>307</v>
      </c>
      <c r="D289" t="s">
        <v>792</v>
      </c>
      <c r="E289" t="s">
        <v>8112</v>
      </c>
      <c r="F289" t="s">
        <v>8090</v>
      </c>
      <c r="G289" t="s">
        <v>8113</v>
      </c>
    </row>
    <row r="290" spans="2:7" x14ac:dyDescent="0.25">
      <c r="B290" t="s">
        <v>789</v>
      </c>
      <c r="C290" t="s">
        <v>308</v>
      </c>
      <c r="D290" t="s">
        <v>792</v>
      </c>
      <c r="E290" t="s">
        <v>8136</v>
      </c>
      <c r="F290" t="s">
        <v>8139</v>
      </c>
      <c r="G290" t="s">
        <v>8137</v>
      </c>
    </row>
    <row r="291" spans="2:7" x14ac:dyDescent="0.25">
      <c r="B291" t="s">
        <v>789</v>
      </c>
      <c r="C291" t="s">
        <v>309</v>
      </c>
      <c r="D291" t="s">
        <v>792</v>
      </c>
      <c r="E291" t="s">
        <v>8146</v>
      </c>
      <c r="F291" t="s">
        <v>7896</v>
      </c>
      <c r="G291" t="s">
        <v>8153</v>
      </c>
    </row>
    <row r="292" spans="2:7" x14ac:dyDescent="0.25">
      <c r="B292" t="s">
        <v>789</v>
      </c>
      <c r="C292" t="s">
        <v>310</v>
      </c>
      <c r="D292" t="s">
        <v>792</v>
      </c>
      <c r="E292" t="s">
        <v>8451</v>
      </c>
      <c r="F292" t="s">
        <v>8452</v>
      </c>
      <c r="G292" t="s">
        <v>8453</v>
      </c>
    </row>
    <row r="293" spans="2:7" x14ac:dyDescent="0.25">
      <c r="B293" t="s">
        <v>789</v>
      </c>
      <c r="C293" t="s">
        <v>311</v>
      </c>
      <c r="D293" t="s">
        <v>793</v>
      </c>
      <c r="E293" t="s">
        <v>8229</v>
      </c>
      <c r="F293" t="s">
        <v>8457</v>
      </c>
      <c r="G293" t="s">
        <v>8230</v>
      </c>
    </row>
    <row r="294" spans="2:7" x14ac:dyDescent="0.25">
      <c r="B294" t="s">
        <v>789</v>
      </c>
      <c r="C294" t="s">
        <v>312</v>
      </c>
      <c r="D294" t="s">
        <v>792</v>
      </c>
      <c r="E294" t="s">
        <v>8047</v>
      </c>
      <c r="F294" t="s">
        <v>8048</v>
      </c>
      <c r="G294" t="s">
        <v>8049</v>
      </c>
    </row>
    <row r="295" spans="2:7" x14ac:dyDescent="0.25">
      <c r="B295" t="s">
        <v>789</v>
      </c>
      <c r="C295" t="s">
        <v>313</v>
      </c>
      <c r="D295" t="s">
        <v>793</v>
      </c>
      <c r="E295" t="s">
        <v>8348</v>
      </c>
      <c r="F295" t="s">
        <v>8352</v>
      </c>
      <c r="G295" t="s">
        <v>8349</v>
      </c>
    </row>
    <row r="296" spans="2:7" x14ac:dyDescent="0.25">
      <c r="B296" t="s">
        <v>789</v>
      </c>
      <c r="C296" t="s">
        <v>314</v>
      </c>
      <c r="D296" t="s">
        <v>792</v>
      </c>
      <c r="E296" t="s">
        <v>8146</v>
      </c>
      <c r="F296" t="s">
        <v>8458</v>
      </c>
      <c r="G296" t="s">
        <v>8264</v>
      </c>
    </row>
    <row r="297" spans="2:7" x14ac:dyDescent="0.25">
      <c r="B297" t="s">
        <v>789</v>
      </c>
      <c r="C297" t="s">
        <v>315</v>
      </c>
      <c r="D297" t="s">
        <v>792</v>
      </c>
      <c r="E297" t="s">
        <v>8069</v>
      </c>
      <c r="F297" t="s">
        <v>8077</v>
      </c>
      <c r="G297" t="s">
        <v>8076</v>
      </c>
    </row>
    <row r="298" spans="2:7" x14ac:dyDescent="0.25">
      <c r="B298" t="s">
        <v>789</v>
      </c>
      <c r="C298" t="s">
        <v>316</v>
      </c>
      <c r="D298" t="s">
        <v>792</v>
      </c>
      <c r="E298" t="s">
        <v>8105</v>
      </c>
      <c r="F298" t="s">
        <v>8090</v>
      </c>
      <c r="G298" t="s">
        <v>8106</v>
      </c>
    </row>
    <row r="299" spans="2:7" x14ac:dyDescent="0.25">
      <c r="B299" t="s">
        <v>789</v>
      </c>
      <c r="C299" t="s">
        <v>317</v>
      </c>
      <c r="D299" t="s">
        <v>793</v>
      </c>
      <c r="E299" t="s">
        <v>8460</v>
      </c>
      <c r="F299" t="s">
        <v>8459</v>
      </c>
      <c r="G299" t="s">
        <v>8461</v>
      </c>
    </row>
    <row r="300" spans="2:7" x14ac:dyDescent="0.25">
      <c r="B300" t="s">
        <v>789</v>
      </c>
      <c r="C300" t="s">
        <v>8901</v>
      </c>
      <c r="D300" t="s">
        <v>793</v>
      </c>
      <c r="E300" t="s">
        <v>9009</v>
      </c>
      <c r="F300" t="s">
        <v>9008</v>
      </c>
      <c r="G300" t="s">
        <v>9007</v>
      </c>
    </row>
    <row r="301" spans="2:7" x14ac:dyDescent="0.25">
      <c r="B301" t="s">
        <v>789</v>
      </c>
      <c r="C301" t="s">
        <v>318</v>
      </c>
      <c r="D301" t="s">
        <v>793</v>
      </c>
      <c r="E301" t="s">
        <v>7898</v>
      </c>
      <c r="F301" t="s">
        <v>7901</v>
      </c>
      <c r="G301" t="s">
        <v>7899</v>
      </c>
    </row>
    <row r="302" spans="2:7" x14ac:dyDescent="0.25">
      <c r="B302" t="s">
        <v>789</v>
      </c>
      <c r="C302" t="s">
        <v>319</v>
      </c>
      <c r="D302" t="s">
        <v>7839</v>
      </c>
      <c r="E302" t="s">
        <v>8210</v>
      </c>
      <c r="F302" t="s">
        <v>8213</v>
      </c>
      <c r="G302" t="s">
        <v>8211</v>
      </c>
    </row>
    <row r="303" spans="2:7" x14ac:dyDescent="0.25">
      <c r="B303" t="s">
        <v>789</v>
      </c>
      <c r="C303" t="s">
        <v>320</v>
      </c>
      <c r="D303" t="s">
        <v>793</v>
      </c>
      <c r="E303" t="s">
        <v>7924</v>
      </c>
      <c r="F303" t="s">
        <v>7926</v>
      </c>
      <c r="G303" t="s">
        <v>7925</v>
      </c>
    </row>
    <row r="304" spans="2:7" x14ac:dyDescent="0.25">
      <c r="B304" t="s">
        <v>789</v>
      </c>
      <c r="C304" t="s">
        <v>321</v>
      </c>
      <c r="D304" t="s">
        <v>792</v>
      </c>
      <c r="E304" t="s">
        <v>8069</v>
      </c>
      <c r="F304" t="s">
        <v>8081</v>
      </c>
      <c r="G304" t="s">
        <v>8080</v>
      </c>
    </row>
    <row r="305" spans="2:7" x14ac:dyDescent="0.25">
      <c r="B305" t="s">
        <v>789</v>
      </c>
      <c r="C305" t="s">
        <v>322</v>
      </c>
      <c r="D305" t="s">
        <v>793</v>
      </c>
      <c r="E305" t="s">
        <v>8462</v>
      </c>
      <c r="F305" t="s">
        <v>8464</v>
      </c>
      <c r="G305" t="s">
        <v>8463</v>
      </c>
    </row>
    <row r="306" spans="2:7" x14ac:dyDescent="0.25">
      <c r="B306" t="s">
        <v>789</v>
      </c>
      <c r="C306" t="s">
        <v>323</v>
      </c>
      <c r="D306" t="s">
        <v>792</v>
      </c>
      <c r="E306" t="s">
        <v>8126</v>
      </c>
      <c r="F306" t="s">
        <v>8133</v>
      </c>
      <c r="G306" t="s">
        <v>8129</v>
      </c>
    </row>
    <row r="307" spans="2:7" x14ac:dyDescent="0.25">
      <c r="B307" t="s">
        <v>789</v>
      </c>
      <c r="C307" t="s">
        <v>324</v>
      </c>
      <c r="D307" t="s">
        <v>7839</v>
      </c>
      <c r="E307" t="s">
        <v>8210</v>
      </c>
      <c r="F307" t="s">
        <v>8212</v>
      </c>
      <c r="G307" t="s">
        <v>8211</v>
      </c>
    </row>
    <row r="308" spans="2:7" x14ac:dyDescent="0.25">
      <c r="B308" t="s">
        <v>789</v>
      </c>
      <c r="C308" t="s">
        <v>325</v>
      </c>
      <c r="D308" t="s">
        <v>792</v>
      </c>
      <c r="E308" t="s">
        <v>8146</v>
      </c>
      <c r="F308" t="s">
        <v>7896</v>
      </c>
      <c r="G308" t="s">
        <v>8153</v>
      </c>
    </row>
    <row r="309" spans="2:7" x14ac:dyDescent="0.25">
      <c r="B309" t="s">
        <v>789</v>
      </c>
      <c r="C309" t="s">
        <v>326</v>
      </c>
      <c r="D309" t="s">
        <v>793</v>
      </c>
      <c r="E309" t="s">
        <v>8438</v>
      </c>
      <c r="F309" t="s">
        <v>8465</v>
      </c>
      <c r="G309" t="s">
        <v>8437</v>
      </c>
    </row>
    <row r="310" spans="2:7" x14ac:dyDescent="0.25">
      <c r="B310" t="s">
        <v>789</v>
      </c>
      <c r="C310" t="s">
        <v>327</v>
      </c>
      <c r="D310" t="s">
        <v>792</v>
      </c>
      <c r="E310" t="s">
        <v>8273</v>
      </c>
      <c r="F310" t="s">
        <v>8278</v>
      </c>
      <c r="G310" t="s">
        <v>8274</v>
      </c>
    </row>
    <row r="311" spans="2:7" x14ac:dyDescent="0.25">
      <c r="B311" t="s">
        <v>789</v>
      </c>
      <c r="C311" t="s">
        <v>328</v>
      </c>
      <c r="D311" t="s">
        <v>792</v>
      </c>
      <c r="E311" t="s">
        <v>8146</v>
      </c>
      <c r="F311" t="s">
        <v>7896</v>
      </c>
      <c r="G311" t="s">
        <v>8153</v>
      </c>
    </row>
    <row r="312" spans="2:7" x14ac:dyDescent="0.25">
      <c r="B312" t="s">
        <v>789</v>
      </c>
      <c r="C312" t="s">
        <v>329</v>
      </c>
      <c r="D312" t="s">
        <v>792</v>
      </c>
      <c r="E312" t="s">
        <v>8126</v>
      </c>
      <c r="F312" t="s">
        <v>8134</v>
      </c>
      <c r="G312" t="s">
        <v>8128</v>
      </c>
    </row>
    <row r="313" spans="2:7" x14ac:dyDescent="0.25">
      <c r="B313" t="s">
        <v>789</v>
      </c>
      <c r="C313" t="s">
        <v>330</v>
      </c>
      <c r="D313" t="s">
        <v>793</v>
      </c>
      <c r="E313" t="s">
        <v>8117</v>
      </c>
      <c r="F313" t="s">
        <v>8122</v>
      </c>
      <c r="G313" t="s">
        <v>8466</v>
      </c>
    </row>
    <row r="314" spans="2:7" x14ac:dyDescent="0.25">
      <c r="B314" t="s">
        <v>789</v>
      </c>
      <c r="C314" t="s">
        <v>9011</v>
      </c>
      <c r="D314" t="s">
        <v>792</v>
      </c>
      <c r="G314" t="s">
        <v>9016</v>
      </c>
    </row>
    <row r="315" spans="2:7" x14ac:dyDescent="0.25">
      <c r="B315" t="s">
        <v>789</v>
      </c>
      <c r="C315" t="s">
        <v>331</v>
      </c>
      <c r="D315" t="s">
        <v>792</v>
      </c>
      <c r="E315" t="s">
        <v>8042</v>
      </c>
      <c r="F315" t="s">
        <v>7908</v>
      </c>
      <c r="G315" t="s">
        <v>8041</v>
      </c>
    </row>
    <row r="316" spans="2:7" x14ac:dyDescent="0.25">
      <c r="B316" t="s">
        <v>789</v>
      </c>
      <c r="C316" t="s">
        <v>332</v>
      </c>
      <c r="D316" t="s">
        <v>792</v>
      </c>
      <c r="E316" t="s">
        <v>8469</v>
      </c>
      <c r="F316" t="s">
        <v>8468</v>
      </c>
      <c r="G316" t="s">
        <v>8467</v>
      </c>
    </row>
    <row r="317" spans="2:7" x14ac:dyDescent="0.25">
      <c r="B317" t="s">
        <v>789</v>
      </c>
      <c r="C317" t="s">
        <v>333</v>
      </c>
      <c r="D317" t="s">
        <v>792</v>
      </c>
      <c r="E317" t="s">
        <v>8296</v>
      </c>
      <c r="F317" t="s">
        <v>8297</v>
      </c>
      <c r="G317" t="s">
        <v>8293</v>
      </c>
    </row>
    <row r="318" spans="2:7" x14ac:dyDescent="0.25">
      <c r="B318" t="s">
        <v>789</v>
      </c>
      <c r="C318" t="s">
        <v>334</v>
      </c>
      <c r="D318" t="s">
        <v>792</v>
      </c>
      <c r="E318" t="s">
        <v>7917</v>
      </c>
      <c r="F318" t="s">
        <v>7920</v>
      </c>
      <c r="G318" t="s">
        <v>7918</v>
      </c>
    </row>
    <row r="319" spans="2:7" x14ac:dyDescent="0.25">
      <c r="B319" t="s">
        <v>789</v>
      </c>
      <c r="C319" t="s">
        <v>335</v>
      </c>
      <c r="D319" t="s">
        <v>792</v>
      </c>
      <c r="E319" t="s">
        <v>8470</v>
      </c>
      <c r="F319" t="s">
        <v>8472</v>
      </c>
      <c r="G319" t="s">
        <v>8471</v>
      </c>
    </row>
    <row r="320" spans="2:7" x14ac:dyDescent="0.25">
      <c r="B320" t="s">
        <v>789</v>
      </c>
      <c r="C320" t="s">
        <v>336</v>
      </c>
      <c r="D320" t="s">
        <v>792</v>
      </c>
      <c r="E320" t="s">
        <v>8105</v>
      </c>
      <c r="F320" t="s">
        <v>8107</v>
      </c>
      <c r="G320" t="s">
        <v>8106</v>
      </c>
    </row>
    <row r="321" spans="2:7" x14ac:dyDescent="0.25">
      <c r="B321" t="s">
        <v>789</v>
      </c>
      <c r="C321" t="s">
        <v>337</v>
      </c>
      <c r="D321" t="s">
        <v>793</v>
      </c>
      <c r="E321" t="s">
        <v>8172</v>
      </c>
      <c r="F321" t="s">
        <v>8174</v>
      </c>
      <c r="G321" t="s">
        <v>8171</v>
      </c>
    </row>
    <row r="322" spans="2:7" x14ac:dyDescent="0.25">
      <c r="B322" t="s">
        <v>789</v>
      </c>
      <c r="C322" t="s">
        <v>338</v>
      </c>
      <c r="D322" t="s">
        <v>792</v>
      </c>
      <c r="E322" t="s">
        <v>8036</v>
      </c>
      <c r="F322" t="s">
        <v>7854</v>
      </c>
      <c r="G322" t="s">
        <v>8038</v>
      </c>
    </row>
    <row r="323" spans="2:7" x14ac:dyDescent="0.25">
      <c r="B323" t="s">
        <v>789</v>
      </c>
      <c r="C323" t="s">
        <v>339</v>
      </c>
      <c r="D323" t="s">
        <v>792</v>
      </c>
      <c r="E323" t="s">
        <v>8196</v>
      </c>
      <c r="F323" t="s">
        <v>8199</v>
      </c>
      <c r="G323" t="s">
        <v>8197</v>
      </c>
    </row>
    <row r="324" spans="2:7" x14ac:dyDescent="0.25">
      <c r="B324" t="s">
        <v>789</v>
      </c>
      <c r="C324" t="s">
        <v>340</v>
      </c>
      <c r="D324" t="s">
        <v>792</v>
      </c>
      <c r="E324" t="s">
        <v>7978</v>
      </c>
      <c r="F324" t="s">
        <v>7977</v>
      </c>
      <c r="G324" t="s">
        <v>7974</v>
      </c>
    </row>
    <row r="325" spans="2:7" x14ac:dyDescent="0.25">
      <c r="B325" t="s">
        <v>789</v>
      </c>
      <c r="C325" t="s">
        <v>341</v>
      </c>
      <c r="D325" t="s">
        <v>793</v>
      </c>
      <c r="E325" t="s">
        <v>8243</v>
      </c>
      <c r="F325" t="s">
        <v>8244</v>
      </c>
      <c r="G325" t="s">
        <v>8245</v>
      </c>
    </row>
    <row r="326" spans="2:7" x14ac:dyDescent="0.25">
      <c r="B326" t="s">
        <v>789</v>
      </c>
      <c r="C326" t="s">
        <v>342</v>
      </c>
      <c r="D326" t="s">
        <v>792</v>
      </c>
      <c r="E326" t="s">
        <v>8473</v>
      </c>
      <c r="F326" t="s">
        <v>8475</v>
      </c>
      <c r="G326" t="s">
        <v>8474</v>
      </c>
    </row>
    <row r="327" spans="2:7" x14ac:dyDescent="0.25">
      <c r="B327" t="s">
        <v>789</v>
      </c>
      <c r="C327" t="s">
        <v>343</v>
      </c>
      <c r="D327" t="s">
        <v>793</v>
      </c>
      <c r="E327" t="s">
        <v>8478</v>
      </c>
      <c r="F327" t="s">
        <v>8480</v>
      </c>
      <c r="G327" t="s">
        <v>8479</v>
      </c>
    </row>
    <row r="328" spans="2:7" x14ac:dyDescent="0.25">
      <c r="B328" t="s">
        <v>789</v>
      </c>
      <c r="C328" t="s">
        <v>344</v>
      </c>
      <c r="D328" t="s">
        <v>792</v>
      </c>
      <c r="E328" t="s">
        <v>8482</v>
      </c>
      <c r="F328" t="s">
        <v>8483</v>
      </c>
      <c r="G328" t="s">
        <v>8481</v>
      </c>
    </row>
    <row r="329" spans="2:7" x14ac:dyDescent="0.25">
      <c r="B329" t="s">
        <v>789</v>
      </c>
      <c r="C329" t="s">
        <v>345</v>
      </c>
      <c r="D329" t="s">
        <v>792</v>
      </c>
      <c r="E329" t="s">
        <v>8296</v>
      </c>
      <c r="F329" t="s">
        <v>8298</v>
      </c>
      <c r="G329" t="s">
        <v>8293</v>
      </c>
    </row>
    <row r="330" spans="2:7" x14ac:dyDescent="0.25">
      <c r="B330" t="s">
        <v>789</v>
      </c>
      <c r="C330" t="s">
        <v>346</v>
      </c>
      <c r="D330" t="s">
        <v>792</v>
      </c>
      <c r="E330" t="s">
        <v>8296</v>
      </c>
      <c r="F330" t="s">
        <v>8297</v>
      </c>
      <c r="G330" t="s">
        <v>8293</v>
      </c>
    </row>
    <row r="331" spans="2:7" x14ac:dyDescent="0.25">
      <c r="B331" t="s">
        <v>789</v>
      </c>
      <c r="C331" t="s">
        <v>347</v>
      </c>
      <c r="D331" t="s">
        <v>792</v>
      </c>
      <c r="E331" t="s">
        <v>8296</v>
      </c>
      <c r="F331" t="s">
        <v>8299</v>
      </c>
      <c r="G331" t="s">
        <v>8293</v>
      </c>
    </row>
    <row r="332" spans="2:7" x14ac:dyDescent="0.25">
      <c r="B332" t="s">
        <v>789</v>
      </c>
      <c r="C332" t="s">
        <v>348</v>
      </c>
      <c r="D332" t="s">
        <v>793</v>
      </c>
      <c r="E332" t="s">
        <v>8484</v>
      </c>
      <c r="F332" t="s">
        <v>8486</v>
      </c>
      <c r="G332" t="s">
        <v>8485</v>
      </c>
    </row>
    <row r="333" spans="2:7" x14ac:dyDescent="0.25">
      <c r="B333" t="s">
        <v>789</v>
      </c>
      <c r="C333" t="s">
        <v>349</v>
      </c>
      <c r="D333" t="s">
        <v>792</v>
      </c>
      <c r="E333" t="s">
        <v>8404</v>
      </c>
      <c r="F333" t="s">
        <v>8407</v>
      </c>
      <c r="G333" t="s">
        <v>8487</v>
      </c>
    </row>
    <row r="334" spans="2:7" x14ac:dyDescent="0.25">
      <c r="B334" t="s">
        <v>789</v>
      </c>
      <c r="C334" t="s">
        <v>350</v>
      </c>
      <c r="D334" t="s">
        <v>792</v>
      </c>
      <c r="E334" t="s">
        <v>8040</v>
      </c>
      <c r="F334" t="s">
        <v>7909</v>
      </c>
      <c r="G334" t="s">
        <v>8041</v>
      </c>
    </row>
    <row r="335" spans="2:7" x14ac:dyDescent="0.25">
      <c r="B335" t="s">
        <v>789</v>
      </c>
      <c r="C335" t="s">
        <v>351</v>
      </c>
      <c r="D335" t="s">
        <v>792</v>
      </c>
      <c r="E335" t="s">
        <v>8059</v>
      </c>
      <c r="F335" t="s">
        <v>8060</v>
      </c>
      <c r="G335" t="s">
        <v>8061</v>
      </c>
    </row>
    <row r="336" spans="2:7" x14ac:dyDescent="0.25">
      <c r="B336" t="s">
        <v>789</v>
      </c>
      <c r="C336" t="s">
        <v>352</v>
      </c>
      <c r="D336" t="s">
        <v>792</v>
      </c>
      <c r="E336" t="s">
        <v>8039</v>
      </c>
      <c r="F336" t="s">
        <v>7904</v>
      </c>
      <c r="G336" t="s">
        <v>8043</v>
      </c>
    </row>
    <row r="337" spans="2:7" x14ac:dyDescent="0.25">
      <c r="B337" t="s">
        <v>789</v>
      </c>
      <c r="C337" t="s">
        <v>353</v>
      </c>
      <c r="D337" t="s">
        <v>792</v>
      </c>
      <c r="E337" t="s">
        <v>8301</v>
      </c>
      <c r="F337" t="s">
        <v>8306</v>
      </c>
      <c r="G337" t="s">
        <v>8303</v>
      </c>
    </row>
    <row r="338" spans="2:7" x14ac:dyDescent="0.25">
      <c r="B338" t="s">
        <v>789</v>
      </c>
      <c r="C338" t="s">
        <v>354</v>
      </c>
      <c r="D338" t="s">
        <v>792</v>
      </c>
      <c r="E338" t="s">
        <v>8146</v>
      </c>
      <c r="F338" t="s">
        <v>7891</v>
      </c>
      <c r="G338" t="s">
        <v>8151</v>
      </c>
    </row>
    <row r="339" spans="2:7" x14ac:dyDescent="0.25">
      <c r="B339" t="s">
        <v>789</v>
      </c>
      <c r="C339" t="s">
        <v>355</v>
      </c>
      <c r="D339" t="s">
        <v>793</v>
      </c>
      <c r="E339" t="s">
        <v>8488</v>
      </c>
      <c r="F339" t="s">
        <v>8490</v>
      </c>
      <c r="G339" t="s">
        <v>8489</v>
      </c>
    </row>
    <row r="340" spans="2:7" x14ac:dyDescent="0.25">
      <c r="B340" t="s">
        <v>789</v>
      </c>
      <c r="C340" t="s">
        <v>356</v>
      </c>
      <c r="D340" t="s">
        <v>793</v>
      </c>
      <c r="E340" t="s">
        <v>8190</v>
      </c>
      <c r="F340" t="s">
        <v>8193</v>
      </c>
      <c r="G340" t="s">
        <v>8195</v>
      </c>
    </row>
    <row r="341" spans="2:7" x14ac:dyDescent="0.25">
      <c r="B341" t="s">
        <v>789</v>
      </c>
      <c r="C341" t="s">
        <v>357</v>
      </c>
      <c r="D341" t="s">
        <v>793</v>
      </c>
      <c r="E341" t="s">
        <v>8491</v>
      </c>
      <c r="F341" t="s">
        <v>8492</v>
      </c>
      <c r="G341" t="s">
        <v>8221</v>
      </c>
    </row>
    <row r="342" spans="2:7" x14ac:dyDescent="0.25">
      <c r="B342" t="s">
        <v>789</v>
      </c>
      <c r="C342" t="s">
        <v>358</v>
      </c>
      <c r="D342" t="s">
        <v>792</v>
      </c>
      <c r="E342" t="s">
        <v>8469</v>
      </c>
      <c r="F342" t="s">
        <v>8493</v>
      </c>
      <c r="G342" t="s">
        <v>8467</v>
      </c>
    </row>
    <row r="343" spans="2:7" x14ac:dyDescent="0.25">
      <c r="B343" t="s">
        <v>789</v>
      </c>
      <c r="C343" t="s">
        <v>359</v>
      </c>
      <c r="D343" t="s">
        <v>792</v>
      </c>
      <c r="E343" t="s">
        <v>8207</v>
      </c>
      <c r="F343" t="s">
        <v>7868</v>
      </c>
      <c r="G343" t="s">
        <v>8208</v>
      </c>
    </row>
    <row r="344" spans="2:7" x14ac:dyDescent="0.25">
      <c r="B344" t="s">
        <v>789</v>
      </c>
      <c r="C344" t="s">
        <v>360</v>
      </c>
      <c r="D344" t="s">
        <v>793</v>
      </c>
      <c r="E344" t="s">
        <v>8495</v>
      </c>
      <c r="F344" t="s">
        <v>8496</v>
      </c>
      <c r="G344" t="s">
        <v>8494</v>
      </c>
    </row>
    <row r="345" spans="2:7" x14ac:dyDescent="0.25">
      <c r="B345" t="s">
        <v>789</v>
      </c>
      <c r="C345" t="s">
        <v>361</v>
      </c>
      <c r="D345" t="s">
        <v>792</v>
      </c>
      <c r="E345" t="s">
        <v>7961</v>
      </c>
      <c r="F345" t="s">
        <v>7962</v>
      </c>
      <c r="G345" t="s">
        <v>7963</v>
      </c>
    </row>
    <row r="346" spans="2:7" x14ac:dyDescent="0.25">
      <c r="B346" t="s">
        <v>789</v>
      </c>
      <c r="C346" t="s">
        <v>362</v>
      </c>
      <c r="D346" t="s">
        <v>792</v>
      </c>
      <c r="E346" t="s">
        <v>8051</v>
      </c>
      <c r="F346" t="s">
        <v>8052</v>
      </c>
      <c r="G346" t="s">
        <v>8053</v>
      </c>
    </row>
    <row r="347" spans="2:7" x14ac:dyDescent="0.25">
      <c r="B347" t="s">
        <v>789</v>
      </c>
      <c r="C347" t="s">
        <v>363</v>
      </c>
      <c r="D347" t="s">
        <v>793</v>
      </c>
      <c r="E347" t="s">
        <v>8285</v>
      </c>
      <c r="F347" t="s">
        <v>8291</v>
      </c>
      <c r="G347" t="s">
        <v>8286</v>
      </c>
    </row>
    <row r="348" spans="2:7" x14ac:dyDescent="0.25">
      <c r="B348" t="s">
        <v>789</v>
      </c>
      <c r="C348" t="s">
        <v>364</v>
      </c>
      <c r="D348" t="s">
        <v>793</v>
      </c>
      <c r="E348" t="s">
        <v>8172</v>
      </c>
      <c r="F348" t="s">
        <v>8175</v>
      </c>
      <c r="G348" t="s">
        <v>8171</v>
      </c>
    </row>
    <row r="349" spans="2:7" x14ac:dyDescent="0.25">
      <c r="B349" t="s">
        <v>789</v>
      </c>
      <c r="C349" t="s">
        <v>365</v>
      </c>
      <c r="D349" t="s">
        <v>792</v>
      </c>
      <c r="E349" t="s">
        <v>8146</v>
      </c>
      <c r="F349" t="s">
        <v>7889</v>
      </c>
      <c r="G349" t="s">
        <v>8152</v>
      </c>
    </row>
    <row r="350" spans="2:7" x14ac:dyDescent="0.25">
      <c r="B350" t="s">
        <v>789</v>
      </c>
      <c r="C350" t="s">
        <v>366</v>
      </c>
      <c r="D350" t="s">
        <v>793</v>
      </c>
      <c r="E350" t="s">
        <v>8498</v>
      </c>
      <c r="F350" t="s">
        <v>8499</v>
      </c>
      <c r="G350" t="s">
        <v>8497</v>
      </c>
    </row>
    <row r="351" spans="2:7" x14ac:dyDescent="0.25">
      <c r="B351" t="s">
        <v>789</v>
      </c>
      <c r="C351" t="s">
        <v>367</v>
      </c>
      <c r="D351" t="s">
        <v>793</v>
      </c>
      <c r="E351" t="s">
        <v>8500</v>
      </c>
      <c r="F351" t="s">
        <v>8502</v>
      </c>
      <c r="G351" t="s">
        <v>8501</v>
      </c>
    </row>
    <row r="352" spans="2:7" x14ac:dyDescent="0.25">
      <c r="B352" t="s">
        <v>789</v>
      </c>
      <c r="C352" t="s">
        <v>368</v>
      </c>
      <c r="D352" t="s">
        <v>792</v>
      </c>
      <c r="E352" t="s">
        <v>8146</v>
      </c>
      <c r="F352" t="s">
        <v>7896</v>
      </c>
      <c r="G352" t="s">
        <v>8153</v>
      </c>
    </row>
    <row r="353" spans="2:7" x14ac:dyDescent="0.25">
      <c r="B353" t="s">
        <v>789</v>
      </c>
      <c r="C353" t="s">
        <v>369</v>
      </c>
      <c r="D353" t="s">
        <v>792</v>
      </c>
      <c r="E353" t="s">
        <v>8324</v>
      </c>
      <c r="F353" t="s">
        <v>8327</v>
      </c>
      <c r="G353" t="s">
        <v>8326</v>
      </c>
    </row>
    <row r="354" spans="2:7" x14ac:dyDescent="0.25">
      <c r="B354" t="s">
        <v>789</v>
      </c>
      <c r="C354" t="s">
        <v>370</v>
      </c>
      <c r="D354" t="s">
        <v>7839</v>
      </c>
      <c r="E354" t="s">
        <v>8503</v>
      </c>
      <c r="F354" t="s">
        <v>8505</v>
      </c>
      <c r="G354" t="s">
        <v>8504</v>
      </c>
    </row>
    <row r="355" spans="2:7" x14ac:dyDescent="0.25">
      <c r="B355" t="s">
        <v>789</v>
      </c>
      <c r="C355" t="s">
        <v>371</v>
      </c>
      <c r="D355" t="s">
        <v>792</v>
      </c>
      <c r="E355" t="s">
        <v>8506</v>
      </c>
      <c r="F355" t="s">
        <v>8507</v>
      </c>
      <c r="G355" t="s">
        <v>8508</v>
      </c>
    </row>
    <row r="356" spans="2:7" x14ac:dyDescent="0.25">
      <c r="B356" t="s">
        <v>789</v>
      </c>
      <c r="C356" t="s">
        <v>372</v>
      </c>
      <c r="D356" t="s">
        <v>792</v>
      </c>
      <c r="E356" t="s">
        <v>8282</v>
      </c>
      <c r="F356" t="s">
        <v>8283</v>
      </c>
      <c r="G356" t="s">
        <v>8284</v>
      </c>
    </row>
    <row r="357" spans="2:7" x14ac:dyDescent="0.25">
      <c r="B357" t="s">
        <v>789</v>
      </c>
      <c r="C357" t="s">
        <v>373</v>
      </c>
      <c r="D357" t="s">
        <v>793</v>
      </c>
      <c r="E357" t="s">
        <v>7924</v>
      </c>
      <c r="F357" t="s">
        <v>7926</v>
      </c>
      <c r="G357" t="s">
        <v>7925</v>
      </c>
    </row>
    <row r="358" spans="2:7" x14ac:dyDescent="0.25">
      <c r="B358" t="s">
        <v>789</v>
      </c>
      <c r="C358" t="s">
        <v>374</v>
      </c>
      <c r="D358" t="s">
        <v>793</v>
      </c>
      <c r="E358" t="s">
        <v>8117</v>
      </c>
      <c r="F358" t="s">
        <v>8123</v>
      </c>
      <c r="G358" t="s">
        <v>8118</v>
      </c>
    </row>
    <row r="359" spans="2:7" x14ac:dyDescent="0.25">
      <c r="B359" t="s">
        <v>789</v>
      </c>
      <c r="C359" t="s">
        <v>375</v>
      </c>
      <c r="D359" t="s">
        <v>792</v>
      </c>
      <c r="E359" t="s">
        <v>8509</v>
      </c>
      <c r="F359" t="s">
        <v>8510</v>
      </c>
      <c r="G359" t="s">
        <v>8444</v>
      </c>
    </row>
    <row r="360" spans="2:7" x14ac:dyDescent="0.25">
      <c r="B360" t="s">
        <v>789</v>
      </c>
      <c r="C360" t="s">
        <v>376</v>
      </c>
      <c r="D360" t="s">
        <v>792</v>
      </c>
      <c r="E360" t="s">
        <v>8146</v>
      </c>
      <c r="F360" t="s">
        <v>7894</v>
      </c>
      <c r="G360" t="s">
        <v>8154</v>
      </c>
    </row>
    <row r="361" spans="2:7" x14ac:dyDescent="0.25">
      <c r="B361" t="s">
        <v>789</v>
      </c>
      <c r="C361" t="s">
        <v>377</v>
      </c>
      <c r="D361" t="s">
        <v>793</v>
      </c>
      <c r="E361" t="s">
        <v>8511</v>
      </c>
      <c r="F361" t="s">
        <v>8513</v>
      </c>
      <c r="G361" t="s">
        <v>8512</v>
      </c>
    </row>
    <row r="362" spans="2:7" x14ac:dyDescent="0.25">
      <c r="B362" t="s">
        <v>789</v>
      </c>
      <c r="C362" t="s">
        <v>378</v>
      </c>
      <c r="D362" t="s">
        <v>792</v>
      </c>
      <c r="E362" t="s">
        <v>8515</v>
      </c>
      <c r="F362" t="s">
        <v>8514</v>
      </c>
      <c r="G362" t="s">
        <v>8516</v>
      </c>
    </row>
    <row r="363" spans="2:7" x14ac:dyDescent="0.25">
      <c r="B363" t="s">
        <v>789</v>
      </c>
      <c r="C363" t="s">
        <v>379</v>
      </c>
      <c r="D363" t="s">
        <v>792</v>
      </c>
      <c r="E363" t="s">
        <v>8073</v>
      </c>
      <c r="F363" t="s">
        <v>8074</v>
      </c>
      <c r="G363" t="s">
        <v>8072</v>
      </c>
    </row>
    <row r="364" spans="2:7" x14ac:dyDescent="0.25">
      <c r="B364" t="s">
        <v>789</v>
      </c>
      <c r="C364" t="s">
        <v>380</v>
      </c>
      <c r="D364" t="s">
        <v>792</v>
      </c>
      <c r="E364" t="s">
        <v>8517</v>
      </c>
      <c r="F364" t="s">
        <v>8518</v>
      </c>
      <c r="G364" t="s">
        <v>8111</v>
      </c>
    </row>
    <row r="365" spans="2:7" x14ac:dyDescent="0.25">
      <c r="B365" t="s">
        <v>789</v>
      </c>
      <c r="C365" t="s">
        <v>381</v>
      </c>
      <c r="D365" t="s">
        <v>792</v>
      </c>
      <c r="E365" t="s">
        <v>7997</v>
      </c>
      <c r="F365" t="s">
        <v>8001</v>
      </c>
      <c r="G365" t="s">
        <v>8000</v>
      </c>
    </row>
    <row r="366" spans="2:7" x14ac:dyDescent="0.25">
      <c r="B366" t="s">
        <v>789</v>
      </c>
      <c r="C366" t="s">
        <v>382</v>
      </c>
      <c r="D366" t="s">
        <v>793</v>
      </c>
      <c r="E366" t="s">
        <v>8183</v>
      </c>
      <c r="F366" t="s">
        <v>8189</v>
      </c>
      <c r="G366" t="s">
        <v>8184</v>
      </c>
    </row>
    <row r="367" spans="2:7" x14ac:dyDescent="0.25">
      <c r="B367" t="s">
        <v>789</v>
      </c>
      <c r="C367" t="s">
        <v>383</v>
      </c>
      <c r="D367" t="s">
        <v>792</v>
      </c>
      <c r="E367" t="s">
        <v>8209</v>
      </c>
      <c r="F367" t="s">
        <v>7929</v>
      </c>
      <c r="G367" t="s">
        <v>7928</v>
      </c>
    </row>
    <row r="368" spans="2:7" x14ac:dyDescent="0.25">
      <c r="B368" t="s">
        <v>789</v>
      </c>
      <c r="C368" t="s">
        <v>384</v>
      </c>
      <c r="D368" t="s">
        <v>792</v>
      </c>
      <c r="E368" t="s">
        <v>8146</v>
      </c>
      <c r="F368" t="s">
        <v>7896</v>
      </c>
      <c r="G368" t="s">
        <v>8153</v>
      </c>
    </row>
    <row r="369" spans="2:7" x14ac:dyDescent="0.25">
      <c r="B369" t="s">
        <v>789</v>
      </c>
      <c r="C369" t="s">
        <v>385</v>
      </c>
      <c r="D369" t="s">
        <v>793</v>
      </c>
      <c r="E369" t="s">
        <v>8285</v>
      </c>
      <c r="F369" t="s">
        <v>8292</v>
      </c>
      <c r="G369" t="s">
        <v>8286</v>
      </c>
    </row>
    <row r="370" spans="2:7" x14ac:dyDescent="0.25">
      <c r="B370" t="s">
        <v>789</v>
      </c>
      <c r="C370" t="s">
        <v>386</v>
      </c>
      <c r="D370" t="s">
        <v>792</v>
      </c>
      <c r="E370" t="s">
        <v>8168</v>
      </c>
      <c r="F370" t="s">
        <v>8167</v>
      </c>
      <c r="G370" t="s">
        <v>8169</v>
      </c>
    </row>
    <row r="371" spans="2:7" x14ac:dyDescent="0.25">
      <c r="B371" t="s">
        <v>789</v>
      </c>
      <c r="C371" t="s">
        <v>387</v>
      </c>
      <c r="D371" t="s">
        <v>793</v>
      </c>
      <c r="E371" t="s">
        <v>8243</v>
      </c>
      <c r="F371" t="s">
        <v>8244</v>
      </c>
      <c r="G371" t="s">
        <v>8245</v>
      </c>
    </row>
    <row r="372" spans="2:7" x14ac:dyDescent="0.25">
      <c r="B372" t="s">
        <v>789</v>
      </c>
      <c r="C372" t="s">
        <v>388</v>
      </c>
      <c r="D372" t="s">
        <v>792</v>
      </c>
      <c r="E372" t="s">
        <v>8209</v>
      </c>
      <c r="F372" t="s">
        <v>7935</v>
      </c>
      <c r="G372" t="s">
        <v>7927</v>
      </c>
    </row>
    <row r="373" spans="2:7" x14ac:dyDescent="0.25">
      <c r="B373" t="s">
        <v>789</v>
      </c>
      <c r="C373" t="s">
        <v>389</v>
      </c>
      <c r="D373" t="s">
        <v>792</v>
      </c>
      <c r="E373" t="s">
        <v>8519</v>
      </c>
      <c r="F373" t="s">
        <v>8521</v>
      </c>
      <c r="G373" t="s">
        <v>8520</v>
      </c>
    </row>
    <row r="374" spans="2:7" x14ac:dyDescent="0.25">
      <c r="B374" t="s">
        <v>789</v>
      </c>
      <c r="C374" t="s">
        <v>390</v>
      </c>
      <c r="D374" t="s">
        <v>792</v>
      </c>
      <c r="E374" t="s">
        <v>8196</v>
      </c>
      <c r="F374" t="s">
        <v>8200</v>
      </c>
      <c r="G374" t="s">
        <v>8197</v>
      </c>
    </row>
    <row r="375" spans="2:7" x14ac:dyDescent="0.25">
      <c r="B375" t="s">
        <v>789</v>
      </c>
      <c r="C375" t="s">
        <v>391</v>
      </c>
      <c r="D375" t="s">
        <v>792</v>
      </c>
      <c r="E375" t="s">
        <v>8523</v>
      </c>
      <c r="F375" t="s">
        <v>8524</v>
      </c>
      <c r="G375" t="s">
        <v>8522</v>
      </c>
    </row>
    <row r="376" spans="2:7" x14ac:dyDescent="0.25">
      <c r="B376" t="s">
        <v>789</v>
      </c>
      <c r="C376" t="s">
        <v>392</v>
      </c>
      <c r="D376" t="s">
        <v>793</v>
      </c>
      <c r="E376" t="s">
        <v>8348</v>
      </c>
      <c r="F376" t="s">
        <v>8353</v>
      </c>
      <c r="G376" t="s">
        <v>8349</v>
      </c>
    </row>
    <row r="377" spans="2:7" x14ac:dyDescent="0.25">
      <c r="B377" t="s">
        <v>789</v>
      </c>
      <c r="C377" t="s">
        <v>393</v>
      </c>
      <c r="D377" t="s">
        <v>793</v>
      </c>
      <c r="E377" t="s">
        <v>8190</v>
      </c>
      <c r="F377" t="s">
        <v>8194</v>
      </c>
      <c r="G377" t="s">
        <v>8191</v>
      </c>
    </row>
    <row r="378" spans="2:7" x14ac:dyDescent="0.25">
      <c r="B378" t="s">
        <v>789</v>
      </c>
      <c r="C378" t="s">
        <v>394</v>
      </c>
      <c r="D378" t="s">
        <v>793</v>
      </c>
      <c r="E378" t="s">
        <v>7924</v>
      </c>
      <c r="F378" t="s">
        <v>7926</v>
      </c>
      <c r="G378" t="s">
        <v>7925</v>
      </c>
    </row>
    <row r="379" spans="2:7" x14ac:dyDescent="0.25">
      <c r="B379" t="s">
        <v>789</v>
      </c>
      <c r="C379" t="s">
        <v>395</v>
      </c>
      <c r="D379" t="s">
        <v>792</v>
      </c>
      <c r="E379" t="s">
        <v>7979</v>
      </c>
      <c r="F379" t="s">
        <v>7977</v>
      </c>
      <c r="G379" t="s">
        <v>7974</v>
      </c>
    </row>
    <row r="380" spans="2:7" x14ac:dyDescent="0.25">
      <c r="B380" t="s">
        <v>789</v>
      </c>
      <c r="C380" t="s">
        <v>396</v>
      </c>
      <c r="D380" t="s">
        <v>792</v>
      </c>
      <c r="E380" t="s">
        <v>8040</v>
      </c>
      <c r="F380" t="s">
        <v>7910</v>
      </c>
      <c r="G380" t="s">
        <v>8041</v>
      </c>
    </row>
    <row r="381" spans="2:7" x14ac:dyDescent="0.25">
      <c r="B381" t="s">
        <v>789</v>
      </c>
      <c r="C381" t="s">
        <v>397</v>
      </c>
      <c r="D381" t="s">
        <v>793</v>
      </c>
      <c r="E381" t="s">
        <v>8285</v>
      </c>
      <c r="F381" t="s">
        <v>8292</v>
      </c>
    </row>
    <row r="382" spans="2:7" x14ac:dyDescent="0.25">
      <c r="B382" t="s">
        <v>789</v>
      </c>
      <c r="C382" t="s">
        <v>398</v>
      </c>
      <c r="D382" t="s">
        <v>792</v>
      </c>
      <c r="E382" t="s">
        <v>8146</v>
      </c>
      <c r="F382" t="s">
        <v>7889</v>
      </c>
      <c r="G382" t="s">
        <v>8149</v>
      </c>
    </row>
    <row r="383" spans="2:7" x14ac:dyDescent="0.25">
      <c r="B383" t="s">
        <v>789</v>
      </c>
      <c r="C383" t="s">
        <v>399</v>
      </c>
      <c r="D383" t="s">
        <v>793</v>
      </c>
      <c r="E383" t="s">
        <v>7898</v>
      </c>
      <c r="F383" t="s">
        <v>7901</v>
      </c>
      <c r="G383" t="s">
        <v>7899</v>
      </c>
    </row>
    <row r="384" spans="2:7" x14ac:dyDescent="0.25">
      <c r="B384" t="s">
        <v>789</v>
      </c>
      <c r="C384" t="s">
        <v>400</v>
      </c>
      <c r="D384" t="s">
        <v>792</v>
      </c>
      <c r="E384" t="s">
        <v>8269</v>
      </c>
      <c r="F384" t="s">
        <v>8272</v>
      </c>
      <c r="G384" t="s">
        <v>8270</v>
      </c>
    </row>
    <row r="385" spans="2:7" x14ac:dyDescent="0.25">
      <c r="B385" t="s">
        <v>789</v>
      </c>
      <c r="C385" t="s">
        <v>401</v>
      </c>
      <c r="D385" t="s">
        <v>792</v>
      </c>
      <c r="E385" t="s">
        <v>8069</v>
      </c>
      <c r="F385" t="s">
        <v>8079</v>
      </c>
      <c r="G385" t="s">
        <v>8076</v>
      </c>
    </row>
    <row r="386" spans="2:7" x14ac:dyDescent="0.25">
      <c r="B386" t="s">
        <v>789</v>
      </c>
      <c r="C386" t="s">
        <v>402</v>
      </c>
      <c r="D386" t="s">
        <v>792</v>
      </c>
      <c r="E386" t="s">
        <v>8525</v>
      </c>
      <c r="F386" t="s">
        <v>8527</v>
      </c>
      <c r="G386" t="s">
        <v>8526</v>
      </c>
    </row>
    <row r="387" spans="2:7" x14ac:dyDescent="0.25">
      <c r="B387" t="s">
        <v>789</v>
      </c>
      <c r="C387" t="s">
        <v>403</v>
      </c>
      <c r="D387" t="s">
        <v>792</v>
      </c>
      <c r="E387" t="s">
        <v>8528</v>
      </c>
      <c r="F387" t="s">
        <v>8530</v>
      </c>
      <c r="G387" t="s">
        <v>8529</v>
      </c>
    </row>
    <row r="388" spans="2:7" x14ac:dyDescent="0.25">
      <c r="B388" t="s">
        <v>789</v>
      </c>
      <c r="C388" t="s">
        <v>404</v>
      </c>
      <c r="D388" t="s">
        <v>793</v>
      </c>
      <c r="E388" t="s">
        <v>8368</v>
      </c>
      <c r="F388" t="s">
        <v>8371</v>
      </c>
      <c r="G388" t="s">
        <v>8369</v>
      </c>
    </row>
    <row r="389" spans="2:7" x14ac:dyDescent="0.25">
      <c r="B389" t="s">
        <v>789</v>
      </c>
      <c r="C389" t="s">
        <v>405</v>
      </c>
      <c r="D389" t="s">
        <v>792</v>
      </c>
      <c r="E389" t="s">
        <v>8069</v>
      </c>
      <c r="F389" t="s">
        <v>8079</v>
      </c>
      <c r="G389" t="s">
        <v>8080</v>
      </c>
    </row>
    <row r="390" spans="2:7" x14ac:dyDescent="0.25">
      <c r="B390" t="s">
        <v>789</v>
      </c>
      <c r="C390" t="s">
        <v>406</v>
      </c>
      <c r="D390" t="s">
        <v>792</v>
      </c>
      <c r="E390" t="s">
        <v>8209</v>
      </c>
      <c r="F390" t="s">
        <v>7935</v>
      </c>
      <c r="G390" t="s">
        <v>7938</v>
      </c>
    </row>
    <row r="391" spans="2:7" x14ac:dyDescent="0.25">
      <c r="B391" t="s">
        <v>789</v>
      </c>
      <c r="C391" t="s">
        <v>407</v>
      </c>
      <c r="D391" t="s">
        <v>792</v>
      </c>
      <c r="E391" t="s">
        <v>8146</v>
      </c>
      <c r="F391" t="s">
        <v>7892</v>
      </c>
      <c r="G391" t="s">
        <v>8157</v>
      </c>
    </row>
    <row r="392" spans="2:7" x14ac:dyDescent="0.25">
      <c r="B392" t="s">
        <v>789</v>
      </c>
      <c r="C392" t="s">
        <v>408</v>
      </c>
      <c r="D392" t="s">
        <v>792</v>
      </c>
      <c r="E392" t="s">
        <v>8146</v>
      </c>
      <c r="F392" t="s">
        <v>7893</v>
      </c>
      <c r="G392" t="s">
        <v>8151</v>
      </c>
    </row>
    <row r="393" spans="2:7" x14ac:dyDescent="0.25">
      <c r="B393" t="s">
        <v>789</v>
      </c>
      <c r="C393" t="s">
        <v>409</v>
      </c>
      <c r="D393" t="s">
        <v>7839</v>
      </c>
      <c r="E393" t="s">
        <v>8532</v>
      </c>
      <c r="F393" t="s">
        <v>8533</v>
      </c>
      <c r="G393" t="s">
        <v>8531</v>
      </c>
    </row>
    <row r="394" spans="2:7" x14ac:dyDescent="0.25">
      <c r="B394" t="s">
        <v>789</v>
      </c>
      <c r="C394" t="s">
        <v>410</v>
      </c>
      <c r="D394" t="s">
        <v>792</v>
      </c>
      <c r="E394" t="s">
        <v>8446</v>
      </c>
      <c r="F394" t="s">
        <v>7875</v>
      </c>
      <c r="G394" t="s">
        <v>8396</v>
      </c>
    </row>
    <row r="395" spans="2:7" x14ac:dyDescent="0.25">
      <c r="B395" t="s">
        <v>789</v>
      </c>
      <c r="C395" t="s">
        <v>411</v>
      </c>
      <c r="D395" t="s">
        <v>793</v>
      </c>
      <c r="E395" t="s">
        <v>8243</v>
      </c>
      <c r="F395" t="s">
        <v>8244</v>
      </c>
      <c r="G395" t="s">
        <v>8245</v>
      </c>
    </row>
    <row r="396" spans="2:7" x14ac:dyDescent="0.25">
      <c r="B396" t="s">
        <v>789</v>
      </c>
      <c r="C396" t="s">
        <v>412</v>
      </c>
      <c r="D396" t="s">
        <v>792</v>
      </c>
      <c r="E396" t="s">
        <v>7980</v>
      </c>
      <c r="F396" t="s">
        <v>7977</v>
      </c>
      <c r="G396" t="s">
        <v>7974</v>
      </c>
    </row>
    <row r="397" spans="2:7" x14ac:dyDescent="0.25">
      <c r="B397" t="s">
        <v>789</v>
      </c>
      <c r="C397" t="s">
        <v>413</v>
      </c>
      <c r="D397" t="s">
        <v>792</v>
      </c>
      <c r="E397" t="s">
        <v>8146</v>
      </c>
      <c r="F397" t="s">
        <v>7889</v>
      </c>
      <c r="G397" t="s">
        <v>8264</v>
      </c>
    </row>
    <row r="398" spans="2:7" x14ac:dyDescent="0.25">
      <c r="B398" t="s">
        <v>789</v>
      </c>
      <c r="C398" t="s">
        <v>414</v>
      </c>
      <c r="D398" t="s">
        <v>792</v>
      </c>
      <c r="E398" t="s">
        <v>8146</v>
      </c>
      <c r="F398" t="s">
        <v>7896</v>
      </c>
      <c r="G398" t="s">
        <v>8153</v>
      </c>
    </row>
    <row r="399" spans="2:7" x14ac:dyDescent="0.25">
      <c r="B399" t="s">
        <v>789</v>
      </c>
      <c r="C399" t="s">
        <v>415</v>
      </c>
      <c r="D399" t="s">
        <v>792</v>
      </c>
      <c r="E399" t="s">
        <v>7959</v>
      </c>
      <c r="F399" t="s">
        <v>7958</v>
      </c>
      <c r="G399" t="s">
        <v>7960</v>
      </c>
    </row>
    <row r="400" spans="2:7" x14ac:dyDescent="0.25">
      <c r="B400" t="s">
        <v>789</v>
      </c>
      <c r="C400" t="s">
        <v>416</v>
      </c>
      <c r="D400" t="s">
        <v>792</v>
      </c>
      <c r="E400" t="s">
        <v>7886</v>
      </c>
      <c r="F400" t="s">
        <v>7888</v>
      </c>
      <c r="G400" t="s">
        <v>7887</v>
      </c>
    </row>
    <row r="401" spans="2:7" x14ac:dyDescent="0.25">
      <c r="B401" t="s">
        <v>789</v>
      </c>
      <c r="C401" t="s">
        <v>417</v>
      </c>
      <c r="D401" t="s">
        <v>793</v>
      </c>
      <c r="E401" t="s">
        <v>8535</v>
      </c>
      <c r="F401" t="s">
        <v>8536</v>
      </c>
      <c r="G401" t="s">
        <v>8534</v>
      </c>
    </row>
    <row r="402" spans="2:7" x14ac:dyDescent="0.25">
      <c r="B402" t="s">
        <v>789</v>
      </c>
      <c r="C402" t="s">
        <v>418</v>
      </c>
      <c r="D402" t="s">
        <v>792</v>
      </c>
      <c r="E402" t="s">
        <v>8446</v>
      </c>
      <c r="F402" t="s">
        <v>7876</v>
      </c>
      <c r="G402" t="s">
        <v>8396</v>
      </c>
    </row>
    <row r="403" spans="2:7" x14ac:dyDescent="0.25">
      <c r="B403" t="s">
        <v>789</v>
      </c>
      <c r="C403" t="s">
        <v>419</v>
      </c>
      <c r="D403" t="s">
        <v>792</v>
      </c>
      <c r="E403" t="s">
        <v>8537</v>
      </c>
      <c r="F403" t="s">
        <v>8538</v>
      </c>
      <c r="G403" t="s">
        <v>8539</v>
      </c>
    </row>
    <row r="404" spans="2:7" x14ac:dyDescent="0.25">
      <c r="B404" t="s">
        <v>789</v>
      </c>
      <c r="C404" t="s">
        <v>420</v>
      </c>
      <c r="D404" t="s">
        <v>792</v>
      </c>
      <c r="E404" t="s">
        <v>7964</v>
      </c>
      <c r="F404" t="s">
        <v>7966</v>
      </c>
      <c r="G404" t="s">
        <v>7965</v>
      </c>
    </row>
    <row r="405" spans="2:7" x14ac:dyDescent="0.25">
      <c r="B405" t="s">
        <v>789</v>
      </c>
      <c r="C405" t="s">
        <v>421</v>
      </c>
      <c r="D405" t="s">
        <v>792</v>
      </c>
      <c r="E405" t="s">
        <v>8300</v>
      </c>
      <c r="F405" t="s">
        <v>8297</v>
      </c>
      <c r="G405" t="s">
        <v>8293</v>
      </c>
    </row>
    <row r="406" spans="2:7" x14ac:dyDescent="0.25">
      <c r="B406" t="s">
        <v>789</v>
      </c>
      <c r="C406" t="s">
        <v>422</v>
      </c>
      <c r="D406" t="s">
        <v>792</v>
      </c>
      <c r="E406" t="s">
        <v>8540</v>
      </c>
      <c r="F406" t="s">
        <v>8542</v>
      </c>
      <c r="G406" t="s">
        <v>8541</v>
      </c>
    </row>
    <row r="407" spans="2:7" x14ac:dyDescent="0.25">
      <c r="B407" t="s">
        <v>789</v>
      </c>
      <c r="C407" t="s">
        <v>423</v>
      </c>
      <c r="D407" t="s">
        <v>792</v>
      </c>
      <c r="E407" t="s">
        <v>8446</v>
      </c>
      <c r="F407" t="s">
        <v>7877</v>
      </c>
      <c r="G407" t="s">
        <v>8396</v>
      </c>
    </row>
    <row r="408" spans="2:7" x14ac:dyDescent="0.25">
      <c r="B408" t="s">
        <v>789</v>
      </c>
      <c r="C408" t="s">
        <v>424</v>
      </c>
      <c r="D408" t="s">
        <v>792</v>
      </c>
      <c r="E408" t="s">
        <v>8146</v>
      </c>
      <c r="F408" t="s">
        <v>7896</v>
      </c>
      <c r="G408" t="s">
        <v>8153</v>
      </c>
    </row>
    <row r="409" spans="2:7" x14ac:dyDescent="0.25">
      <c r="B409" t="s">
        <v>789</v>
      </c>
      <c r="C409" t="s">
        <v>425</v>
      </c>
      <c r="D409" t="s">
        <v>793</v>
      </c>
      <c r="E409" t="s">
        <v>8250</v>
      </c>
      <c r="F409" t="s">
        <v>8249</v>
      </c>
      <c r="G409" t="s">
        <v>8247</v>
      </c>
    </row>
    <row r="410" spans="2:7" x14ac:dyDescent="0.25">
      <c r="B410" t="s">
        <v>789</v>
      </c>
      <c r="C410" t="s">
        <v>426</v>
      </c>
      <c r="D410" t="s">
        <v>792</v>
      </c>
      <c r="E410" t="s">
        <v>8207</v>
      </c>
      <c r="F410" t="s">
        <v>7869</v>
      </c>
      <c r="G410" t="s">
        <v>8208</v>
      </c>
    </row>
    <row r="411" spans="2:7" x14ac:dyDescent="0.25">
      <c r="B411" t="s">
        <v>789</v>
      </c>
      <c r="C411" t="s">
        <v>427</v>
      </c>
      <c r="D411" t="s">
        <v>792</v>
      </c>
      <c r="E411" t="s">
        <v>8446</v>
      </c>
      <c r="F411" t="s">
        <v>7878</v>
      </c>
      <c r="G411" t="s">
        <v>8396</v>
      </c>
    </row>
    <row r="412" spans="2:7" x14ac:dyDescent="0.25">
      <c r="B412" t="s">
        <v>789</v>
      </c>
      <c r="C412" t="s">
        <v>428</v>
      </c>
      <c r="D412" t="s">
        <v>792</v>
      </c>
      <c r="E412" t="s">
        <v>8446</v>
      </c>
      <c r="F412" t="s">
        <v>7879</v>
      </c>
      <c r="G412" t="s">
        <v>8396</v>
      </c>
    </row>
    <row r="413" spans="2:7" x14ac:dyDescent="0.25">
      <c r="B413" t="s">
        <v>789</v>
      </c>
      <c r="C413" t="s">
        <v>429</v>
      </c>
      <c r="D413" t="s">
        <v>792</v>
      </c>
      <c r="E413" t="s">
        <v>8543</v>
      </c>
      <c r="F413" t="s">
        <v>8545</v>
      </c>
      <c r="G413" t="s">
        <v>8396</v>
      </c>
    </row>
    <row r="414" spans="2:7" x14ac:dyDescent="0.25">
      <c r="B414" t="s">
        <v>789</v>
      </c>
      <c r="C414" t="s">
        <v>430</v>
      </c>
      <c r="D414" t="s">
        <v>792</v>
      </c>
      <c r="E414" t="s">
        <v>8528</v>
      </c>
      <c r="F414" t="s">
        <v>8544</v>
      </c>
      <c r="G414" t="s">
        <v>8529</v>
      </c>
    </row>
    <row r="415" spans="2:7" x14ac:dyDescent="0.25">
      <c r="B415" t="s">
        <v>789</v>
      </c>
      <c r="C415" t="s">
        <v>431</v>
      </c>
      <c r="D415" t="s">
        <v>793</v>
      </c>
      <c r="E415" t="s">
        <v>8548</v>
      </c>
      <c r="F415" t="s">
        <v>8546</v>
      </c>
      <c r="G415" t="s">
        <v>8547</v>
      </c>
    </row>
    <row r="416" spans="2:7" x14ac:dyDescent="0.25">
      <c r="B416" t="s">
        <v>789</v>
      </c>
      <c r="C416" t="s">
        <v>432</v>
      </c>
      <c r="D416" t="s">
        <v>792</v>
      </c>
      <c r="E416" t="s">
        <v>8451</v>
      </c>
      <c r="F416" t="s">
        <v>8454</v>
      </c>
      <c r="G416" t="s">
        <v>8453</v>
      </c>
    </row>
    <row r="417" spans="2:7" x14ac:dyDescent="0.25">
      <c r="B417" t="s">
        <v>789</v>
      </c>
      <c r="C417" t="s">
        <v>433</v>
      </c>
      <c r="D417" t="s">
        <v>792</v>
      </c>
      <c r="E417" t="s">
        <v>8476</v>
      </c>
      <c r="F417" t="s">
        <v>8477</v>
      </c>
      <c r="G417" t="s">
        <v>8474</v>
      </c>
    </row>
    <row r="418" spans="2:7" x14ac:dyDescent="0.25">
      <c r="B418" t="s">
        <v>789</v>
      </c>
      <c r="C418" t="s">
        <v>434</v>
      </c>
      <c r="D418" t="s">
        <v>792</v>
      </c>
      <c r="E418" t="s">
        <v>8549</v>
      </c>
      <c r="F418" t="s">
        <v>8550</v>
      </c>
      <c r="G418" t="s">
        <v>8378</v>
      </c>
    </row>
    <row r="419" spans="2:7" x14ac:dyDescent="0.25">
      <c r="B419" t="s">
        <v>789</v>
      </c>
      <c r="C419" t="s">
        <v>435</v>
      </c>
      <c r="D419" t="s">
        <v>793</v>
      </c>
      <c r="E419" t="s">
        <v>7991</v>
      </c>
      <c r="F419" t="s">
        <v>7992</v>
      </c>
      <c r="G419" t="s">
        <v>7993</v>
      </c>
    </row>
    <row r="420" spans="2:7" x14ac:dyDescent="0.25">
      <c r="B420" t="s">
        <v>789</v>
      </c>
      <c r="C420" t="s">
        <v>436</v>
      </c>
      <c r="D420" t="s">
        <v>793</v>
      </c>
      <c r="E420" t="s">
        <v>8172</v>
      </c>
      <c r="F420" t="s">
        <v>8176</v>
      </c>
      <c r="G420" t="s">
        <v>8171</v>
      </c>
    </row>
    <row r="421" spans="2:7" x14ac:dyDescent="0.25">
      <c r="B421" t="s">
        <v>789</v>
      </c>
      <c r="C421" t="s">
        <v>437</v>
      </c>
      <c r="D421" t="s">
        <v>792</v>
      </c>
      <c r="E421" t="s">
        <v>7967</v>
      </c>
      <c r="F421" t="s">
        <v>7969</v>
      </c>
      <c r="G421" t="s">
        <v>7968</v>
      </c>
    </row>
    <row r="422" spans="2:7" x14ac:dyDescent="0.25">
      <c r="B422" t="s">
        <v>789</v>
      </c>
      <c r="C422" t="s">
        <v>438</v>
      </c>
      <c r="D422" t="s">
        <v>792</v>
      </c>
      <c r="E422" t="s">
        <v>8528</v>
      </c>
      <c r="F422" t="s">
        <v>8544</v>
      </c>
      <c r="G422" t="s">
        <v>8529</v>
      </c>
    </row>
    <row r="423" spans="2:7" x14ac:dyDescent="0.25">
      <c r="B423" t="s">
        <v>789</v>
      </c>
      <c r="C423" t="s">
        <v>439</v>
      </c>
      <c r="D423" t="s">
        <v>793</v>
      </c>
      <c r="E423" t="s">
        <v>8179</v>
      </c>
      <c r="F423" t="s">
        <v>7916</v>
      </c>
      <c r="G423" t="s">
        <v>8178</v>
      </c>
    </row>
    <row r="424" spans="2:7" x14ac:dyDescent="0.25">
      <c r="B424" t="s">
        <v>789</v>
      </c>
      <c r="C424" t="s">
        <v>440</v>
      </c>
      <c r="D424" t="s">
        <v>792</v>
      </c>
      <c r="E424" t="s">
        <v>7954</v>
      </c>
      <c r="F424" t="s">
        <v>7953</v>
      </c>
      <c r="G424" t="s">
        <v>7952</v>
      </c>
    </row>
    <row r="425" spans="2:7" x14ac:dyDescent="0.25">
      <c r="B425" t="s">
        <v>789</v>
      </c>
      <c r="C425" t="s">
        <v>441</v>
      </c>
      <c r="D425" t="s">
        <v>792</v>
      </c>
      <c r="E425" t="s">
        <v>8552</v>
      </c>
      <c r="F425" t="s">
        <v>8551</v>
      </c>
      <c r="G425" t="s">
        <v>7974</v>
      </c>
    </row>
    <row r="426" spans="2:7" x14ac:dyDescent="0.25">
      <c r="B426" t="s">
        <v>789</v>
      </c>
      <c r="C426" t="s">
        <v>442</v>
      </c>
      <c r="D426" t="s">
        <v>792</v>
      </c>
      <c r="E426" t="s">
        <v>8554</v>
      </c>
      <c r="F426" t="s">
        <v>8555</v>
      </c>
      <c r="G426" t="s">
        <v>8553</v>
      </c>
    </row>
    <row r="427" spans="2:7" x14ac:dyDescent="0.25">
      <c r="B427" t="s">
        <v>789</v>
      </c>
      <c r="C427" t="s">
        <v>443</v>
      </c>
      <c r="D427" t="s">
        <v>792</v>
      </c>
      <c r="E427" t="s">
        <v>8146</v>
      </c>
      <c r="F427" t="s">
        <v>7896</v>
      </c>
      <c r="G427" t="s">
        <v>8153</v>
      </c>
    </row>
    <row r="428" spans="2:7" x14ac:dyDescent="0.25">
      <c r="B428" t="s">
        <v>789</v>
      </c>
      <c r="C428" t="s">
        <v>444</v>
      </c>
      <c r="D428" t="s">
        <v>792</v>
      </c>
      <c r="E428" t="s">
        <v>8556</v>
      </c>
      <c r="F428" t="s">
        <v>8555</v>
      </c>
      <c r="G428" t="s">
        <v>8557</v>
      </c>
    </row>
    <row r="429" spans="2:7" x14ac:dyDescent="0.25">
      <c r="B429" t="s">
        <v>789</v>
      </c>
      <c r="C429" t="s">
        <v>445</v>
      </c>
      <c r="D429" t="s">
        <v>792</v>
      </c>
      <c r="E429" t="s">
        <v>8269</v>
      </c>
      <c r="F429" t="s">
        <v>8558</v>
      </c>
      <c r="G429" t="s">
        <v>8270</v>
      </c>
    </row>
    <row r="430" spans="2:7" x14ac:dyDescent="0.25">
      <c r="B430" t="s">
        <v>789</v>
      </c>
      <c r="C430" t="s">
        <v>446</v>
      </c>
      <c r="D430" t="s">
        <v>792</v>
      </c>
      <c r="E430" t="s">
        <v>7945</v>
      </c>
      <c r="F430" t="s">
        <v>7946</v>
      </c>
      <c r="G430" t="s">
        <v>7947</v>
      </c>
    </row>
    <row r="431" spans="2:7" x14ac:dyDescent="0.25">
      <c r="B431" t="s">
        <v>789</v>
      </c>
      <c r="C431" t="s">
        <v>447</v>
      </c>
      <c r="D431" t="s">
        <v>793</v>
      </c>
      <c r="E431" t="s">
        <v>8560</v>
      </c>
      <c r="F431" t="s">
        <v>8561</v>
      </c>
      <c r="G431" t="s">
        <v>8559</v>
      </c>
    </row>
    <row r="432" spans="2:7" x14ac:dyDescent="0.25">
      <c r="B432" t="s">
        <v>789</v>
      </c>
      <c r="C432" t="s">
        <v>448</v>
      </c>
      <c r="D432" t="s">
        <v>793</v>
      </c>
      <c r="E432" t="s">
        <v>7924</v>
      </c>
      <c r="F432" t="s">
        <v>7926</v>
      </c>
      <c r="G432" t="s">
        <v>7925</v>
      </c>
    </row>
    <row r="433" spans="2:7" x14ac:dyDescent="0.25">
      <c r="B433" t="s">
        <v>789</v>
      </c>
      <c r="C433" t="s">
        <v>449</v>
      </c>
      <c r="D433" t="s">
        <v>793</v>
      </c>
      <c r="E433" t="s">
        <v>8562</v>
      </c>
      <c r="F433" t="s">
        <v>8564</v>
      </c>
      <c r="G433" t="s">
        <v>8563</v>
      </c>
    </row>
    <row r="434" spans="2:7" x14ac:dyDescent="0.25">
      <c r="B434" t="s">
        <v>789</v>
      </c>
      <c r="C434" t="s">
        <v>450</v>
      </c>
      <c r="D434" t="s">
        <v>792</v>
      </c>
      <c r="E434" t="s">
        <v>8565</v>
      </c>
      <c r="F434" t="s">
        <v>8567</v>
      </c>
      <c r="G434" t="s">
        <v>8566</v>
      </c>
    </row>
    <row r="435" spans="2:7" x14ac:dyDescent="0.25">
      <c r="B435" t="s">
        <v>789</v>
      </c>
      <c r="C435" t="s">
        <v>451</v>
      </c>
      <c r="D435" t="s">
        <v>792</v>
      </c>
      <c r="E435" t="s">
        <v>8209</v>
      </c>
      <c r="F435" t="s">
        <v>8569</v>
      </c>
      <c r="G435" t="s">
        <v>8568</v>
      </c>
    </row>
    <row r="436" spans="2:7" x14ac:dyDescent="0.25">
      <c r="B436" t="s">
        <v>789</v>
      </c>
      <c r="C436" t="s">
        <v>452</v>
      </c>
      <c r="D436" t="s">
        <v>792</v>
      </c>
      <c r="E436" t="s">
        <v>8404</v>
      </c>
      <c r="F436" t="s">
        <v>8408</v>
      </c>
      <c r="G436" t="s">
        <v>8405</v>
      </c>
    </row>
    <row r="437" spans="2:7" x14ac:dyDescent="0.25">
      <c r="B437" t="s">
        <v>789</v>
      </c>
      <c r="C437" t="s">
        <v>453</v>
      </c>
      <c r="D437" t="s">
        <v>792</v>
      </c>
      <c r="E437" t="s">
        <v>8571</v>
      </c>
      <c r="F437" t="s">
        <v>8570</v>
      </c>
      <c r="G437" t="s">
        <v>8471</v>
      </c>
    </row>
    <row r="438" spans="2:7" x14ac:dyDescent="0.25">
      <c r="B438" t="s">
        <v>789</v>
      </c>
      <c r="C438" t="s">
        <v>454</v>
      </c>
      <c r="D438" t="s">
        <v>792</v>
      </c>
      <c r="E438" t="s">
        <v>8446</v>
      </c>
      <c r="F438" t="s">
        <v>7880</v>
      </c>
      <c r="G438" t="s">
        <v>8396</v>
      </c>
    </row>
    <row r="439" spans="2:7" x14ac:dyDescent="0.25">
      <c r="B439" t="s">
        <v>789</v>
      </c>
      <c r="C439" t="s">
        <v>455</v>
      </c>
      <c r="D439" t="s">
        <v>792</v>
      </c>
      <c r="E439" t="s">
        <v>8146</v>
      </c>
      <c r="F439" t="s">
        <v>7896</v>
      </c>
      <c r="G439" t="s">
        <v>8153</v>
      </c>
    </row>
    <row r="440" spans="2:7" x14ac:dyDescent="0.25">
      <c r="B440" t="s">
        <v>789</v>
      </c>
      <c r="C440" t="s">
        <v>456</v>
      </c>
      <c r="D440" t="s">
        <v>793</v>
      </c>
      <c r="E440" t="s">
        <v>7989</v>
      </c>
      <c r="F440" t="s">
        <v>7990</v>
      </c>
      <c r="G440" t="s">
        <v>7988</v>
      </c>
    </row>
    <row r="441" spans="2:7" x14ac:dyDescent="0.25">
      <c r="B441" t="s">
        <v>789</v>
      </c>
      <c r="C441" t="s">
        <v>457</v>
      </c>
      <c r="D441" t="s">
        <v>793</v>
      </c>
      <c r="E441" t="s">
        <v>8495</v>
      </c>
      <c r="F441" t="s">
        <v>8496</v>
      </c>
      <c r="G441" t="s">
        <v>8494</v>
      </c>
    </row>
    <row r="442" spans="2:7" x14ac:dyDescent="0.25">
      <c r="B442" t="s">
        <v>789</v>
      </c>
      <c r="C442" t="s">
        <v>458</v>
      </c>
      <c r="D442" t="s">
        <v>793</v>
      </c>
      <c r="E442" t="s">
        <v>8323</v>
      </c>
      <c r="F442" t="s">
        <v>8321</v>
      </c>
      <c r="G442" t="s">
        <v>8322</v>
      </c>
    </row>
    <row r="443" spans="2:7" x14ac:dyDescent="0.25">
      <c r="B443" t="s">
        <v>789</v>
      </c>
      <c r="C443" t="s">
        <v>8900</v>
      </c>
      <c r="D443" t="s">
        <v>792</v>
      </c>
      <c r="E443" t="s">
        <v>8994</v>
      </c>
      <c r="F443" t="s">
        <v>8995</v>
      </c>
      <c r="G443" t="s">
        <v>8053</v>
      </c>
    </row>
    <row r="444" spans="2:7" x14ac:dyDescent="0.25">
      <c r="B444" t="s">
        <v>789</v>
      </c>
      <c r="C444" t="s">
        <v>459</v>
      </c>
      <c r="D444" t="s">
        <v>792</v>
      </c>
      <c r="E444" t="s">
        <v>8042</v>
      </c>
      <c r="F444" t="s">
        <v>7911</v>
      </c>
      <c r="G444" t="s">
        <v>8041</v>
      </c>
    </row>
    <row r="445" spans="2:7" x14ac:dyDescent="0.25">
      <c r="B445" t="s">
        <v>789</v>
      </c>
      <c r="C445" t="s">
        <v>8899</v>
      </c>
      <c r="D445" t="s">
        <v>792</v>
      </c>
      <c r="E445" t="s">
        <v>8997</v>
      </c>
      <c r="F445" t="s">
        <v>8999</v>
      </c>
      <c r="G445" t="s">
        <v>8998</v>
      </c>
    </row>
    <row r="446" spans="2:7" x14ac:dyDescent="0.25">
      <c r="B446" t="s">
        <v>789</v>
      </c>
      <c r="C446" t="s">
        <v>8996</v>
      </c>
      <c r="D446" t="s">
        <v>792</v>
      </c>
      <c r="E446" t="s">
        <v>9003</v>
      </c>
      <c r="F446" t="s">
        <v>8418</v>
      </c>
      <c r="G446" t="s">
        <v>9004</v>
      </c>
    </row>
    <row r="447" spans="2:7" x14ac:dyDescent="0.25">
      <c r="B447" t="s">
        <v>789</v>
      </c>
      <c r="C447" t="s">
        <v>460</v>
      </c>
      <c r="D447" t="s">
        <v>792</v>
      </c>
      <c r="E447" t="s">
        <v>8103</v>
      </c>
      <c r="F447" t="s">
        <v>8094</v>
      </c>
      <c r="G447" t="s">
        <v>8104</v>
      </c>
    </row>
    <row r="448" spans="2:7" x14ac:dyDescent="0.25">
      <c r="B448" t="s">
        <v>789</v>
      </c>
      <c r="C448" t="s">
        <v>461</v>
      </c>
      <c r="D448" t="s">
        <v>793</v>
      </c>
      <c r="E448" t="s">
        <v>7991</v>
      </c>
      <c r="F448" t="s">
        <v>7992</v>
      </c>
      <c r="G448" t="s">
        <v>7993</v>
      </c>
    </row>
    <row r="449" spans="2:7" x14ac:dyDescent="0.25">
      <c r="B449" t="s">
        <v>789</v>
      </c>
      <c r="C449" t="s">
        <v>462</v>
      </c>
      <c r="D449" t="s">
        <v>792</v>
      </c>
      <c r="E449" t="s">
        <v>8301</v>
      </c>
      <c r="F449" t="s">
        <v>8306</v>
      </c>
      <c r="G449" t="s">
        <v>8302</v>
      </c>
    </row>
    <row r="450" spans="2:7" x14ac:dyDescent="0.25">
      <c r="B450" t="s">
        <v>789</v>
      </c>
      <c r="C450" t="s">
        <v>463</v>
      </c>
      <c r="D450" t="s">
        <v>792</v>
      </c>
      <c r="E450" t="s">
        <v>8105</v>
      </c>
      <c r="F450" t="s">
        <v>8108</v>
      </c>
      <c r="G450" t="s">
        <v>8106</v>
      </c>
    </row>
    <row r="451" spans="2:7" x14ac:dyDescent="0.25">
      <c r="B451" t="s">
        <v>789</v>
      </c>
      <c r="C451" t="s">
        <v>464</v>
      </c>
      <c r="D451" t="s">
        <v>792</v>
      </c>
      <c r="E451" t="s">
        <v>8146</v>
      </c>
      <c r="F451" t="s">
        <v>8572</v>
      </c>
      <c r="G451" t="s">
        <v>8394</v>
      </c>
    </row>
    <row r="452" spans="2:7" x14ac:dyDescent="0.25">
      <c r="B452" t="s">
        <v>789</v>
      </c>
      <c r="C452" t="s">
        <v>465</v>
      </c>
      <c r="D452" t="s">
        <v>792</v>
      </c>
      <c r="E452" t="s">
        <v>8573</v>
      </c>
      <c r="F452" t="s">
        <v>8575</v>
      </c>
      <c r="G452" t="s">
        <v>8574</v>
      </c>
    </row>
    <row r="453" spans="2:7" x14ac:dyDescent="0.25">
      <c r="B453" t="s">
        <v>789</v>
      </c>
      <c r="C453" t="s">
        <v>466</v>
      </c>
      <c r="D453" t="s">
        <v>793</v>
      </c>
      <c r="E453" t="s">
        <v>8117</v>
      </c>
      <c r="F453" t="s">
        <v>8123</v>
      </c>
      <c r="G453" t="s">
        <v>8118</v>
      </c>
    </row>
    <row r="454" spans="2:7" x14ac:dyDescent="0.25">
      <c r="B454" t="s">
        <v>789</v>
      </c>
      <c r="C454" t="s">
        <v>467</v>
      </c>
      <c r="D454" t="s">
        <v>793</v>
      </c>
      <c r="E454" t="s">
        <v>8341</v>
      </c>
      <c r="F454" t="s">
        <v>8347</v>
      </c>
      <c r="G454" t="s">
        <v>8342</v>
      </c>
    </row>
    <row r="455" spans="2:7" x14ac:dyDescent="0.25">
      <c r="B455" t="s">
        <v>789</v>
      </c>
      <c r="C455" t="s">
        <v>468</v>
      </c>
      <c r="D455" t="s">
        <v>792</v>
      </c>
      <c r="E455" t="s">
        <v>8576</v>
      </c>
      <c r="F455" t="s">
        <v>8578</v>
      </c>
      <c r="G455" t="s">
        <v>8577</v>
      </c>
    </row>
    <row r="456" spans="2:7" x14ac:dyDescent="0.25">
      <c r="B456" t="s">
        <v>789</v>
      </c>
      <c r="C456" t="s">
        <v>469</v>
      </c>
      <c r="D456" t="s">
        <v>792</v>
      </c>
      <c r="E456" t="s">
        <v>8051</v>
      </c>
      <c r="F456" t="s">
        <v>8052</v>
      </c>
      <c r="G456" t="s">
        <v>8053</v>
      </c>
    </row>
    <row r="457" spans="2:7" x14ac:dyDescent="0.25">
      <c r="B457" t="s">
        <v>789</v>
      </c>
      <c r="C457" t="s">
        <v>470</v>
      </c>
      <c r="D457" t="s">
        <v>793</v>
      </c>
      <c r="E457" t="s">
        <v>8348</v>
      </c>
      <c r="F457" t="s">
        <v>8354</v>
      </c>
      <c r="G457" t="s">
        <v>8349</v>
      </c>
    </row>
    <row r="458" spans="2:7" x14ac:dyDescent="0.25">
      <c r="B458" t="s">
        <v>789</v>
      </c>
      <c r="C458" t="s">
        <v>471</v>
      </c>
      <c r="D458" t="s">
        <v>793</v>
      </c>
      <c r="E458" t="s">
        <v>8498</v>
      </c>
      <c r="F458" t="s">
        <v>8499</v>
      </c>
      <c r="G458" t="s">
        <v>8497</v>
      </c>
    </row>
    <row r="459" spans="2:7" x14ac:dyDescent="0.25">
      <c r="B459" t="s">
        <v>789</v>
      </c>
      <c r="C459" t="s">
        <v>472</v>
      </c>
      <c r="D459" t="s">
        <v>792</v>
      </c>
      <c r="E459" t="s">
        <v>8036</v>
      </c>
      <c r="F459" t="s">
        <v>7855</v>
      </c>
      <c r="G459" t="s">
        <v>8038</v>
      </c>
    </row>
    <row r="460" spans="2:7" x14ac:dyDescent="0.25">
      <c r="B460" t="s">
        <v>789</v>
      </c>
      <c r="C460" t="s">
        <v>473</v>
      </c>
      <c r="D460" t="s">
        <v>793</v>
      </c>
      <c r="E460" t="s">
        <v>8348</v>
      </c>
      <c r="F460" t="s">
        <v>8355</v>
      </c>
      <c r="G460" t="s">
        <v>8349</v>
      </c>
    </row>
    <row r="461" spans="2:7" x14ac:dyDescent="0.25">
      <c r="B461" t="s">
        <v>789</v>
      </c>
      <c r="C461" t="s">
        <v>474</v>
      </c>
      <c r="D461" t="s">
        <v>793</v>
      </c>
      <c r="E461" t="s">
        <v>8579</v>
      </c>
      <c r="F461" t="s">
        <v>8581</v>
      </c>
      <c r="G461" t="s">
        <v>8580</v>
      </c>
    </row>
    <row r="462" spans="2:7" x14ac:dyDescent="0.25">
      <c r="B462" t="s">
        <v>789</v>
      </c>
      <c r="C462" t="s">
        <v>475</v>
      </c>
      <c r="D462" t="s">
        <v>7839</v>
      </c>
      <c r="E462" t="s">
        <v>8582</v>
      </c>
      <c r="F462" t="s">
        <v>8583</v>
      </c>
      <c r="G462" t="s">
        <v>8584</v>
      </c>
    </row>
    <row r="463" spans="2:7" x14ac:dyDescent="0.25">
      <c r="B463" t="s">
        <v>789</v>
      </c>
      <c r="C463" t="s">
        <v>476</v>
      </c>
      <c r="D463" t="s">
        <v>792</v>
      </c>
      <c r="E463" t="s">
        <v>8146</v>
      </c>
      <c r="F463" t="s">
        <v>7896</v>
      </c>
      <c r="G463" t="s">
        <v>8153</v>
      </c>
    </row>
    <row r="464" spans="2:7" x14ac:dyDescent="0.25">
      <c r="B464" t="s">
        <v>789</v>
      </c>
      <c r="C464" t="s">
        <v>477</v>
      </c>
      <c r="D464" t="s">
        <v>793</v>
      </c>
      <c r="E464" t="s">
        <v>7883</v>
      </c>
      <c r="F464" t="s">
        <v>7885</v>
      </c>
      <c r="G464" t="s">
        <v>7884</v>
      </c>
    </row>
    <row r="465" spans="2:7" x14ac:dyDescent="0.25">
      <c r="B465" t="s">
        <v>789</v>
      </c>
      <c r="C465" t="s">
        <v>478</v>
      </c>
      <c r="D465" t="s">
        <v>793</v>
      </c>
      <c r="E465" t="s">
        <v>8585</v>
      </c>
      <c r="F465" t="s">
        <v>8586</v>
      </c>
      <c r="G465" t="s">
        <v>8584</v>
      </c>
    </row>
    <row r="466" spans="2:7" x14ac:dyDescent="0.25">
      <c r="B466" t="s">
        <v>789</v>
      </c>
      <c r="C466" t="s">
        <v>479</v>
      </c>
      <c r="D466" t="s">
        <v>792</v>
      </c>
      <c r="E466" t="s">
        <v>8588</v>
      </c>
      <c r="F466" t="s">
        <v>8589</v>
      </c>
      <c r="G466" t="s">
        <v>8587</v>
      </c>
    </row>
    <row r="467" spans="2:7" x14ac:dyDescent="0.25">
      <c r="B467" t="s">
        <v>789</v>
      </c>
      <c r="C467" t="s">
        <v>480</v>
      </c>
      <c r="D467" t="s">
        <v>793</v>
      </c>
      <c r="E467" t="s">
        <v>8427</v>
      </c>
      <c r="F467" t="s">
        <v>8428</v>
      </c>
      <c r="G467" t="s">
        <v>8425</v>
      </c>
    </row>
    <row r="468" spans="2:7" x14ac:dyDescent="0.25">
      <c r="B468" t="s">
        <v>789</v>
      </c>
      <c r="C468" t="s">
        <v>481</v>
      </c>
      <c r="D468" t="s">
        <v>793</v>
      </c>
      <c r="E468" t="s">
        <v>8591</v>
      </c>
      <c r="F468" t="s">
        <v>8590</v>
      </c>
      <c r="G468" t="s">
        <v>8592</v>
      </c>
    </row>
    <row r="469" spans="2:7" x14ac:dyDescent="0.25">
      <c r="B469" t="s">
        <v>789</v>
      </c>
      <c r="C469" t="s">
        <v>482</v>
      </c>
      <c r="D469" t="s">
        <v>793</v>
      </c>
      <c r="E469" t="s">
        <v>7898</v>
      </c>
      <c r="F469" t="s">
        <v>7901</v>
      </c>
      <c r="G469" t="s">
        <v>8593</v>
      </c>
    </row>
    <row r="470" spans="2:7" x14ac:dyDescent="0.25">
      <c r="B470" t="s">
        <v>789</v>
      </c>
      <c r="C470" t="s">
        <v>483</v>
      </c>
      <c r="D470" t="s">
        <v>792</v>
      </c>
      <c r="E470" t="s">
        <v>8509</v>
      </c>
      <c r="F470" t="s">
        <v>8493</v>
      </c>
      <c r="G470" t="s">
        <v>8444</v>
      </c>
    </row>
    <row r="471" spans="2:7" x14ac:dyDescent="0.25">
      <c r="B471" t="s">
        <v>789</v>
      </c>
      <c r="C471" t="s">
        <v>484</v>
      </c>
      <c r="D471" t="s">
        <v>792</v>
      </c>
      <c r="E471" t="s">
        <v>8146</v>
      </c>
      <c r="F471" t="s">
        <v>8600</v>
      </c>
      <c r="G471" t="s">
        <v>8264</v>
      </c>
    </row>
    <row r="472" spans="2:7" x14ac:dyDescent="0.25">
      <c r="B472" t="s">
        <v>789</v>
      </c>
      <c r="C472" t="s">
        <v>485</v>
      </c>
      <c r="D472" t="s">
        <v>792</v>
      </c>
      <c r="E472" t="s">
        <v>8051</v>
      </c>
      <c r="F472" t="s">
        <v>8052</v>
      </c>
      <c r="G472" t="s">
        <v>8053</v>
      </c>
    </row>
    <row r="473" spans="2:7" x14ac:dyDescent="0.25">
      <c r="B473" t="s">
        <v>789</v>
      </c>
      <c r="C473" t="s">
        <v>486</v>
      </c>
      <c r="D473" t="s">
        <v>792</v>
      </c>
      <c r="E473" t="s">
        <v>8446</v>
      </c>
      <c r="F473" t="s">
        <v>7881</v>
      </c>
      <c r="G473" t="s">
        <v>8396</v>
      </c>
    </row>
    <row r="474" spans="2:7" x14ac:dyDescent="0.25">
      <c r="B474" t="s">
        <v>789</v>
      </c>
      <c r="C474" t="s">
        <v>487</v>
      </c>
      <c r="D474" t="s">
        <v>793</v>
      </c>
      <c r="E474" t="s">
        <v>8579</v>
      </c>
      <c r="F474" t="s">
        <v>8594</v>
      </c>
      <c r="G474" t="s">
        <v>8580</v>
      </c>
    </row>
    <row r="475" spans="2:7" x14ac:dyDescent="0.25">
      <c r="B475" t="s">
        <v>789</v>
      </c>
      <c r="C475" t="s">
        <v>488</v>
      </c>
      <c r="D475" t="s">
        <v>792</v>
      </c>
      <c r="E475" t="s">
        <v>8595</v>
      </c>
      <c r="F475" t="s">
        <v>8596</v>
      </c>
      <c r="G475" t="s">
        <v>8577</v>
      </c>
    </row>
    <row r="476" spans="2:7" x14ac:dyDescent="0.25">
      <c r="B476" t="s">
        <v>789</v>
      </c>
      <c r="C476" t="s">
        <v>489</v>
      </c>
      <c r="D476" t="s">
        <v>793</v>
      </c>
      <c r="E476" t="s">
        <v>7989</v>
      </c>
      <c r="F476" t="s">
        <v>7990</v>
      </c>
      <c r="G476" t="s">
        <v>7988</v>
      </c>
    </row>
    <row r="477" spans="2:7" x14ac:dyDescent="0.25">
      <c r="B477" t="s">
        <v>789</v>
      </c>
      <c r="C477" t="s">
        <v>490</v>
      </c>
      <c r="D477" t="s">
        <v>792</v>
      </c>
      <c r="E477" t="s">
        <v>8078</v>
      </c>
      <c r="F477" t="s">
        <v>8079</v>
      </c>
      <c r="G477" t="s">
        <v>8076</v>
      </c>
    </row>
    <row r="478" spans="2:7" x14ac:dyDescent="0.25">
      <c r="B478" t="s">
        <v>789</v>
      </c>
      <c r="C478" t="s">
        <v>491</v>
      </c>
      <c r="D478" t="s">
        <v>793</v>
      </c>
      <c r="E478" t="s">
        <v>8010</v>
      </c>
      <c r="F478" t="s">
        <v>8014</v>
      </c>
      <c r="G478" t="s">
        <v>8011</v>
      </c>
    </row>
    <row r="479" spans="2:7" x14ac:dyDescent="0.25">
      <c r="B479" t="s">
        <v>789</v>
      </c>
      <c r="C479" t="s">
        <v>492</v>
      </c>
      <c r="D479" t="s">
        <v>793</v>
      </c>
      <c r="E479" t="s">
        <v>8597</v>
      </c>
      <c r="F479" t="s">
        <v>8599</v>
      </c>
      <c r="G479" t="s">
        <v>8598</v>
      </c>
    </row>
    <row r="480" spans="2:7" x14ac:dyDescent="0.25">
      <c r="B480" t="s">
        <v>789</v>
      </c>
      <c r="C480" t="s">
        <v>493</v>
      </c>
      <c r="D480" t="s">
        <v>792</v>
      </c>
      <c r="E480" t="s">
        <v>8146</v>
      </c>
      <c r="F480" t="s">
        <v>8601</v>
      </c>
      <c r="G480" t="s">
        <v>8602</v>
      </c>
    </row>
    <row r="481" spans="2:7" x14ac:dyDescent="0.25">
      <c r="B481" t="s">
        <v>789</v>
      </c>
      <c r="C481" t="s">
        <v>494</v>
      </c>
      <c r="D481" t="s">
        <v>792</v>
      </c>
      <c r="E481" t="s">
        <v>8603</v>
      </c>
      <c r="F481" t="s">
        <v>8604</v>
      </c>
      <c r="G481" t="s">
        <v>8161</v>
      </c>
    </row>
    <row r="482" spans="2:7" x14ac:dyDescent="0.25">
      <c r="B482" t="s">
        <v>789</v>
      </c>
      <c r="C482" t="s">
        <v>495</v>
      </c>
      <c r="D482" t="s">
        <v>793</v>
      </c>
      <c r="E482" t="s">
        <v>8172</v>
      </c>
      <c r="F482" t="s">
        <v>8177</v>
      </c>
      <c r="G482" t="s">
        <v>8171</v>
      </c>
    </row>
    <row r="483" spans="2:7" x14ac:dyDescent="0.25">
      <c r="B483" t="s">
        <v>789</v>
      </c>
      <c r="C483" t="s">
        <v>496</v>
      </c>
      <c r="D483" t="s">
        <v>792</v>
      </c>
      <c r="E483" t="s">
        <v>8356</v>
      </c>
      <c r="F483" t="s">
        <v>8358</v>
      </c>
      <c r="G483" t="s">
        <v>8357</v>
      </c>
    </row>
    <row r="484" spans="2:7" x14ac:dyDescent="0.25">
      <c r="B484" t="s">
        <v>789</v>
      </c>
      <c r="C484" t="s">
        <v>497</v>
      </c>
      <c r="D484" t="s">
        <v>793</v>
      </c>
      <c r="E484" t="s">
        <v>7898</v>
      </c>
      <c r="F484" t="s">
        <v>7901</v>
      </c>
      <c r="G484" t="s">
        <v>7899</v>
      </c>
    </row>
    <row r="485" spans="2:7" x14ac:dyDescent="0.25">
      <c r="B485" t="s">
        <v>789</v>
      </c>
      <c r="C485" t="s">
        <v>498</v>
      </c>
      <c r="D485" t="s">
        <v>792</v>
      </c>
      <c r="E485" t="s">
        <v>8209</v>
      </c>
      <c r="F485" t="s">
        <v>7932</v>
      </c>
      <c r="G485" t="s">
        <v>7931</v>
      </c>
    </row>
    <row r="486" spans="2:7" x14ac:dyDescent="0.25">
      <c r="B486" t="s">
        <v>789</v>
      </c>
      <c r="C486" t="s">
        <v>499</v>
      </c>
      <c r="D486" t="s">
        <v>793</v>
      </c>
      <c r="E486" t="s">
        <v>8117</v>
      </c>
      <c r="F486" t="s">
        <v>8124</v>
      </c>
      <c r="G486" t="s">
        <v>8118</v>
      </c>
    </row>
    <row r="487" spans="2:7" x14ac:dyDescent="0.25">
      <c r="B487" t="s">
        <v>789</v>
      </c>
      <c r="C487" t="s">
        <v>500</v>
      </c>
      <c r="D487" t="s">
        <v>792</v>
      </c>
      <c r="E487" t="s">
        <v>8105</v>
      </c>
      <c r="F487" t="s">
        <v>8090</v>
      </c>
      <c r="G487" t="s">
        <v>8106</v>
      </c>
    </row>
    <row r="488" spans="2:7" x14ac:dyDescent="0.25">
      <c r="B488" t="s">
        <v>789</v>
      </c>
      <c r="C488" t="s">
        <v>501</v>
      </c>
      <c r="D488" t="s">
        <v>792</v>
      </c>
      <c r="E488" t="s">
        <v>8042</v>
      </c>
      <c r="F488" t="s">
        <v>7912</v>
      </c>
      <c r="G488" t="s">
        <v>8041</v>
      </c>
    </row>
    <row r="489" spans="2:7" x14ac:dyDescent="0.25">
      <c r="B489" t="s">
        <v>789</v>
      </c>
      <c r="C489" t="s">
        <v>502</v>
      </c>
      <c r="D489" t="s">
        <v>792</v>
      </c>
      <c r="E489" t="s">
        <v>8482</v>
      </c>
      <c r="F489" t="s">
        <v>8483</v>
      </c>
      <c r="G489" t="s">
        <v>8481</v>
      </c>
    </row>
    <row r="490" spans="2:7" x14ac:dyDescent="0.25">
      <c r="B490" t="s">
        <v>789</v>
      </c>
      <c r="C490" t="s">
        <v>503</v>
      </c>
      <c r="D490" t="s">
        <v>793</v>
      </c>
      <c r="E490" t="s">
        <v>8500</v>
      </c>
      <c r="F490" t="s">
        <v>8502</v>
      </c>
      <c r="G490" t="s">
        <v>8501</v>
      </c>
    </row>
    <row r="491" spans="2:7" x14ac:dyDescent="0.25">
      <c r="B491" t="s">
        <v>789</v>
      </c>
      <c r="C491" t="s">
        <v>504</v>
      </c>
      <c r="D491" t="s">
        <v>792</v>
      </c>
      <c r="E491" t="s">
        <v>8136</v>
      </c>
      <c r="F491" t="s">
        <v>8140</v>
      </c>
      <c r="G491" t="s">
        <v>8137</v>
      </c>
    </row>
    <row r="492" spans="2:7" x14ac:dyDescent="0.25">
      <c r="B492" t="s">
        <v>789</v>
      </c>
      <c r="C492" t="s">
        <v>505</v>
      </c>
      <c r="D492" t="s">
        <v>792</v>
      </c>
      <c r="E492" t="s">
        <v>8605</v>
      </c>
      <c r="F492" t="s">
        <v>8607</v>
      </c>
      <c r="G492" t="s">
        <v>8606</v>
      </c>
    </row>
    <row r="493" spans="2:7" x14ac:dyDescent="0.25">
      <c r="B493" t="s">
        <v>789</v>
      </c>
      <c r="C493" t="s">
        <v>506</v>
      </c>
      <c r="D493" t="s">
        <v>792</v>
      </c>
      <c r="E493" t="s">
        <v>8036</v>
      </c>
      <c r="F493" t="s">
        <v>7856</v>
      </c>
      <c r="G493" t="s">
        <v>8038</v>
      </c>
    </row>
    <row r="494" spans="2:7" x14ac:dyDescent="0.25">
      <c r="B494" t="s">
        <v>789</v>
      </c>
      <c r="C494" t="s">
        <v>507</v>
      </c>
      <c r="D494" t="s">
        <v>793</v>
      </c>
      <c r="E494" t="s">
        <v>8320</v>
      </c>
      <c r="F494" t="s">
        <v>8609</v>
      </c>
      <c r="G494" t="s">
        <v>8608</v>
      </c>
    </row>
    <row r="495" spans="2:7" x14ac:dyDescent="0.25">
      <c r="B495" t="s">
        <v>789</v>
      </c>
      <c r="C495" t="s">
        <v>508</v>
      </c>
      <c r="D495" t="s">
        <v>793</v>
      </c>
      <c r="E495" t="s">
        <v>8610</v>
      </c>
      <c r="F495" t="s">
        <v>8612</v>
      </c>
      <c r="G495" t="s">
        <v>8611</v>
      </c>
    </row>
    <row r="496" spans="2:7" x14ac:dyDescent="0.25">
      <c r="B496" t="s">
        <v>789</v>
      </c>
      <c r="C496" t="s">
        <v>509</v>
      </c>
      <c r="D496" t="s">
        <v>792</v>
      </c>
      <c r="E496" t="s">
        <v>8146</v>
      </c>
      <c r="F496" t="s">
        <v>8613</v>
      </c>
      <c r="G496" t="s">
        <v>8602</v>
      </c>
    </row>
    <row r="497" spans="2:7" x14ac:dyDescent="0.25">
      <c r="B497" t="s">
        <v>789</v>
      </c>
      <c r="C497" t="s">
        <v>510</v>
      </c>
      <c r="D497" t="s">
        <v>792</v>
      </c>
      <c r="E497" t="s">
        <v>8115</v>
      </c>
      <c r="F497" t="s">
        <v>8114</v>
      </c>
      <c r="G497" t="s">
        <v>8116</v>
      </c>
    </row>
    <row r="498" spans="2:7" x14ac:dyDescent="0.25">
      <c r="B498" t="s">
        <v>789</v>
      </c>
      <c r="C498" t="s">
        <v>511</v>
      </c>
      <c r="D498" t="s">
        <v>792</v>
      </c>
      <c r="E498" t="s">
        <v>8047</v>
      </c>
      <c r="F498" t="s">
        <v>8050</v>
      </c>
      <c r="G498" t="s">
        <v>8049</v>
      </c>
    </row>
    <row r="499" spans="2:7" x14ac:dyDescent="0.25">
      <c r="B499" t="s">
        <v>789</v>
      </c>
      <c r="C499" t="s">
        <v>512</v>
      </c>
      <c r="D499" t="s">
        <v>792</v>
      </c>
      <c r="E499" t="s">
        <v>8126</v>
      </c>
      <c r="F499" t="s">
        <v>8135</v>
      </c>
      <c r="G499" t="s">
        <v>8129</v>
      </c>
    </row>
    <row r="500" spans="2:7" x14ac:dyDescent="0.25">
      <c r="B500" t="s">
        <v>789</v>
      </c>
      <c r="C500" t="s">
        <v>513</v>
      </c>
      <c r="D500" t="s">
        <v>792</v>
      </c>
      <c r="E500" t="s">
        <v>8146</v>
      </c>
      <c r="F500" t="s">
        <v>7889</v>
      </c>
      <c r="G500" t="s">
        <v>8152</v>
      </c>
    </row>
    <row r="501" spans="2:7" x14ac:dyDescent="0.25">
      <c r="B501" t="s">
        <v>789</v>
      </c>
      <c r="C501" t="s">
        <v>514</v>
      </c>
      <c r="D501" t="s">
        <v>793</v>
      </c>
      <c r="E501" t="s">
        <v>8616</v>
      </c>
      <c r="F501" t="s">
        <v>8615</v>
      </c>
      <c r="G501" t="s">
        <v>8614</v>
      </c>
    </row>
    <row r="502" spans="2:7" x14ac:dyDescent="0.25">
      <c r="B502" t="s">
        <v>789</v>
      </c>
      <c r="C502" t="s">
        <v>515</v>
      </c>
      <c r="D502" t="s">
        <v>792</v>
      </c>
      <c r="E502" t="s">
        <v>7970</v>
      </c>
      <c r="F502" t="s">
        <v>8617</v>
      </c>
      <c r="G502" t="s">
        <v>7971</v>
      </c>
    </row>
    <row r="503" spans="2:7" x14ac:dyDescent="0.25">
      <c r="B503" t="s">
        <v>789</v>
      </c>
      <c r="C503" t="s">
        <v>516</v>
      </c>
      <c r="D503" t="s">
        <v>7839</v>
      </c>
      <c r="E503" t="s">
        <v>8010</v>
      </c>
      <c r="F503" t="s">
        <v>8015</v>
      </c>
      <c r="G503" t="s">
        <v>8011</v>
      </c>
    </row>
    <row r="504" spans="2:7" x14ac:dyDescent="0.25">
      <c r="B504" t="s">
        <v>789</v>
      </c>
      <c r="C504" t="s">
        <v>517</v>
      </c>
      <c r="D504" t="s">
        <v>793</v>
      </c>
      <c r="E504" t="s">
        <v>7924</v>
      </c>
      <c r="F504" t="s">
        <v>7926</v>
      </c>
      <c r="G504" t="s">
        <v>7925</v>
      </c>
    </row>
    <row r="505" spans="2:7" x14ac:dyDescent="0.25">
      <c r="B505" t="s">
        <v>789</v>
      </c>
      <c r="C505" t="s">
        <v>518</v>
      </c>
      <c r="D505" t="s">
        <v>792</v>
      </c>
      <c r="E505" t="s">
        <v>7978</v>
      </c>
      <c r="F505" t="s">
        <v>7977</v>
      </c>
      <c r="G505" t="s">
        <v>7974</v>
      </c>
    </row>
    <row r="506" spans="2:7" x14ac:dyDescent="0.25">
      <c r="B506" t="s">
        <v>789</v>
      </c>
      <c r="C506" t="s">
        <v>519</v>
      </c>
      <c r="D506" t="s">
        <v>792</v>
      </c>
      <c r="E506" t="s">
        <v>8223</v>
      </c>
      <c r="F506" t="s">
        <v>8225</v>
      </c>
      <c r="G506" t="s">
        <v>8224</v>
      </c>
    </row>
    <row r="507" spans="2:7" x14ac:dyDescent="0.25">
      <c r="B507" t="s">
        <v>789</v>
      </c>
      <c r="C507" t="s">
        <v>520</v>
      </c>
      <c r="D507" t="s">
        <v>792</v>
      </c>
      <c r="E507" t="s">
        <v>8040</v>
      </c>
      <c r="F507" t="s">
        <v>7913</v>
      </c>
      <c r="G507" t="s">
        <v>8041</v>
      </c>
    </row>
    <row r="508" spans="2:7" x14ac:dyDescent="0.25">
      <c r="B508" t="s">
        <v>789</v>
      </c>
      <c r="C508" t="s">
        <v>521</v>
      </c>
      <c r="D508" t="s">
        <v>792</v>
      </c>
      <c r="E508" t="s">
        <v>8618</v>
      </c>
      <c r="F508" t="s">
        <v>8619</v>
      </c>
      <c r="G508" t="s">
        <v>8626</v>
      </c>
    </row>
    <row r="509" spans="2:7" x14ac:dyDescent="0.25">
      <c r="B509" t="s">
        <v>789</v>
      </c>
      <c r="C509" t="s">
        <v>522</v>
      </c>
      <c r="D509" t="s">
        <v>7839</v>
      </c>
      <c r="E509" t="s">
        <v>8620</v>
      </c>
      <c r="F509" t="s">
        <v>8621</v>
      </c>
      <c r="G509" t="s">
        <v>8622</v>
      </c>
    </row>
    <row r="510" spans="2:7" x14ac:dyDescent="0.25">
      <c r="B510" t="s">
        <v>789</v>
      </c>
      <c r="C510" t="s">
        <v>8904</v>
      </c>
      <c r="D510" t="s">
        <v>792</v>
      </c>
      <c r="E510" t="s">
        <v>9005</v>
      </c>
      <c r="F510" t="s">
        <v>9006</v>
      </c>
      <c r="G510" t="s">
        <v>8049</v>
      </c>
    </row>
    <row r="511" spans="2:7" x14ac:dyDescent="0.25">
      <c r="B511" t="s">
        <v>789</v>
      </c>
      <c r="C511" t="s">
        <v>523</v>
      </c>
      <c r="D511" t="s">
        <v>793</v>
      </c>
      <c r="E511" t="s">
        <v>8623</v>
      </c>
      <c r="F511" t="s">
        <v>8624</v>
      </c>
      <c r="G511" t="s">
        <v>8221</v>
      </c>
    </row>
    <row r="512" spans="2:7" x14ac:dyDescent="0.25">
      <c r="B512" t="s">
        <v>789</v>
      </c>
      <c r="C512" t="s">
        <v>524</v>
      </c>
      <c r="D512" t="s">
        <v>792</v>
      </c>
      <c r="E512" t="s">
        <v>8069</v>
      </c>
      <c r="F512" t="s">
        <v>8082</v>
      </c>
      <c r="G512" t="s">
        <v>8083</v>
      </c>
    </row>
    <row r="513" spans="2:7" x14ac:dyDescent="0.25">
      <c r="B513" t="s">
        <v>789</v>
      </c>
      <c r="C513" t="s">
        <v>525</v>
      </c>
      <c r="D513" t="s">
        <v>792</v>
      </c>
      <c r="E513" t="s">
        <v>8069</v>
      </c>
      <c r="F513" t="s">
        <v>8082</v>
      </c>
      <c r="G513" t="s">
        <v>8080</v>
      </c>
    </row>
    <row r="514" spans="2:7" x14ac:dyDescent="0.25">
      <c r="B514" t="s">
        <v>789</v>
      </c>
      <c r="C514" t="s">
        <v>526</v>
      </c>
      <c r="D514" t="s">
        <v>792</v>
      </c>
      <c r="E514" t="s">
        <v>8618</v>
      </c>
      <c r="F514" t="s">
        <v>8625</v>
      </c>
      <c r="G514" t="s">
        <v>8394</v>
      </c>
    </row>
    <row r="515" spans="2:7" x14ac:dyDescent="0.25">
      <c r="B515" t="s">
        <v>789</v>
      </c>
      <c r="C515" t="s">
        <v>527</v>
      </c>
      <c r="D515" t="s">
        <v>792</v>
      </c>
      <c r="E515" t="s">
        <v>8105</v>
      </c>
      <c r="F515" t="s">
        <v>8090</v>
      </c>
      <c r="G515" t="s">
        <v>8106</v>
      </c>
    </row>
    <row r="516" spans="2:7" x14ac:dyDescent="0.25">
      <c r="B516" t="s">
        <v>789</v>
      </c>
      <c r="C516" t="s">
        <v>528</v>
      </c>
      <c r="D516" t="s">
        <v>7839</v>
      </c>
      <c r="E516" t="s">
        <v>8205</v>
      </c>
      <c r="F516" t="s">
        <v>7860</v>
      </c>
      <c r="G516" t="s">
        <v>8206</v>
      </c>
    </row>
    <row r="517" spans="2:7" x14ac:dyDescent="0.25">
      <c r="B517" t="s">
        <v>789</v>
      </c>
      <c r="C517" t="s">
        <v>529</v>
      </c>
      <c r="D517" t="s">
        <v>792</v>
      </c>
      <c r="E517" t="s">
        <v>8627</v>
      </c>
      <c r="F517" t="s">
        <v>8629</v>
      </c>
      <c r="G517" t="s">
        <v>8628</v>
      </c>
    </row>
    <row r="518" spans="2:7" x14ac:dyDescent="0.25">
      <c r="B518" t="s">
        <v>789</v>
      </c>
      <c r="C518" t="s">
        <v>530</v>
      </c>
      <c r="D518" t="s">
        <v>792</v>
      </c>
      <c r="E518" t="s">
        <v>8146</v>
      </c>
      <c r="F518" t="s">
        <v>7889</v>
      </c>
      <c r="G518" t="s">
        <v>8264</v>
      </c>
    </row>
    <row r="519" spans="2:7" x14ac:dyDescent="0.25">
      <c r="B519" t="s">
        <v>789</v>
      </c>
      <c r="C519" t="s">
        <v>531</v>
      </c>
      <c r="D519" t="s">
        <v>792</v>
      </c>
      <c r="E519" t="s">
        <v>8618</v>
      </c>
      <c r="F519" t="s">
        <v>8631</v>
      </c>
      <c r="G519" t="s">
        <v>8630</v>
      </c>
    </row>
    <row r="520" spans="2:7" x14ac:dyDescent="0.25">
      <c r="B520" t="s">
        <v>789</v>
      </c>
      <c r="C520" t="s">
        <v>532</v>
      </c>
      <c r="D520" t="s">
        <v>792</v>
      </c>
      <c r="E520" t="s">
        <v>8146</v>
      </c>
      <c r="F520" t="s">
        <v>7896</v>
      </c>
      <c r="G520" t="s">
        <v>8153</v>
      </c>
    </row>
    <row r="521" spans="2:7" x14ac:dyDescent="0.25">
      <c r="B521" t="s">
        <v>789</v>
      </c>
      <c r="C521" t="s">
        <v>533</v>
      </c>
      <c r="D521" t="s">
        <v>792</v>
      </c>
      <c r="E521" t="s">
        <v>8042</v>
      </c>
      <c r="F521" t="s">
        <v>7914</v>
      </c>
      <c r="G521" t="s">
        <v>8041</v>
      </c>
    </row>
    <row r="522" spans="2:7" x14ac:dyDescent="0.25">
      <c r="B522" t="s">
        <v>789</v>
      </c>
      <c r="C522" t="s">
        <v>534</v>
      </c>
      <c r="D522" t="s">
        <v>793</v>
      </c>
      <c r="E522" t="s">
        <v>8634</v>
      </c>
      <c r="F522" t="s">
        <v>8633</v>
      </c>
      <c r="G522" t="s">
        <v>8632</v>
      </c>
    </row>
    <row r="523" spans="2:7" x14ac:dyDescent="0.25">
      <c r="B523" t="s">
        <v>789</v>
      </c>
      <c r="C523" t="s">
        <v>535</v>
      </c>
      <c r="D523" t="s">
        <v>793</v>
      </c>
      <c r="E523" t="s">
        <v>8636</v>
      </c>
      <c r="F523" t="s">
        <v>8637</v>
      </c>
      <c r="G523" t="s">
        <v>8635</v>
      </c>
    </row>
    <row r="524" spans="2:7" x14ac:dyDescent="0.25">
      <c r="B524" t="s">
        <v>789</v>
      </c>
      <c r="C524" t="s">
        <v>536</v>
      </c>
      <c r="D524" t="s">
        <v>792</v>
      </c>
      <c r="E524" t="s">
        <v>8146</v>
      </c>
      <c r="F524" t="s">
        <v>7889</v>
      </c>
      <c r="G524" t="s">
        <v>8152</v>
      </c>
    </row>
    <row r="525" spans="2:7" x14ac:dyDescent="0.25">
      <c r="B525" t="s">
        <v>789</v>
      </c>
      <c r="C525" t="s">
        <v>537</v>
      </c>
      <c r="D525" t="s">
        <v>792</v>
      </c>
      <c r="E525" t="s">
        <v>8040</v>
      </c>
      <c r="F525" t="s">
        <v>7915</v>
      </c>
      <c r="G525" t="s">
        <v>8041</v>
      </c>
    </row>
    <row r="526" spans="2:7" x14ac:dyDescent="0.25">
      <c r="B526" t="s">
        <v>789</v>
      </c>
      <c r="C526" t="s">
        <v>538</v>
      </c>
      <c r="D526" t="s">
        <v>792</v>
      </c>
      <c r="E526" t="s">
        <v>8639</v>
      </c>
      <c r="F526" t="s">
        <v>8638</v>
      </c>
      <c r="G526" t="s">
        <v>8444</v>
      </c>
    </row>
    <row r="527" spans="2:7" x14ac:dyDescent="0.25">
      <c r="B527" t="s">
        <v>789</v>
      </c>
      <c r="C527" t="s">
        <v>539</v>
      </c>
      <c r="D527" t="s">
        <v>793</v>
      </c>
      <c r="E527" t="s">
        <v>8117</v>
      </c>
      <c r="F527" t="s">
        <v>8125</v>
      </c>
      <c r="G527" t="s">
        <v>8118</v>
      </c>
    </row>
    <row r="528" spans="2:7" x14ac:dyDescent="0.25">
      <c r="B528" t="s">
        <v>789</v>
      </c>
      <c r="C528" t="s">
        <v>540</v>
      </c>
      <c r="D528" t="s">
        <v>792</v>
      </c>
      <c r="E528" t="s">
        <v>8640</v>
      </c>
      <c r="F528" t="s">
        <v>8642</v>
      </c>
      <c r="G528" t="s">
        <v>8641</v>
      </c>
    </row>
    <row r="529" spans="2:7" x14ac:dyDescent="0.25">
      <c r="B529" t="s">
        <v>789</v>
      </c>
      <c r="C529" t="s">
        <v>541</v>
      </c>
      <c r="D529" t="s">
        <v>792</v>
      </c>
      <c r="E529" t="s">
        <v>8146</v>
      </c>
      <c r="F529" t="s">
        <v>7894</v>
      </c>
      <c r="G529" t="s">
        <v>8154</v>
      </c>
    </row>
    <row r="530" spans="2:7" x14ac:dyDescent="0.25">
      <c r="B530" t="s">
        <v>789</v>
      </c>
      <c r="C530" t="s">
        <v>542</v>
      </c>
      <c r="D530" t="s">
        <v>792</v>
      </c>
      <c r="E530" t="s">
        <v>8455</v>
      </c>
      <c r="F530" t="s">
        <v>8456</v>
      </c>
      <c r="G530" t="s">
        <v>8453</v>
      </c>
    </row>
    <row r="531" spans="2:7" x14ac:dyDescent="0.25">
      <c r="B531" t="s">
        <v>789</v>
      </c>
      <c r="C531" t="s">
        <v>543</v>
      </c>
      <c r="D531" t="s">
        <v>793</v>
      </c>
      <c r="E531" t="s">
        <v>7924</v>
      </c>
      <c r="F531" t="s">
        <v>7926</v>
      </c>
      <c r="G531" t="s">
        <v>7925</v>
      </c>
    </row>
    <row r="532" spans="2:7" x14ac:dyDescent="0.25">
      <c r="B532" t="s">
        <v>789</v>
      </c>
      <c r="C532" t="s">
        <v>544</v>
      </c>
      <c r="D532" t="s">
        <v>792</v>
      </c>
      <c r="E532" t="s">
        <v>8136</v>
      </c>
      <c r="F532" t="s">
        <v>8141</v>
      </c>
      <c r="G532" t="s">
        <v>8137</v>
      </c>
    </row>
    <row r="533" spans="2:7" x14ac:dyDescent="0.25">
      <c r="B533" t="s">
        <v>789</v>
      </c>
      <c r="C533" t="s">
        <v>545</v>
      </c>
      <c r="D533" t="s">
        <v>793</v>
      </c>
      <c r="E533" t="s">
        <v>8644</v>
      </c>
      <c r="F533" t="s">
        <v>8645</v>
      </c>
      <c r="G533" t="s">
        <v>8643</v>
      </c>
    </row>
    <row r="534" spans="2:7" x14ac:dyDescent="0.25">
      <c r="B534" t="s">
        <v>789</v>
      </c>
      <c r="C534" t="s">
        <v>546</v>
      </c>
      <c r="D534" t="s">
        <v>793</v>
      </c>
      <c r="E534" t="s">
        <v>8190</v>
      </c>
      <c r="F534" t="s">
        <v>8193</v>
      </c>
      <c r="G534" t="s">
        <v>8191</v>
      </c>
    </row>
    <row r="535" spans="2:7" x14ac:dyDescent="0.25">
      <c r="B535" t="s">
        <v>789</v>
      </c>
      <c r="C535" t="s">
        <v>547</v>
      </c>
      <c r="D535" t="s">
        <v>792</v>
      </c>
      <c r="E535" t="s">
        <v>8446</v>
      </c>
      <c r="F535" t="s">
        <v>7882</v>
      </c>
      <c r="G535" t="s">
        <v>8396</v>
      </c>
    </row>
    <row r="536" spans="2:7" x14ac:dyDescent="0.25">
      <c r="B536" t="s">
        <v>8983</v>
      </c>
      <c r="C536" t="s">
        <v>548</v>
      </c>
      <c r="D536" t="s">
        <v>793</v>
      </c>
    </row>
    <row r="537" spans="2:7" x14ac:dyDescent="0.25">
      <c r="B537" t="s">
        <v>8983</v>
      </c>
      <c r="C537" t="s">
        <v>34</v>
      </c>
      <c r="D537" t="s">
        <v>793</v>
      </c>
    </row>
    <row r="538" spans="2:7" x14ac:dyDescent="0.25">
      <c r="B538" t="s">
        <v>8983</v>
      </c>
      <c r="C538" t="s">
        <v>550</v>
      </c>
      <c r="D538" t="s">
        <v>793</v>
      </c>
    </row>
    <row r="539" spans="2:7" x14ac:dyDescent="0.25">
      <c r="B539" t="s">
        <v>8983</v>
      </c>
      <c r="C539" t="s">
        <v>551</v>
      </c>
      <c r="D539" t="s">
        <v>793</v>
      </c>
    </row>
    <row r="540" spans="2:7" x14ac:dyDescent="0.25">
      <c r="B540" t="s">
        <v>8983</v>
      </c>
      <c r="C540" t="s">
        <v>552</v>
      </c>
      <c r="D540" t="s">
        <v>793</v>
      </c>
    </row>
    <row r="541" spans="2:7" x14ac:dyDescent="0.25">
      <c r="B541" t="s">
        <v>8983</v>
      </c>
      <c r="C541" t="s">
        <v>553</v>
      </c>
      <c r="D541" t="s">
        <v>793</v>
      </c>
    </row>
    <row r="542" spans="2:7" x14ac:dyDescent="0.25">
      <c r="B542" t="s">
        <v>8983</v>
      </c>
      <c r="C542" t="s">
        <v>554</v>
      </c>
      <c r="D542" t="s">
        <v>793</v>
      </c>
    </row>
    <row r="543" spans="2:7" x14ac:dyDescent="0.25">
      <c r="B543" t="s">
        <v>8983</v>
      </c>
      <c r="C543" t="s">
        <v>555</v>
      </c>
      <c r="D543" t="s">
        <v>793</v>
      </c>
    </row>
    <row r="544" spans="2:7" x14ac:dyDescent="0.25">
      <c r="B544" t="s">
        <v>8983</v>
      </c>
      <c r="C544" t="s">
        <v>556</v>
      </c>
      <c r="D544" t="s">
        <v>793</v>
      </c>
    </row>
    <row r="545" spans="2:4" x14ac:dyDescent="0.25">
      <c r="B545" t="s">
        <v>8983</v>
      </c>
      <c r="C545" t="s">
        <v>557</v>
      </c>
      <c r="D545" t="s">
        <v>793</v>
      </c>
    </row>
    <row r="546" spans="2:4" x14ac:dyDescent="0.25">
      <c r="B546" t="s">
        <v>8983</v>
      </c>
      <c r="C546" t="s">
        <v>558</v>
      </c>
      <c r="D546" t="s">
        <v>793</v>
      </c>
    </row>
    <row r="547" spans="2:4" x14ac:dyDescent="0.25">
      <c r="B547" t="s">
        <v>8983</v>
      </c>
      <c r="C547" t="s">
        <v>1686</v>
      </c>
      <c r="D547" t="s">
        <v>793</v>
      </c>
    </row>
    <row r="548" spans="2:4" x14ac:dyDescent="0.25">
      <c r="B548" t="s">
        <v>8983</v>
      </c>
      <c r="C548" t="s">
        <v>559</v>
      </c>
      <c r="D548" t="s">
        <v>793</v>
      </c>
    </row>
    <row r="549" spans="2:4" x14ac:dyDescent="0.25">
      <c r="B549" t="s">
        <v>8983</v>
      </c>
      <c r="C549" t="s">
        <v>560</v>
      </c>
      <c r="D549" t="s">
        <v>793</v>
      </c>
    </row>
    <row r="550" spans="2:4" x14ac:dyDescent="0.25">
      <c r="B550" t="s">
        <v>8983</v>
      </c>
      <c r="C550" t="s">
        <v>561</v>
      </c>
      <c r="D550" t="s">
        <v>793</v>
      </c>
    </row>
    <row r="551" spans="2:4" x14ac:dyDescent="0.25">
      <c r="B551" t="s">
        <v>8983</v>
      </c>
      <c r="C551" t="s">
        <v>563</v>
      </c>
      <c r="D551" t="s">
        <v>793</v>
      </c>
    </row>
    <row r="552" spans="2:4" x14ac:dyDescent="0.25">
      <c r="B552" t="s">
        <v>8983</v>
      </c>
      <c r="C552" t="s">
        <v>564</v>
      </c>
      <c r="D552" t="s">
        <v>793</v>
      </c>
    </row>
    <row r="553" spans="2:4" x14ac:dyDescent="0.25">
      <c r="B553" t="s">
        <v>8983</v>
      </c>
      <c r="C553" t="s">
        <v>565</v>
      </c>
      <c r="D553" t="s">
        <v>793</v>
      </c>
    </row>
    <row r="554" spans="2:4" x14ac:dyDescent="0.25">
      <c r="B554" t="s">
        <v>8983</v>
      </c>
      <c r="C554" t="s">
        <v>566</v>
      </c>
      <c r="D554" t="s">
        <v>793</v>
      </c>
    </row>
    <row r="555" spans="2:4" x14ac:dyDescent="0.25">
      <c r="B555" t="s">
        <v>8983</v>
      </c>
      <c r="C555" t="s">
        <v>567</v>
      </c>
      <c r="D555" t="s">
        <v>793</v>
      </c>
    </row>
    <row r="556" spans="2:4" x14ac:dyDescent="0.25">
      <c r="B556" t="s">
        <v>8983</v>
      </c>
      <c r="C556" t="s">
        <v>568</v>
      </c>
      <c r="D556" t="s">
        <v>793</v>
      </c>
    </row>
    <row r="557" spans="2:4" x14ac:dyDescent="0.25">
      <c r="B557" t="s">
        <v>8983</v>
      </c>
      <c r="C557" t="s">
        <v>569</v>
      </c>
      <c r="D557" t="s">
        <v>793</v>
      </c>
    </row>
    <row r="558" spans="2:4" x14ac:dyDescent="0.25">
      <c r="B558" t="s">
        <v>8983</v>
      </c>
      <c r="C558" t="s">
        <v>570</v>
      </c>
      <c r="D558" t="s">
        <v>793</v>
      </c>
    </row>
    <row r="559" spans="2:4" x14ac:dyDescent="0.25">
      <c r="B559" t="s">
        <v>8983</v>
      </c>
      <c r="C559" t="s">
        <v>571</v>
      </c>
      <c r="D559" t="s">
        <v>793</v>
      </c>
    </row>
    <row r="560" spans="2:4" x14ac:dyDescent="0.25">
      <c r="B560" t="s">
        <v>8983</v>
      </c>
      <c r="C560" t="s">
        <v>572</v>
      </c>
      <c r="D560" t="s">
        <v>793</v>
      </c>
    </row>
    <row r="561" spans="2:4" x14ac:dyDescent="0.25">
      <c r="B561" t="s">
        <v>8983</v>
      </c>
      <c r="C561" t="s">
        <v>573</v>
      </c>
      <c r="D561" t="s">
        <v>793</v>
      </c>
    </row>
    <row r="562" spans="2:4" x14ac:dyDescent="0.25">
      <c r="B562" t="s">
        <v>8983</v>
      </c>
      <c r="C562" t="s">
        <v>574</v>
      </c>
      <c r="D562" t="s">
        <v>793</v>
      </c>
    </row>
    <row r="563" spans="2:4" x14ac:dyDescent="0.25">
      <c r="B563" t="s">
        <v>8983</v>
      </c>
      <c r="C563" t="s">
        <v>575</v>
      </c>
      <c r="D563" t="s">
        <v>793</v>
      </c>
    </row>
    <row r="564" spans="2:4" x14ac:dyDescent="0.25">
      <c r="B564" t="s">
        <v>8983</v>
      </c>
      <c r="C564" t="s">
        <v>576</v>
      </c>
      <c r="D564" t="s">
        <v>793</v>
      </c>
    </row>
    <row r="565" spans="2:4" x14ac:dyDescent="0.25">
      <c r="B565" t="s">
        <v>8983</v>
      </c>
      <c r="C565" t="s">
        <v>577</v>
      </c>
      <c r="D565" t="s">
        <v>793</v>
      </c>
    </row>
    <row r="566" spans="2:4" x14ac:dyDescent="0.25">
      <c r="B566" t="s">
        <v>8983</v>
      </c>
      <c r="C566" t="s">
        <v>578</v>
      </c>
      <c r="D566" t="s">
        <v>793</v>
      </c>
    </row>
    <row r="567" spans="2:4" x14ac:dyDescent="0.25">
      <c r="B567" t="s">
        <v>8983</v>
      </c>
      <c r="C567" t="s">
        <v>579</v>
      </c>
      <c r="D567" t="s">
        <v>793</v>
      </c>
    </row>
    <row r="568" spans="2:4" x14ac:dyDescent="0.25">
      <c r="B568" t="s">
        <v>8983</v>
      </c>
      <c r="C568" t="s">
        <v>580</v>
      </c>
      <c r="D568" t="s">
        <v>793</v>
      </c>
    </row>
    <row r="569" spans="2:4" x14ac:dyDescent="0.25">
      <c r="B569" t="s">
        <v>8983</v>
      </c>
      <c r="C569" t="s">
        <v>581</v>
      </c>
      <c r="D569" t="s">
        <v>793</v>
      </c>
    </row>
    <row r="570" spans="2:4" x14ac:dyDescent="0.25">
      <c r="B570" t="s">
        <v>8983</v>
      </c>
      <c r="C570" t="s">
        <v>582</v>
      </c>
      <c r="D570" t="s">
        <v>793</v>
      </c>
    </row>
    <row r="571" spans="2:4" x14ac:dyDescent="0.25">
      <c r="B571" t="s">
        <v>8983</v>
      </c>
      <c r="C571" t="s">
        <v>583</v>
      </c>
      <c r="D571" t="s">
        <v>793</v>
      </c>
    </row>
    <row r="572" spans="2:4" x14ac:dyDescent="0.25">
      <c r="B572" t="s">
        <v>8983</v>
      </c>
      <c r="C572" t="s">
        <v>584</v>
      </c>
      <c r="D572" t="s">
        <v>793</v>
      </c>
    </row>
    <row r="573" spans="2:4" x14ac:dyDescent="0.25">
      <c r="B573" t="s">
        <v>8983</v>
      </c>
      <c r="C573" t="s">
        <v>585</v>
      </c>
      <c r="D573" t="s">
        <v>793</v>
      </c>
    </row>
    <row r="574" spans="2:4" x14ac:dyDescent="0.25">
      <c r="B574" t="s">
        <v>8983</v>
      </c>
      <c r="C574" t="s">
        <v>586</v>
      </c>
      <c r="D574" t="s">
        <v>793</v>
      </c>
    </row>
    <row r="575" spans="2:4" x14ac:dyDescent="0.25">
      <c r="B575" t="s">
        <v>8983</v>
      </c>
      <c r="C575" t="s">
        <v>587</v>
      </c>
      <c r="D575" t="s">
        <v>793</v>
      </c>
    </row>
    <row r="576" spans="2:4" x14ac:dyDescent="0.25">
      <c r="B576" t="s">
        <v>8983</v>
      </c>
      <c r="C576" t="s">
        <v>588</v>
      </c>
      <c r="D576" t="s">
        <v>793</v>
      </c>
    </row>
    <row r="577" spans="2:4" x14ac:dyDescent="0.25">
      <c r="B577" t="s">
        <v>8983</v>
      </c>
      <c r="C577" t="s">
        <v>589</v>
      </c>
      <c r="D577" t="s">
        <v>793</v>
      </c>
    </row>
    <row r="578" spans="2:4" x14ac:dyDescent="0.25">
      <c r="B578" t="s">
        <v>8983</v>
      </c>
      <c r="C578" t="s">
        <v>8967</v>
      </c>
      <c r="D578" t="s">
        <v>793</v>
      </c>
    </row>
    <row r="579" spans="2:4" x14ac:dyDescent="0.25">
      <c r="B579" t="s">
        <v>8983</v>
      </c>
      <c r="C579" t="s">
        <v>590</v>
      </c>
      <c r="D579" t="s">
        <v>793</v>
      </c>
    </row>
    <row r="580" spans="2:4" x14ac:dyDescent="0.25">
      <c r="B580" t="s">
        <v>8983</v>
      </c>
      <c r="C580" t="s">
        <v>591</v>
      </c>
      <c r="D580" t="s">
        <v>793</v>
      </c>
    </row>
    <row r="581" spans="2:4" x14ac:dyDescent="0.25">
      <c r="B581" t="s">
        <v>8983</v>
      </c>
      <c r="C581" t="s">
        <v>592</v>
      </c>
      <c r="D581" t="s">
        <v>793</v>
      </c>
    </row>
    <row r="582" spans="2:4" x14ac:dyDescent="0.25">
      <c r="B582" t="s">
        <v>8983</v>
      </c>
      <c r="C582" t="s">
        <v>593</v>
      </c>
      <c r="D582" t="s">
        <v>793</v>
      </c>
    </row>
    <row r="583" spans="2:4" x14ac:dyDescent="0.25">
      <c r="B583" t="s">
        <v>8983</v>
      </c>
      <c r="C583" t="s">
        <v>594</v>
      </c>
      <c r="D583" t="s">
        <v>793</v>
      </c>
    </row>
    <row r="584" spans="2:4" x14ac:dyDescent="0.25">
      <c r="B584" t="s">
        <v>8983</v>
      </c>
      <c r="C584" t="s">
        <v>595</v>
      </c>
      <c r="D584" t="s">
        <v>793</v>
      </c>
    </row>
    <row r="585" spans="2:4" x14ac:dyDescent="0.25">
      <c r="B585" t="s">
        <v>8983</v>
      </c>
      <c r="C585" t="s">
        <v>596</v>
      </c>
      <c r="D585" t="s">
        <v>793</v>
      </c>
    </row>
    <row r="586" spans="2:4" x14ac:dyDescent="0.25">
      <c r="B586" t="s">
        <v>8983</v>
      </c>
      <c r="C586" t="s">
        <v>597</v>
      </c>
      <c r="D586" t="s">
        <v>793</v>
      </c>
    </row>
    <row r="587" spans="2:4" x14ac:dyDescent="0.25">
      <c r="B587" t="s">
        <v>8983</v>
      </c>
      <c r="C587" t="s">
        <v>598</v>
      </c>
      <c r="D587" t="s">
        <v>793</v>
      </c>
    </row>
    <row r="588" spans="2:4" x14ac:dyDescent="0.25">
      <c r="B588" t="s">
        <v>8983</v>
      </c>
      <c r="C588" t="s">
        <v>599</v>
      </c>
      <c r="D588" t="s">
        <v>793</v>
      </c>
    </row>
    <row r="589" spans="2:4" x14ac:dyDescent="0.25">
      <c r="B589" t="s">
        <v>8983</v>
      </c>
      <c r="C589" t="s">
        <v>600</v>
      </c>
      <c r="D589" t="s">
        <v>793</v>
      </c>
    </row>
    <row r="590" spans="2:4" x14ac:dyDescent="0.25">
      <c r="B590" t="s">
        <v>8983</v>
      </c>
      <c r="C590" t="s">
        <v>601</v>
      </c>
      <c r="D590" t="s">
        <v>793</v>
      </c>
    </row>
    <row r="591" spans="2:4" x14ac:dyDescent="0.25">
      <c r="B591" t="s">
        <v>8983</v>
      </c>
      <c r="C591" t="s">
        <v>602</v>
      </c>
      <c r="D591" t="s">
        <v>793</v>
      </c>
    </row>
    <row r="592" spans="2:4" x14ac:dyDescent="0.25">
      <c r="B592" t="s">
        <v>8983</v>
      </c>
      <c r="C592" t="s">
        <v>603</v>
      </c>
      <c r="D592" t="s">
        <v>793</v>
      </c>
    </row>
    <row r="593" spans="2:4" x14ac:dyDescent="0.25">
      <c r="B593" t="s">
        <v>8983</v>
      </c>
      <c r="C593" t="s">
        <v>604</v>
      </c>
      <c r="D593" t="s">
        <v>793</v>
      </c>
    </row>
    <row r="594" spans="2:4" x14ac:dyDescent="0.25">
      <c r="B594" t="s">
        <v>8983</v>
      </c>
      <c r="C594" t="s">
        <v>605</v>
      </c>
      <c r="D594" t="s">
        <v>793</v>
      </c>
    </row>
    <row r="595" spans="2:4" x14ac:dyDescent="0.25">
      <c r="B595" t="s">
        <v>8983</v>
      </c>
      <c r="C595" t="s">
        <v>606</v>
      </c>
      <c r="D595" t="s">
        <v>793</v>
      </c>
    </row>
    <row r="596" spans="2:4" x14ac:dyDescent="0.25">
      <c r="B596" t="s">
        <v>8983</v>
      </c>
      <c r="C596" t="s">
        <v>607</v>
      </c>
      <c r="D596" t="s">
        <v>793</v>
      </c>
    </row>
    <row r="597" spans="2:4" x14ac:dyDescent="0.25">
      <c r="B597" t="s">
        <v>8983</v>
      </c>
      <c r="C597" t="s">
        <v>608</v>
      </c>
      <c r="D597" t="s">
        <v>793</v>
      </c>
    </row>
    <row r="598" spans="2:4" x14ac:dyDescent="0.25">
      <c r="B598" t="s">
        <v>8983</v>
      </c>
      <c r="C598" t="s">
        <v>609</v>
      </c>
      <c r="D598" t="s">
        <v>793</v>
      </c>
    </row>
    <row r="599" spans="2:4" x14ac:dyDescent="0.25">
      <c r="B599" t="s">
        <v>8983</v>
      </c>
      <c r="C599" t="s">
        <v>610</v>
      </c>
      <c r="D599" t="s">
        <v>793</v>
      </c>
    </row>
    <row r="600" spans="2:4" x14ac:dyDescent="0.25">
      <c r="B600" t="s">
        <v>8983</v>
      </c>
      <c r="C600" t="s">
        <v>611</v>
      </c>
      <c r="D600" t="s">
        <v>793</v>
      </c>
    </row>
    <row r="601" spans="2:4" x14ac:dyDescent="0.25">
      <c r="B601" t="s">
        <v>8983</v>
      </c>
      <c r="C601" t="s">
        <v>612</v>
      </c>
      <c r="D601" t="s">
        <v>793</v>
      </c>
    </row>
    <row r="602" spans="2:4" x14ac:dyDescent="0.25">
      <c r="B602" t="s">
        <v>8983</v>
      </c>
      <c r="C602" t="s">
        <v>613</v>
      </c>
      <c r="D602" t="s">
        <v>793</v>
      </c>
    </row>
    <row r="603" spans="2:4" x14ac:dyDescent="0.25">
      <c r="B603" t="s">
        <v>8983</v>
      </c>
      <c r="C603" t="s">
        <v>614</v>
      </c>
      <c r="D603" t="s">
        <v>793</v>
      </c>
    </row>
    <row r="604" spans="2:4" x14ac:dyDescent="0.25">
      <c r="B604" t="s">
        <v>8983</v>
      </c>
      <c r="C604" t="s">
        <v>615</v>
      </c>
      <c r="D604" t="s">
        <v>793</v>
      </c>
    </row>
    <row r="605" spans="2:4" x14ac:dyDescent="0.25">
      <c r="B605" t="s">
        <v>8983</v>
      </c>
      <c r="C605" t="s">
        <v>822</v>
      </c>
      <c r="D605" t="s">
        <v>793</v>
      </c>
    </row>
    <row r="606" spans="2:4" x14ac:dyDescent="0.25">
      <c r="B606" t="s">
        <v>8983</v>
      </c>
      <c r="C606" t="s">
        <v>616</v>
      </c>
      <c r="D606" t="s">
        <v>793</v>
      </c>
    </row>
    <row r="607" spans="2:4" x14ac:dyDescent="0.25">
      <c r="B607" t="s">
        <v>8983</v>
      </c>
      <c r="C607" t="s">
        <v>617</v>
      </c>
      <c r="D607" t="s">
        <v>793</v>
      </c>
    </row>
    <row r="608" spans="2:4" x14ac:dyDescent="0.25">
      <c r="B608" t="s">
        <v>8983</v>
      </c>
      <c r="C608" t="s">
        <v>618</v>
      </c>
      <c r="D608" t="s">
        <v>793</v>
      </c>
    </row>
    <row r="609" spans="2:7" x14ac:dyDescent="0.25">
      <c r="B609" t="s">
        <v>8983</v>
      </c>
      <c r="C609" t="s">
        <v>619</v>
      </c>
      <c r="D609" t="s">
        <v>793</v>
      </c>
    </row>
    <row r="610" spans="2:7" x14ac:dyDescent="0.25">
      <c r="B610" t="s">
        <v>790</v>
      </c>
      <c r="C610" t="s">
        <v>620</v>
      </c>
      <c r="D610" t="s">
        <v>792</v>
      </c>
      <c r="E610" t="s">
        <v>8646</v>
      </c>
    </row>
    <row r="611" spans="2:7" x14ac:dyDescent="0.25">
      <c r="B611" t="s">
        <v>790</v>
      </c>
      <c r="C611" t="s">
        <v>621</v>
      </c>
      <c r="D611" t="s">
        <v>793</v>
      </c>
      <c r="E611" t="s">
        <v>8647</v>
      </c>
    </row>
    <row r="612" spans="2:7" x14ac:dyDescent="0.25">
      <c r="B612" t="s">
        <v>790</v>
      </c>
      <c r="C612" t="s">
        <v>622</v>
      </c>
      <c r="D612" t="s">
        <v>793</v>
      </c>
      <c r="E612" t="s">
        <v>8647</v>
      </c>
    </row>
    <row r="613" spans="2:7" x14ac:dyDescent="0.25">
      <c r="B613" t="s">
        <v>790</v>
      </c>
      <c r="C613" t="s">
        <v>623</v>
      </c>
      <c r="D613" t="s">
        <v>793</v>
      </c>
      <c r="E613" t="s">
        <v>8647</v>
      </c>
    </row>
    <row r="614" spans="2:7" x14ac:dyDescent="0.25">
      <c r="B614" t="s">
        <v>790</v>
      </c>
      <c r="C614" t="s">
        <v>624</v>
      </c>
      <c r="D614" t="s">
        <v>793</v>
      </c>
      <c r="E614" t="s">
        <v>8647</v>
      </c>
    </row>
    <row r="615" spans="2:7" x14ac:dyDescent="0.25">
      <c r="B615" t="s">
        <v>8987</v>
      </c>
      <c r="C615" t="s">
        <v>625</v>
      </c>
      <c r="D615" t="s">
        <v>793</v>
      </c>
      <c r="E615" t="s">
        <v>8649</v>
      </c>
      <c r="F615" t="s">
        <v>8650</v>
      </c>
      <c r="G615" t="s">
        <v>8648</v>
      </c>
    </row>
    <row r="616" spans="2:7" x14ac:dyDescent="0.25">
      <c r="B616" t="s">
        <v>8987</v>
      </c>
      <c r="C616" t="s">
        <v>626</v>
      </c>
      <c r="D616" t="s">
        <v>7839</v>
      </c>
      <c r="E616" t="s">
        <v>8651</v>
      </c>
      <c r="F616" t="s">
        <v>8653</v>
      </c>
      <c r="G616" t="s">
        <v>8652</v>
      </c>
    </row>
    <row r="617" spans="2:7" x14ac:dyDescent="0.25">
      <c r="B617" t="s">
        <v>8987</v>
      </c>
      <c r="C617" t="s">
        <v>627</v>
      </c>
      <c r="D617" t="s">
        <v>792</v>
      </c>
      <c r="E617" t="s">
        <v>8655</v>
      </c>
      <c r="F617" t="s">
        <v>8418</v>
      </c>
      <c r="G617" t="s">
        <v>8654</v>
      </c>
    </row>
    <row r="618" spans="2:7" x14ac:dyDescent="0.25">
      <c r="B618" t="s">
        <v>8987</v>
      </c>
      <c r="C618" t="s">
        <v>628</v>
      </c>
      <c r="D618" t="s">
        <v>792</v>
      </c>
      <c r="E618" t="s">
        <v>8655</v>
      </c>
      <c r="F618" t="s">
        <v>8418</v>
      </c>
      <c r="G618" t="s">
        <v>8654</v>
      </c>
    </row>
    <row r="619" spans="2:7" x14ac:dyDescent="0.25">
      <c r="B619" t="s">
        <v>8987</v>
      </c>
      <c r="C619" t="s">
        <v>629</v>
      </c>
      <c r="D619" t="s">
        <v>793</v>
      </c>
      <c r="E619" t="s">
        <v>8656</v>
      </c>
      <c r="F619" t="s">
        <v>8658</v>
      </c>
      <c r="G619" t="s">
        <v>8657</v>
      </c>
    </row>
    <row r="620" spans="2:7" x14ac:dyDescent="0.25">
      <c r="B620" t="s">
        <v>8987</v>
      </c>
      <c r="C620" t="s">
        <v>630</v>
      </c>
      <c r="D620" t="s">
        <v>792</v>
      </c>
      <c r="E620" t="s">
        <v>8659</v>
      </c>
      <c r="F620" t="s">
        <v>8660</v>
      </c>
      <c r="G620" t="s">
        <v>8654</v>
      </c>
    </row>
    <row r="621" spans="2:7" x14ac:dyDescent="0.25">
      <c r="B621" t="s">
        <v>8987</v>
      </c>
      <c r="C621" t="s">
        <v>631</v>
      </c>
      <c r="D621" t="s">
        <v>792</v>
      </c>
      <c r="E621" t="s">
        <v>8662</v>
      </c>
      <c r="F621" t="s">
        <v>8661</v>
      </c>
      <c r="G621" t="s">
        <v>8654</v>
      </c>
    </row>
    <row r="622" spans="2:7" x14ac:dyDescent="0.25">
      <c r="B622" t="s">
        <v>8987</v>
      </c>
      <c r="C622" t="s">
        <v>9017</v>
      </c>
      <c r="D622" t="s">
        <v>793</v>
      </c>
      <c r="E622" t="s">
        <v>8666</v>
      </c>
      <c r="F622" t="s">
        <v>8664</v>
      </c>
      <c r="G622" t="s">
        <v>8663</v>
      </c>
    </row>
    <row r="623" spans="2:7" x14ac:dyDescent="0.25">
      <c r="B623" t="s">
        <v>8987</v>
      </c>
      <c r="C623" t="s">
        <v>632</v>
      </c>
      <c r="D623" t="s">
        <v>793</v>
      </c>
      <c r="E623" t="s">
        <v>8667</v>
      </c>
      <c r="F623" t="s">
        <v>8633</v>
      </c>
      <c r="G623" t="s">
        <v>8663</v>
      </c>
    </row>
    <row r="624" spans="2:7" x14ac:dyDescent="0.25">
      <c r="B624" t="s">
        <v>8987</v>
      </c>
      <c r="C624" t="s">
        <v>9018</v>
      </c>
      <c r="D624" t="s">
        <v>793</v>
      </c>
      <c r="E624" t="s">
        <v>8668</v>
      </c>
      <c r="F624" t="s">
        <v>8665</v>
      </c>
      <c r="G624" t="s">
        <v>8663</v>
      </c>
    </row>
    <row r="625" spans="2:7" x14ac:dyDescent="0.25">
      <c r="B625" t="s">
        <v>8987</v>
      </c>
      <c r="C625" t="s">
        <v>633</v>
      </c>
      <c r="D625" t="s">
        <v>793</v>
      </c>
      <c r="E625" t="s">
        <v>8669</v>
      </c>
      <c r="F625" t="s">
        <v>8670</v>
      </c>
      <c r="G625" t="s">
        <v>8663</v>
      </c>
    </row>
    <row r="626" spans="2:7" x14ac:dyDescent="0.25">
      <c r="B626" t="s">
        <v>8987</v>
      </c>
      <c r="C626" t="s">
        <v>634</v>
      </c>
      <c r="D626" t="s">
        <v>793</v>
      </c>
      <c r="E626" t="s">
        <v>8671</v>
      </c>
      <c r="F626" t="s">
        <v>8673</v>
      </c>
      <c r="G626" t="s">
        <v>8672</v>
      </c>
    </row>
    <row r="627" spans="2:7" x14ac:dyDescent="0.25">
      <c r="B627" t="s">
        <v>8987</v>
      </c>
      <c r="C627" t="s">
        <v>635</v>
      </c>
      <c r="D627" t="s">
        <v>7839</v>
      </c>
      <c r="E627" t="s">
        <v>8674</v>
      </c>
      <c r="F627" t="s">
        <v>8675</v>
      </c>
      <c r="G627" s="12" t="s">
        <v>8772</v>
      </c>
    </row>
    <row r="628" spans="2:7" x14ac:dyDescent="0.25">
      <c r="B628" t="s">
        <v>8987</v>
      </c>
      <c r="C628" t="s">
        <v>9019</v>
      </c>
      <c r="D628" t="s">
        <v>7839</v>
      </c>
      <c r="E628" t="s">
        <v>8677</v>
      </c>
      <c r="F628" t="s">
        <v>8678</v>
      </c>
      <c r="G628" t="s">
        <v>8676</v>
      </c>
    </row>
    <row r="629" spans="2:7" x14ac:dyDescent="0.25">
      <c r="B629" t="s">
        <v>8987</v>
      </c>
      <c r="C629" t="s">
        <v>636</v>
      </c>
      <c r="D629" t="s">
        <v>793</v>
      </c>
      <c r="E629" t="s">
        <v>8679</v>
      </c>
      <c r="F629" t="s">
        <v>8681</v>
      </c>
      <c r="G629" t="s">
        <v>8680</v>
      </c>
    </row>
    <row r="630" spans="2:7" x14ac:dyDescent="0.25">
      <c r="B630" t="s">
        <v>8987</v>
      </c>
      <c r="C630" t="s">
        <v>637</v>
      </c>
      <c r="D630" t="s">
        <v>793</v>
      </c>
      <c r="E630" t="s">
        <v>8683</v>
      </c>
      <c r="F630" t="s">
        <v>8682</v>
      </c>
      <c r="G630" t="s">
        <v>8680</v>
      </c>
    </row>
    <row r="631" spans="2:7" x14ac:dyDescent="0.25">
      <c r="B631" t="s">
        <v>8987</v>
      </c>
      <c r="C631" t="s">
        <v>9020</v>
      </c>
      <c r="D631" t="s">
        <v>793</v>
      </c>
      <c r="E631" t="s">
        <v>8684</v>
      </c>
      <c r="F631" t="s">
        <v>8685</v>
      </c>
      <c r="G631" t="s">
        <v>8680</v>
      </c>
    </row>
    <row r="632" spans="2:7" x14ac:dyDescent="0.25">
      <c r="B632" t="s">
        <v>8987</v>
      </c>
      <c r="C632" t="s">
        <v>638</v>
      </c>
      <c r="D632" t="s">
        <v>793</v>
      </c>
      <c r="E632" t="s">
        <v>8686</v>
      </c>
      <c r="F632" t="s">
        <v>8687</v>
      </c>
      <c r="G632" t="s">
        <v>8680</v>
      </c>
    </row>
    <row r="633" spans="2:7" x14ac:dyDescent="0.25">
      <c r="B633" t="s">
        <v>8987</v>
      </c>
      <c r="C633" t="s">
        <v>639</v>
      </c>
      <c r="D633" t="s">
        <v>792</v>
      </c>
      <c r="E633" t="s">
        <v>8690</v>
      </c>
      <c r="F633" t="s">
        <v>8689</v>
      </c>
      <c r="G633" t="s">
        <v>8688</v>
      </c>
    </row>
    <row r="634" spans="2:7" x14ac:dyDescent="0.25">
      <c r="B634" t="s">
        <v>8987</v>
      </c>
      <c r="C634" t="s">
        <v>640</v>
      </c>
      <c r="D634" t="s">
        <v>792</v>
      </c>
      <c r="E634" t="s">
        <v>8691</v>
      </c>
      <c r="F634" t="s">
        <v>8692</v>
      </c>
      <c r="G634" t="s">
        <v>8688</v>
      </c>
    </row>
    <row r="635" spans="2:7" x14ac:dyDescent="0.25">
      <c r="B635" t="s">
        <v>8987</v>
      </c>
      <c r="C635" t="s">
        <v>9021</v>
      </c>
      <c r="D635" t="s">
        <v>792</v>
      </c>
      <c r="E635" t="s">
        <v>8693</v>
      </c>
      <c r="F635" t="s">
        <v>8694</v>
      </c>
      <c r="G635" t="s">
        <v>8688</v>
      </c>
    </row>
    <row r="636" spans="2:7" x14ac:dyDescent="0.25">
      <c r="B636" t="s">
        <v>8987</v>
      </c>
      <c r="C636" t="s">
        <v>641</v>
      </c>
      <c r="D636" t="s">
        <v>792</v>
      </c>
      <c r="E636" t="s">
        <v>8695</v>
      </c>
      <c r="F636" t="s">
        <v>8696</v>
      </c>
      <c r="G636" t="s">
        <v>8688</v>
      </c>
    </row>
    <row r="637" spans="2:7" x14ac:dyDescent="0.25">
      <c r="B637" t="s">
        <v>8987</v>
      </c>
      <c r="C637" t="s">
        <v>642</v>
      </c>
      <c r="D637" t="s">
        <v>792</v>
      </c>
      <c r="E637" t="s">
        <v>8697</v>
      </c>
      <c r="F637" t="s">
        <v>8698</v>
      </c>
      <c r="G637" t="s">
        <v>8654</v>
      </c>
    </row>
    <row r="638" spans="2:7" x14ac:dyDescent="0.25">
      <c r="B638" t="s">
        <v>8987</v>
      </c>
      <c r="C638" t="s">
        <v>643</v>
      </c>
      <c r="D638" t="s">
        <v>793</v>
      </c>
      <c r="E638" t="s">
        <v>8699</v>
      </c>
      <c r="F638" t="s">
        <v>8700</v>
      </c>
      <c r="G638" t="s">
        <v>8663</v>
      </c>
    </row>
    <row r="639" spans="2:7" x14ac:dyDescent="0.25">
      <c r="B639" t="s">
        <v>8987</v>
      </c>
      <c r="C639" t="s">
        <v>9022</v>
      </c>
      <c r="D639" t="s">
        <v>793</v>
      </c>
      <c r="E639" t="s">
        <v>8701</v>
      </c>
      <c r="F639" t="s">
        <v>8700</v>
      </c>
      <c r="G639" t="s">
        <v>8663</v>
      </c>
    </row>
    <row r="640" spans="2:7" x14ac:dyDescent="0.25">
      <c r="B640" t="s">
        <v>8987</v>
      </c>
      <c r="C640" t="s">
        <v>644</v>
      </c>
      <c r="D640" t="s">
        <v>793</v>
      </c>
      <c r="E640" t="s">
        <v>8702</v>
      </c>
      <c r="F640" t="s">
        <v>8703</v>
      </c>
      <c r="G640" t="s">
        <v>8688</v>
      </c>
    </row>
    <row r="641" spans="2:7" x14ac:dyDescent="0.25">
      <c r="B641" t="s">
        <v>8987</v>
      </c>
      <c r="C641" t="s">
        <v>9023</v>
      </c>
      <c r="D641" t="s">
        <v>793</v>
      </c>
      <c r="E641" t="s">
        <v>8704</v>
      </c>
      <c r="F641" t="s">
        <v>8700</v>
      </c>
      <c r="G641" t="s">
        <v>8688</v>
      </c>
    </row>
    <row r="642" spans="2:7" x14ac:dyDescent="0.25">
      <c r="B642" t="s">
        <v>8987</v>
      </c>
      <c r="C642" t="s">
        <v>645</v>
      </c>
      <c r="D642" t="s">
        <v>793</v>
      </c>
      <c r="E642" t="s">
        <v>8706</v>
      </c>
      <c r="F642" t="s">
        <v>8705</v>
      </c>
      <c r="G642" t="s">
        <v>8688</v>
      </c>
    </row>
    <row r="643" spans="2:7" x14ac:dyDescent="0.25">
      <c r="B643" t="s">
        <v>8987</v>
      </c>
      <c r="C643" t="s">
        <v>646</v>
      </c>
      <c r="D643" t="s">
        <v>793</v>
      </c>
      <c r="E643" t="s">
        <v>8708</v>
      </c>
      <c r="F643" t="s">
        <v>8709</v>
      </c>
      <c r="G643" t="s">
        <v>8707</v>
      </c>
    </row>
    <row r="644" spans="2:7" x14ac:dyDescent="0.25">
      <c r="B644" t="s">
        <v>8987</v>
      </c>
      <c r="C644" t="s">
        <v>9024</v>
      </c>
      <c r="D644" t="s">
        <v>793</v>
      </c>
      <c r="E644" t="s">
        <v>8711</v>
      </c>
      <c r="F644" t="s">
        <v>8712</v>
      </c>
      <c r="G644" t="s">
        <v>8710</v>
      </c>
    </row>
    <row r="645" spans="2:7" x14ac:dyDescent="0.25">
      <c r="B645" t="s">
        <v>8987</v>
      </c>
      <c r="C645" t="s">
        <v>647</v>
      </c>
      <c r="D645" t="s">
        <v>793</v>
      </c>
      <c r="E645" t="s">
        <v>8713</v>
      </c>
      <c r="F645" t="s">
        <v>8700</v>
      </c>
      <c r="G645" t="s">
        <v>8710</v>
      </c>
    </row>
    <row r="646" spans="2:7" x14ac:dyDescent="0.25">
      <c r="B646" t="s">
        <v>8987</v>
      </c>
      <c r="C646" t="s">
        <v>648</v>
      </c>
      <c r="D646" t="s">
        <v>793</v>
      </c>
      <c r="E646" t="s">
        <v>8715</v>
      </c>
      <c r="F646" t="s">
        <v>8714</v>
      </c>
      <c r="G646" t="s">
        <v>8710</v>
      </c>
    </row>
    <row r="647" spans="2:7" x14ac:dyDescent="0.25">
      <c r="B647" t="s">
        <v>8987</v>
      </c>
      <c r="C647" t="s">
        <v>649</v>
      </c>
      <c r="D647" t="s">
        <v>793</v>
      </c>
      <c r="E647" t="s">
        <v>8716</v>
      </c>
      <c r="F647" t="s">
        <v>8718</v>
      </c>
      <c r="G647" t="s">
        <v>8717</v>
      </c>
    </row>
    <row r="648" spans="2:7" x14ac:dyDescent="0.25">
      <c r="B648" t="s">
        <v>8987</v>
      </c>
      <c r="C648" t="s">
        <v>650</v>
      </c>
      <c r="D648" t="s">
        <v>793</v>
      </c>
      <c r="E648" t="s">
        <v>8702</v>
      </c>
      <c r="F648" t="s">
        <v>8720</v>
      </c>
      <c r="G648" t="s">
        <v>8719</v>
      </c>
    </row>
    <row r="649" spans="2:7" x14ac:dyDescent="0.25">
      <c r="B649" t="s">
        <v>8987</v>
      </c>
      <c r="C649" t="s">
        <v>651</v>
      </c>
      <c r="D649" t="s">
        <v>7839</v>
      </c>
      <c r="E649" t="s">
        <v>8722</v>
      </c>
      <c r="F649" t="s">
        <v>8723</v>
      </c>
      <c r="G649" t="s">
        <v>8721</v>
      </c>
    </row>
    <row r="650" spans="2:7" x14ac:dyDescent="0.25">
      <c r="B650" t="s">
        <v>8988</v>
      </c>
      <c r="C650" t="s">
        <v>8979</v>
      </c>
      <c r="D650" t="s">
        <v>793</v>
      </c>
    </row>
    <row r="651" spans="2:7" x14ac:dyDescent="0.25">
      <c r="B651" t="s">
        <v>8988</v>
      </c>
      <c r="C651" t="s">
        <v>652</v>
      </c>
      <c r="D651" t="s">
        <v>793</v>
      </c>
      <c r="E651" t="s">
        <v>8726</v>
      </c>
      <c r="F651" t="s">
        <v>8725</v>
      </c>
      <c r="G651" t="s">
        <v>8724</v>
      </c>
    </row>
    <row r="652" spans="2:7" x14ac:dyDescent="0.25">
      <c r="B652" t="s">
        <v>8988</v>
      </c>
      <c r="C652" t="s">
        <v>653</v>
      </c>
      <c r="D652" t="s">
        <v>793</v>
      </c>
      <c r="E652" t="s">
        <v>8727</v>
      </c>
      <c r="F652" t="s">
        <v>8730</v>
      </c>
      <c r="G652" t="s">
        <v>8728</v>
      </c>
    </row>
    <row r="653" spans="2:7" x14ac:dyDescent="0.25">
      <c r="B653" t="s">
        <v>8988</v>
      </c>
      <c r="C653" t="s">
        <v>654</v>
      </c>
      <c r="D653" t="s">
        <v>793</v>
      </c>
      <c r="E653" t="s">
        <v>8729</v>
      </c>
      <c r="F653" t="s">
        <v>8700</v>
      </c>
      <c r="G653" t="s">
        <v>8728</v>
      </c>
    </row>
    <row r="654" spans="2:7" x14ac:dyDescent="0.25">
      <c r="B654" t="s">
        <v>8988</v>
      </c>
      <c r="C654" t="s">
        <v>8978</v>
      </c>
      <c r="D654" t="s">
        <v>793</v>
      </c>
    </row>
    <row r="655" spans="2:7" x14ac:dyDescent="0.25">
      <c r="B655" t="s">
        <v>8988</v>
      </c>
      <c r="C655" t="s">
        <v>655</v>
      </c>
      <c r="D655" t="s">
        <v>793</v>
      </c>
      <c r="E655" t="s">
        <v>8731</v>
      </c>
      <c r="F655" t="s">
        <v>8732</v>
      </c>
      <c r="G655" t="s">
        <v>8724</v>
      </c>
    </row>
    <row r="656" spans="2:7" x14ac:dyDescent="0.25">
      <c r="B656" t="s">
        <v>8992</v>
      </c>
      <c r="C656" t="s">
        <v>656</v>
      </c>
      <c r="D656" t="s">
        <v>792</v>
      </c>
      <c r="E656" t="s">
        <v>8735</v>
      </c>
      <c r="F656" t="s">
        <v>8734</v>
      </c>
      <c r="G656" t="s">
        <v>8733</v>
      </c>
    </row>
    <row r="657" spans="2:7" x14ac:dyDescent="0.25">
      <c r="B657" t="s">
        <v>8992</v>
      </c>
      <c r="C657" t="s">
        <v>657</v>
      </c>
      <c r="D657" t="s">
        <v>793</v>
      </c>
      <c r="E657" t="s">
        <v>8737</v>
      </c>
      <c r="F657" t="s">
        <v>8738</v>
      </c>
      <c r="G657" t="s">
        <v>8736</v>
      </c>
    </row>
    <row r="658" spans="2:7" x14ac:dyDescent="0.25">
      <c r="B658" t="s">
        <v>8992</v>
      </c>
      <c r="C658" t="s">
        <v>8980</v>
      </c>
      <c r="D658" t="s">
        <v>793</v>
      </c>
      <c r="E658" t="s">
        <v>8739</v>
      </c>
      <c r="F658" t="s">
        <v>8700</v>
      </c>
      <c r="G658" t="s">
        <v>8740</v>
      </c>
    </row>
    <row r="659" spans="2:7" x14ac:dyDescent="0.25">
      <c r="B659" t="s">
        <v>8992</v>
      </c>
      <c r="C659" t="s">
        <v>658</v>
      </c>
      <c r="D659" t="s">
        <v>793</v>
      </c>
      <c r="E659" t="s">
        <v>8743</v>
      </c>
      <c r="F659" t="s">
        <v>8742</v>
      </c>
      <c r="G659" t="s">
        <v>8741</v>
      </c>
    </row>
    <row r="660" spans="2:7" x14ac:dyDescent="0.25">
      <c r="B660" t="s">
        <v>8992</v>
      </c>
      <c r="C660" t="s">
        <v>659</v>
      </c>
      <c r="D660" t="s">
        <v>793</v>
      </c>
      <c r="E660" t="s">
        <v>8747</v>
      </c>
      <c r="F660" t="s">
        <v>8700</v>
      </c>
      <c r="G660" t="s">
        <v>8744</v>
      </c>
    </row>
    <row r="661" spans="2:7" x14ac:dyDescent="0.25">
      <c r="B661" t="s">
        <v>8992</v>
      </c>
      <c r="C661" t="s">
        <v>8990</v>
      </c>
      <c r="D661" t="s">
        <v>793</v>
      </c>
      <c r="E661" t="s">
        <v>8746</v>
      </c>
      <c r="F661" t="s">
        <v>8745</v>
      </c>
      <c r="G661" t="s">
        <v>8740</v>
      </c>
    </row>
    <row r="662" spans="2:7" x14ac:dyDescent="0.25">
      <c r="B662" t="s">
        <v>8992</v>
      </c>
      <c r="C662" t="s">
        <v>660</v>
      </c>
      <c r="D662" t="s">
        <v>792</v>
      </c>
      <c r="E662" t="s">
        <v>8748</v>
      </c>
      <c r="F662" t="s">
        <v>8749</v>
      </c>
      <c r="G662" t="s">
        <v>8733</v>
      </c>
    </row>
    <row r="663" spans="2:7" x14ac:dyDescent="0.25">
      <c r="B663" t="s">
        <v>8992</v>
      </c>
      <c r="C663" t="s">
        <v>661</v>
      </c>
      <c r="D663" t="s">
        <v>793</v>
      </c>
      <c r="E663" t="s">
        <v>8750</v>
      </c>
      <c r="F663" t="s">
        <v>8752</v>
      </c>
      <c r="G663" t="s">
        <v>8751</v>
      </c>
    </row>
    <row r="664" spans="2:7" x14ac:dyDescent="0.25">
      <c r="B664" t="s">
        <v>8992</v>
      </c>
      <c r="C664" t="s">
        <v>662</v>
      </c>
      <c r="D664" t="s">
        <v>793</v>
      </c>
      <c r="E664" t="s">
        <v>8753</v>
      </c>
      <c r="F664" t="s">
        <v>8754</v>
      </c>
      <c r="G664" t="s">
        <v>8751</v>
      </c>
    </row>
    <row r="665" spans="2:7" x14ac:dyDescent="0.25">
      <c r="B665" t="s">
        <v>8992</v>
      </c>
      <c r="C665" t="s">
        <v>8991</v>
      </c>
      <c r="D665" t="s">
        <v>793</v>
      </c>
      <c r="E665" t="s">
        <v>8757</v>
      </c>
      <c r="F665" t="s">
        <v>8755</v>
      </c>
      <c r="G665" t="s">
        <v>8756</v>
      </c>
    </row>
    <row r="666" spans="2:7" x14ac:dyDescent="0.25">
      <c r="B666" t="s">
        <v>8992</v>
      </c>
      <c r="C666" t="s">
        <v>663</v>
      </c>
      <c r="D666" t="s">
        <v>793</v>
      </c>
      <c r="E666" t="s">
        <v>8758</v>
      </c>
      <c r="F666" t="s">
        <v>8760</v>
      </c>
      <c r="G666" t="s">
        <v>8759</v>
      </c>
    </row>
    <row r="667" spans="2:7" x14ac:dyDescent="0.25">
      <c r="B667" t="s">
        <v>8992</v>
      </c>
      <c r="C667" t="s">
        <v>664</v>
      </c>
      <c r="D667" t="s">
        <v>793</v>
      </c>
      <c r="E667" t="s">
        <v>8758</v>
      </c>
      <c r="F667" t="s">
        <v>8761</v>
      </c>
      <c r="G667" t="s">
        <v>8759</v>
      </c>
    </row>
    <row r="668" spans="2:7" x14ac:dyDescent="0.25">
      <c r="B668" t="s">
        <v>8992</v>
      </c>
      <c r="C668" t="s">
        <v>665</v>
      </c>
      <c r="D668" t="s">
        <v>793</v>
      </c>
      <c r="E668" t="s">
        <v>8758</v>
      </c>
      <c r="F668" t="s">
        <v>8762</v>
      </c>
      <c r="G668" t="s">
        <v>8759</v>
      </c>
    </row>
    <row r="669" spans="2:7" x14ac:dyDescent="0.25">
      <c r="B669" t="s">
        <v>8992</v>
      </c>
      <c r="C669" t="s">
        <v>666</v>
      </c>
      <c r="D669" t="s">
        <v>793</v>
      </c>
      <c r="E669" t="s">
        <v>8758</v>
      </c>
      <c r="F669" t="s">
        <v>8762</v>
      </c>
      <c r="G669" t="s">
        <v>8759</v>
      </c>
    </row>
    <row r="670" spans="2:7" x14ac:dyDescent="0.25">
      <c r="B670" t="s">
        <v>8992</v>
      </c>
      <c r="C670" t="s">
        <v>8981</v>
      </c>
      <c r="D670" t="s">
        <v>793</v>
      </c>
      <c r="E670" t="s">
        <v>8763</v>
      </c>
      <c r="F670" t="s">
        <v>8764</v>
      </c>
      <c r="G670" t="s">
        <v>8740</v>
      </c>
    </row>
    <row r="671" spans="2:7" x14ac:dyDescent="0.25">
      <c r="B671" t="s">
        <v>791</v>
      </c>
      <c r="C671" t="s">
        <v>667</v>
      </c>
      <c r="D671" t="s">
        <v>792</v>
      </c>
    </row>
    <row r="672" spans="2:7" x14ac:dyDescent="0.25">
      <c r="B672" t="s">
        <v>791</v>
      </c>
      <c r="C672" t="s">
        <v>668</v>
      </c>
      <c r="D672" t="s">
        <v>792</v>
      </c>
    </row>
    <row r="673" spans="2:4" x14ac:dyDescent="0.25">
      <c r="B673" t="s">
        <v>791</v>
      </c>
      <c r="C673" t="s">
        <v>669</v>
      </c>
      <c r="D673" t="s">
        <v>792</v>
      </c>
    </row>
    <row r="674" spans="2:4" x14ac:dyDescent="0.25">
      <c r="B674" t="s">
        <v>791</v>
      </c>
      <c r="C674" t="s">
        <v>670</v>
      </c>
      <c r="D674" t="s">
        <v>792</v>
      </c>
    </row>
    <row r="675" spans="2:4" x14ac:dyDescent="0.25">
      <c r="B675" t="s">
        <v>791</v>
      </c>
      <c r="C675" t="s">
        <v>671</v>
      </c>
      <c r="D675" t="s">
        <v>792</v>
      </c>
    </row>
    <row r="676" spans="2:4" x14ac:dyDescent="0.25">
      <c r="B676" t="s">
        <v>791</v>
      </c>
      <c r="C676" t="s">
        <v>672</v>
      </c>
      <c r="D676" t="s">
        <v>792</v>
      </c>
    </row>
    <row r="677" spans="2:4" x14ac:dyDescent="0.25">
      <c r="B677" t="s">
        <v>791</v>
      </c>
      <c r="C677" t="s">
        <v>673</v>
      </c>
      <c r="D677" t="s">
        <v>792</v>
      </c>
    </row>
    <row r="678" spans="2:4" x14ac:dyDescent="0.25">
      <c r="B678" t="s">
        <v>791</v>
      </c>
      <c r="C678" t="s">
        <v>674</v>
      </c>
      <c r="D678" t="s">
        <v>792</v>
      </c>
    </row>
    <row r="679" spans="2:4" x14ac:dyDescent="0.25">
      <c r="B679" t="s">
        <v>791</v>
      </c>
      <c r="C679" t="s">
        <v>675</v>
      </c>
      <c r="D679" t="s">
        <v>792</v>
      </c>
    </row>
    <row r="680" spans="2:4" x14ac:dyDescent="0.25">
      <c r="B680" t="s">
        <v>791</v>
      </c>
      <c r="C680" t="s">
        <v>676</v>
      </c>
      <c r="D680" t="s">
        <v>792</v>
      </c>
    </row>
    <row r="681" spans="2:4" x14ac:dyDescent="0.25">
      <c r="B681" t="s">
        <v>791</v>
      </c>
      <c r="C681" t="s">
        <v>677</v>
      </c>
      <c r="D681" t="s">
        <v>792</v>
      </c>
    </row>
    <row r="682" spans="2:4" x14ac:dyDescent="0.25">
      <c r="B682" t="s">
        <v>791</v>
      </c>
      <c r="C682" t="s">
        <v>678</v>
      </c>
      <c r="D682" t="s">
        <v>792</v>
      </c>
    </row>
    <row r="683" spans="2:4" x14ac:dyDescent="0.25">
      <c r="B683" t="s">
        <v>791</v>
      </c>
      <c r="C683" t="s">
        <v>679</v>
      </c>
      <c r="D683" t="s">
        <v>792</v>
      </c>
    </row>
    <row r="684" spans="2:4" x14ac:dyDescent="0.25">
      <c r="B684" t="s">
        <v>791</v>
      </c>
      <c r="C684" t="s">
        <v>680</v>
      </c>
      <c r="D684" t="s">
        <v>792</v>
      </c>
    </row>
    <row r="685" spans="2:4" x14ac:dyDescent="0.25">
      <c r="B685" t="s">
        <v>791</v>
      </c>
      <c r="C685" t="s">
        <v>681</v>
      </c>
      <c r="D685" t="s">
        <v>792</v>
      </c>
    </row>
    <row r="686" spans="2:4" x14ac:dyDescent="0.25">
      <c r="B686" t="s">
        <v>791</v>
      </c>
      <c r="C686" t="s">
        <v>682</v>
      </c>
      <c r="D686" t="s">
        <v>792</v>
      </c>
    </row>
    <row r="687" spans="2:4" x14ac:dyDescent="0.25">
      <c r="B687" t="s">
        <v>791</v>
      </c>
      <c r="C687" t="s">
        <v>683</v>
      </c>
      <c r="D687" t="s">
        <v>792</v>
      </c>
    </row>
    <row r="688" spans="2:4" x14ac:dyDescent="0.25">
      <c r="B688" t="s">
        <v>791</v>
      </c>
      <c r="C688" t="s">
        <v>684</v>
      </c>
      <c r="D688" t="s">
        <v>792</v>
      </c>
    </row>
    <row r="689" spans="2:4" x14ac:dyDescent="0.25">
      <c r="B689" t="s">
        <v>791</v>
      </c>
      <c r="C689" t="s">
        <v>9026</v>
      </c>
      <c r="D689" t="s">
        <v>792</v>
      </c>
    </row>
    <row r="690" spans="2:4" x14ac:dyDescent="0.25">
      <c r="B690" t="s">
        <v>791</v>
      </c>
      <c r="C690" t="s">
        <v>685</v>
      </c>
      <c r="D690" t="s">
        <v>792</v>
      </c>
    </row>
    <row r="691" spans="2:4" x14ac:dyDescent="0.25">
      <c r="B691" t="s">
        <v>791</v>
      </c>
      <c r="C691" t="s">
        <v>686</v>
      </c>
      <c r="D691" t="s">
        <v>792</v>
      </c>
    </row>
    <row r="692" spans="2:4" x14ac:dyDescent="0.25">
      <c r="B692" t="s">
        <v>791</v>
      </c>
      <c r="C692" t="s">
        <v>687</v>
      </c>
      <c r="D692" t="s">
        <v>792</v>
      </c>
    </row>
    <row r="693" spans="2:4" x14ac:dyDescent="0.25">
      <c r="B693" t="s">
        <v>791</v>
      </c>
      <c r="C693" t="s">
        <v>688</v>
      </c>
      <c r="D693" t="s">
        <v>792</v>
      </c>
    </row>
    <row r="694" spans="2:4" x14ac:dyDescent="0.25">
      <c r="B694" t="s">
        <v>791</v>
      </c>
      <c r="C694" t="s">
        <v>689</v>
      </c>
      <c r="D694" t="s">
        <v>792</v>
      </c>
    </row>
    <row r="695" spans="2:4" x14ac:dyDescent="0.25">
      <c r="B695" t="s">
        <v>791</v>
      </c>
      <c r="C695" t="s">
        <v>690</v>
      </c>
      <c r="D695" t="s">
        <v>792</v>
      </c>
    </row>
    <row r="696" spans="2:4" x14ac:dyDescent="0.25">
      <c r="B696" t="s">
        <v>791</v>
      </c>
      <c r="C696" t="s">
        <v>691</v>
      </c>
      <c r="D696" t="s">
        <v>792</v>
      </c>
    </row>
    <row r="697" spans="2:4" x14ac:dyDescent="0.25">
      <c r="B697" t="s">
        <v>791</v>
      </c>
      <c r="C697" t="s">
        <v>692</v>
      </c>
      <c r="D697" t="s">
        <v>792</v>
      </c>
    </row>
    <row r="698" spans="2:4" x14ac:dyDescent="0.25">
      <c r="B698" t="s">
        <v>791</v>
      </c>
      <c r="C698" t="s">
        <v>693</v>
      </c>
      <c r="D698" t="s">
        <v>792</v>
      </c>
    </row>
    <row r="699" spans="2:4" x14ac:dyDescent="0.25">
      <c r="B699" t="s">
        <v>791</v>
      </c>
      <c r="C699" t="s">
        <v>694</v>
      </c>
      <c r="D699" t="s">
        <v>792</v>
      </c>
    </row>
    <row r="700" spans="2:4" x14ac:dyDescent="0.25">
      <c r="B700" t="s">
        <v>791</v>
      </c>
      <c r="C700" t="s">
        <v>695</v>
      </c>
      <c r="D700" t="s">
        <v>792</v>
      </c>
    </row>
    <row r="701" spans="2:4" x14ac:dyDescent="0.25">
      <c r="B701" t="s">
        <v>791</v>
      </c>
      <c r="C701" t="s">
        <v>696</v>
      </c>
      <c r="D701" t="s">
        <v>792</v>
      </c>
    </row>
    <row r="702" spans="2:4" x14ac:dyDescent="0.25">
      <c r="B702" t="s">
        <v>791</v>
      </c>
      <c r="C702" t="s">
        <v>8982</v>
      </c>
      <c r="D702" t="s">
        <v>792</v>
      </c>
    </row>
    <row r="703" spans="2:4" x14ac:dyDescent="0.25">
      <c r="B703" t="s">
        <v>791</v>
      </c>
      <c r="C703" t="s">
        <v>697</v>
      </c>
      <c r="D703" t="s">
        <v>792</v>
      </c>
    </row>
    <row r="704" spans="2:4" x14ac:dyDescent="0.25">
      <c r="B704" t="s">
        <v>791</v>
      </c>
      <c r="C704" t="s">
        <v>698</v>
      </c>
      <c r="D704" t="s">
        <v>792</v>
      </c>
    </row>
    <row r="705" spans="2:4" x14ac:dyDescent="0.25">
      <c r="B705" t="s">
        <v>791</v>
      </c>
      <c r="C705" t="s">
        <v>699</v>
      </c>
      <c r="D705" t="s">
        <v>792</v>
      </c>
    </row>
    <row r="706" spans="2:4" x14ac:dyDescent="0.25">
      <c r="B706" t="s">
        <v>791</v>
      </c>
      <c r="C706" t="s">
        <v>700</v>
      </c>
      <c r="D706" t="s">
        <v>792</v>
      </c>
    </row>
    <row r="707" spans="2:4" x14ac:dyDescent="0.25">
      <c r="B707" t="s">
        <v>791</v>
      </c>
      <c r="C707" t="s">
        <v>701</v>
      </c>
      <c r="D707" t="s">
        <v>792</v>
      </c>
    </row>
    <row r="708" spans="2:4" x14ac:dyDescent="0.25">
      <c r="B708" t="s">
        <v>791</v>
      </c>
      <c r="C708" t="s">
        <v>702</v>
      </c>
      <c r="D708" t="s">
        <v>792</v>
      </c>
    </row>
    <row r="709" spans="2:4" x14ac:dyDescent="0.25">
      <c r="B709" t="s">
        <v>791</v>
      </c>
      <c r="C709" t="s">
        <v>703</v>
      </c>
      <c r="D709" t="s">
        <v>792</v>
      </c>
    </row>
    <row r="710" spans="2:4" x14ac:dyDescent="0.25">
      <c r="B710" t="s">
        <v>791</v>
      </c>
      <c r="C710" t="s">
        <v>704</v>
      </c>
      <c r="D710" t="s">
        <v>792</v>
      </c>
    </row>
    <row r="711" spans="2:4" x14ac:dyDescent="0.25">
      <c r="B711" t="s">
        <v>791</v>
      </c>
      <c r="C711" t="s">
        <v>705</v>
      </c>
      <c r="D711" t="s">
        <v>792</v>
      </c>
    </row>
    <row r="712" spans="2:4" x14ac:dyDescent="0.25">
      <c r="B712" t="s">
        <v>791</v>
      </c>
      <c r="C712" t="s">
        <v>706</v>
      </c>
      <c r="D712" t="s">
        <v>792</v>
      </c>
    </row>
    <row r="713" spans="2:4" x14ac:dyDescent="0.25">
      <c r="B713" t="s">
        <v>791</v>
      </c>
      <c r="C713" t="s">
        <v>707</v>
      </c>
      <c r="D713" t="s">
        <v>792</v>
      </c>
    </row>
    <row r="714" spans="2:4" x14ac:dyDescent="0.25">
      <c r="B714" t="s">
        <v>791</v>
      </c>
      <c r="C714" t="s">
        <v>708</v>
      </c>
      <c r="D714" t="s">
        <v>792</v>
      </c>
    </row>
    <row r="715" spans="2:4" x14ac:dyDescent="0.25">
      <c r="B715" t="s">
        <v>791</v>
      </c>
      <c r="C715" t="s">
        <v>709</v>
      </c>
      <c r="D715" t="s">
        <v>792</v>
      </c>
    </row>
    <row r="716" spans="2:4" x14ac:dyDescent="0.25">
      <c r="B716" t="s">
        <v>791</v>
      </c>
      <c r="C716" t="s">
        <v>710</v>
      </c>
      <c r="D716" t="s">
        <v>792</v>
      </c>
    </row>
    <row r="717" spans="2:4" x14ac:dyDescent="0.25">
      <c r="B717" t="s">
        <v>791</v>
      </c>
      <c r="C717" t="s">
        <v>711</v>
      </c>
      <c r="D717" t="s">
        <v>792</v>
      </c>
    </row>
    <row r="718" spans="2:4" x14ac:dyDescent="0.25">
      <c r="B718" t="s">
        <v>791</v>
      </c>
      <c r="C718" t="s">
        <v>712</v>
      </c>
      <c r="D718" t="s">
        <v>792</v>
      </c>
    </row>
    <row r="719" spans="2:4" x14ac:dyDescent="0.25">
      <c r="B719" t="s">
        <v>791</v>
      </c>
      <c r="C719" t="s">
        <v>9027</v>
      </c>
      <c r="D719" t="s">
        <v>792</v>
      </c>
    </row>
    <row r="720" spans="2:4" x14ac:dyDescent="0.25">
      <c r="B720" t="s">
        <v>791</v>
      </c>
      <c r="C720" t="s">
        <v>9028</v>
      </c>
      <c r="D720" t="s">
        <v>792</v>
      </c>
    </row>
    <row r="721" spans="2:7" x14ac:dyDescent="0.25">
      <c r="B721" t="s">
        <v>791</v>
      </c>
      <c r="C721" t="s">
        <v>713</v>
      </c>
      <c r="D721" t="s">
        <v>792</v>
      </c>
    </row>
    <row r="722" spans="2:7" x14ac:dyDescent="0.25">
      <c r="B722" t="s">
        <v>791</v>
      </c>
      <c r="C722" t="s">
        <v>714</v>
      </c>
      <c r="D722" t="s">
        <v>792</v>
      </c>
    </row>
    <row r="723" spans="2:7" x14ac:dyDescent="0.25">
      <c r="B723" t="s">
        <v>791</v>
      </c>
      <c r="C723" t="s">
        <v>715</v>
      </c>
      <c r="D723" t="s">
        <v>792</v>
      </c>
      <c r="E723" t="s">
        <v>8773</v>
      </c>
    </row>
    <row r="724" spans="2:7" x14ac:dyDescent="0.25">
      <c r="B724" t="s">
        <v>791</v>
      </c>
      <c r="C724" t="s">
        <v>716</v>
      </c>
      <c r="D724" t="s">
        <v>792</v>
      </c>
      <c r="E724" t="s">
        <v>8773</v>
      </c>
    </row>
    <row r="725" spans="2:7" x14ac:dyDescent="0.25">
      <c r="B725" t="s">
        <v>791</v>
      </c>
      <c r="C725" t="s">
        <v>717</v>
      </c>
      <c r="D725" t="s">
        <v>792</v>
      </c>
    </row>
    <row r="726" spans="2:7" x14ac:dyDescent="0.25">
      <c r="B726" t="s">
        <v>791</v>
      </c>
      <c r="C726" t="s">
        <v>718</v>
      </c>
      <c r="D726" t="s">
        <v>792</v>
      </c>
    </row>
    <row r="727" spans="2:7" x14ac:dyDescent="0.25">
      <c r="B727" t="s">
        <v>791</v>
      </c>
      <c r="C727" t="s">
        <v>719</v>
      </c>
      <c r="D727" t="s">
        <v>792</v>
      </c>
    </row>
    <row r="728" spans="2:7" x14ac:dyDescent="0.25">
      <c r="B728" t="s">
        <v>791</v>
      </c>
      <c r="C728" t="s">
        <v>720</v>
      </c>
      <c r="D728" t="s">
        <v>792</v>
      </c>
    </row>
    <row r="729" spans="2:7" x14ac:dyDescent="0.25">
      <c r="B729" t="s">
        <v>791</v>
      </c>
      <c r="C729" t="s">
        <v>721</v>
      </c>
      <c r="D729" t="s">
        <v>792</v>
      </c>
    </row>
    <row r="730" spans="2:7" x14ac:dyDescent="0.25">
      <c r="B730" t="s">
        <v>791</v>
      </c>
      <c r="C730" t="s">
        <v>722</v>
      </c>
      <c r="D730" t="s">
        <v>792</v>
      </c>
    </row>
    <row r="731" spans="2:7" x14ac:dyDescent="0.25">
      <c r="B731" t="s">
        <v>791</v>
      </c>
      <c r="C731" t="s">
        <v>723</v>
      </c>
      <c r="D731" t="s">
        <v>792</v>
      </c>
    </row>
    <row r="732" spans="2:7" x14ac:dyDescent="0.25">
      <c r="B732" t="s">
        <v>791</v>
      </c>
      <c r="C732" t="s">
        <v>724</v>
      </c>
      <c r="D732" t="s">
        <v>792</v>
      </c>
    </row>
    <row r="733" spans="2:7" x14ac:dyDescent="0.25">
      <c r="B733" t="s">
        <v>791</v>
      </c>
      <c r="C733" t="s">
        <v>725</v>
      </c>
      <c r="D733" t="s">
        <v>792</v>
      </c>
      <c r="E733" t="s">
        <v>8775</v>
      </c>
      <c r="G733" s="12"/>
    </row>
    <row r="734" spans="2:7" x14ac:dyDescent="0.25">
      <c r="B734" t="s">
        <v>791</v>
      </c>
      <c r="C734" t="s">
        <v>726</v>
      </c>
      <c r="D734" t="s">
        <v>792</v>
      </c>
    </row>
    <row r="735" spans="2:7" x14ac:dyDescent="0.25">
      <c r="B735" t="s">
        <v>791</v>
      </c>
      <c r="C735" t="s">
        <v>9029</v>
      </c>
      <c r="D735" t="s">
        <v>792</v>
      </c>
    </row>
    <row r="736" spans="2:7" x14ac:dyDescent="0.25">
      <c r="B736" t="s">
        <v>791</v>
      </c>
      <c r="C736" t="s">
        <v>727</v>
      </c>
      <c r="D736" t="s">
        <v>792</v>
      </c>
      <c r="E736" t="s">
        <v>8776</v>
      </c>
    </row>
    <row r="737" spans="2:7" x14ac:dyDescent="0.25">
      <c r="B737" t="s">
        <v>791</v>
      </c>
      <c r="C737" t="s">
        <v>728</v>
      </c>
      <c r="D737" t="s">
        <v>792</v>
      </c>
      <c r="E737" t="s">
        <v>8776</v>
      </c>
    </row>
    <row r="738" spans="2:7" x14ac:dyDescent="0.25">
      <c r="B738" t="s">
        <v>791</v>
      </c>
      <c r="C738" t="s">
        <v>729</v>
      </c>
      <c r="D738" t="s">
        <v>792</v>
      </c>
      <c r="E738" t="s">
        <v>8776</v>
      </c>
    </row>
    <row r="739" spans="2:7" x14ac:dyDescent="0.25">
      <c r="B739" t="s">
        <v>791</v>
      </c>
      <c r="C739" t="s">
        <v>9030</v>
      </c>
      <c r="D739" t="s">
        <v>792</v>
      </c>
    </row>
    <row r="740" spans="2:7" x14ac:dyDescent="0.25">
      <c r="B740" t="s">
        <v>791</v>
      </c>
      <c r="C740" t="s">
        <v>730</v>
      </c>
      <c r="D740" t="s">
        <v>792</v>
      </c>
    </row>
    <row r="741" spans="2:7" x14ac:dyDescent="0.25">
      <c r="B741" t="s">
        <v>791</v>
      </c>
      <c r="C741" t="s">
        <v>731</v>
      </c>
      <c r="D741" t="s">
        <v>792</v>
      </c>
    </row>
    <row r="742" spans="2:7" x14ac:dyDescent="0.25">
      <c r="B742" t="s">
        <v>8989</v>
      </c>
      <c r="C742" t="s">
        <v>732</v>
      </c>
      <c r="D742" t="s">
        <v>793</v>
      </c>
      <c r="E742" t="s">
        <v>8777</v>
      </c>
    </row>
    <row r="743" spans="2:7" x14ac:dyDescent="0.25">
      <c r="B743" t="s">
        <v>8989</v>
      </c>
      <c r="C743" t="s">
        <v>733</v>
      </c>
      <c r="D743" t="s">
        <v>793</v>
      </c>
      <c r="E743" t="s">
        <v>8777</v>
      </c>
    </row>
    <row r="744" spans="2:7" x14ac:dyDescent="0.25">
      <c r="B744" t="s">
        <v>8989</v>
      </c>
      <c r="C744" t="s">
        <v>734</v>
      </c>
      <c r="D744" t="s">
        <v>793</v>
      </c>
      <c r="E744" t="s">
        <v>8777</v>
      </c>
    </row>
    <row r="745" spans="2:7" x14ac:dyDescent="0.25">
      <c r="B745" t="s">
        <v>8989</v>
      </c>
      <c r="C745" t="s">
        <v>735</v>
      </c>
      <c r="D745" t="s">
        <v>793</v>
      </c>
      <c r="E745" t="s">
        <v>8778</v>
      </c>
    </row>
    <row r="746" spans="2:7" x14ac:dyDescent="0.25">
      <c r="B746" t="s">
        <v>8989</v>
      </c>
      <c r="C746" t="s">
        <v>9025</v>
      </c>
      <c r="D746" t="s">
        <v>793</v>
      </c>
      <c r="E746" t="s">
        <v>8779</v>
      </c>
    </row>
    <row r="747" spans="2:7" x14ac:dyDescent="0.25">
      <c r="B747" t="s">
        <v>8989</v>
      </c>
      <c r="C747" t="s">
        <v>736</v>
      </c>
      <c r="D747" t="s">
        <v>793</v>
      </c>
      <c r="E747" t="s">
        <v>8777</v>
      </c>
    </row>
    <row r="748" spans="2:7" x14ac:dyDescent="0.25">
      <c r="B748" t="s">
        <v>8989</v>
      </c>
      <c r="C748" t="s">
        <v>737</v>
      </c>
      <c r="D748" t="s">
        <v>793</v>
      </c>
      <c r="E748" t="s">
        <v>8779</v>
      </c>
    </row>
    <row r="749" spans="2:7" x14ac:dyDescent="0.25">
      <c r="B749" t="s">
        <v>8989</v>
      </c>
      <c r="C749" t="s">
        <v>738</v>
      </c>
      <c r="D749" t="s">
        <v>793</v>
      </c>
      <c r="E749" t="s">
        <v>8780</v>
      </c>
    </row>
    <row r="750" spans="2:7" x14ac:dyDescent="0.25">
      <c r="B750" t="s">
        <v>8989</v>
      </c>
      <c r="C750" t="s">
        <v>739</v>
      </c>
      <c r="D750" t="s">
        <v>793</v>
      </c>
      <c r="E750" t="s">
        <v>8781</v>
      </c>
    </row>
    <row r="751" spans="2:7" x14ac:dyDescent="0.25">
      <c r="B751" t="s">
        <v>8984</v>
      </c>
      <c r="C751" t="s">
        <v>549</v>
      </c>
      <c r="D751" t="s">
        <v>793</v>
      </c>
      <c r="E751" t="s">
        <v>9033</v>
      </c>
      <c r="F751" t="s">
        <v>9032</v>
      </c>
      <c r="G751" t="s">
        <v>9031</v>
      </c>
    </row>
    <row r="752" spans="2:7" x14ac:dyDescent="0.25">
      <c r="B752" t="s">
        <v>8984</v>
      </c>
      <c r="C752" t="s">
        <v>562</v>
      </c>
      <c r="D752" t="s">
        <v>793</v>
      </c>
      <c r="E752" t="s">
        <v>9033</v>
      </c>
      <c r="G752" t="s">
        <v>9034</v>
      </c>
    </row>
    <row r="753" spans="2:7" x14ac:dyDescent="0.25">
      <c r="B753" t="s">
        <v>8984</v>
      </c>
      <c r="C753" t="s">
        <v>8985</v>
      </c>
      <c r="D753" t="s">
        <v>793</v>
      </c>
      <c r="E753" t="s">
        <v>9033</v>
      </c>
      <c r="G753" t="s">
        <v>9035</v>
      </c>
    </row>
    <row r="754" spans="2:7" x14ac:dyDescent="0.25">
      <c r="B754" t="s">
        <v>8984</v>
      </c>
      <c r="C754" t="s">
        <v>8986</v>
      </c>
      <c r="D754" t="s">
        <v>793</v>
      </c>
      <c r="E754" t="s">
        <v>9033</v>
      </c>
      <c r="G754" t="s">
        <v>9036</v>
      </c>
    </row>
    <row r="755" spans="2:7" x14ac:dyDescent="0.25">
      <c r="B755" t="s">
        <v>8984</v>
      </c>
      <c r="C755" t="s">
        <v>740</v>
      </c>
      <c r="D755" t="s">
        <v>793</v>
      </c>
      <c r="E755" t="s">
        <v>9033</v>
      </c>
      <c r="G755" t="s">
        <v>9037</v>
      </c>
    </row>
    <row r="756" spans="2:7" x14ac:dyDescent="0.25">
      <c r="B756" t="s">
        <v>8984</v>
      </c>
      <c r="C756" t="s">
        <v>741</v>
      </c>
      <c r="D756" t="s">
        <v>793</v>
      </c>
      <c r="E756" t="s">
        <v>9033</v>
      </c>
      <c r="G756" t="s">
        <v>9038</v>
      </c>
    </row>
  </sheetData>
  <sheetProtection password="CCA7" sheet="1" objects="1" scenarios="1"/>
  <pageMargins left="0.7" right="0.7" top="0.75" bottom="0.75" header="0.3" footer="0.3"/>
  <pageSetup paperSize="14" orientation="portrait" horizontalDpi="0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8</vt:i4>
      </vt:variant>
    </vt:vector>
  </HeadingPairs>
  <TitlesOfParts>
    <vt:vector size="21" baseType="lpstr">
      <vt:lpstr>ORDEN DE CUARENTENA</vt:lpstr>
      <vt:lpstr>sp. peces</vt:lpstr>
      <vt:lpstr>sp.cnidaria</vt:lpstr>
      <vt:lpstr>sp. porifera</vt:lpstr>
      <vt:lpstr>ANEXO</vt:lpstr>
      <vt:lpstr>Acuario (Arribado - mortalidad)</vt:lpstr>
      <vt:lpstr>Tratamientos-Eventos</vt:lpstr>
      <vt:lpstr>Resumen de cuarentena</vt:lpstr>
      <vt:lpstr>AMBIENTE</vt:lpstr>
      <vt:lpstr>IMP-PT2</vt:lpstr>
      <vt:lpstr>DatosInspeccion</vt:lpstr>
      <vt:lpstr>DatosAcDia</vt:lpstr>
      <vt:lpstr>Gráfica mortalidad</vt:lpstr>
      <vt:lpstr>'Acuario (Arribado - mortalidad)'!Área_de_impresión</vt:lpstr>
      <vt:lpstr>ANEXO!Área_de_impresión</vt:lpstr>
      <vt:lpstr>DatosInspeccion!Área_de_impresión</vt:lpstr>
      <vt:lpstr>'Gráfica mortalidad'!Área_de_impresión</vt:lpstr>
      <vt:lpstr>'IMP-PT2'!Área_de_impresión</vt:lpstr>
      <vt:lpstr>'ORDEN DE CUARENTENA'!Área_de_impresión</vt:lpstr>
      <vt:lpstr>'Resumen de cuarentena'!Área_de_impresión</vt:lpstr>
      <vt:lpstr>'Tratamientos-Eventos'!Área_de_impresión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Pablo Silva</dc:creator>
  <cp:lastModifiedBy>Pablo Andrés Silva Landeros</cp:lastModifiedBy>
  <cp:lastPrinted>2024-03-05T16:25:03Z</cp:lastPrinted>
  <dcterms:created xsi:type="dcterms:W3CDTF">2021-01-18T16:22:34Z</dcterms:created>
  <dcterms:modified xsi:type="dcterms:W3CDTF">2024-12-16T10:45:24Z</dcterms:modified>
</cp:coreProperties>
</file>