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4- Anchoveta-Sardina Española XV-IV\"/>
    </mc:Choice>
  </mc:AlternateContent>
  <bookViews>
    <workbookView xWindow="-120" yWindow="-120" windowWidth="20730" windowHeight="11160" tabRatio="831"/>
  </bookViews>
  <sheets>
    <sheet name="Resumen" sheetId="1" r:id="rId1"/>
    <sheet name="Artesanal Anchoveta XV-IV" sheetId="2" r:id="rId2"/>
    <sheet name="Artesanal S.española XV-IV" sheetId="7" r:id="rId3"/>
    <sheet name="Cesiones ind y colec" sheetId="5" r:id="rId4"/>
    <sheet name="Industrial" sheetId="3" r:id="rId5"/>
    <sheet name="Remanente Anchoveta" sheetId="9" r:id="rId6"/>
    <sheet name="Remanente Ces. Ind. Anchoveta " sheetId="13" r:id="rId7"/>
    <sheet name="P. Investigación" sheetId="4" r:id="rId8"/>
    <sheet name="Publicacion web" sheetId="6" r:id="rId9"/>
  </sheets>
  <definedNames>
    <definedName name="_xlnm._FilterDatabase" localSheetId="3" hidden="1">'Cesiones ind y colec'!$B$4:$O$4</definedName>
    <definedName name="_xlnm._FilterDatabase" localSheetId="8" hidden="1">'Publicacion web'!$A$1:$Q$59</definedName>
  </definedNames>
  <calcPr calcId="162913"/>
</workbook>
</file>

<file path=xl/calcChain.xml><?xml version="1.0" encoding="utf-8"?>
<calcChain xmlns="http://schemas.openxmlformats.org/spreadsheetml/2006/main">
  <c r="R11" i="7" l="1"/>
  <c r="K12" i="7"/>
  <c r="F42" i="3" l="1"/>
  <c r="W6" i="5"/>
  <c r="W5" i="5"/>
  <c r="V6" i="5"/>
  <c r="U6" i="5"/>
  <c r="T5" i="5"/>
  <c r="T6" i="5"/>
  <c r="N26" i="5"/>
  <c r="O26" i="5" s="1"/>
  <c r="F37" i="3"/>
  <c r="N21" i="5"/>
  <c r="J13" i="5"/>
  <c r="H12" i="1" l="1"/>
  <c r="G12" i="1"/>
  <c r="O21" i="5"/>
  <c r="U5" i="5" l="1"/>
  <c r="U8" i="5"/>
  <c r="T8" i="5"/>
  <c r="K13" i="5"/>
  <c r="J5" i="5"/>
  <c r="F14" i="3"/>
  <c r="V8" i="5" l="1"/>
  <c r="V5" i="5"/>
  <c r="W8" i="5"/>
  <c r="H10" i="1"/>
  <c r="G10" i="1"/>
  <c r="H33" i="1"/>
  <c r="G34" i="1"/>
  <c r="F34" i="1"/>
  <c r="G33" i="1"/>
  <c r="K5" i="5"/>
  <c r="F33" i="1" l="1"/>
  <c r="O46" i="6"/>
  <c r="K46" i="6"/>
  <c r="I46" i="6"/>
  <c r="H46" i="6"/>
  <c r="E46" i="6"/>
  <c r="H13" i="2"/>
  <c r="L13" i="2" s="1"/>
  <c r="M46" i="6" s="1"/>
  <c r="N13" i="2"/>
  <c r="K13" i="2" l="1"/>
  <c r="L46" i="6" s="1"/>
  <c r="J46" i="6"/>
  <c r="O9" i="6"/>
  <c r="I9" i="6"/>
  <c r="K9" i="6"/>
  <c r="H9" i="6"/>
  <c r="E9" i="6"/>
  <c r="K15" i="3"/>
  <c r="G15" i="3"/>
  <c r="H6" i="6"/>
  <c r="E35" i="6" l="1"/>
  <c r="H35" i="6"/>
  <c r="K35" i="6"/>
  <c r="O35" i="6"/>
  <c r="G44" i="3"/>
  <c r="I44" i="3" s="1"/>
  <c r="L35" i="6" s="1"/>
  <c r="K44" i="3"/>
  <c r="N44" i="3"/>
  <c r="I35" i="6"/>
  <c r="E21" i="6"/>
  <c r="H21" i="6"/>
  <c r="I21" i="6"/>
  <c r="K21" i="6"/>
  <c r="O21" i="6"/>
  <c r="L30" i="3"/>
  <c r="G30" i="3"/>
  <c r="J30" i="3" s="1"/>
  <c r="M21" i="6" s="1"/>
  <c r="K30" i="3"/>
  <c r="N30" i="3"/>
  <c r="J35" i="6" l="1"/>
  <c r="L44" i="3"/>
  <c r="M44" i="3" s="1"/>
  <c r="M30" i="3"/>
  <c r="O30" i="3" s="1"/>
  <c r="J21" i="6"/>
  <c r="J44" i="3"/>
  <c r="M35" i="6" s="1"/>
  <c r="I30" i="3"/>
  <c r="L21" i="6" s="1"/>
  <c r="O44" i="3" l="1"/>
  <c r="P44" i="3"/>
  <c r="P30" i="3"/>
  <c r="N52" i="6"/>
  <c r="G18" i="3" l="1"/>
  <c r="K18" i="3"/>
  <c r="N18" i="3"/>
  <c r="I18" i="3" l="1"/>
  <c r="L9" i="6" s="1"/>
  <c r="J9" i="6"/>
  <c r="L18" i="3"/>
  <c r="M18" i="3" s="1"/>
  <c r="J18" i="3"/>
  <c r="M9" i="6" s="1"/>
  <c r="O18" i="3" l="1"/>
  <c r="P18" i="3"/>
  <c r="H45" i="6" l="1"/>
  <c r="I45" i="6"/>
  <c r="K45" i="6"/>
  <c r="O45" i="6"/>
  <c r="E45" i="6"/>
  <c r="N12" i="2"/>
  <c r="O12" i="2"/>
  <c r="Q12" i="2"/>
  <c r="H12" i="2"/>
  <c r="J45" i="6" s="1"/>
  <c r="K12" i="2" l="1"/>
  <c r="L45" i="6" s="1"/>
  <c r="L12" i="2"/>
  <c r="M45" i="6" s="1"/>
  <c r="P12" i="2"/>
  <c r="S12" i="2" s="1"/>
  <c r="R12" i="2" l="1"/>
  <c r="K4" i="6" l="1"/>
  <c r="O4" i="6"/>
  <c r="K5" i="6"/>
  <c r="O5" i="6"/>
  <c r="K6" i="6"/>
  <c r="O6" i="6"/>
  <c r="I4" i="6"/>
  <c r="I5" i="6"/>
  <c r="H4" i="6"/>
  <c r="H5" i="6"/>
  <c r="E4" i="6"/>
  <c r="E5" i="6"/>
  <c r="K13" i="3"/>
  <c r="L13" i="3"/>
  <c r="N13" i="3"/>
  <c r="K14" i="3"/>
  <c r="L14" i="3"/>
  <c r="N14" i="3"/>
  <c r="G13" i="3"/>
  <c r="J13" i="3" s="1"/>
  <c r="M4" i="6" s="1"/>
  <c r="G14" i="3"/>
  <c r="J14" i="3" s="1"/>
  <c r="M5" i="6" s="1"/>
  <c r="E16" i="3"/>
  <c r="H25" i="1"/>
  <c r="E2" i="6"/>
  <c r="E3" i="6"/>
  <c r="E6" i="6"/>
  <c r="M14" i="3" l="1"/>
  <c r="P14" i="3" s="1"/>
  <c r="I13" i="3"/>
  <c r="L4" i="6" s="1"/>
  <c r="J4" i="6"/>
  <c r="I14" i="3"/>
  <c r="L5" i="6" s="1"/>
  <c r="J5" i="6"/>
  <c r="M13" i="3"/>
  <c r="P13" i="3" s="1"/>
  <c r="H58" i="6"/>
  <c r="I58" i="6"/>
  <c r="K58" i="6"/>
  <c r="O58" i="6"/>
  <c r="K54" i="6"/>
  <c r="I54" i="6"/>
  <c r="H54" i="6"/>
  <c r="O54" i="6"/>
  <c r="H48" i="6"/>
  <c r="I48" i="6"/>
  <c r="K48" i="6"/>
  <c r="O48" i="6"/>
  <c r="O14" i="3" l="1"/>
  <c r="O13" i="3"/>
  <c r="O41" i="6"/>
  <c r="N41" i="6"/>
  <c r="K41" i="6"/>
  <c r="I41" i="6"/>
  <c r="H41" i="6"/>
  <c r="I14" i="1" l="1"/>
  <c r="N8" i="2" l="1"/>
  <c r="G16" i="1" l="1"/>
  <c r="G14" i="1"/>
  <c r="H16" i="1"/>
  <c r="H14" i="1"/>
  <c r="J10" i="1"/>
  <c r="J12" i="1" l="1"/>
  <c r="J14" i="1"/>
  <c r="J16" i="1"/>
  <c r="I16" i="1" l="1"/>
  <c r="I10" i="1" l="1"/>
  <c r="O47" i="6"/>
  <c r="K47" i="6"/>
  <c r="I47" i="6"/>
  <c r="H47" i="6"/>
  <c r="E47" i="6"/>
  <c r="O14" i="2"/>
  <c r="Q14" i="2"/>
  <c r="H14" i="2"/>
  <c r="N14" i="2"/>
  <c r="L14" i="2" l="1"/>
  <c r="M47" i="6" s="1"/>
  <c r="K14" i="2"/>
  <c r="L47" i="6" s="1"/>
  <c r="J47" i="6"/>
  <c r="P14" i="2"/>
  <c r="R14" i="2" s="1"/>
  <c r="K33" i="3"/>
  <c r="L33" i="3"/>
  <c r="N33" i="3"/>
  <c r="K34" i="3"/>
  <c r="L34" i="3"/>
  <c r="N34" i="3"/>
  <c r="N32" i="3"/>
  <c r="L32" i="3"/>
  <c r="K32" i="3"/>
  <c r="H9" i="2"/>
  <c r="J41" i="6" s="1"/>
  <c r="L12" i="3"/>
  <c r="N12" i="3"/>
  <c r="L15" i="3"/>
  <c r="N15" i="3"/>
  <c r="N11" i="3"/>
  <c r="L11" i="3"/>
  <c r="K12" i="3"/>
  <c r="K11" i="3"/>
  <c r="B4" i="2"/>
  <c r="M33" i="3" l="1"/>
  <c r="P33" i="3" s="1"/>
  <c r="S14" i="2"/>
  <c r="M12" i="3"/>
  <c r="O12" i="3" s="1"/>
  <c r="M15" i="3"/>
  <c r="O15" i="3" s="1"/>
  <c r="M34" i="3"/>
  <c r="O34" i="3" s="1"/>
  <c r="E29" i="1"/>
  <c r="O33" i="3" l="1"/>
  <c r="P34" i="3"/>
  <c r="P12" i="3"/>
  <c r="P15" i="3"/>
  <c r="P8" i="7" l="1"/>
  <c r="N8" i="7"/>
  <c r="F20" i="1" s="1"/>
  <c r="M8" i="7"/>
  <c r="P7" i="7"/>
  <c r="N7" i="7"/>
  <c r="M7" i="7"/>
  <c r="E19" i="1" s="1"/>
  <c r="Q8" i="2"/>
  <c r="O8" i="2"/>
  <c r="Q7" i="2"/>
  <c r="O7" i="2"/>
  <c r="N7" i="2"/>
  <c r="P7" i="2" l="1"/>
  <c r="B3" i="9" l="1"/>
  <c r="N39" i="6" l="1"/>
  <c r="E9" i="1" l="1"/>
  <c r="F9" i="1"/>
  <c r="H9" i="1"/>
  <c r="H38" i="6" l="1"/>
  <c r="I38" i="6"/>
  <c r="K38" i="6"/>
  <c r="G9" i="1"/>
  <c r="R7" i="2" l="1"/>
  <c r="I9" i="1" s="1"/>
  <c r="J38" i="6"/>
  <c r="S7" i="2"/>
  <c r="J9" i="1" s="1"/>
  <c r="C4" i="4" l="1"/>
  <c r="I6" i="6" l="1"/>
  <c r="E31" i="3" l="1"/>
  <c r="I15" i="3" l="1"/>
  <c r="L6" i="6" s="1"/>
  <c r="J6" i="6"/>
  <c r="J15" i="3"/>
  <c r="M6" i="6" s="1"/>
  <c r="E45" i="3" l="1"/>
  <c r="E35" i="3"/>
  <c r="H27" i="1"/>
  <c r="G28" i="1"/>
  <c r="G27" i="1"/>
  <c r="G26" i="1"/>
  <c r="F24" i="1"/>
  <c r="H24" i="1"/>
  <c r="F23" i="1"/>
  <c r="H23" i="1"/>
  <c r="E24" i="1"/>
  <c r="E23" i="1"/>
  <c r="F18" i="1"/>
  <c r="H18" i="1"/>
  <c r="F17" i="1"/>
  <c r="H17" i="1"/>
  <c r="E18" i="1"/>
  <c r="E17" i="1"/>
  <c r="N9" i="7"/>
  <c r="P9" i="7"/>
  <c r="M9" i="7"/>
  <c r="M10" i="7"/>
  <c r="N10" i="7"/>
  <c r="F21" i="1" s="1"/>
  <c r="P10" i="7"/>
  <c r="H21" i="1" s="1"/>
  <c r="M12" i="7"/>
  <c r="N12" i="7"/>
  <c r="P12" i="7"/>
  <c r="H12" i="7"/>
  <c r="H9" i="7"/>
  <c r="O15" i="2"/>
  <c r="Q15" i="2"/>
  <c r="N15" i="2"/>
  <c r="O9" i="2"/>
  <c r="Q9" i="2"/>
  <c r="N9" i="2"/>
  <c r="H15" i="2"/>
  <c r="G17" i="1"/>
  <c r="H34" i="1"/>
  <c r="E57" i="6"/>
  <c r="I57" i="6"/>
  <c r="K57" i="6"/>
  <c r="H57" i="6"/>
  <c r="I55" i="6"/>
  <c r="K55" i="6"/>
  <c r="E55" i="6"/>
  <c r="H55" i="6"/>
  <c r="I52" i="6"/>
  <c r="K52" i="6"/>
  <c r="H52" i="6"/>
  <c r="E52" i="6"/>
  <c r="E50" i="6"/>
  <c r="I50" i="6"/>
  <c r="K50" i="6"/>
  <c r="H50" i="6"/>
  <c r="P11" i="7"/>
  <c r="H22" i="1" s="1"/>
  <c r="N11" i="7"/>
  <c r="F22" i="1" s="1"/>
  <c r="M11" i="7"/>
  <c r="E22" i="1" s="1"/>
  <c r="H11" i="7"/>
  <c r="H10" i="7"/>
  <c r="J55" i="6" s="1"/>
  <c r="H20" i="1"/>
  <c r="H8" i="7"/>
  <c r="J8" i="7" s="1"/>
  <c r="H19" i="1"/>
  <c r="F19" i="1"/>
  <c r="H7" i="7"/>
  <c r="J7" i="7" s="1"/>
  <c r="B4" i="7"/>
  <c r="G23" i="1" l="1"/>
  <c r="J54" i="6"/>
  <c r="P15" i="2"/>
  <c r="S15" i="2" s="1"/>
  <c r="J48" i="6"/>
  <c r="M58" i="6"/>
  <c r="J58" i="6"/>
  <c r="K11" i="7"/>
  <c r="M57" i="6" s="1"/>
  <c r="E31" i="1"/>
  <c r="H26" i="6"/>
  <c r="O7" i="7"/>
  <c r="G19" i="1" s="1"/>
  <c r="I19" i="1" s="1"/>
  <c r="O8" i="7"/>
  <c r="G20" i="1" s="1"/>
  <c r="I20" i="1" s="1"/>
  <c r="I53" i="6"/>
  <c r="I59" i="6"/>
  <c r="G24" i="1"/>
  <c r="J24" i="1" s="1"/>
  <c r="P5" i="4"/>
  <c r="J10" i="7"/>
  <c r="L55" i="6" s="1"/>
  <c r="L52" i="6"/>
  <c r="J52" i="6"/>
  <c r="L9" i="2"/>
  <c r="M41" i="6" s="1"/>
  <c r="O11" i="7"/>
  <c r="M59" i="6" s="1"/>
  <c r="H51" i="6"/>
  <c r="H53" i="6"/>
  <c r="J57" i="6"/>
  <c r="H59" i="6"/>
  <c r="E20" i="1"/>
  <c r="L15" i="2"/>
  <c r="M48" i="6" s="1"/>
  <c r="J9" i="7"/>
  <c r="L54" i="6" s="1"/>
  <c r="K9" i="7"/>
  <c r="O9" i="7"/>
  <c r="Q9" i="7" s="1"/>
  <c r="G18" i="1"/>
  <c r="J18" i="1" s="1"/>
  <c r="K10" i="7"/>
  <c r="J11" i="7"/>
  <c r="L57" i="6" s="1"/>
  <c r="L50" i="6"/>
  <c r="J50" i="6"/>
  <c r="K51" i="6"/>
  <c r="I51" i="6"/>
  <c r="I56" i="6"/>
  <c r="K9" i="2"/>
  <c r="L41" i="6" s="1"/>
  <c r="K15" i="2"/>
  <c r="L48" i="6" s="1"/>
  <c r="P9" i="2"/>
  <c r="R9" i="2" s="1"/>
  <c r="J12" i="7"/>
  <c r="L58" i="6" s="1"/>
  <c r="O12" i="7"/>
  <c r="R12" i="7" s="1"/>
  <c r="O10" i="7"/>
  <c r="R10" i="7" s="1"/>
  <c r="K59" i="6"/>
  <c r="I17" i="1"/>
  <c r="I23" i="1"/>
  <c r="J17" i="1"/>
  <c r="J23" i="1"/>
  <c r="I27" i="1"/>
  <c r="J27" i="1"/>
  <c r="J34" i="1"/>
  <c r="I34" i="1"/>
  <c r="K56" i="6"/>
  <c r="K53" i="6"/>
  <c r="H56" i="6"/>
  <c r="E21" i="1"/>
  <c r="K7" i="7"/>
  <c r="M50" i="6" s="1"/>
  <c r="K8" i="7"/>
  <c r="M52" i="6" s="1"/>
  <c r="I32" i="6"/>
  <c r="I11" i="6"/>
  <c r="B7" i="3"/>
  <c r="G25" i="1"/>
  <c r="I44" i="6"/>
  <c r="K44" i="6"/>
  <c r="H44" i="6"/>
  <c r="H42" i="6"/>
  <c r="I42" i="6"/>
  <c r="K42" i="6"/>
  <c r="I39" i="6"/>
  <c r="K39" i="6"/>
  <c r="H39" i="6"/>
  <c r="I37" i="6"/>
  <c r="K37" i="6"/>
  <c r="H37" i="6"/>
  <c r="I27" i="6"/>
  <c r="K27" i="6"/>
  <c r="I28" i="6"/>
  <c r="K28" i="6"/>
  <c r="I29" i="6"/>
  <c r="K29" i="6"/>
  <c r="I30" i="6"/>
  <c r="K30" i="6"/>
  <c r="I31" i="6"/>
  <c r="K31" i="6"/>
  <c r="K32" i="6"/>
  <c r="I33" i="6"/>
  <c r="K33" i="6"/>
  <c r="I34" i="6"/>
  <c r="K34" i="6"/>
  <c r="H28" i="6"/>
  <c r="H29" i="6"/>
  <c r="H30" i="6"/>
  <c r="H31" i="6"/>
  <c r="H32" i="6"/>
  <c r="H33" i="6"/>
  <c r="H34" i="6"/>
  <c r="H27" i="6"/>
  <c r="I25" i="6"/>
  <c r="K25" i="6"/>
  <c r="H25" i="6"/>
  <c r="I24" i="6"/>
  <c r="K24" i="6"/>
  <c r="H24" i="6"/>
  <c r="I23" i="6"/>
  <c r="K23" i="6"/>
  <c r="H23" i="6"/>
  <c r="I8" i="6"/>
  <c r="K8" i="6"/>
  <c r="I10" i="6"/>
  <c r="K10" i="6"/>
  <c r="K11" i="6"/>
  <c r="I12" i="6"/>
  <c r="K12" i="6"/>
  <c r="I13" i="6"/>
  <c r="K13" i="6"/>
  <c r="I14" i="6"/>
  <c r="K14" i="6"/>
  <c r="I15" i="6"/>
  <c r="K15" i="6"/>
  <c r="I16" i="6"/>
  <c r="K16" i="6"/>
  <c r="I17" i="6"/>
  <c r="K17" i="6"/>
  <c r="I18" i="6"/>
  <c r="K18" i="6"/>
  <c r="I19" i="6"/>
  <c r="K19" i="6"/>
  <c r="I20" i="6"/>
  <c r="K20" i="6"/>
  <c r="H10" i="6"/>
  <c r="H11" i="6"/>
  <c r="H12" i="6"/>
  <c r="H13" i="6"/>
  <c r="H14" i="6"/>
  <c r="H15" i="6"/>
  <c r="H16" i="6"/>
  <c r="H17" i="6"/>
  <c r="H18" i="6"/>
  <c r="H19" i="6"/>
  <c r="H20" i="6"/>
  <c r="H8" i="6"/>
  <c r="I3" i="6"/>
  <c r="K3" i="6"/>
  <c r="H3" i="6"/>
  <c r="I2" i="6"/>
  <c r="K2" i="6"/>
  <c r="H2" i="6"/>
  <c r="O3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6" i="6"/>
  <c r="O37" i="6"/>
  <c r="O38" i="6"/>
  <c r="O39" i="6"/>
  <c r="O40" i="6"/>
  <c r="O42" i="6"/>
  <c r="O43" i="6"/>
  <c r="O44" i="6"/>
  <c r="O49" i="6"/>
  <c r="O50" i="6"/>
  <c r="O51" i="6"/>
  <c r="O52" i="6"/>
  <c r="O53" i="6"/>
  <c r="O55" i="6"/>
  <c r="O56" i="6"/>
  <c r="O57" i="6"/>
  <c r="O59" i="6"/>
  <c r="O2" i="6"/>
  <c r="E44" i="6"/>
  <c r="E42" i="6"/>
  <c r="E39" i="6"/>
  <c r="E37" i="6"/>
  <c r="E28" i="6"/>
  <c r="E29" i="6"/>
  <c r="E30" i="6"/>
  <c r="E31" i="6"/>
  <c r="E32" i="6"/>
  <c r="E33" i="6"/>
  <c r="E34" i="6"/>
  <c r="E27" i="6"/>
  <c r="E25" i="6"/>
  <c r="E24" i="6"/>
  <c r="E23" i="6"/>
  <c r="E18" i="6"/>
  <c r="E19" i="6"/>
  <c r="E20" i="6"/>
  <c r="E10" i="6"/>
  <c r="E11" i="6"/>
  <c r="E12" i="6"/>
  <c r="E13" i="6"/>
  <c r="E14" i="6"/>
  <c r="E15" i="6"/>
  <c r="E16" i="6"/>
  <c r="E17" i="6"/>
  <c r="E8" i="6"/>
  <c r="N38" i="3"/>
  <c r="N37" i="3"/>
  <c r="N36" i="3"/>
  <c r="N39" i="3"/>
  <c r="N40" i="3"/>
  <c r="N41" i="3"/>
  <c r="N42" i="3"/>
  <c r="N43" i="3"/>
  <c r="L38" i="3"/>
  <c r="L39" i="3"/>
  <c r="L40" i="3"/>
  <c r="L41" i="3"/>
  <c r="L42" i="3"/>
  <c r="L43" i="3"/>
  <c r="L37" i="3"/>
  <c r="L36" i="3"/>
  <c r="K37" i="3"/>
  <c r="K38" i="3"/>
  <c r="K39" i="3"/>
  <c r="K40" i="3"/>
  <c r="K41" i="3"/>
  <c r="K42" i="3"/>
  <c r="K43" i="3"/>
  <c r="K36" i="3"/>
  <c r="N17" i="3"/>
  <c r="K19" i="3"/>
  <c r="L19" i="3"/>
  <c r="N19" i="3"/>
  <c r="K20" i="3"/>
  <c r="N20" i="3"/>
  <c r="K21" i="3"/>
  <c r="L21" i="3"/>
  <c r="N21" i="3"/>
  <c r="K22" i="3"/>
  <c r="L22" i="3"/>
  <c r="N22" i="3"/>
  <c r="K23" i="3"/>
  <c r="L23" i="3"/>
  <c r="N23" i="3"/>
  <c r="K24" i="3"/>
  <c r="L24" i="3"/>
  <c r="N24" i="3"/>
  <c r="K25" i="3"/>
  <c r="L25" i="3"/>
  <c r="N25" i="3"/>
  <c r="K26" i="3"/>
  <c r="L26" i="3"/>
  <c r="N26" i="3"/>
  <c r="K27" i="3"/>
  <c r="L27" i="3"/>
  <c r="N27" i="3"/>
  <c r="K28" i="3"/>
  <c r="L28" i="3"/>
  <c r="N28" i="3"/>
  <c r="K29" i="3"/>
  <c r="L29" i="3"/>
  <c r="N29" i="3"/>
  <c r="L17" i="3"/>
  <c r="K17" i="3"/>
  <c r="G37" i="3"/>
  <c r="J28" i="6" s="1"/>
  <c r="G38" i="3"/>
  <c r="I38" i="3" s="1"/>
  <c r="L29" i="6" s="1"/>
  <c r="G39" i="3"/>
  <c r="J30" i="6" s="1"/>
  <c r="G40" i="3"/>
  <c r="I40" i="3" s="1"/>
  <c r="L31" i="6" s="1"/>
  <c r="G41" i="3"/>
  <c r="J32" i="6" s="1"/>
  <c r="G42" i="3"/>
  <c r="I42" i="3" s="1"/>
  <c r="L33" i="6" s="1"/>
  <c r="G43" i="3"/>
  <c r="J34" i="6" s="1"/>
  <c r="G36" i="3"/>
  <c r="I36" i="3" s="1"/>
  <c r="L27" i="6" s="1"/>
  <c r="G34" i="3"/>
  <c r="J34" i="3" s="1"/>
  <c r="M25" i="6" s="1"/>
  <c r="G33" i="3"/>
  <c r="J24" i="6" s="1"/>
  <c r="G32" i="3"/>
  <c r="J23" i="6" s="1"/>
  <c r="G19" i="3"/>
  <c r="J19" i="3" s="1"/>
  <c r="M10" i="6" s="1"/>
  <c r="G21" i="3"/>
  <c r="I21" i="3" s="1"/>
  <c r="L12" i="6" s="1"/>
  <c r="G22" i="3"/>
  <c r="I22" i="3" s="1"/>
  <c r="L13" i="6" s="1"/>
  <c r="G23" i="3"/>
  <c r="J23" i="3" s="1"/>
  <c r="M14" i="6" s="1"/>
  <c r="G24" i="3"/>
  <c r="G25" i="3"/>
  <c r="I25" i="3" s="1"/>
  <c r="L16" i="6" s="1"/>
  <c r="G26" i="3"/>
  <c r="G27" i="3"/>
  <c r="I27" i="3" s="1"/>
  <c r="L18" i="6" s="1"/>
  <c r="G28" i="3"/>
  <c r="I28" i="3" s="1"/>
  <c r="L19" i="6" s="1"/>
  <c r="G29" i="3"/>
  <c r="J29" i="3" s="1"/>
  <c r="M20" i="6" s="1"/>
  <c r="G17" i="3"/>
  <c r="I17" i="3" s="1"/>
  <c r="L8" i="6" s="1"/>
  <c r="G12" i="3"/>
  <c r="I12" i="3" s="1"/>
  <c r="G11" i="3"/>
  <c r="J11" i="3" s="1"/>
  <c r="M2" i="6" s="1"/>
  <c r="Q10" i="2"/>
  <c r="K43" i="6" s="1"/>
  <c r="O10" i="2"/>
  <c r="F13" i="1" s="1"/>
  <c r="Q11" i="2"/>
  <c r="H15" i="1" s="1"/>
  <c r="O11" i="2"/>
  <c r="N11" i="2"/>
  <c r="E15" i="1" s="1"/>
  <c r="N10" i="2"/>
  <c r="H43" i="6" s="1"/>
  <c r="H11" i="1"/>
  <c r="I40" i="6"/>
  <c r="H40" i="6"/>
  <c r="H11" i="2"/>
  <c r="J44" i="6" s="1"/>
  <c r="H10" i="2"/>
  <c r="K10" i="2" s="1"/>
  <c r="L42" i="6" s="1"/>
  <c r="H8" i="2"/>
  <c r="L8" i="2" s="1"/>
  <c r="M39" i="6" s="1"/>
  <c r="H7" i="2"/>
  <c r="K7" i="2" s="1"/>
  <c r="J26" i="3" l="1"/>
  <c r="M17" i="6" s="1"/>
  <c r="I24" i="3"/>
  <c r="L15" i="6" s="1"/>
  <c r="J24" i="3"/>
  <c r="H49" i="6"/>
  <c r="R15" i="2"/>
  <c r="M54" i="6"/>
  <c r="M55" i="6"/>
  <c r="F15" i="1"/>
  <c r="I49" i="6" s="1"/>
  <c r="P11" i="2"/>
  <c r="G15" i="1" s="1"/>
  <c r="M40" i="3"/>
  <c r="O40" i="3" s="1"/>
  <c r="J39" i="3"/>
  <c r="M30" i="6" s="1"/>
  <c r="M43" i="3"/>
  <c r="O43" i="3" s="1"/>
  <c r="M32" i="3"/>
  <c r="O32" i="3" s="1"/>
  <c r="M42" i="3"/>
  <c r="P42" i="3" s="1"/>
  <c r="M38" i="3"/>
  <c r="O38" i="3" s="1"/>
  <c r="M39" i="3"/>
  <c r="P39" i="3" s="1"/>
  <c r="J56" i="6"/>
  <c r="J51" i="6"/>
  <c r="Q11" i="7"/>
  <c r="L59" i="6" s="1"/>
  <c r="Q7" i="7"/>
  <c r="L51" i="6" s="1"/>
  <c r="J19" i="1"/>
  <c r="J40" i="3"/>
  <c r="M31" i="6" s="1"/>
  <c r="J38" i="3"/>
  <c r="M29" i="6" s="1"/>
  <c r="J37" i="3"/>
  <c r="M28" i="6" s="1"/>
  <c r="R7" i="7"/>
  <c r="M51" i="6" s="1"/>
  <c r="J20" i="1"/>
  <c r="M27" i="3"/>
  <c r="P27" i="3" s="1"/>
  <c r="R8" i="7"/>
  <c r="M53" i="6" s="1"/>
  <c r="Q12" i="7"/>
  <c r="Q8" i="7"/>
  <c r="L53" i="6" s="1"/>
  <c r="J53" i="6"/>
  <c r="M23" i="3"/>
  <c r="P23" i="3" s="1"/>
  <c r="K16" i="3"/>
  <c r="H7" i="6" s="1"/>
  <c r="I24" i="1"/>
  <c r="Q10" i="7"/>
  <c r="L56" i="6" s="1"/>
  <c r="I18" i="1"/>
  <c r="J36" i="3"/>
  <c r="M27" i="6" s="1"/>
  <c r="J25" i="6"/>
  <c r="G21" i="1"/>
  <c r="I21" i="1" s="1"/>
  <c r="I32" i="3"/>
  <c r="J32" i="3"/>
  <c r="M23" i="6" s="1"/>
  <c r="K35" i="3"/>
  <c r="L35" i="3"/>
  <c r="F31" i="1" s="1"/>
  <c r="J31" i="6"/>
  <c r="S9" i="2"/>
  <c r="L7" i="2"/>
  <c r="M37" i="6" s="1"/>
  <c r="J42" i="3"/>
  <c r="M33" i="6" s="1"/>
  <c r="M28" i="3"/>
  <c r="M26" i="3"/>
  <c r="M21" i="3"/>
  <c r="M19" i="3"/>
  <c r="P19" i="3" s="1"/>
  <c r="N31" i="3"/>
  <c r="H30" i="1" s="1"/>
  <c r="N35" i="3"/>
  <c r="H31" i="1" s="1"/>
  <c r="L45" i="3"/>
  <c r="N45" i="3"/>
  <c r="H32" i="1" s="1"/>
  <c r="J3" i="6"/>
  <c r="J27" i="6"/>
  <c r="J37" i="6"/>
  <c r="F45" i="3"/>
  <c r="G22" i="1"/>
  <c r="J59" i="6"/>
  <c r="R9" i="7"/>
  <c r="M56" i="6" s="1"/>
  <c r="M11" i="3"/>
  <c r="I25" i="1"/>
  <c r="J25" i="1"/>
  <c r="M37" i="3"/>
  <c r="O37" i="3" s="1"/>
  <c r="M22" i="3"/>
  <c r="P22" i="3" s="1"/>
  <c r="J16" i="6"/>
  <c r="K49" i="6"/>
  <c r="L16" i="3"/>
  <c r="F29" i="1" s="1"/>
  <c r="M15" i="6"/>
  <c r="M24" i="3"/>
  <c r="J15" i="6"/>
  <c r="K11" i="2"/>
  <c r="L44" i="6" s="1"/>
  <c r="P10" i="2"/>
  <c r="J43" i="6" s="1"/>
  <c r="F11" i="1"/>
  <c r="I43" i="6"/>
  <c r="L37" i="6"/>
  <c r="L10" i="2"/>
  <c r="M42" i="6" s="1"/>
  <c r="E13" i="1"/>
  <c r="J42" i="6"/>
  <c r="L11" i="2"/>
  <c r="M17" i="3"/>
  <c r="P17" i="3" s="1"/>
  <c r="M41" i="3"/>
  <c r="O41" i="3" s="1"/>
  <c r="J41" i="3"/>
  <c r="M32" i="6" s="1"/>
  <c r="G20" i="3"/>
  <c r="I20" i="3" s="1"/>
  <c r="L11" i="6" s="1"/>
  <c r="L20" i="3"/>
  <c r="M20" i="3" s="1"/>
  <c r="P20" i="3" s="1"/>
  <c r="M29" i="3"/>
  <c r="J33" i="3"/>
  <c r="M24" i="6" s="1"/>
  <c r="I33" i="3"/>
  <c r="I34" i="3"/>
  <c r="J2" i="6"/>
  <c r="J14" i="6"/>
  <c r="J10" i="6"/>
  <c r="J20" i="6"/>
  <c r="I11" i="3"/>
  <c r="I37" i="3"/>
  <c r="L28" i="6" s="1"/>
  <c r="M25" i="3"/>
  <c r="P25" i="3" s="1"/>
  <c r="H13" i="1"/>
  <c r="K40" i="6"/>
  <c r="N16" i="3"/>
  <c r="L3" i="6"/>
  <c r="K45" i="3"/>
  <c r="H36" i="6" s="1"/>
  <c r="J43" i="3"/>
  <c r="M34" i="6" s="1"/>
  <c r="I43" i="3"/>
  <c r="L34" i="6" s="1"/>
  <c r="J33" i="6"/>
  <c r="I41" i="3"/>
  <c r="L32" i="6" s="1"/>
  <c r="I39" i="3"/>
  <c r="L30" i="6" s="1"/>
  <c r="J29" i="6"/>
  <c r="M36" i="3"/>
  <c r="J19" i="6"/>
  <c r="J18" i="6"/>
  <c r="J17" i="6"/>
  <c r="J13" i="6"/>
  <c r="J21" i="3"/>
  <c r="M12" i="6" s="1"/>
  <c r="J12" i="6"/>
  <c r="K31" i="3"/>
  <c r="J8" i="6"/>
  <c r="E11" i="1"/>
  <c r="J39" i="6"/>
  <c r="P8" i="2"/>
  <c r="J25" i="3"/>
  <c r="M16" i="6" s="1"/>
  <c r="J17" i="3"/>
  <c r="M8" i="6" s="1"/>
  <c r="J27" i="3"/>
  <c r="M18" i="6" s="1"/>
  <c r="J22" i="3"/>
  <c r="M13" i="6" s="1"/>
  <c r="J28" i="3"/>
  <c r="M19" i="6" s="1"/>
  <c r="I29" i="3"/>
  <c r="L20" i="6" s="1"/>
  <c r="I26" i="3"/>
  <c r="L17" i="6" s="1"/>
  <c r="I23" i="3"/>
  <c r="L14" i="6" s="1"/>
  <c r="I19" i="3"/>
  <c r="L10" i="6" s="1"/>
  <c r="J12" i="3"/>
  <c r="M3" i="6" s="1"/>
  <c r="K8" i="2"/>
  <c r="R11" i="2" l="1"/>
  <c r="S11" i="2"/>
  <c r="P43" i="3"/>
  <c r="P40" i="3"/>
  <c r="P32" i="3"/>
  <c r="I36" i="6"/>
  <c r="F32" i="1"/>
  <c r="F35" i="1" s="1"/>
  <c r="O42" i="3"/>
  <c r="P38" i="3"/>
  <c r="O39" i="3"/>
  <c r="K36" i="6"/>
  <c r="O23" i="3"/>
  <c r="K22" i="6"/>
  <c r="O26" i="3"/>
  <c r="P26" i="3"/>
  <c r="O24" i="3"/>
  <c r="P24" i="3"/>
  <c r="E32" i="1"/>
  <c r="O27" i="3"/>
  <c r="O28" i="3"/>
  <c r="P28" i="3"/>
  <c r="O29" i="3"/>
  <c r="P29" i="3"/>
  <c r="O21" i="3"/>
  <c r="P21" i="3"/>
  <c r="P11" i="3"/>
  <c r="I26" i="6"/>
  <c r="K26" i="6"/>
  <c r="O22" i="3"/>
  <c r="J21" i="1"/>
  <c r="M16" i="3"/>
  <c r="P16" i="3" s="1"/>
  <c r="P41" i="3"/>
  <c r="M35" i="3"/>
  <c r="G31" i="1" s="1"/>
  <c r="I31" i="1" s="1"/>
  <c r="O19" i="3"/>
  <c r="L23" i="6"/>
  <c r="L38" i="6"/>
  <c r="J22" i="1"/>
  <c r="I22" i="1"/>
  <c r="J33" i="1"/>
  <c r="I33" i="1"/>
  <c r="P37" i="3"/>
  <c r="O11" i="3"/>
  <c r="H29" i="1"/>
  <c r="J20" i="3"/>
  <c r="M11" i="6" s="1"/>
  <c r="O25" i="3"/>
  <c r="J49" i="6"/>
  <c r="I15" i="1"/>
  <c r="L49" i="6" s="1"/>
  <c r="J15" i="1"/>
  <c r="M49" i="6" s="1"/>
  <c r="O17" i="3"/>
  <c r="J11" i="6"/>
  <c r="L31" i="3"/>
  <c r="F30" i="1" s="1"/>
  <c r="G13" i="1"/>
  <c r="I13" i="1" s="1"/>
  <c r="R10" i="2"/>
  <c r="S10" i="2"/>
  <c r="M44" i="6"/>
  <c r="M31" i="3"/>
  <c r="O20" i="3"/>
  <c r="I7" i="6"/>
  <c r="L24" i="6"/>
  <c r="L2" i="6"/>
  <c r="L25" i="6"/>
  <c r="K7" i="6"/>
  <c r="P36" i="3"/>
  <c r="M45" i="3"/>
  <c r="P45" i="3" s="1"/>
  <c r="O36" i="3"/>
  <c r="H22" i="6"/>
  <c r="E30" i="1"/>
  <c r="E35" i="1" s="1"/>
  <c r="L39" i="6"/>
  <c r="S8" i="2"/>
  <c r="R8" i="2"/>
  <c r="J40" i="6"/>
  <c r="G11" i="1"/>
  <c r="O45" i="3" l="1"/>
  <c r="L36" i="6" s="1"/>
  <c r="P35" i="3"/>
  <c r="J7" i="6"/>
  <c r="M38" i="6"/>
  <c r="J26" i="6"/>
  <c r="G29" i="1"/>
  <c r="J29" i="1" s="1"/>
  <c r="J31" i="1"/>
  <c r="J22" i="6"/>
  <c r="P31" i="3"/>
  <c r="M22" i="6" s="1"/>
  <c r="I11" i="1"/>
  <c r="J11" i="1"/>
  <c r="J13" i="1"/>
  <c r="O31" i="3"/>
  <c r="L22" i="6" s="1"/>
  <c r="L43" i="6"/>
  <c r="M43" i="6"/>
  <c r="O16" i="3"/>
  <c r="L7" i="6" s="1"/>
  <c r="I22" i="6"/>
  <c r="G30" i="1"/>
  <c r="M7" i="6"/>
  <c r="O35" i="3"/>
  <c r="L26" i="6" s="1"/>
  <c r="M36" i="6"/>
  <c r="J36" i="6"/>
  <c r="G32" i="1"/>
  <c r="L40" i="6"/>
  <c r="M40" i="6"/>
  <c r="I29" i="1" l="1"/>
  <c r="I32" i="1"/>
  <c r="J32" i="1"/>
  <c r="J30" i="1"/>
  <c r="I30" i="1"/>
  <c r="M26" i="6"/>
</calcChain>
</file>

<file path=xl/comments1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75384 ton  por Res  N°966/2024  73151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28345 ton  por Res  N°966/2024  27707 ton.</t>
        </r>
      </text>
    </comment>
  </commentList>
</comments>
</file>

<file path=xl/comments2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630 ton  por Res  N°966/2024  1323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2385 ton  por Res  N°966/17-04-2024,  5007 ton.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 16-02-2024 Cierre de cuota Resolucion N°36
18-04-2024 Apertura de cuota Resolición N°75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98 CIERRE DE CUOTA</t>
        </r>
      </text>
    </comment>
  </commentList>
</comments>
</file>

<file path=xl/comments3.xml><?xml version="1.0" encoding="utf-8"?>
<comments xmlns="http://schemas.openxmlformats.org/spreadsheetml/2006/main">
  <authors>
    <author>ARCE VERGARA,MARCELA MARGARITA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494-24 Cede 16731,47 Ton hacia Emb XV-I.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>Res 456-24 Cede 3173,209 ton hacia Emb XV-I.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968-18-04-2024 Cede 890 ton hacia Emb III.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973-18-04-2024 Cede 380 ton hacia Emb IV.</t>
        </r>
      </text>
    </comment>
  </commentList>
</comments>
</file>

<file path=xl/sharedStrings.xml><?xml version="1.0" encoding="utf-8"?>
<sst xmlns="http://schemas.openxmlformats.org/spreadsheetml/2006/main" count="747" uniqueCount="203">
  <si>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</si>
  <si>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</si>
  <si>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</si>
  <si>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</si>
  <si>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</si>
  <si>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</si>
  <si>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</si>
  <si>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</si>
  <si>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</si>
  <si>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</si>
  <si>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</si>
  <si>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</si>
  <si>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</si>
  <si>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</si>
  <si>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</si>
  <si>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</si>
  <si>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</si>
  <si>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</si>
  <si>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</si>
  <si>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</si>
  <si>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</si>
  <si>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</si>
  <si>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</si>
  <si>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</si>
  <si>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</si>
  <si>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</si>
  <si>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</si>
  <si>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</si>
  <si>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</si>
  <si>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</si>
  <si>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</si>
  <si>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</si>
  <si>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</si>
  <si>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</si>
  <si>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</si>
  <si>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</si>
  <si>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</si>
  <si>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</si>
  <si>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</si>
  <si>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</si>
  <si>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</si>
  <si>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</si>
  <si>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</si>
  <si>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</si>
  <si>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</si>
  <si>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</si>
  <si>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</si>
  <si>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</si>
  <si>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</si>
  <si>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</si>
  <si>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</si>
  <si>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</si>
  <si>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</si>
  <si>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</si>
  <si>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</si>
  <si>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</si>
  <si>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</si>
  <si>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ORIZON S.A.</t>
  </si>
  <si>
    <t>CAMANCHACA PESCA SUR S.A.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</si>
  <si>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</si>
  <si>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</si>
  <si>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</si>
  <si>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</si>
  <si>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</si>
  <si>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</si>
  <si>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</si>
  <si>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</si>
  <si>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</si>
  <si>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</si>
  <si>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</si>
  <si>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</si>
  <si>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</si>
  <si>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</si>
  <si>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</si>
  <si>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</si>
  <si>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</si>
  <si>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</si>
  <si>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</si>
  <si>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</si>
  <si>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</si>
  <si>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</si>
  <si>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</si>
  <si>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</si>
  <si>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</si>
  <si>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</si>
  <si>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</si>
  <si>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</si>
  <si>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</si>
  <si>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</si>
  <si>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</si>
  <si>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</si>
  <si>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</si>
  <si>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</si>
  <si>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</si>
  <si>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</si>
  <si>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</si>
  <si>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</si>
  <si>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</si>
  <si>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</si>
  <si>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</si>
  <si>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</si>
  <si>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</si>
  <si>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</si>
  <si>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</si>
  <si>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</si>
  <si>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</si>
  <si>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</si>
  <si>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</si>
  <si>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</si>
  <si>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</si>
  <si>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</si>
  <si>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</si>
  <si>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</si>
  <si>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</si>
  <si>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</si>
  <si>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</si>
  <si>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</si>
  <si>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</si>
  <si>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 - IV</t>
  </si>
  <si>
    <t>S. española</t>
  </si>
  <si>
    <t>Fraccionamiento</t>
  </si>
  <si>
    <t>Fauna acompañante</t>
  </si>
  <si>
    <t>Saldo (ton)</t>
  </si>
  <si>
    <t>Captura (ton)</t>
  </si>
  <si>
    <t>Total P. investigación</t>
  </si>
  <si>
    <t>Resolución</t>
  </si>
  <si>
    <t>Cuota</t>
  </si>
  <si>
    <t>captura</t>
  </si>
  <si>
    <t xml:space="preserve">Región </t>
  </si>
  <si>
    <t>Captura (T)</t>
  </si>
  <si>
    <t>Saldo (T)</t>
  </si>
  <si>
    <t xml:space="preserve">% Consumido </t>
  </si>
  <si>
    <t>Cargos por excesos</t>
  </si>
  <si>
    <t>ASIGNATARIO</t>
  </si>
  <si>
    <t>PERIODO</t>
  </si>
  <si>
    <t>CERCOPESCA Rol 4276</t>
  </si>
  <si>
    <t>CUOTA RESIDUAL</t>
  </si>
  <si>
    <t>Cesiones Ind y Colec XV-I</t>
  </si>
  <si>
    <t>Cesiones Ind y Colec II</t>
  </si>
  <si>
    <t>Cesiones Ind y Colec III</t>
  </si>
  <si>
    <t>Cesiones Ind y Colec IV</t>
  </si>
  <si>
    <t>Cesiones</t>
  </si>
  <si>
    <t>Fauna acompañante XV-III</t>
  </si>
  <si>
    <t>Fauna acompañante IV</t>
  </si>
  <si>
    <t>CAMANCHACA S.A.</t>
  </si>
  <si>
    <t>AG de Coquimbo RAG 55-4</t>
  </si>
  <si>
    <t>RESUMEN CONSUMO ANUAL ANCHOVETA Y SARDINA ESPAÑOLA XV-IV AÑO 2024. Dato en toneladas</t>
  </si>
  <si>
    <t>CONTROL CUOTA ANCHOVETA  XV - IV AÑO 2024</t>
  </si>
  <si>
    <t>CONTROL DE CUOTA REMANENTE ANCHOVETA ARTESANAL 2024</t>
  </si>
  <si>
    <t>Cuota Remanente 2023 (T)</t>
  </si>
  <si>
    <t>CONTROL CUOTA SARDINA ESPAÑOLA ARTESANAL XV - IV AÑO 2024</t>
  </si>
  <si>
    <t>ANCHOVETA 2024</t>
  </si>
  <si>
    <t>SARDINA ESPAÑOLA 2024</t>
  </si>
  <si>
    <t>TOTAL CESIONES 2024</t>
  </si>
  <si>
    <t>CONTROL DE CUOTAS PESCA DE INVESTIGACIÓN AÑO 2024</t>
  </si>
  <si>
    <t>CONTROL CUOTA ANCHOVETA Y SARDINA ESPAÑOLA INDUSTRIAL XV - IV AÑO 2024</t>
  </si>
  <si>
    <t>SIPESUR SPA</t>
  </si>
  <si>
    <t>DEL NORTE SpA SIND. PESQ.</t>
  </si>
  <si>
    <t>ESPACIO PESQUERO SpA.</t>
  </si>
  <si>
    <t>LANDES S.A. SOC. PESQ.</t>
  </si>
  <si>
    <t>STI de Coquimbo RSU 04.04.0472</t>
  </si>
  <si>
    <t>TOTAL</t>
  </si>
  <si>
    <t>Anchoveta XV-I</t>
  </si>
  <si>
    <t>Anchoveta II</t>
  </si>
  <si>
    <t>Anchoveta III</t>
  </si>
  <si>
    <t>Anchoveta IV</t>
  </si>
  <si>
    <t>XV</t>
  </si>
  <si>
    <t>Ind-Art</t>
  </si>
  <si>
    <t>Andreas</t>
  </si>
  <si>
    <t>Liliana</t>
  </si>
  <si>
    <t>Valentina</t>
  </si>
  <si>
    <t>Josue</t>
  </si>
  <si>
    <t>Isidora I</t>
  </si>
  <si>
    <t>I</t>
  </si>
  <si>
    <t>Aries I</t>
  </si>
  <si>
    <t>Fernanda I</t>
  </si>
  <si>
    <t>Niña Ximena</t>
  </si>
  <si>
    <t>Sea Quest</t>
  </si>
  <si>
    <t>Tom  Jerry</t>
  </si>
  <si>
    <t>Reymar I</t>
  </si>
  <si>
    <t>Fotuna VI</t>
  </si>
  <si>
    <t>Daniela Andrea I</t>
  </si>
  <si>
    <t>Don Milo</t>
  </si>
  <si>
    <t>Atenea II</t>
  </si>
  <si>
    <t>Sebastian II</t>
  </si>
  <si>
    <t>El Bellaco</t>
  </si>
  <si>
    <t>Delfin 2000</t>
  </si>
  <si>
    <t>Falcon</t>
  </si>
  <si>
    <t>El Bellaco I</t>
  </si>
  <si>
    <t>Green Peace</t>
  </si>
  <si>
    <t>Don Victorino</t>
  </si>
  <si>
    <t>Maria Soledad</t>
  </si>
  <si>
    <t>Pa Ke Te PiKay</t>
  </si>
  <si>
    <t>El Reno</t>
  </si>
  <si>
    <t>Atlantico III</t>
  </si>
  <si>
    <t>Garota</t>
  </si>
  <si>
    <t>Garota V</t>
  </si>
  <si>
    <t>Garota II</t>
  </si>
  <si>
    <t>Sta Veronica II</t>
  </si>
  <si>
    <t>Don Perucho II</t>
  </si>
  <si>
    <t>Jennifer I</t>
  </si>
  <si>
    <t>Haylen Carolina</t>
  </si>
  <si>
    <t>Zeus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</si>
</sst>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  <numFmt numFmtId="173" formatCode="####\ ##0.000"/>
    <numFmt numFmtId="174" formatCode="0.0"/>
    <numFmt numFmtId="175" formatCode="##\ ##0.00"/>
    <numFmt numFmtId="176" formatCode="###\ ##0.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28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5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4" fillId="0" borderId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169" fontId="0" fillId="0" borderId="1" xfId="0" applyNumberFormat="1" applyFont="1" applyFill="1" applyBorder="1"/>
    <xf numFmtId="9" fontId="0" fillId="0" borderId="0" xfId="1" applyFont="1"/>
    <xf numFmtId="169" fontId="0" fillId="0" borderId="4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9" fontId="0" fillId="0" borderId="1" xfId="0" applyNumberFormat="1" applyFont="1" applyBorder="1"/>
    <xf numFmtId="9" fontId="0" fillId="0" borderId="13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0" xfId="0" applyNumberFormat="1" applyBorder="1"/>
    <xf numFmtId="169" fontId="0" fillId="0" borderId="5" xfId="0" applyNumberFormat="1" applyBorder="1"/>
    <xf numFmtId="169" fontId="0" fillId="0" borderId="18" xfId="0" applyNumberFormat="1" applyBorder="1"/>
    <xf numFmtId="9" fontId="0" fillId="0" borderId="9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28" xfId="1" applyFont="1" applyBorder="1" applyAlignment="1">
      <alignment horizontal="center" vertical="center"/>
    </xf>
    <xf numFmtId="169" fontId="0" fillId="0" borderId="18" xfId="0" applyNumberFormat="1" applyBorder="1" applyAlignment="1">
      <alignment vertical="center"/>
    </xf>
    <xf numFmtId="9" fontId="0" fillId="0" borderId="6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14" fontId="0" fillId="0" borderId="0" xfId="0" applyNumberFormat="1"/>
    <xf numFmtId="0" fontId="29" fillId="3" borderId="1" xfId="0" applyFont="1" applyFill="1" applyBorder="1" applyAlignment="1">
      <alignment horizontal="center" vertical="center" wrapText="1"/>
    </xf>
    <xf numFmtId="0" fontId="0" fillId="0" borderId="0" xfId="0"/>
    <xf numFmtId="0" fontId="29" fillId="3" borderId="1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9" fontId="29" fillId="3" borderId="1" xfId="1" applyFont="1" applyFill="1" applyBorder="1" applyAlignment="1">
      <alignment horizontal="center" vertical="center"/>
    </xf>
    <xf numFmtId="168" fontId="29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3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72" fontId="0" fillId="0" borderId="3" xfId="1" applyNumberFormat="1" applyFont="1" applyBorder="1" applyAlignment="1">
      <alignment horizontal="center" vertical="center"/>
    </xf>
    <xf numFmtId="170" fontId="0" fillId="0" borderId="0" xfId="0" applyNumberFormat="1"/>
    <xf numFmtId="16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1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2" borderId="4" xfId="0" applyFont="1" applyFill="1" applyBorder="1" applyAlignment="1">
      <alignment horizontal="left"/>
    </xf>
    <xf numFmtId="0" fontId="0" fillId="32" borderId="1" xfId="0" applyFont="1" applyFill="1" applyBorder="1" applyAlignment="1">
      <alignment horizontal="left"/>
    </xf>
    <xf numFmtId="169" fontId="0" fillId="3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/>
    <xf numFmtId="0" fontId="2" fillId="3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2" fillId="30" borderId="5" xfId="0" applyFont="1" applyFill="1" applyBorder="1" applyAlignment="1">
      <alignment horizontal="left" vertical="center" wrapText="1"/>
    </xf>
    <xf numFmtId="0" fontId="32" fillId="30" borderId="1" xfId="0" applyFont="1" applyFill="1" applyBorder="1" applyAlignment="1">
      <alignment horizontal="left" vertical="center" wrapText="1"/>
    </xf>
    <xf numFmtId="0" fontId="30" fillId="32" borderId="4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/>
    </xf>
    <xf numFmtId="0" fontId="30" fillId="32" borderId="5" xfId="0" applyFont="1" applyFill="1" applyBorder="1" applyAlignment="1">
      <alignment horizontal="left" vertical="center"/>
    </xf>
    <xf numFmtId="0" fontId="30" fillId="32" borderId="1" xfId="0" applyFont="1" applyFill="1" applyBorder="1" applyAlignment="1">
      <alignment horizontal="left" vertical="center" wrapText="1"/>
    </xf>
    <xf numFmtId="0" fontId="30" fillId="32" borderId="1" xfId="0" applyFont="1" applyFill="1" applyBorder="1" applyAlignment="1">
      <alignment horizontal="left" vertical="center"/>
    </xf>
    <xf numFmtId="0" fontId="0" fillId="0" borderId="0" xfId="0" applyFill="1"/>
    <xf numFmtId="9" fontId="0" fillId="0" borderId="0" xfId="1" applyFont="1" applyFill="1"/>
    <xf numFmtId="14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0" fontId="2" fillId="0" borderId="0" xfId="0" applyFont="1"/>
    <xf numFmtId="9" fontId="2" fillId="0" borderId="0" xfId="1" applyFont="1"/>
    <xf numFmtId="14" fontId="2" fillId="0" borderId="0" xfId="1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1" fontId="2" fillId="0" borderId="0" xfId="0" applyNumberFormat="1" applyFont="1" applyFill="1"/>
    <xf numFmtId="0" fontId="2" fillId="38" borderId="35" xfId="0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170" fontId="0" fillId="0" borderId="35" xfId="0" applyNumberFormat="1" applyFill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3" fontId="0" fillId="3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0" fillId="39" borderId="3" xfId="0" applyNumberFormat="1" applyFont="1" applyFill="1" applyBorder="1"/>
    <xf numFmtId="0" fontId="0" fillId="0" borderId="0" xfId="0" applyAlignment="1"/>
    <xf numFmtId="1" fontId="0" fillId="39" borderId="0" xfId="0" applyNumberFormat="1" applyFill="1"/>
    <xf numFmtId="169" fontId="0" fillId="32" borderId="37" xfId="0" applyNumberFormat="1" applyFont="1" applyFill="1" applyBorder="1" applyAlignment="1">
      <alignment horizontal="right" vertical="center"/>
    </xf>
    <xf numFmtId="0" fontId="0" fillId="0" borderId="37" xfId="0" applyFont="1" applyFill="1" applyBorder="1"/>
    <xf numFmtId="166" fontId="2" fillId="0" borderId="37" xfId="0" applyNumberFormat="1" applyFont="1" applyFill="1" applyBorder="1"/>
    <xf numFmtId="0" fontId="0" fillId="32" borderId="0" xfId="0" applyFont="1" applyFill="1"/>
    <xf numFmtId="166" fontId="0" fillId="32" borderId="0" xfId="0" applyNumberFormat="1" applyFill="1"/>
    <xf numFmtId="0" fontId="2" fillId="32" borderId="39" xfId="0" applyFont="1" applyFill="1" applyBorder="1" applyAlignment="1">
      <alignment horizontal="center" vertical="center" wrapText="1"/>
    </xf>
    <xf numFmtId="9" fontId="2" fillId="0" borderId="0" xfId="1" applyFont="1" applyFill="1"/>
    <xf numFmtId="14" fontId="2" fillId="0" borderId="0" xfId="1" applyNumberFormat="1" applyFont="1" applyFill="1" applyAlignment="1">
      <alignment horizontal="center"/>
    </xf>
    <xf numFmtId="14" fontId="2" fillId="0" borderId="0" xfId="0" applyNumberFormat="1" applyFont="1" applyFill="1"/>
    <xf numFmtId="0" fontId="30" fillId="32" borderId="4" xfId="0" applyFont="1" applyFill="1" applyBorder="1" applyAlignment="1">
      <alignment horizontal="left" vertical="center"/>
    </xf>
    <xf numFmtId="169" fontId="0" fillId="32" borderId="4" xfId="0" applyNumberFormat="1" applyFont="1" applyFill="1" applyBorder="1" applyAlignment="1">
      <alignment horizontal="right" vertical="center"/>
    </xf>
    <xf numFmtId="172" fontId="0" fillId="0" borderId="13" xfId="1" applyNumberFormat="1" applyFont="1" applyBorder="1" applyAlignment="1">
      <alignment horizontal="center" vertical="center"/>
    </xf>
    <xf numFmtId="169" fontId="0" fillId="32" borderId="40" xfId="0" applyNumberFormat="1" applyFont="1" applyFill="1" applyBorder="1" applyAlignment="1">
      <alignment horizontal="right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Border="1"/>
    <xf numFmtId="0" fontId="2" fillId="32" borderId="0" xfId="0" applyFont="1" applyFill="1" applyAlignment="1">
      <alignment horizontal="center" vertical="center"/>
    </xf>
    <xf numFmtId="174" fontId="0" fillId="39" borderId="3" xfId="0" applyNumberFormat="1" applyFont="1" applyFill="1" applyBorder="1"/>
    <xf numFmtId="166" fontId="0" fillId="0" borderId="4" xfId="0" applyNumberFormat="1" applyFont="1" applyFill="1" applyBorder="1" applyAlignment="1">
      <alignment horizontal="center" vertical="center"/>
    </xf>
    <xf numFmtId="9" fontId="0" fillId="0" borderId="41" xfId="1" applyFont="1" applyFill="1" applyBorder="1" applyAlignment="1">
      <alignment horizontal="center"/>
    </xf>
    <xf numFmtId="169" fontId="0" fillId="0" borderId="27" xfId="0" applyNumberFormat="1" applyBorder="1" applyAlignment="1">
      <alignment vertical="center"/>
    </xf>
    <xf numFmtId="0" fontId="0" fillId="0" borderId="34" xfId="0" applyNumberFormat="1" applyBorder="1" applyAlignment="1">
      <alignment horizontal="center" vertical="center"/>
    </xf>
    <xf numFmtId="169" fontId="0" fillId="0" borderId="34" xfId="0" applyNumberFormat="1" applyBorder="1" applyAlignment="1">
      <alignment vertical="center"/>
    </xf>
    <xf numFmtId="9" fontId="0" fillId="0" borderId="4" xfId="1" applyFont="1" applyFill="1" applyBorder="1" applyAlignment="1">
      <alignment horizontal="center"/>
    </xf>
    <xf numFmtId="169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left"/>
    </xf>
    <xf numFmtId="1" fontId="0" fillId="39" borderId="42" xfId="0" applyNumberFormat="1" applyFont="1" applyFill="1" applyBorder="1"/>
    <xf numFmtId="0" fontId="0" fillId="0" borderId="42" xfId="0" applyFont="1" applyFill="1" applyBorder="1"/>
    <xf numFmtId="169" fontId="0" fillId="0" borderId="42" xfId="0" applyNumberFormat="1" applyFont="1" applyFill="1" applyBorder="1"/>
    <xf numFmtId="9" fontId="0" fillId="0" borderId="42" xfId="1" applyFont="1" applyFill="1" applyBorder="1" applyAlignment="1">
      <alignment horizontal="center"/>
    </xf>
    <xf numFmtId="169" fontId="0" fillId="0" borderId="42" xfId="0" applyNumberFormat="1" applyFill="1" applyBorder="1"/>
    <xf numFmtId="169" fontId="0" fillId="0" borderId="42" xfId="0" applyNumberFormat="1" applyBorder="1" applyAlignment="1">
      <alignment horizontal="center" vertical="center"/>
    </xf>
    <xf numFmtId="170" fontId="0" fillId="0" borderId="42" xfId="0" applyNumberFormat="1" applyBorder="1"/>
    <xf numFmtId="170" fontId="0" fillId="0" borderId="42" xfId="0" applyNumberFormat="1" applyBorder="1" applyAlignment="1">
      <alignment horizontal="center" vertical="center"/>
    </xf>
    <xf numFmtId="0" fontId="30" fillId="3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left" vertical="center"/>
    </xf>
    <xf numFmtId="175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2" borderId="0" xfId="0" applyFill="1"/>
    <xf numFmtId="0" fontId="2" fillId="42" borderId="1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0" fontId="30" fillId="42" borderId="1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2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/>
    </xf>
    <xf numFmtId="0" fontId="0" fillId="3" borderId="0" xfId="0" applyFill="1"/>
    <xf numFmtId="0" fontId="0" fillId="32" borderId="1" xfId="0" applyFill="1" applyBorder="1"/>
    <xf numFmtId="169" fontId="0" fillId="32" borderId="1" xfId="0" applyNumberFormat="1" applyFill="1" applyBorder="1" applyAlignment="1">
      <alignment horizontal="right" vertical="center"/>
    </xf>
    <xf numFmtId="169" fontId="0" fillId="32" borderId="1" xfId="0" applyNumberFormat="1" applyFill="1" applyBorder="1" applyAlignment="1">
      <alignment horizontal="center" vertical="center"/>
    </xf>
    <xf numFmtId="9" fontId="0" fillId="32" borderId="1" xfId="1" applyFont="1" applyFill="1" applyBorder="1" applyAlignment="1">
      <alignment horizontal="center" vertical="center"/>
    </xf>
    <xf numFmtId="169" fontId="0" fillId="29" borderId="35" xfId="0" applyNumberFormat="1" applyFill="1" applyBorder="1" applyAlignment="1">
      <alignment horizontal="center" vertical="center"/>
    </xf>
    <xf numFmtId="9" fontId="0" fillId="29" borderId="35" xfId="1" applyFont="1" applyFill="1" applyBorder="1" applyAlignment="1">
      <alignment horizontal="center" vertical="center"/>
    </xf>
    <xf numFmtId="169" fontId="0" fillId="29" borderId="4" xfId="0" applyNumberFormat="1" applyFill="1" applyBorder="1" applyAlignment="1">
      <alignment horizontal="center" vertical="center"/>
    </xf>
    <xf numFmtId="9" fontId="0" fillId="29" borderId="4" xfId="1" applyFont="1" applyFill="1" applyBorder="1" applyAlignment="1">
      <alignment horizontal="center" vertical="center"/>
    </xf>
    <xf numFmtId="169" fontId="0" fillId="29" borderId="1" xfId="0" applyNumberFormat="1" applyFill="1" applyBorder="1" applyAlignment="1">
      <alignment horizontal="center" vertical="center"/>
    </xf>
    <xf numFmtId="172" fontId="0" fillId="29" borderId="1" xfId="1" applyNumberFormat="1" applyFont="1" applyFill="1" applyBorder="1" applyAlignment="1">
      <alignment horizontal="center" vertical="center"/>
    </xf>
    <xf numFmtId="9" fontId="0" fillId="29" borderId="1" xfId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horizontal="center" vertical="center" wrapText="1"/>
    </xf>
    <xf numFmtId="0" fontId="30" fillId="42" borderId="44" xfId="0" applyFont="1" applyFill="1" applyBorder="1" applyAlignment="1">
      <alignment horizontal="center" vertical="center"/>
    </xf>
    <xf numFmtId="0" fontId="0" fillId="42" borderId="44" xfId="0" applyFill="1" applyBorder="1"/>
    <xf numFmtId="169" fontId="0" fillId="42" borderId="44" xfId="0" applyNumberFormat="1" applyFill="1" applyBorder="1" applyAlignment="1">
      <alignment horizontal="right" vertical="center"/>
    </xf>
    <xf numFmtId="169" fontId="0" fillId="42" borderId="44" xfId="0" applyNumberFormat="1" applyFill="1" applyBorder="1" applyAlignment="1">
      <alignment horizontal="center" vertical="center"/>
    </xf>
    <xf numFmtId="169" fontId="2" fillId="42" borderId="44" xfId="0" applyNumberFormat="1" applyFont="1" applyFill="1" applyBorder="1" applyAlignment="1">
      <alignment horizontal="center" vertical="center"/>
    </xf>
    <xf numFmtId="172" fontId="0" fillId="42" borderId="44" xfId="1" applyNumberFormat="1" applyFont="1" applyFill="1" applyBorder="1" applyAlignment="1">
      <alignment horizontal="center" vertical="center"/>
    </xf>
    <xf numFmtId="14" fontId="2" fillId="42" borderId="44" xfId="0" applyNumberFormat="1" applyFont="1" applyFill="1" applyBorder="1" applyAlignment="1">
      <alignment horizontal="center" vertical="center"/>
    </xf>
    <xf numFmtId="9" fontId="0" fillId="42" borderId="44" xfId="1" applyFont="1" applyFill="1" applyBorder="1" applyAlignment="1">
      <alignment horizontal="center" vertical="center"/>
    </xf>
    <xf numFmtId="0" fontId="30" fillId="42" borderId="44" xfId="0" applyFont="1" applyFill="1" applyBorder="1" applyAlignment="1">
      <alignment horizontal="center" vertical="center" wrapText="1"/>
    </xf>
    <xf numFmtId="169" fontId="0" fillId="42" borderId="44" xfId="0" applyNumberFormat="1" applyFont="1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1" xfId="0" applyFill="1" applyBorder="1"/>
    <xf numFmtId="169" fontId="0" fillId="2" borderId="1" xfId="0" applyNumberFormat="1" applyFill="1" applyBorder="1" applyAlignment="1">
      <alignment horizontal="right" vertical="center"/>
    </xf>
    <xf numFmtId="169" fontId="0" fillId="2" borderId="1" xfId="0" applyNumberForma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36" fillId="3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169" fontId="36" fillId="0" borderId="1" xfId="0" applyNumberFormat="1" applyFont="1" applyFill="1" applyBorder="1"/>
    <xf numFmtId="9" fontId="36" fillId="0" borderId="6" xfId="1" applyFont="1" applyFill="1" applyBorder="1" applyAlignment="1">
      <alignment horizontal="center"/>
    </xf>
    <xf numFmtId="171" fontId="36" fillId="0" borderId="10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66" fontId="36" fillId="0" borderId="5" xfId="0" applyNumberFormat="1" applyFont="1" applyBorder="1" applyAlignment="1">
      <alignment horizontal="center" vertical="center"/>
    </xf>
    <xf numFmtId="9" fontId="36" fillId="0" borderId="13" xfId="1" applyFont="1" applyBorder="1" applyAlignment="1">
      <alignment horizontal="center" vertical="center"/>
    </xf>
    <xf numFmtId="9" fontId="0" fillId="0" borderId="44" xfId="1" applyFon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/>
    <xf numFmtId="0" fontId="0" fillId="32" borderId="44" xfId="0" applyFont="1" applyFill="1" applyBorder="1" applyAlignment="1">
      <alignment horizontal="center" vertical="center"/>
    </xf>
    <xf numFmtId="14" fontId="0" fillId="32" borderId="44" xfId="0" applyNumberFormat="1" applyFont="1" applyFill="1" applyBorder="1" applyAlignment="1">
      <alignment horizontal="center" vertical="center"/>
    </xf>
    <xf numFmtId="169" fontId="36" fillId="32" borderId="1" xfId="0" applyNumberFormat="1" applyFont="1" applyFill="1" applyBorder="1" applyAlignment="1">
      <alignment horizontal="center" vertical="center"/>
    </xf>
    <xf numFmtId="169" fontId="40" fillId="31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6" fillId="2" borderId="1" xfId="0" applyFont="1" applyFill="1" applyBorder="1"/>
    <xf numFmtId="169" fontId="36" fillId="2" borderId="1" xfId="0" applyNumberFormat="1" applyFont="1" applyFill="1" applyBorder="1" applyAlignment="1">
      <alignment horizontal="right" vertical="center"/>
    </xf>
    <xf numFmtId="169" fontId="36" fillId="2" borderId="1" xfId="0" applyNumberFormat="1" applyFont="1" applyFill="1" applyBorder="1" applyAlignment="1">
      <alignment horizontal="center" vertical="center"/>
    </xf>
    <xf numFmtId="172" fontId="36" fillId="2" borderId="1" xfId="1" applyNumberFormat="1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169" fontId="36" fillId="29" borderId="1" xfId="0" applyNumberFormat="1" applyFont="1" applyFill="1" applyBorder="1" applyAlignment="1">
      <alignment horizontal="center" vertical="center"/>
    </xf>
    <xf numFmtId="172" fontId="36" fillId="29" borderId="1" xfId="1" applyNumberFormat="1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30" fillId="44" borderId="44" xfId="0" applyFont="1" applyFill="1" applyBorder="1" applyAlignment="1">
      <alignment horizontal="center"/>
    </xf>
    <xf numFmtId="0" fontId="0" fillId="44" borderId="44" xfId="0" applyFill="1" applyBorder="1"/>
    <xf numFmtId="169" fontId="0" fillId="44" borderId="44" xfId="0" applyNumberFormat="1" applyFill="1" applyBorder="1" applyAlignment="1">
      <alignment horizontal="right" vertical="center"/>
    </xf>
    <xf numFmtId="169" fontId="0" fillId="44" borderId="44" xfId="0" applyNumberFormat="1" applyFill="1" applyBorder="1" applyAlignment="1">
      <alignment horizontal="center" vertical="center"/>
    </xf>
    <xf numFmtId="169" fontId="2" fillId="44" borderId="44" xfId="0" applyNumberFormat="1" applyFont="1" applyFill="1" applyBorder="1" applyAlignment="1">
      <alignment horizontal="center" vertical="center"/>
    </xf>
    <xf numFmtId="172" fontId="0" fillId="44" borderId="44" xfId="1" applyNumberFormat="1" applyFont="1" applyFill="1" applyBorder="1" applyAlignment="1">
      <alignment horizontal="center" vertical="center"/>
    </xf>
    <xf numFmtId="14" fontId="2" fillId="44" borderId="44" xfId="0" applyNumberFormat="1" applyFont="1" applyFill="1" applyBorder="1" applyAlignment="1">
      <alignment horizontal="center" vertical="center"/>
    </xf>
    <xf numFmtId="9" fontId="0" fillId="44" borderId="44" xfId="1" applyFont="1" applyFill="1" applyBorder="1" applyAlignment="1">
      <alignment horizontal="center" vertical="center"/>
    </xf>
    <xf numFmtId="169" fontId="0" fillId="44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9" fontId="43" fillId="35" borderId="1" xfId="0" applyNumberFormat="1" applyFont="1" applyFill="1" applyBorder="1" applyAlignment="1">
      <alignment horizontal="center" vertical="center"/>
    </xf>
    <xf numFmtId="169" fontId="2" fillId="35" borderId="42" xfId="0" applyNumberFormat="1" applyFont="1" applyFill="1" applyBorder="1" applyAlignment="1">
      <alignment horizontal="center" vertical="center"/>
    </xf>
    <xf numFmtId="0" fontId="44" fillId="32" borderId="35" xfId="0" applyFont="1" applyFill="1" applyBorder="1" applyAlignment="1">
      <alignment horizontal="center" vertical="center"/>
    </xf>
    <xf numFmtId="0" fontId="45" fillId="32" borderId="36" xfId="0" applyFont="1" applyFill="1" applyBorder="1" applyAlignment="1">
      <alignment horizontal="center" vertical="center" wrapText="1"/>
    </xf>
    <xf numFmtId="0" fontId="44" fillId="32" borderId="1" xfId="0" applyFont="1" applyFill="1" applyBorder="1"/>
    <xf numFmtId="169" fontId="44" fillId="32" borderId="1" xfId="0" applyNumberFormat="1" applyFont="1" applyFill="1" applyBorder="1" applyAlignment="1">
      <alignment horizontal="right" vertical="center"/>
    </xf>
    <xf numFmtId="169" fontId="44" fillId="32" borderId="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1" borderId="45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0" fillId="29" borderId="44" xfId="0" applyFill="1" applyBorder="1" applyAlignment="1">
      <alignment horizontal="center" vertical="center"/>
    </xf>
    <xf numFmtId="0" fontId="0" fillId="29" borderId="44" xfId="0" applyFont="1" applyFill="1" applyBorder="1" applyAlignment="1">
      <alignment horizontal="center" vertical="center"/>
    </xf>
    <xf numFmtId="14" fontId="0" fillId="29" borderId="44" xfId="0" applyNumberFormat="1" applyFill="1" applyBorder="1" applyAlignment="1">
      <alignment horizontal="center" vertical="center"/>
    </xf>
    <xf numFmtId="0" fontId="30" fillId="42" borderId="1" xfId="0" applyFont="1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2" borderId="1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41" borderId="35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31" fillId="42" borderId="38" xfId="0" applyFont="1" applyFill="1" applyBorder="1" applyAlignment="1">
      <alignment horizontal="center" vertical="center" wrapText="1"/>
    </xf>
    <xf numFmtId="0" fontId="31" fillId="42" borderId="4" xfId="0" applyFont="1" applyFill="1" applyBorder="1" applyAlignment="1">
      <alignment horizontal="center" vertical="center" wrapText="1"/>
    </xf>
    <xf numFmtId="0" fontId="2" fillId="43" borderId="0" xfId="0" applyFont="1" applyFill="1" applyAlignment="1">
      <alignment horizontal="center" vertical="center"/>
    </xf>
    <xf numFmtId="0" fontId="2" fillId="44" borderId="44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0" fillId="42" borderId="44" xfId="0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32" borderId="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 vertical="center" textRotation="90"/>
    </xf>
    <xf numFmtId="0" fontId="27" fillId="5" borderId="18" xfId="0" applyFont="1" applyFill="1" applyBorder="1" applyAlignment="1">
      <alignment horizontal="center" vertical="center" textRotation="90"/>
    </xf>
    <xf numFmtId="0" fontId="27" fillId="5" borderId="33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27" xfId="0" applyFont="1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textRotation="90" wrapText="1"/>
    </xf>
    <xf numFmtId="0" fontId="27" fillId="5" borderId="10" xfId="0" applyFont="1" applyFill="1" applyBorder="1" applyAlignment="1">
      <alignment horizontal="center" vertical="center" textRotation="90" wrapText="1"/>
    </xf>
    <xf numFmtId="0" fontId="27" fillId="5" borderId="18" xfId="0" applyFont="1" applyFill="1" applyBorder="1" applyAlignment="1">
      <alignment horizontal="center" vertical="center" textRotation="90" wrapText="1"/>
    </xf>
    <xf numFmtId="0" fontId="2" fillId="37" borderId="1" xfId="0" applyFont="1" applyFill="1" applyBorder="1" applyAlignment="1">
      <alignment horizontal="center" vertical="center"/>
    </xf>
    <xf numFmtId="14" fontId="2" fillId="37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J36"/>
  <sheetViews>
    <sheetView tabSelected="1" zoomScale="85" zoomScaleNormal="85" workbookViewId="0">
      <selection activeCell="C5" sqref="C5:J5"/>
    </sheetView>
  </sheetViews>
  <sheetFormatPr baseColWidth="10" defaultRowHeight="15"/>
  <cols>
    <col min="2" max="2" width="18.85546875" bestFit="1" customWidth="1"/>
    <col min="3" max="3" width="29.5703125" customWidth="1"/>
    <col min="4" max="4" width="23" customWidth="1"/>
    <col min="5" max="5" width="14.5703125" bestFit="1" customWidth="1"/>
    <col min="6" max="6" width="12.85546875" bestFit="1" customWidth="1"/>
    <col min="7" max="7" width="13.28515625" customWidth="1"/>
    <col min="9" max="9" width="11.85546875" bestFit="1" customWidth="1"/>
  </cols>
  <sheetData>
    <row r="2" spans="2:10">
      <c r="B2" s="294" t="s">
        <v>146</v>
      </c>
      <c r="C2" s="294"/>
      <c r="D2" s="294"/>
      <c r="E2" s="294"/>
      <c r="F2" s="294"/>
      <c r="G2" s="294"/>
      <c r="H2" s="294"/>
      <c r="I2" s="294"/>
      <c r="J2" s="294"/>
    </row>
    <row r="3" spans="2:10">
      <c r="B3" s="294"/>
      <c r="C3" s="294"/>
      <c r="D3" s="294"/>
      <c r="E3" s="294"/>
      <c r="F3" s="294"/>
      <c r="G3" s="294"/>
      <c r="H3" s="294"/>
      <c r="I3" s="294"/>
      <c r="J3" s="294"/>
    </row>
    <row r="4" spans="2:10">
      <c r="B4" s="200"/>
      <c r="C4" s="296">
        <v>45407</v>
      </c>
      <c r="D4" s="296"/>
      <c r="E4" s="296"/>
      <c r="F4" s="296"/>
      <c r="G4" s="296"/>
      <c r="H4" s="296"/>
      <c r="I4" s="296"/>
      <c r="J4" s="296"/>
    </row>
    <row r="5" spans="2:10">
      <c r="B5" s="200"/>
      <c r="C5" s="297" t="s">
        <v>0</v>
      </c>
      <c r="D5" s="297"/>
      <c r="E5" s="297"/>
      <c r="F5" s="297"/>
      <c r="G5" s="297"/>
      <c r="H5" s="297"/>
      <c r="I5" s="297"/>
      <c r="J5" s="297"/>
    </row>
    <row r="7" spans="2:10">
      <c r="B7" s="191"/>
      <c r="C7" s="191"/>
      <c r="D7" s="191"/>
      <c r="E7" s="191"/>
      <c r="F7" s="191"/>
      <c r="G7" s="191"/>
      <c r="H7" s="191"/>
      <c r="I7" s="191"/>
      <c r="J7" s="191"/>
    </row>
    <row r="8" spans="2:10">
      <c r="B8" s="192" t="s">
        <v>1</v>
      </c>
      <c r="C8" s="192" t="s">
        <v>101</v>
      </c>
      <c r="D8" s="192" t="s">
        <v>2</v>
      </c>
      <c r="E8" s="192" t="s">
        <v>3</v>
      </c>
      <c r="F8" s="192" t="s">
        <v>4</v>
      </c>
      <c r="G8" s="192" t="s">
        <v>5</v>
      </c>
      <c r="H8" s="192" t="s">
        <v>6</v>
      </c>
      <c r="I8" s="192" t="s">
        <v>7</v>
      </c>
      <c r="J8" s="192" t="s">
        <v>8</v>
      </c>
    </row>
    <row r="9" spans="2:10" ht="15" customHeight="1">
      <c r="B9" s="299" t="s">
        <v>103</v>
      </c>
      <c r="C9" s="299" t="s">
        <v>99</v>
      </c>
      <c r="D9" s="196" t="s">
        <v>9</v>
      </c>
      <c r="E9" s="67">
        <f>'Artesanal Anchoveta XV-IV'!N7</f>
        <v>73151</v>
      </c>
      <c r="F9" s="77">
        <f>'Artesanal Anchoveta XV-IV'!O7</f>
        <v>0</v>
      </c>
      <c r="G9" s="60">
        <f>'Artesanal Anchoveta XV-IV'!P7</f>
        <v>73151</v>
      </c>
      <c r="H9" s="60">
        <f>'Artesanal Anchoveta XV-IV'!Q7</f>
        <v>41572</v>
      </c>
      <c r="I9" s="60">
        <f>'Artesanal Anchoveta XV-IV'!R7</f>
        <v>31579</v>
      </c>
      <c r="J9" s="66">
        <f>'Artesanal Anchoveta XV-IV'!S7</f>
        <v>0.56830391929023527</v>
      </c>
    </row>
    <row r="10" spans="2:10" s="58" customFormat="1" ht="15" customHeight="1">
      <c r="B10" s="300"/>
      <c r="C10" s="300"/>
      <c r="D10" s="197" t="s">
        <v>137</v>
      </c>
      <c r="E10" s="142" t="s">
        <v>64</v>
      </c>
      <c r="F10" s="143" t="s">
        <v>64</v>
      </c>
      <c r="G10" s="144">
        <f>'Cesiones ind y colec'!T8</f>
        <v>19904.679</v>
      </c>
      <c r="H10" s="144">
        <f>'Cesiones ind y colec'!U8</f>
        <v>0</v>
      </c>
      <c r="I10" s="144" t="e">
        <f>'Cesiones ind y colec'!#REF!</f>
        <v>#REF!</v>
      </c>
      <c r="J10" s="141" t="e">
        <f>'Cesiones ind y colec'!#REF!</f>
        <v>#REF!</v>
      </c>
    </row>
    <row r="11" spans="2:10">
      <c r="B11" s="299"/>
      <c r="C11" s="299"/>
      <c r="D11" s="196" t="s">
        <v>10</v>
      </c>
      <c r="E11" s="67">
        <f>+'Artesanal Anchoveta XV-IV'!N8</f>
        <v>27707</v>
      </c>
      <c r="F11" s="77">
        <f>+'Artesanal Anchoveta XV-IV'!O8</f>
        <v>0</v>
      </c>
      <c r="G11" s="60">
        <f>+'Artesanal Anchoveta XV-IV'!P8</f>
        <v>27707</v>
      </c>
      <c r="H11" s="60">
        <f>+'Artesanal Anchoveta XV-IV'!Q8</f>
        <v>0.1</v>
      </c>
      <c r="I11" s="60">
        <f t="shared" ref="I11:I24" si="0">+G11-H11</f>
        <v>27706.9</v>
      </c>
      <c r="J11" s="66">
        <f t="shared" ref="J11:J24" si="1">+H11/G11</f>
        <v>3.6091962319991339E-6</v>
      </c>
    </row>
    <row r="12" spans="2:10" s="58" customFormat="1">
      <c r="B12" s="300"/>
      <c r="C12" s="300"/>
      <c r="D12" s="197" t="s">
        <v>138</v>
      </c>
      <c r="E12" s="142" t="s">
        <v>64</v>
      </c>
      <c r="F12" s="143" t="s">
        <v>64</v>
      </c>
      <c r="G12" s="144">
        <f>'Cesiones ind y colec'!L21</f>
        <v>890</v>
      </c>
      <c r="H12" s="144">
        <f>SUM('Cesiones ind y colec'!M21:M25)</f>
        <v>0</v>
      </c>
      <c r="I12" s="144"/>
      <c r="J12" s="141" t="e">
        <f>'Cesiones ind y colec'!#REF!</f>
        <v>#REF!</v>
      </c>
    </row>
    <row r="13" spans="2:10" s="1" customFormat="1">
      <c r="B13" s="299"/>
      <c r="C13" s="299"/>
      <c r="D13" s="196" t="s">
        <v>11</v>
      </c>
      <c r="E13" s="67">
        <f>+'Artesanal Anchoveta XV-IV'!N10</f>
        <v>21036</v>
      </c>
      <c r="F13" s="77">
        <f>+'Artesanal Anchoveta XV-IV'!O10</f>
        <v>0</v>
      </c>
      <c r="G13" s="60">
        <f>+'Artesanal Anchoveta XV-IV'!P10</f>
        <v>21036</v>
      </c>
      <c r="H13" s="60">
        <f>+'Artesanal Anchoveta XV-IV'!Q10</f>
        <v>0</v>
      </c>
      <c r="I13" s="60">
        <f t="shared" si="0"/>
        <v>21036</v>
      </c>
      <c r="J13" s="66">
        <f t="shared" si="1"/>
        <v>0</v>
      </c>
    </row>
    <row r="14" spans="2:10" s="58" customFormat="1">
      <c r="B14" s="300"/>
      <c r="C14" s="300"/>
      <c r="D14" s="197" t="s">
        <v>139</v>
      </c>
      <c r="E14" s="142" t="s">
        <v>64</v>
      </c>
      <c r="F14" s="143" t="s">
        <v>64</v>
      </c>
      <c r="G14" s="144" t="e">
        <f>'Cesiones ind y colec'!#REF!</f>
        <v>#REF!</v>
      </c>
      <c r="H14" s="144" t="e">
        <f>'Cesiones ind y colec'!#REF!</f>
        <v>#REF!</v>
      </c>
      <c r="I14" s="144" t="e">
        <f>'Cesiones ind y colec'!#REF!</f>
        <v>#REF!</v>
      </c>
      <c r="J14" s="141" t="e">
        <f>'Cesiones ind y colec'!#REF!</f>
        <v>#REF!</v>
      </c>
    </row>
    <row r="15" spans="2:10" ht="15" customHeight="1">
      <c r="B15" s="299"/>
      <c r="C15" s="299"/>
      <c r="D15" s="196" t="s">
        <v>12</v>
      </c>
      <c r="E15" s="188">
        <f>'Artesanal Anchoveta XV-IV'!N11+'Artesanal Anchoveta XV-IV'!N12+'Artesanal Anchoveta XV-IV'!F13+'Artesanal Anchoveta XV-IV'!N14</f>
        <v>9015.5000000000018</v>
      </c>
      <c r="F15" s="77">
        <f>+'Artesanal Anchoveta XV-IV'!O11+'Artesanal Anchoveta XV-IV'!O14</f>
        <v>0</v>
      </c>
      <c r="G15" s="60">
        <f>+'Artesanal Anchoveta XV-IV'!P11+'Artesanal Anchoveta XV-IV'!P12+'Artesanal Anchoveta XV-IV'!P14</f>
        <v>8965.844000000001</v>
      </c>
      <c r="H15" s="60">
        <f>+'Artesanal Anchoveta XV-IV'!Q11+'Artesanal Anchoveta XV-IV'!Q12+'Artesanal Anchoveta XV-IV'!Q14</f>
        <v>0</v>
      </c>
      <c r="I15" s="60">
        <f t="shared" si="0"/>
        <v>8965.844000000001</v>
      </c>
      <c r="J15" s="66">
        <f t="shared" si="1"/>
        <v>0</v>
      </c>
    </row>
    <row r="16" spans="2:10" s="58" customFormat="1" ht="15" customHeight="1">
      <c r="B16" s="300"/>
      <c r="C16" s="300"/>
      <c r="D16" s="197" t="s">
        <v>140</v>
      </c>
      <c r="E16" s="142" t="s">
        <v>64</v>
      </c>
      <c r="F16" s="143" t="s">
        <v>64</v>
      </c>
      <c r="G16" s="144" t="e">
        <f>'Cesiones ind y colec'!#REF!</f>
        <v>#REF!</v>
      </c>
      <c r="H16" s="144" t="e">
        <f>'Cesiones ind y colec'!#REF!</f>
        <v>#REF!</v>
      </c>
      <c r="I16" s="144" t="e">
        <f>'Cesiones ind y colec'!#REF!</f>
        <v>#REF!</v>
      </c>
      <c r="J16" s="141" t="e">
        <f>'Cesiones ind y colec'!#REF!</f>
        <v>#REF!</v>
      </c>
    </row>
    <row r="17" spans="2:10">
      <c r="B17" s="299"/>
      <c r="C17" s="299"/>
      <c r="D17" s="196" t="s">
        <v>13</v>
      </c>
      <c r="E17" s="67">
        <f>+'Artesanal Anchoveta XV-IV'!F9</f>
        <v>1000</v>
      </c>
      <c r="F17" s="67">
        <f>+'Artesanal Anchoveta XV-IV'!G9</f>
        <v>0</v>
      </c>
      <c r="G17" s="67">
        <f>+'Artesanal Anchoveta XV-IV'!H9</f>
        <v>1000</v>
      </c>
      <c r="H17" s="67">
        <f>+'Artesanal Anchoveta XV-IV'!I9</f>
        <v>0</v>
      </c>
      <c r="I17" s="60">
        <f t="shared" si="0"/>
        <v>1000</v>
      </c>
      <c r="J17" s="66">
        <f t="shared" si="1"/>
        <v>0</v>
      </c>
    </row>
    <row r="18" spans="2:10">
      <c r="B18" s="299"/>
      <c r="C18" s="299"/>
      <c r="D18" s="196" t="s">
        <v>14</v>
      </c>
      <c r="E18" s="67">
        <f>+'Artesanal Anchoveta XV-IV'!F15</f>
        <v>500</v>
      </c>
      <c r="F18" s="67">
        <f>+'Artesanal Anchoveta XV-IV'!G15</f>
        <v>0</v>
      </c>
      <c r="G18" s="67">
        <f>+'Artesanal Anchoveta XV-IV'!H15</f>
        <v>500</v>
      </c>
      <c r="H18" s="67">
        <f>+'Artesanal Anchoveta XV-IV'!I15</f>
        <v>0</v>
      </c>
      <c r="I18" s="60">
        <f t="shared" si="0"/>
        <v>500</v>
      </c>
      <c r="J18" s="66">
        <f t="shared" si="1"/>
        <v>0</v>
      </c>
    </row>
    <row r="19" spans="2:10" ht="15" customHeight="1">
      <c r="B19" s="299"/>
      <c r="C19" s="299" t="s">
        <v>100</v>
      </c>
      <c r="D19" s="196" t="s">
        <v>9</v>
      </c>
      <c r="E19" s="67">
        <f>+'Artesanal S.española XV-IV'!M7</f>
        <v>1323</v>
      </c>
      <c r="F19" s="78">
        <f>+'Artesanal S.española XV-IV'!N7</f>
        <v>0</v>
      </c>
      <c r="G19" s="67">
        <f>+'Artesanal S.española XV-IV'!O7</f>
        <v>1323</v>
      </c>
      <c r="H19" s="67">
        <f>+'Artesanal S.española XV-IV'!P7</f>
        <v>567.10400000000004</v>
      </c>
      <c r="I19" s="67">
        <f t="shared" si="0"/>
        <v>755.89599999999996</v>
      </c>
      <c r="J19" s="75">
        <f t="shared" si="1"/>
        <v>0.42865003779289496</v>
      </c>
    </row>
    <row r="20" spans="2:10">
      <c r="B20" s="299"/>
      <c r="C20" s="300"/>
      <c r="D20" s="196" t="s">
        <v>10</v>
      </c>
      <c r="E20" s="67">
        <f>+'Artesanal S.española XV-IV'!M8</f>
        <v>5007</v>
      </c>
      <c r="F20" s="78">
        <f>+'Artesanal S.española XV-IV'!N8</f>
        <v>0</v>
      </c>
      <c r="G20" s="67">
        <f>+'Artesanal S.española XV-IV'!O8</f>
        <v>5007</v>
      </c>
      <c r="H20" s="67">
        <f>+'Artesanal S.española XV-IV'!P8</f>
        <v>3899.212</v>
      </c>
      <c r="I20" s="67">
        <f t="shared" si="0"/>
        <v>1107.788</v>
      </c>
      <c r="J20" s="75">
        <f t="shared" si="1"/>
        <v>0.77875214699420814</v>
      </c>
    </row>
    <row r="21" spans="2:10">
      <c r="B21" s="299"/>
      <c r="C21" s="299"/>
      <c r="D21" s="196" t="s">
        <v>11</v>
      </c>
      <c r="E21" s="67">
        <f>+'Artesanal S.española XV-IV'!M10</f>
        <v>650</v>
      </c>
      <c r="F21" s="78">
        <f>+'Artesanal S.española XV-IV'!N10</f>
        <v>0</v>
      </c>
      <c r="G21" s="67">
        <f>+'Artesanal S.española XV-IV'!O10</f>
        <v>650</v>
      </c>
      <c r="H21" s="67">
        <f>+'Artesanal S.española XV-IV'!P10</f>
        <v>952.19899999999996</v>
      </c>
      <c r="I21" s="67">
        <f t="shared" si="0"/>
        <v>-302.19899999999996</v>
      </c>
      <c r="J21" s="75">
        <f t="shared" si="1"/>
        <v>1.4649215384615384</v>
      </c>
    </row>
    <row r="22" spans="2:10">
      <c r="B22" s="299"/>
      <c r="C22" s="300"/>
      <c r="D22" s="196" t="s">
        <v>12</v>
      </c>
      <c r="E22" s="67">
        <f>+'Artesanal S.española XV-IV'!M11</f>
        <v>650</v>
      </c>
      <c r="F22" s="78">
        <f>+'Artesanal S.española XV-IV'!N11</f>
        <v>0</v>
      </c>
      <c r="G22" s="67">
        <f>+'Artesanal S.española XV-IV'!O11</f>
        <v>650</v>
      </c>
      <c r="H22" s="67">
        <f>+'Artesanal S.española XV-IV'!P11</f>
        <v>369.82100000000003</v>
      </c>
      <c r="I22" s="67">
        <f t="shared" si="0"/>
        <v>280.17899999999997</v>
      </c>
      <c r="J22" s="75">
        <f t="shared" si="1"/>
        <v>0.56895538461538464</v>
      </c>
    </row>
    <row r="23" spans="2:10">
      <c r="B23" s="299"/>
      <c r="C23" s="299"/>
      <c r="D23" s="196" t="s">
        <v>13</v>
      </c>
      <c r="E23" s="67">
        <f>+'Artesanal S.española XV-IV'!F9</f>
        <v>500</v>
      </c>
      <c r="F23" s="67">
        <f>+'Artesanal S.española XV-IV'!G9</f>
        <v>0</v>
      </c>
      <c r="G23" s="67">
        <f>+'Artesanal S.española XV-IV'!H9</f>
        <v>500</v>
      </c>
      <c r="H23" s="67">
        <f>+'Artesanal S.española XV-IV'!I9</f>
        <v>0</v>
      </c>
      <c r="I23" s="60">
        <f t="shared" si="0"/>
        <v>500</v>
      </c>
      <c r="J23" s="66">
        <f t="shared" si="1"/>
        <v>0</v>
      </c>
    </row>
    <row r="24" spans="2:10">
      <c r="B24" s="299"/>
      <c r="C24" s="300"/>
      <c r="D24" s="196" t="s">
        <v>14</v>
      </c>
      <c r="E24" s="67">
        <f>+'Artesanal S.española XV-IV'!F12</f>
        <v>200</v>
      </c>
      <c r="F24" s="67">
        <f>+'Artesanal S.española XV-IV'!G12</f>
        <v>0</v>
      </c>
      <c r="G24" s="67">
        <f>+'Artesanal S.española XV-IV'!H12</f>
        <v>200</v>
      </c>
      <c r="H24" s="67">
        <f>+'Artesanal S.española XV-IV'!I12</f>
        <v>8.3320000000000007</v>
      </c>
      <c r="I24" s="60">
        <f t="shared" si="0"/>
        <v>191.66800000000001</v>
      </c>
      <c r="J24" s="66">
        <f t="shared" si="1"/>
        <v>4.1660000000000003E-2</v>
      </c>
    </row>
    <row r="25" spans="2:10" s="1" customFormat="1" ht="28.5" customHeight="1">
      <c r="B25" s="192" t="s">
        <v>102</v>
      </c>
      <c r="C25" s="302" t="s">
        <v>98</v>
      </c>
      <c r="D25" s="301" t="s">
        <v>15</v>
      </c>
      <c r="E25" s="67">
        <v>137</v>
      </c>
      <c r="F25" s="77">
        <v>0</v>
      </c>
      <c r="G25" s="60">
        <f t="shared" ref="G25:G28" si="2">+E25+F25</f>
        <v>137</v>
      </c>
      <c r="H25" s="60">
        <f>'P. Investigación'!H26+'P. Investigación'!H33</f>
        <v>0</v>
      </c>
      <c r="I25" s="60">
        <f>+G25-H25</f>
        <v>137</v>
      </c>
      <c r="J25" s="66">
        <f>+H25/G25</f>
        <v>0</v>
      </c>
    </row>
    <row r="26" spans="2:10" s="1" customFormat="1">
      <c r="B26" s="192" t="s">
        <v>104</v>
      </c>
      <c r="C26" s="303"/>
      <c r="D26" s="301"/>
      <c r="E26" s="67">
        <v>6887</v>
      </c>
      <c r="F26" s="77"/>
      <c r="G26" s="67">
        <f>+E26+F26</f>
        <v>6887</v>
      </c>
      <c r="H26" s="60">
        <v>0</v>
      </c>
      <c r="I26" s="60">
        <v>0</v>
      </c>
      <c r="J26" s="66">
        <v>0</v>
      </c>
    </row>
    <row r="27" spans="2:10" s="1" customFormat="1">
      <c r="B27" s="192" t="s">
        <v>102</v>
      </c>
      <c r="C27" s="193" t="s">
        <v>98</v>
      </c>
      <c r="D27" s="301" t="s">
        <v>16</v>
      </c>
      <c r="E27" s="67">
        <v>78</v>
      </c>
      <c r="F27" s="77">
        <v>0</v>
      </c>
      <c r="G27" s="60">
        <f t="shared" si="2"/>
        <v>78</v>
      </c>
      <c r="H27" s="60">
        <f>+'P. Investigación'!H19+'P. Investigación'!H42</f>
        <v>0</v>
      </c>
      <c r="I27" s="60">
        <f>+G27-H27</f>
        <v>78</v>
      </c>
      <c r="J27" s="66">
        <f>+H27/G27</f>
        <v>0</v>
      </c>
    </row>
    <row r="28" spans="2:10" s="1" customFormat="1">
      <c r="B28" s="192" t="s">
        <v>102</v>
      </c>
      <c r="C28" s="193" t="s">
        <v>100</v>
      </c>
      <c r="D28" s="301"/>
      <c r="E28" s="67">
        <v>0</v>
      </c>
      <c r="F28" s="77">
        <v>0</v>
      </c>
      <c r="G28" s="60">
        <f t="shared" si="2"/>
        <v>0</v>
      </c>
      <c r="H28" s="60">
        <v>0</v>
      </c>
      <c r="I28" s="60">
        <v>0</v>
      </c>
      <c r="J28" s="66">
        <v>0</v>
      </c>
    </row>
    <row r="29" spans="2:10">
      <c r="B29" s="298" t="s">
        <v>97</v>
      </c>
      <c r="C29" s="295" t="s">
        <v>98</v>
      </c>
      <c r="D29" s="195" t="s">
        <v>15</v>
      </c>
      <c r="E29" s="187">
        <f>Industrial!E16</f>
        <v>576946.89400000009</v>
      </c>
      <c r="F29" s="77">
        <f>+Industrial!L16</f>
        <v>-19904.679</v>
      </c>
      <c r="G29" s="60">
        <f>+Industrial!M16</f>
        <v>557042.21499999997</v>
      </c>
      <c r="H29" s="60">
        <f>+Industrial!N16</f>
        <v>0</v>
      </c>
      <c r="I29" s="60">
        <f>+G29-H29</f>
        <v>557042.21499999997</v>
      </c>
      <c r="J29" s="66">
        <f>+H29/G29</f>
        <v>0</v>
      </c>
    </row>
    <row r="30" spans="2:10">
      <c r="B30" s="298"/>
      <c r="C30" s="295"/>
      <c r="D30" s="195" t="s">
        <v>16</v>
      </c>
      <c r="E30" s="67">
        <f>+Industrial!K31</f>
        <v>30551.501</v>
      </c>
      <c r="F30" s="77">
        <f>+Industrial!L31</f>
        <v>0</v>
      </c>
      <c r="G30" s="60">
        <f>+Industrial!M31</f>
        <v>30551.501</v>
      </c>
      <c r="H30" s="60">
        <f>+Industrial!N31</f>
        <v>0</v>
      </c>
      <c r="I30" s="60">
        <f>+G30-H30</f>
        <v>30551.501</v>
      </c>
      <c r="J30" s="66">
        <f>+H30/G30</f>
        <v>0</v>
      </c>
    </row>
    <row r="31" spans="2:10">
      <c r="B31" s="298"/>
      <c r="C31" s="295" t="s">
        <v>105</v>
      </c>
      <c r="D31" s="195" t="s">
        <v>15</v>
      </c>
      <c r="E31" s="67">
        <f>Industrial!E35</f>
        <v>1485</v>
      </c>
      <c r="F31" s="77">
        <f>+Industrial!L35</f>
        <v>0</v>
      </c>
      <c r="G31" s="60">
        <f>+Industrial!M35</f>
        <v>1485</v>
      </c>
      <c r="H31" s="60">
        <f>+Industrial!N35</f>
        <v>0</v>
      </c>
      <c r="I31" s="60">
        <f>+G31-H31</f>
        <v>1485</v>
      </c>
      <c r="J31" s="66">
        <f>+H31/G31</f>
        <v>0</v>
      </c>
    </row>
    <row r="32" spans="2:10">
      <c r="B32" s="298"/>
      <c r="C32" s="295"/>
      <c r="D32" s="195" t="s">
        <v>16</v>
      </c>
      <c r="E32" s="67">
        <f>+Industrial!K45</f>
        <v>1500.0000000000002</v>
      </c>
      <c r="F32" s="77">
        <f>+Industrial!L45</f>
        <v>-1270</v>
      </c>
      <c r="G32" s="60">
        <f>+Industrial!M45</f>
        <v>230</v>
      </c>
      <c r="H32" s="60">
        <f>+Industrial!N45</f>
        <v>0</v>
      </c>
      <c r="I32" s="60">
        <f>+G32-H32</f>
        <v>230</v>
      </c>
      <c r="J32" s="66">
        <f>+H32/G32</f>
        <v>0</v>
      </c>
    </row>
    <row r="33" spans="2:10" s="58" customFormat="1">
      <c r="B33" s="291" t="s">
        <v>141</v>
      </c>
      <c r="C33" s="194" t="s">
        <v>99</v>
      </c>
      <c r="D33" s="292" t="s">
        <v>118</v>
      </c>
      <c r="E33" s="67">
        <v>0</v>
      </c>
      <c r="F33" s="77">
        <f>'Cesiones ind y colec'!T5</f>
        <v>19904.679</v>
      </c>
      <c r="G33" s="60">
        <f>'Cesiones ind y colec'!T5</f>
        <v>19904.679</v>
      </c>
      <c r="H33" s="60">
        <f>'Cesiones ind y colec'!U5</f>
        <v>0</v>
      </c>
      <c r="I33" s="60" t="e">
        <f>+'Cesiones ind y colec'!#REF!</f>
        <v>#REF!</v>
      </c>
      <c r="J33" s="66" t="e">
        <f>+'Cesiones ind y colec'!#REF!</f>
        <v>#REF!</v>
      </c>
    </row>
    <row r="34" spans="2:10" s="58" customFormat="1">
      <c r="B34" s="291"/>
      <c r="C34" s="194" t="s">
        <v>100</v>
      </c>
      <c r="D34" s="293"/>
      <c r="E34" s="67">
        <v>0</v>
      </c>
      <c r="F34" s="77">
        <f>'Cesiones ind y colec'!T6</f>
        <v>1270</v>
      </c>
      <c r="G34" s="60">
        <f>'Cesiones ind y colec'!T6</f>
        <v>1270</v>
      </c>
      <c r="H34" s="60" t="e">
        <f>+'Cesiones ind y colec'!#REF!</f>
        <v>#REF!</v>
      </c>
      <c r="I34" s="60" t="e">
        <f>+'Cesiones ind y colec'!#REF!</f>
        <v>#REF!</v>
      </c>
      <c r="J34" s="66" t="e">
        <f>+'Cesiones ind y colec'!#REF!</f>
        <v>#REF!</v>
      </c>
    </row>
    <row r="35" spans="2:10" ht="15.75">
      <c r="E35" s="248">
        <f>SUM(E9:E34)</f>
        <v>758324.89500000014</v>
      </c>
      <c r="F35" s="249">
        <f>SUM(F9:F34)</f>
        <v>0</v>
      </c>
      <c r="G35" s="82"/>
    </row>
    <row r="36" spans="2:10" ht="15.75">
      <c r="E36" s="250"/>
      <c r="F36" s="250"/>
    </row>
  </sheetData>
  <mergeCells count="14">
    <mergeCell ref="B33:B34"/>
    <mergeCell ref="D33:D34"/>
    <mergeCell ref="B2:J3"/>
    <mergeCell ref="C31:C32"/>
    <mergeCell ref="C4:J4"/>
    <mergeCell ref="C5:J5"/>
    <mergeCell ref="B29:B32"/>
    <mergeCell ref="B9:B24"/>
    <mergeCell ref="D25:D26"/>
    <mergeCell ref="D27:D28"/>
    <mergeCell ref="C9:C18"/>
    <mergeCell ref="C19:C24"/>
    <mergeCell ref="C29:C30"/>
    <mergeCell ref="C25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S23"/>
  <sheetViews>
    <sheetView topLeftCell="A4" zoomScaleNormal="100" workbookViewId="0">
      <selection activeCell="I8" sqref="I8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27.7109375" style="1" bestFit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58"/>
  </cols>
  <sheetData>
    <row r="2" spans="2:19">
      <c r="B2" s="304" t="s">
        <v>147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2:19" s="13" customFormat="1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2:19">
      <c r="B4" s="306">
        <f>+Resumen!C4</f>
        <v>45407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2:19">
      <c r="N5" s="307" t="s">
        <v>63</v>
      </c>
      <c r="O5" s="307"/>
      <c r="P5" s="307"/>
      <c r="Q5" s="307"/>
      <c r="R5" s="307"/>
      <c r="S5" s="307"/>
    </row>
    <row r="6" spans="2:19" ht="30">
      <c r="B6" s="213" t="s">
        <v>17</v>
      </c>
      <c r="C6" s="212" t="s">
        <v>120</v>
      </c>
      <c r="D6" s="212" t="s">
        <v>26</v>
      </c>
      <c r="E6" s="212" t="s">
        <v>20</v>
      </c>
      <c r="F6" s="213" t="s">
        <v>30</v>
      </c>
      <c r="G6" s="212" t="s">
        <v>4</v>
      </c>
      <c r="H6" s="213" t="s">
        <v>31</v>
      </c>
      <c r="I6" s="213" t="s">
        <v>123</v>
      </c>
      <c r="J6" s="213" t="s">
        <v>132</v>
      </c>
      <c r="K6" s="213" t="s">
        <v>122</v>
      </c>
      <c r="L6" s="212" t="s">
        <v>32</v>
      </c>
      <c r="M6" s="212" t="s">
        <v>33</v>
      </c>
      <c r="N6" s="11" t="s">
        <v>30</v>
      </c>
      <c r="O6" s="12" t="s">
        <v>4</v>
      </c>
      <c r="P6" s="12" t="s">
        <v>31</v>
      </c>
      <c r="Q6" s="12" t="s">
        <v>6</v>
      </c>
      <c r="R6" s="12" t="s">
        <v>7</v>
      </c>
      <c r="S6" s="12" t="s">
        <v>32</v>
      </c>
    </row>
    <row r="7" spans="2:19" ht="30">
      <c r="B7" s="308" t="s">
        <v>18</v>
      </c>
      <c r="C7" s="214" t="s">
        <v>23</v>
      </c>
      <c r="D7" s="215" t="s">
        <v>89</v>
      </c>
      <c r="E7" s="216" t="s">
        <v>50</v>
      </c>
      <c r="F7" s="217">
        <v>73151</v>
      </c>
      <c r="G7" s="218"/>
      <c r="H7" s="218">
        <f t="shared" ref="H7:H15" si="0">+F7+G7</f>
        <v>73151</v>
      </c>
      <c r="I7" s="219">
        <v>41572</v>
      </c>
      <c r="J7" s="219"/>
      <c r="K7" s="218">
        <f t="shared" ref="K7:K15" si="1">+H7-I7</f>
        <v>31579</v>
      </c>
      <c r="L7" s="220">
        <f t="shared" ref="L7:L15" si="2">+I7/H7</f>
        <v>0.56830391929023527</v>
      </c>
      <c r="M7" s="221" t="s">
        <v>64</v>
      </c>
      <c r="N7" s="218">
        <f t="shared" ref="N7:O11" si="3">+F7</f>
        <v>73151</v>
      </c>
      <c r="O7" s="218">
        <f t="shared" si="3"/>
        <v>0</v>
      </c>
      <c r="P7" s="218">
        <f>+N7+O7</f>
        <v>73151</v>
      </c>
      <c r="Q7" s="218">
        <f t="shared" ref="Q7:Q15" si="4">+I7</f>
        <v>41572</v>
      </c>
      <c r="R7" s="218">
        <f t="shared" ref="R7:R15" si="5">+P7-Q7</f>
        <v>31579</v>
      </c>
      <c r="S7" s="222">
        <f t="shared" ref="S7:S15" si="6">+Q7/P7</f>
        <v>0.56830391929023527</v>
      </c>
    </row>
    <row r="8" spans="2:19">
      <c r="B8" s="308"/>
      <c r="C8" s="214" t="s">
        <v>24</v>
      </c>
      <c r="D8" s="223" t="s">
        <v>90</v>
      </c>
      <c r="E8" s="216" t="s">
        <v>50</v>
      </c>
      <c r="F8" s="217">
        <v>27707</v>
      </c>
      <c r="G8" s="218"/>
      <c r="H8" s="218">
        <f t="shared" si="0"/>
        <v>27707</v>
      </c>
      <c r="I8" s="219">
        <v>0.1</v>
      </c>
      <c r="J8" s="219"/>
      <c r="K8" s="218">
        <f t="shared" si="1"/>
        <v>27706.9</v>
      </c>
      <c r="L8" s="222">
        <f t="shared" si="2"/>
        <v>3.6091962319991339E-6</v>
      </c>
      <c r="M8" s="221" t="s">
        <v>64</v>
      </c>
      <c r="N8" s="218">
        <f>F8</f>
        <v>27707</v>
      </c>
      <c r="O8" s="218">
        <f t="shared" si="3"/>
        <v>0</v>
      </c>
      <c r="P8" s="218">
        <f>+N8+O8</f>
        <v>27707</v>
      </c>
      <c r="Q8" s="218">
        <f t="shared" si="4"/>
        <v>0.1</v>
      </c>
      <c r="R8" s="218">
        <f t="shared" si="5"/>
        <v>27706.9</v>
      </c>
      <c r="S8" s="222">
        <f t="shared" si="6"/>
        <v>3.6091962319991339E-6</v>
      </c>
    </row>
    <row r="9" spans="2:19" s="58" customFormat="1">
      <c r="B9" s="308"/>
      <c r="C9" s="214" t="s">
        <v>121</v>
      </c>
      <c r="D9" s="223" t="s">
        <v>15</v>
      </c>
      <c r="E9" s="216" t="s">
        <v>50</v>
      </c>
      <c r="F9" s="217">
        <v>1000</v>
      </c>
      <c r="G9" s="218"/>
      <c r="H9" s="218">
        <f t="shared" si="0"/>
        <v>1000</v>
      </c>
      <c r="I9" s="224"/>
      <c r="J9" s="224"/>
      <c r="K9" s="218">
        <f t="shared" si="1"/>
        <v>1000</v>
      </c>
      <c r="L9" s="222">
        <f t="shared" si="2"/>
        <v>0</v>
      </c>
      <c r="M9" s="221" t="s">
        <v>64</v>
      </c>
      <c r="N9" s="218">
        <f t="shared" si="3"/>
        <v>1000</v>
      </c>
      <c r="O9" s="218">
        <f t="shared" si="3"/>
        <v>0</v>
      </c>
      <c r="P9" s="218">
        <f>+H9</f>
        <v>1000</v>
      </c>
      <c r="Q9" s="218">
        <f t="shared" si="4"/>
        <v>0</v>
      </c>
      <c r="R9" s="218">
        <f t="shared" si="5"/>
        <v>1000</v>
      </c>
      <c r="S9" s="222">
        <f t="shared" si="6"/>
        <v>0</v>
      </c>
    </row>
    <row r="10" spans="2:19">
      <c r="B10" s="305" t="s">
        <v>21</v>
      </c>
      <c r="C10" s="264" t="s">
        <v>25</v>
      </c>
      <c r="D10" s="265" t="s">
        <v>91</v>
      </c>
      <c r="E10" s="266" t="s">
        <v>50</v>
      </c>
      <c r="F10" s="267">
        <v>21036</v>
      </c>
      <c r="G10" s="268"/>
      <c r="H10" s="268">
        <f t="shared" si="0"/>
        <v>21036</v>
      </c>
      <c r="I10" s="269"/>
      <c r="J10" s="269"/>
      <c r="K10" s="268">
        <f t="shared" si="1"/>
        <v>21036</v>
      </c>
      <c r="L10" s="270">
        <f t="shared" si="2"/>
        <v>0</v>
      </c>
      <c r="M10" s="271" t="s">
        <v>64</v>
      </c>
      <c r="N10" s="268">
        <f t="shared" si="3"/>
        <v>21036</v>
      </c>
      <c r="O10" s="268">
        <f t="shared" si="3"/>
        <v>0</v>
      </c>
      <c r="P10" s="268">
        <f>+N10+O10</f>
        <v>21036</v>
      </c>
      <c r="Q10" s="268">
        <f t="shared" si="4"/>
        <v>0</v>
      </c>
      <c r="R10" s="268">
        <f t="shared" si="5"/>
        <v>21036</v>
      </c>
      <c r="S10" s="272">
        <f t="shared" si="6"/>
        <v>0</v>
      </c>
    </row>
    <row r="11" spans="2:19">
      <c r="B11" s="305"/>
      <c r="C11" s="309" t="s">
        <v>27</v>
      </c>
      <c r="D11" s="265" t="s">
        <v>145</v>
      </c>
      <c r="E11" s="266" t="s">
        <v>50</v>
      </c>
      <c r="F11" s="268">
        <v>293.78699999999998</v>
      </c>
      <c r="G11" s="268"/>
      <c r="H11" s="268">
        <f>+F11+G11</f>
        <v>293.78699999999998</v>
      </c>
      <c r="I11" s="269"/>
      <c r="J11" s="269"/>
      <c r="K11" s="268">
        <f t="shared" si="1"/>
        <v>293.78699999999998</v>
      </c>
      <c r="L11" s="270">
        <f t="shared" si="2"/>
        <v>0</v>
      </c>
      <c r="M11" s="271" t="s">
        <v>64</v>
      </c>
      <c r="N11" s="268">
        <f>+F11</f>
        <v>293.78699999999998</v>
      </c>
      <c r="O11" s="268">
        <f t="shared" si="3"/>
        <v>0</v>
      </c>
      <c r="P11" s="268">
        <f>+N11+O11</f>
        <v>293.78699999999998</v>
      </c>
      <c r="Q11" s="268">
        <f t="shared" si="4"/>
        <v>0</v>
      </c>
      <c r="R11" s="268">
        <f t="shared" si="5"/>
        <v>293.78699999999998</v>
      </c>
      <c r="S11" s="272">
        <f t="shared" si="6"/>
        <v>0</v>
      </c>
    </row>
    <row r="12" spans="2:19" s="58" customFormat="1">
      <c r="B12" s="305"/>
      <c r="C12" s="309"/>
      <c r="D12" s="265" t="s">
        <v>135</v>
      </c>
      <c r="E12" s="266" t="s">
        <v>50</v>
      </c>
      <c r="F12" s="268">
        <v>7985.9570000000003</v>
      </c>
      <c r="G12" s="268"/>
      <c r="H12" s="268">
        <f>+F12+G12</f>
        <v>7985.9570000000003</v>
      </c>
      <c r="I12" s="269"/>
      <c r="J12" s="269"/>
      <c r="K12" s="268">
        <f t="shared" ref="K12:K13" si="7">+H12-I12</f>
        <v>7985.9570000000003</v>
      </c>
      <c r="L12" s="270">
        <f t="shared" ref="L12:L13" si="8">+I12/H12</f>
        <v>0</v>
      </c>
      <c r="M12" s="271" t="s">
        <v>64</v>
      </c>
      <c r="N12" s="268">
        <f>+F12</f>
        <v>7985.9570000000003</v>
      </c>
      <c r="O12" s="268">
        <f t="shared" ref="O12" si="9">+G12</f>
        <v>0</v>
      </c>
      <c r="P12" s="268">
        <f>+N12+O12</f>
        <v>7985.9570000000003</v>
      </c>
      <c r="Q12" s="268">
        <f t="shared" ref="Q12" si="10">+I12</f>
        <v>0</v>
      </c>
      <c r="R12" s="268">
        <f t="shared" ref="R12" si="11">+P12-Q12</f>
        <v>7985.9570000000003</v>
      </c>
      <c r="S12" s="272">
        <f t="shared" ref="S12" si="12">+Q12/P12</f>
        <v>0</v>
      </c>
    </row>
    <row r="13" spans="2:19" s="58" customFormat="1">
      <c r="B13" s="305"/>
      <c r="C13" s="309"/>
      <c r="D13" s="265" t="s">
        <v>160</v>
      </c>
      <c r="E13" s="266" t="s">
        <v>50</v>
      </c>
      <c r="F13" s="268">
        <v>49.655999999999999</v>
      </c>
      <c r="G13" s="268"/>
      <c r="H13" s="268">
        <f>+F13+G13</f>
        <v>49.655999999999999</v>
      </c>
      <c r="I13" s="269"/>
      <c r="J13" s="269"/>
      <c r="K13" s="268">
        <f t="shared" si="7"/>
        <v>49.655999999999999</v>
      </c>
      <c r="L13" s="270">
        <f t="shared" si="8"/>
        <v>0</v>
      </c>
      <c r="M13" s="271"/>
      <c r="N13" s="268">
        <f>+F13</f>
        <v>49.655999999999999</v>
      </c>
      <c r="O13" s="268"/>
      <c r="P13" s="268"/>
      <c r="Q13" s="268"/>
      <c r="R13" s="268"/>
      <c r="S13" s="272"/>
    </row>
    <row r="14" spans="2:19" s="58" customFormat="1">
      <c r="B14" s="305"/>
      <c r="C14" s="309"/>
      <c r="D14" s="265" t="s">
        <v>136</v>
      </c>
      <c r="E14" s="266" t="s">
        <v>50</v>
      </c>
      <c r="F14" s="268">
        <v>686.1</v>
      </c>
      <c r="G14" s="268"/>
      <c r="H14" s="268">
        <f>+F14+G14</f>
        <v>686.1</v>
      </c>
      <c r="I14" s="269"/>
      <c r="J14" s="269"/>
      <c r="K14" s="268">
        <f>+H14-(I14+J14)</f>
        <v>686.1</v>
      </c>
      <c r="L14" s="270">
        <f t="shared" si="2"/>
        <v>0</v>
      </c>
      <c r="M14" s="271" t="s">
        <v>64</v>
      </c>
      <c r="N14" s="268">
        <f>+F14</f>
        <v>686.1</v>
      </c>
      <c r="O14" s="268">
        <f>+G14</f>
        <v>0</v>
      </c>
      <c r="P14" s="268">
        <f>+N14+O14</f>
        <v>686.1</v>
      </c>
      <c r="Q14" s="268">
        <f t="shared" si="4"/>
        <v>0</v>
      </c>
      <c r="R14" s="268">
        <f t="shared" si="5"/>
        <v>686.1</v>
      </c>
      <c r="S14" s="272">
        <f t="shared" si="6"/>
        <v>0</v>
      </c>
    </row>
    <row r="15" spans="2:19" s="58" customFormat="1">
      <c r="B15" s="305"/>
      <c r="C15" s="264" t="s">
        <v>121</v>
      </c>
      <c r="D15" s="265" t="s">
        <v>16</v>
      </c>
      <c r="E15" s="266" t="s">
        <v>50</v>
      </c>
      <c r="F15" s="267">
        <v>500</v>
      </c>
      <c r="G15" s="268"/>
      <c r="H15" s="268">
        <f t="shared" si="0"/>
        <v>500</v>
      </c>
      <c r="I15" s="273"/>
      <c r="J15" s="273"/>
      <c r="K15" s="268">
        <f t="shared" si="1"/>
        <v>500</v>
      </c>
      <c r="L15" s="272">
        <f t="shared" si="2"/>
        <v>0</v>
      </c>
      <c r="M15" s="271" t="s">
        <v>64</v>
      </c>
      <c r="N15" s="268">
        <f>+F15</f>
        <v>500</v>
      </c>
      <c r="O15" s="268">
        <f>+G15</f>
        <v>0</v>
      </c>
      <c r="P15" s="268">
        <f>+H15</f>
        <v>500</v>
      </c>
      <c r="Q15" s="268">
        <f t="shared" si="4"/>
        <v>0</v>
      </c>
      <c r="R15" s="268">
        <f t="shared" si="5"/>
        <v>500</v>
      </c>
      <c r="S15" s="272">
        <f t="shared" si="6"/>
        <v>0</v>
      </c>
    </row>
    <row r="16" spans="2:19">
      <c r="B16" s="3"/>
      <c r="F16" s="71"/>
    </row>
    <row r="19" spans="2:5">
      <c r="E19" s="58"/>
    </row>
    <row r="22" spans="2:5">
      <c r="B22" s="58"/>
    </row>
    <row r="23" spans="2:5">
      <c r="B23" s="58"/>
    </row>
  </sheetData>
  <mergeCells count="6">
    <mergeCell ref="B2:S3"/>
    <mergeCell ref="B10:B15"/>
    <mergeCell ref="B4:S4"/>
    <mergeCell ref="N5:S5"/>
    <mergeCell ref="B7:B9"/>
    <mergeCell ref="C11:C14"/>
  </mergeCells>
  <conditionalFormatting sqref="K7:K15">
    <cfRule type="cellIs" dxfId="7" priority="3" operator="lessThan">
      <formula>0</formula>
    </cfRule>
  </conditionalFormatting>
  <conditionalFormatting sqref="S7:S8 L7:L15 S10:S15">
    <cfRule type="cellIs" dxfId="6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1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R13"/>
  <sheetViews>
    <sheetView workbookViewId="0">
      <selection activeCell="I7" sqref="I7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9.140625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9" customWidth="1"/>
    <col min="17" max="17" width="9" bestFit="1" customWidth="1"/>
    <col min="18" max="18" width="10.85546875" customWidth="1"/>
  </cols>
  <sheetData>
    <row r="2" spans="2:18">
      <c r="B2" s="316" t="s">
        <v>150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spans="2:18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2:18">
      <c r="B4" s="306">
        <f>+Resumen!C4</f>
        <v>45407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2:18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07" t="s">
        <v>63</v>
      </c>
      <c r="N5" s="307"/>
      <c r="O5" s="307"/>
      <c r="P5" s="307"/>
      <c r="Q5" s="307"/>
      <c r="R5" s="307"/>
    </row>
    <row r="6" spans="2:18" ht="30">
      <c r="B6" s="198" t="s">
        <v>17</v>
      </c>
      <c r="C6" s="199" t="s">
        <v>120</v>
      </c>
      <c r="D6" s="199" t="s">
        <v>26</v>
      </c>
      <c r="E6" s="199" t="s">
        <v>20</v>
      </c>
      <c r="F6" s="198" t="s">
        <v>30</v>
      </c>
      <c r="G6" s="199" t="s">
        <v>4</v>
      </c>
      <c r="H6" s="198" t="s">
        <v>31</v>
      </c>
      <c r="I6" s="199" t="s">
        <v>6</v>
      </c>
      <c r="J6" s="199" t="s">
        <v>7</v>
      </c>
      <c r="K6" s="199" t="s">
        <v>32</v>
      </c>
      <c r="L6" s="199" t="s">
        <v>33</v>
      </c>
      <c r="M6" s="11" t="s">
        <v>30</v>
      </c>
      <c r="N6" s="12" t="s">
        <v>4</v>
      </c>
      <c r="O6" s="11" t="s">
        <v>31</v>
      </c>
      <c r="P6" s="12" t="s">
        <v>6</v>
      </c>
      <c r="Q6" s="12" t="s">
        <v>7</v>
      </c>
      <c r="R6" s="11" t="s">
        <v>32</v>
      </c>
    </row>
    <row r="7" spans="2:18" ht="30.75" thickBot="1">
      <c r="B7" s="313" t="s">
        <v>19</v>
      </c>
      <c r="C7" s="225" t="s">
        <v>23</v>
      </c>
      <c r="D7" s="226" t="s">
        <v>89</v>
      </c>
      <c r="E7" s="201" t="s">
        <v>50</v>
      </c>
      <c r="F7" s="202">
        <v>1323</v>
      </c>
      <c r="G7" s="203"/>
      <c r="H7" s="203">
        <f t="shared" ref="H7:H12" si="0">+F7+G7</f>
        <v>1323</v>
      </c>
      <c r="I7" s="276">
        <v>567.10400000000004</v>
      </c>
      <c r="J7" s="203">
        <f t="shared" ref="J7:J12" si="1">+H7-I7</f>
        <v>755.89599999999996</v>
      </c>
      <c r="K7" s="204">
        <f t="shared" ref="K7:K10" si="2">+I7/H7</f>
        <v>0.42865003779289496</v>
      </c>
      <c r="L7" s="227"/>
      <c r="M7" s="205">
        <f t="shared" ref="M7:N12" si="3">+F7</f>
        <v>1323</v>
      </c>
      <c r="N7" s="205">
        <f t="shared" si="3"/>
        <v>0</v>
      </c>
      <c r="O7" s="205">
        <f>+M7+N7</f>
        <v>1323</v>
      </c>
      <c r="P7" s="205">
        <f t="shared" ref="P7:P12" si="4">+I7</f>
        <v>567.10400000000004</v>
      </c>
      <c r="Q7" s="205">
        <f t="shared" ref="Q7:Q12" si="5">+O7-P7</f>
        <v>755.89599999999996</v>
      </c>
      <c r="R7" s="206">
        <f t="shared" ref="R7:R12" si="6">+P7/O7</f>
        <v>0.42865003779289496</v>
      </c>
    </row>
    <row r="8" spans="2:18" ht="15.75" thickBot="1">
      <c r="B8" s="314"/>
      <c r="C8" s="277" t="s">
        <v>24</v>
      </c>
      <c r="D8" s="278" t="s">
        <v>90</v>
      </c>
      <c r="E8" s="279" t="s">
        <v>50</v>
      </c>
      <c r="F8" s="280">
        <v>5007</v>
      </c>
      <c r="G8" s="281"/>
      <c r="H8" s="281">
        <f t="shared" si="0"/>
        <v>5007</v>
      </c>
      <c r="I8" s="276">
        <v>3899.212</v>
      </c>
      <c r="J8" s="203">
        <f t="shared" si="1"/>
        <v>1107.788</v>
      </c>
      <c r="K8" s="204">
        <f t="shared" si="2"/>
        <v>0.77875214699420814</v>
      </c>
      <c r="L8" s="238"/>
      <c r="M8" s="205">
        <f t="shared" si="3"/>
        <v>5007</v>
      </c>
      <c r="N8" s="205">
        <f t="shared" si="3"/>
        <v>0</v>
      </c>
      <c r="O8" s="205">
        <f>+M8+N8</f>
        <v>5007</v>
      </c>
      <c r="P8" s="205">
        <f t="shared" si="4"/>
        <v>3899.212</v>
      </c>
      <c r="Q8" s="205">
        <f t="shared" si="5"/>
        <v>1107.788</v>
      </c>
      <c r="R8" s="206">
        <f t="shared" si="6"/>
        <v>0.77875214699420814</v>
      </c>
    </row>
    <row r="9" spans="2:18" s="58" customFormat="1">
      <c r="B9" s="315"/>
      <c r="C9" s="228" t="s">
        <v>121</v>
      </c>
      <c r="D9" s="229" t="s">
        <v>15</v>
      </c>
      <c r="E9" s="201" t="s">
        <v>50</v>
      </c>
      <c r="F9" s="202">
        <v>500</v>
      </c>
      <c r="G9" s="203"/>
      <c r="H9" s="203">
        <f t="shared" si="0"/>
        <v>500</v>
      </c>
      <c r="I9" s="253"/>
      <c r="J9" s="203">
        <f t="shared" si="1"/>
        <v>500</v>
      </c>
      <c r="K9" s="204">
        <f>+I9/H9</f>
        <v>0</v>
      </c>
      <c r="L9" s="227"/>
      <c r="M9" s="207">
        <f t="shared" si="3"/>
        <v>500</v>
      </c>
      <c r="N9" s="207">
        <f t="shared" si="3"/>
        <v>0</v>
      </c>
      <c r="O9" s="207">
        <f>+H9</f>
        <v>500</v>
      </c>
      <c r="P9" s="207">
        <f t="shared" si="4"/>
        <v>0</v>
      </c>
      <c r="Q9" s="207">
        <f t="shared" si="5"/>
        <v>500</v>
      </c>
      <c r="R9" s="208">
        <f t="shared" si="6"/>
        <v>0</v>
      </c>
    </row>
    <row r="10" spans="2:18" ht="15" customHeight="1">
      <c r="B10" s="310" t="s">
        <v>28</v>
      </c>
      <c r="C10" s="255" t="s">
        <v>29</v>
      </c>
      <c r="D10" s="256" t="s">
        <v>91</v>
      </c>
      <c r="E10" s="257" t="s">
        <v>50</v>
      </c>
      <c r="F10" s="258">
        <v>650</v>
      </c>
      <c r="G10" s="259"/>
      <c r="H10" s="259">
        <f t="shared" si="0"/>
        <v>650</v>
      </c>
      <c r="I10" s="254">
        <v>952.19899999999996</v>
      </c>
      <c r="J10" s="259">
        <f t="shared" si="1"/>
        <v>-302.19899999999996</v>
      </c>
      <c r="K10" s="260">
        <f t="shared" si="2"/>
        <v>1.4649215384615384</v>
      </c>
      <c r="L10" s="261">
        <v>45379</v>
      </c>
      <c r="M10" s="262">
        <f t="shared" si="3"/>
        <v>650</v>
      </c>
      <c r="N10" s="262">
        <f t="shared" si="3"/>
        <v>0</v>
      </c>
      <c r="O10" s="262">
        <f>+M10+N10</f>
        <v>650</v>
      </c>
      <c r="P10" s="262">
        <f t="shared" si="4"/>
        <v>952.19899999999996</v>
      </c>
      <c r="Q10" s="262">
        <f t="shared" si="5"/>
        <v>-302.19899999999996</v>
      </c>
      <c r="R10" s="263">
        <f t="shared" si="6"/>
        <v>1.4649215384615384</v>
      </c>
    </row>
    <row r="11" spans="2:18">
      <c r="B11" s="311"/>
      <c r="C11" s="230" t="s">
        <v>27</v>
      </c>
      <c r="D11" s="231" t="s">
        <v>92</v>
      </c>
      <c r="E11" s="232" t="s">
        <v>50</v>
      </c>
      <c r="F11" s="233">
        <v>650</v>
      </c>
      <c r="G11" s="234"/>
      <c r="H11" s="234">
        <f t="shared" si="0"/>
        <v>650</v>
      </c>
      <c r="I11" s="275">
        <v>369.82100000000003</v>
      </c>
      <c r="J11" s="234">
        <f t="shared" si="1"/>
        <v>280.17899999999997</v>
      </c>
      <c r="K11" s="236">
        <f>+I11/H11</f>
        <v>0.56895538461538464</v>
      </c>
      <c r="L11" s="237"/>
      <c r="M11" s="209">
        <f t="shared" si="3"/>
        <v>650</v>
      </c>
      <c r="N11" s="209">
        <f t="shared" si="3"/>
        <v>0</v>
      </c>
      <c r="O11" s="209">
        <f>+M11+N11</f>
        <v>650</v>
      </c>
      <c r="P11" s="209">
        <f t="shared" si="4"/>
        <v>369.82100000000003</v>
      </c>
      <c r="Q11" s="209">
        <f t="shared" si="5"/>
        <v>280.17899999999997</v>
      </c>
      <c r="R11" s="210">
        <f>+P11/O11</f>
        <v>0.56895538461538464</v>
      </c>
    </row>
    <row r="12" spans="2:18" s="58" customFormat="1">
      <c r="B12" s="312"/>
      <c r="C12" s="230" t="s">
        <v>121</v>
      </c>
      <c r="D12" s="231" t="s">
        <v>16</v>
      </c>
      <c r="E12" s="232" t="s">
        <v>50</v>
      </c>
      <c r="F12" s="233">
        <v>200</v>
      </c>
      <c r="G12" s="234"/>
      <c r="H12" s="234">
        <f t="shared" si="0"/>
        <v>200</v>
      </c>
      <c r="I12" s="235">
        <v>8.3320000000000007</v>
      </c>
      <c r="J12" s="234">
        <f t="shared" si="1"/>
        <v>191.66800000000001</v>
      </c>
      <c r="K12" s="236">
        <f>+I12/H12</f>
        <v>4.1660000000000003E-2</v>
      </c>
      <c r="L12" s="237"/>
      <c r="M12" s="209">
        <f t="shared" si="3"/>
        <v>200</v>
      </c>
      <c r="N12" s="209">
        <f t="shared" si="3"/>
        <v>0</v>
      </c>
      <c r="O12" s="209">
        <f>+M12+N12</f>
        <v>200</v>
      </c>
      <c r="P12" s="209">
        <f t="shared" si="4"/>
        <v>8.3320000000000007</v>
      </c>
      <c r="Q12" s="209">
        <f t="shared" si="5"/>
        <v>191.66800000000001</v>
      </c>
      <c r="R12" s="211">
        <f t="shared" si="6"/>
        <v>4.1660000000000003E-2</v>
      </c>
    </row>
    <row r="13" spans="2:18">
      <c r="F13" s="72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5" priority="6" operator="lessThan">
      <formula>0</formula>
    </cfRule>
  </conditionalFormatting>
  <conditionalFormatting sqref="K7:K9 R7:R9">
    <cfRule type="cellIs" dxfId="4" priority="5" operator="greaterThan">
      <formula>0.9</formula>
    </cfRule>
  </conditionalFormatting>
  <conditionalFormatting sqref="J10:J12">
    <cfRule type="cellIs" dxfId="3" priority="3" operator="lessThan">
      <formula>0</formula>
    </cfRule>
  </conditionalFormatting>
  <conditionalFormatting sqref="K10:K12">
    <cfRule type="cellIs" dxfId="2" priority="2" operator="greaterThan">
      <formula>0.9</formula>
    </cfRule>
  </conditionalFormatting>
  <conditionalFormatting sqref="R10:R12">
    <cfRule type="cellIs" dxfId="1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W120"/>
  <sheetViews>
    <sheetView topLeftCell="B1" zoomScale="80" zoomScaleNormal="80" workbookViewId="0">
      <pane ySplit="4" topLeftCell="A5" activePane="bottomLeft" state="frozen"/>
      <selection pane="bottomLeft" activeCell="V7" sqref="V7"/>
    </sheetView>
  </sheetViews>
  <sheetFormatPr baseColWidth="10" defaultRowHeight="15"/>
  <cols>
    <col min="1" max="1" width="4.5703125" style="68" customWidth="1"/>
    <col min="2" max="2" width="9.140625" style="89" bestFit="1" customWidth="1"/>
    <col min="3" max="3" width="13.140625" style="89" customWidth="1"/>
    <col min="4" max="5" width="11.42578125" style="89"/>
    <col min="6" max="6" width="19.85546875" style="89" bestFit="1" customWidth="1"/>
    <col min="7" max="8" width="11.42578125" style="89"/>
    <col min="9" max="9" width="10.42578125" style="89" bestFit="1" customWidth="1"/>
    <col min="10" max="10" width="11.85546875" style="89" bestFit="1" customWidth="1"/>
    <col min="11" max="11" width="12.7109375" style="89" bestFit="1" customWidth="1"/>
    <col min="12" max="13" width="10" style="89" customWidth="1"/>
    <col min="14" max="14" width="13.42578125" style="89" customWidth="1"/>
    <col min="15" max="15" width="13.5703125" style="89" customWidth="1"/>
    <col min="16" max="17" width="11.42578125" style="68"/>
    <col min="18" max="18" width="15" style="68" bestFit="1" customWidth="1"/>
    <col min="19" max="20" width="17.7109375" style="68" customWidth="1"/>
    <col min="21" max="21" width="13" style="68" bestFit="1" customWidth="1"/>
    <col min="22" max="22" width="15" style="68" bestFit="1" customWidth="1"/>
    <col min="23" max="23" width="16.42578125" style="68" bestFit="1" customWidth="1"/>
    <col min="24" max="16384" width="11.42578125" style="68"/>
  </cols>
  <sheetData>
    <row r="1" spans="2:23" ht="15.75" thickBo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23" ht="15.75" thickBot="1">
      <c r="B2" s="68"/>
      <c r="C2" s="68"/>
      <c r="D2" s="68"/>
      <c r="E2" s="68"/>
      <c r="F2" s="68"/>
      <c r="G2" s="68"/>
      <c r="H2" s="317" t="s">
        <v>151</v>
      </c>
      <c r="I2" s="318"/>
      <c r="J2" s="318"/>
      <c r="K2" s="318"/>
      <c r="L2" s="321" t="s">
        <v>152</v>
      </c>
      <c r="M2" s="321"/>
      <c r="N2" s="321"/>
      <c r="O2" s="321"/>
    </row>
    <row r="3" spans="2:23" ht="15.75" thickBot="1">
      <c r="B3" s="68"/>
      <c r="C3" s="68"/>
      <c r="D3" s="68"/>
      <c r="E3" s="68"/>
      <c r="F3" s="68"/>
      <c r="G3" s="68"/>
      <c r="H3" s="87" t="s">
        <v>111</v>
      </c>
      <c r="I3" s="87" t="s">
        <v>112</v>
      </c>
      <c r="J3" s="87" t="s">
        <v>113</v>
      </c>
      <c r="K3" s="283" t="s">
        <v>114</v>
      </c>
      <c r="L3" s="286" t="s">
        <v>111</v>
      </c>
      <c r="M3" s="286" t="s">
        <v>112</v>
      </c>
      <c r="N3" s="286" t="s">
        <v>113</v>
      </c>
      <c r="O3" s="286" t="s">
        <v>114</v>
      </c>
      <c r="S3" s="326" t="s">
        <v>153</v>
      </c>
      <c r="T3" s="326"/>
      <c r="U3" s="327"/>
      <c r="V3" s="327"/>
      <c r="W3" s="327"/>
    </row>
    <row r="4" spans="2:23" ht="30">
      <c r="B4" s="91" t="s">
        <v>106</v>
      </c>
      <c r="C4" s="92" t="s">
        <v>107</v>
      </c>
      <c r="D4" s="93" t="s">
        <v>108</v>
      </c>
      <c r="E4" s="92" t="s">
        <v>22</v>
      </c>
      <c r="F4" s="92" t="s">
        <v>109</v>
      </c>
      <c r="G4" s="92" t="s">
        <v>110</v>
      </c>
      <c r="H4" s="92" t="s">
        <v>99</v>
      </c>
      <c r="I4" s="92" t="s">
        <v>99</v>
      </c>
      <c r="J4" s="92" t="s">
        <v>99</v>
      </c>
      <c r="K4" s="284" t="s">
        <v>99</v>
      </c>
      <c r="L4" s="287" t="s">
        <v>100</v>
      </c>
      <c r="M4" s="287" t="s">
        <v>100</v>
      </c>
      <c r="N4" s="287" t="s">
        <v>100</v>
      </c>
      <c r="O4" s="287" t="s">
        <v>100</v>
      </c>
      <c r="S4" s="79" t="s">
        <v>111</v>
      </c>
      <c r="T4" s="155" t="s">
        <v>111</v>
      </c>
      <c r="U4" s="79" t="s">
        <v>112</v>
      </c>
      <c r="V4" s="79" t="s">
        <v>113</v>
      </c>
      <c r="W4" s="79" t="s">
        <v>114</v>
      </c>
    </row>
    <row r="5" spans="2:23">
      <c r="B5" s="190" t="s">
        <v>167</v>
      </c>
      <c r="C5" s="247">
        <v>45342</v>
      </c>
      <c r="D5" s="190">
        <v>456</v>
      </c>
      <c r="E5" s="190" t="s">
        <v>166</v>
      </c>
      <c r="F5" s="190" t="s">
        <v>168</v>
      </c>
      <c r="G5" s="190">
        <v>701438</v>
      </c>
      <c r="H5" s="319">
        <v>3173.2089999999998</v>
      </c>
      <c r="I5" s="190"/>
      <c r="J5" s="319">
        <f>H5-(SUM(I5:I12))</f>
        <v>3173.2089999999998</v>
      </c>
      <c r="K5" s="320">
        <f>(SUM(I5:I12))/H5</f>
        <v>0</v>
      </c>
      <c r="L5" s="274"/>
      <c r="M5" s="274"/>
      <c r="N5" s="274"/>
      <c r="O5" s="274"/>
      <c r="S5" s="189" t="s">
        <v>99</v>
      </c>
      <c r="T5" s="190">
        <f>SUM(H5:H197)</f>
        <v>19904.679</v>
      </c>
      <c r="U5" s="190">
        <f>SUM(I5:I119)</f>
        <v>0</v>
      </c>
      <c r="V5" s="190">
        <f>T5-U5</f>
        <v>19904.679</v>
      </c>
      <c r="W5" s="246">
        <f>U5/T5</f>
        <v>0</v>
      </c>
    </row>
    <row r="6" spans="2:23">
      <c r="B6" s="190" t="s">
        <v>167</v>
      </c>
      <c r="C6" s="247">
        <v>45342</v>
      </c>
      <c r="D6" s="190">
        <v>456</v>
      </c>
      <c r="E6" s="190" t="s">
        <v>166</v>
      </c>
      <c r="F6" s="190" t="s">
        <v>169</v>
      </c>
      <c r="G6" s="190">
        <v>699687</v>
      </c>
      <c r="H6" s="319"/>
      <c r="I6" s="190"/>
      <c r="J6" s="319"/>
      <c r="K6" s="320"/>
      <c r="L6" s="274"/>
      <c r="M6" s="274"/>
      <c r="N6" s="274"/>
      <c r="O6" s="274"/>
      <c r="S6" s="189" t="s">
        <v>119</v>
      </c>
      <c r="T6" s="190">
        <f>SUM(L21:L79)</f>
        <v>1270</v>
      </c>
      <c r="U6" s="190">
        <f>SUM(M21:M104)</f>
        <v>0</v>
      </c>
      <c r="V6" s="282">
        <f>T6-U6</f>
        <v>1270</v>
      </c>
      <c r="W6" s="246">
        <f>U6/T6</f>
        <v>0</v>
      </c>
    </row>
    <row r="7" spans="2:23">
      <c r="B7" s="190" t="s">
        <v>167</v>
      </c>
      <c r="C7" s="247">
        <v>45342</v>
      </c>
      <c r="D7" s="190">
        <v>456</v>
      </c>
      <c r="E7" s="190" t="s">
        <v>166</v>
      </c>
      <c r="F7" s="190" t="s">
        <v>170</v>
      </c>
      <c r="G7" s="190">
        <v>967544</v>
      </c>
      <c r="H7" s="319"/>
      <c r="I7" s="190"/>
      <c r="J7" s="319"/>
      <c r="K7" s="320"/>
      <c r="L7" s="274"/>
      <c r="M7" s="274"/>
      <c r="N7" s="274"/>
      <c r="O7" s="274"/>
      <c r="S7" s="189" t="s">
        <v>161</v>
      </c>
      <c r="T7" s="190"/>
      <c r="U7" s="190"/>
      <c r="V7" s="190"/>
      <c r="W7" s="246"/>
    </row>
    <row r="8" spans="2:23">
      <c r="B8" s="190" t="s">
        <v>167</v>
      </c>
      <c r="C8" s="247">
        <v>45342</v>
      </c>
      <c r="D8" s="190">
        <v>456</v>
      </c>
      <c r="E8" s="190" t="s">
        <v>166</v>
      </c>
      <c r="F8" s="190" t="s">
        <v>171</v>
      </c>
      <c r="G8" s="190">
        <v>968274</v>
      </c>
      <c r="H8" s="319"/>
      <c r="I8" s="190"/>
      <c r="J8" s="319"/>
      <c r="K8" s="320"/>
      <c r="L8" s="274"/>
      <c r="M8" s="274"/>
      <c r="N8" s="274"/>
      <c r="O8" s="274"/>
      <c r="S8" s="189" t="s">
        <v>162</v>
      </c>
      <c r="T8" s="190">
        <f>H5+H13</f>
        <v>19904.679</v>
      </c>
      <c r="U8" s="190">
        <f>(SUM(I5:I20))</f>
        <v>0</v>
      </c>
      <c r="V8" s="190">
        <f>T8-U8</f>
        <v>19904.679</v>
      </c>
      <c r="W8" s="246">
        <f>U8/T8</f>
        <v>0</v>
      </c>
    </row>
    <row r="9" spans="2:23">
      <c r="B9" s="190" t="s">
        <v>167</v>
      </c>
      <c r="C9" s="247">
        <v>45342</v>
      </c>
      <c r="D9" s="190">
        <v>456</v>
      </c>
      <c r="E9" s="190" t="s">
        <v>173</v>
      </c>
      <c r="F9" s="190" t="s">
        <v>172</v>
      </c>
      <c r="G9" s="190">
        <v>968447</v>
      </c>
      <c r="H9" s="319"/>
      <c r="I9" s="190"/>
      <c r="J9" s="319"/>
      <c r="K9" s="320"/>
      <c r="L9" s="274"/>
      <c r="M9" s="274"/>
      <c r="N9" s="274"/>
      <c r="O9" s="274"/>
      <c r="S9" s="189" t="s">
        <v>163</v>
      </c>
      <c r="T9" s="190"/>
      <c r="U9" s="190"/>
      <c r="V9" s="190"/>
      <c r="W9" s="246"/>
    </row>
    <row r="10" spans="2:23">
      <c r="B10" s="190" t="s">
        <v>167</v>
      </c>
      <c r="C10" s="247">
        <v>45342</v>
      </c>
      <c r="D10" s="190">
        <v>456</v>
      </c>
      <c r="E10" s="190" t="s">
        <v>173</v>
      </c>
      <c r="F10" s="190" t="s">
        <v>174</v>
      </c>
      <c r="G10" s="190">
        <v>969068</v>
      </c>
      <c r="H10" s="319"/>
      <c r="I10" s="190"/>
      <c r="J10" s="319"/>
      <c r="K10" s="320"/>
      <c r="L10" s="274"/>
      <c r="M10" s="274"/>
      <c r="N10" s="274"/>
      <c r="O10" s="274"/>
      <c r="S10" s="189" t="s">
        <v>164</v>
      </c>
      <c r="T10" s="190"/>
      <c r="U10" s="190"/>
      <c r="V10" s="190"/>
      <c r="W10" s="246"/>
    </row>
    <row r="11" spans="2:23">
      <c r="B11" s="190" t="s">
        <v>167</v>
      </c>
      <c r="C11" s="247">
        <v>45342</v>
      </c>
      <c r="D11" s="190">
        <v>456</v>
      </c>
      <c r="E11" s="190" t="s">
        <v>166</v>
      </c>
      <c r="F11" s="190" t="s">
        <v>175</v>
      </c>
      <c r="G11" s="190">
        <v>699329</v>
      </c>
      <c r="H11" s="319"/>
      <c r="I11" s="190"/>
      <c r="J11" s="319"/>
      <c r="K11" s="320"/>
      <c r="L11" s="274"/>
      <c r="M11" s="274"/>
      <c r="N11" s="274"/>
      <c r="O11" s="274"/>
      <c r="S11" s="189" t="s">
        <v>165</v>
      </c>
      <c r="T11" s="190"/>
      <c r="U11" s="190"/>
      <c r="V11" s="190"/>
      <c r="W11" s="246"/>
    </row>
    <row r="12" spans="2:23">
      <c r="B12" s="190" t="s">
        <v>167</v>
      </c>
      <c r="C12" s="247">
        <v>45342</v>
      </c>
      <c r="D12" s="190">
        <v>456</v>
      </c>
      <c r="E12" s="190" t="s">
        <v>166</v>
      </c>
      <c r="F12" s="190" t="s">
        <v>176</v>
      </c>
      <c r="G12" s="190">
        <v>700798</v>
      </c>
      <c r="H12" s="319"/>
      <c r="I12" s="190"/>
      <c r="J12" s="319"/>
      <c r="K12" s="320"/>
      <c r="L12" s="274"/>
      <c r="M12" s="274"/>
      <c r="N12" s="274"/>
      <c r="O12" s="274"/>
    </row>
    <row r="13" spans="2:23">
      <c r="B13" s="251" t="s">
        <v>167</v>
      </c>
      <c r="C13" s="252">
        <v>45348</v>
      </c>
      <c r="D13" s="251">
        <v>494</v>
      </c>
      <c r="E13" s="251" t="s">
        <v>166</v>
      </c>
      <c r="F13" s="251" t="s">
        <v>168</v>
      </c>
      <c r="G13" s="251">
        <v>701438</v>
      </c>
      <c r="H13" s="329">
        <v>16731.47</v>
      </c>
      <c r="I13" s="251"/>
      <c r="J13" s="329">
        <f>H13-(SUM(I13:I20))</f>
        <v>16731.47</v>
      </c>
      <c r="K13" s="325">
        <f>(SUM(I13:I20))/H13</f>
        <v>0</v>
      </c>
      <c r="L13" s="274"/>
      <c r="M13" s="274"/>
      <c r="N13" s="274"/>
      <c r="O13" s="274"/>
    </row>
    <row r="14" spans="2:23">
      <c r="B14" s="251" t="s">
        <v>167</v>
      </c>
      <c r="C14" s="252">
        <v>45348</v>
      </c>
      <c r="D14" s="251">
        <v>494</v>
      </c>
      <c r="E14" s="251" t="s">
        <v>166</v>
      </c>
      <c r="F14" s="251" t="s">
        <v>169</v>
      </c>
      <c r="G14" s="251">
        <v>699687</v>
      </c>
      <c r="H14" s="329"/>
      <c r="I14" s="251"/>
      <c r="J14" s="329"/>
      <c r="K14" s="325"/>
      <c r="L14" s="274"/>
      <c r="M14" s="274"/>
      <c r="N14" s="274"/>
      <c r="O14" s="274"/>
    </row>
    <row r="15" spans="2:23">
      <c r="B15" s="251" t="s">
        <v>167</v>
      </c>
      <c r="C15" s="252">
        <v>45348</v>
      </c>
      <c r="D15" s="251">
        <v>494</v>
      </c>
      <c r="E15" s="251" t="s">
        <v>166</v>
      </c>
      <c r="F15" s="251" t="s">
        <v>170</v>
      </c>
      <c r="G15" s="251">
        <v>967544</v>
      </c>
      <c r="H15" s="329"/>
      <c r="I15" s="251"/>
      <c r="J15" s="329"/>
      <c r="K15" s="325"/>
      <c r="L15" s="274"/>
      <c r="M15" s="274"/>
      <c r="N15" s="274"/>
      <c r="O15" s="274"/>
    </row>
    <row r="16" spans="2:23">
      <c r="B16" s="251" t="s">
        <v>167</v>
      </c>
      <c r="C16" s="252">
        <v>45348</v>
      </c>
      <c r="D16" s="251">
        <v>494</v>
      </c>
      <c r="E16" s="251" t="s">
        <v>166</v>
      </c>
      <c r="F16" s="251" t="s">
        <v>171</v>
      </c>
      <c r="G16" s="251">
        <v>968274</v>
      </c>
      <c r="H16" s="329"/>
      <c r="I16" s="251"/>
      <c r="J16" s="329"/>
      <c r="K16" s="325"/>
      <c r="L16" s="274"/>
      <c r="M16" s="274"/>
      <c r="N16" s="274"/>
      <c r="O16" s="274"/>
    </row>
    <row r="17" spans="2:15">
      <c r="B17" s="251" t="s">
        <v>167</v>
      </c>
      <c r="C17" s="252">
        <v>45348</v>
      </c>
      <c r="D17" s="251">
        <v>494</v>
      </c>
      <c r="E17" s="251" t="s">
        <v>173</v>
      </c>
      <c r="F17" s="251" t="s">
        <v>172</v>
      </c>
      <c r="G17" s="251">
        <v>968447</v>
      </c>
      <c r="H17" s="329"/>
      <c r="I17" s="251"/>
      <c r="J17" s="329"/>
      <c r="K17" s="325"/>
      <c r="L17" s="274"/>
      <c r="M17" s="274"/>
      <c r="N17" s="274"/>
      <c r="O17" s="274"/>
    </row>
    <row r="18" spans="2:15">
      <c r="B18" s="251" t="s">
        <v>167</v>
      </c>
      <c r="C18" s="252">
        <v>45348</v>
      </c>
      <c r="D18" s="251">
        <v>494</v>
      </c>
      <c r="E18" s="251" t="s">
        <v>173</v>
      </c>
      <c r="F18" s="251" t="s">
        <v>174</v>
      </c>
      <c r="G18" s="251">
        <v>969068</v>
      </c>
      <c r="H18" s="329"/>
      <c r="I18" s="251"/>
      <c r="J18" s="329"/>
      <c r="K18" s="325"/>
      <c r="L18" s="274"/>
      <c r="M18" s="274"/>
      <c r="N18" s="274"/>
      <c r="O18" s="274"/>
    </row>
    <row r="19" spans="2:15">
      <c r="B19" s="251" t="s">
        <v>167</v>
      </c>
      <c r="C19" s="252">
        <v>45348</v>
      </c>
      <c r="D19" s="251">
        <v>494</v>
      </c>
      <c r="E19" s="251" t="s">
        <v>166</v>
      </c>
      <c r="F19" s="251" t="s">
        <v>175</v>
      </c>
      <c r="G19" s="251">
        <v>699329</v>
      </c>
      <c r="H19" s="329"/>
      <c r="I19" s="251"/>
      <c r="J19" s="329"/>
      <c r="K19" s="325"/>
      <c r="L19" s="274"/>
      <c r="M19" s="274"/>
      <c r="N19" s="274"/>
      <c r="O19" s="274"/>
    </row>
    <row r="20" spans="2:15">
      <c r="B20" s="251" t="s">
        <v>167</v>
      </c>
      <c r="C20" s="252">
        <v>45348</v>
      </c>
      <c r="D20" s="251">
        <v>494</v>
      </c>
      <c r="E20" s="251" t="s">
        <v>166</v>
      </c>
      <c r="F20" s="251" t="s">
        <v>176</v>
      </c>
      <c r="G20" s="251">
        <v>700798</v>
      </c>
      <c r="H20" s="329"/>
      <c r="I20" s="251"/>
      <c r="J20" s="329"/>
      <c r="K20" s="325"/>
      <c r="L20" s="274"/>
      <c r="M20" s="274"/>
      <c r="N20" s="274"/>
      <c r="O20" s="274"/>
    </row>
    <row r="21" spans="2:15">
      <c r="B21" s="274" t="s">
        <v>167</v>
      </c>
      <c r="C21" s="247">
        <v>45400</v>
      </c>
      <c r="D21" s="274">
        <v>968</v>
      </c>
      <c r="E21" s="274" t="s">
        <v>11</v>
      </c>
      <c r="F21" s="274" t="s">
        <v>177</v>
      </c>
      <c r="G21" s="274">
        <v>969394</v>
      </c>
      <c r="H21" s="319"/>
      <c r="I21" s="274"/>
      <c r="J21" s="274"/>
      <c r="K21" s="285"/>
      <c r="L21" s="319">
        <v>890</v>
      </c>
      <c r="M21" s="274"/>
      <c r="N21" s="322">
        <f>L21-(SUM(M21:M24))</f>
        <v>890</v>
      </c>
      <c r="O21" s="325">
        <f>(SUM(M21:M25)/N21)</f>
        <v>0</v>
      </c>
    </row>
    <row r="22" spans="2:15">
      <c r="B22" s="282" t="s">
        <v>167</v>
      </c>
      <c r="C22" s="247">
        <v>45400</v>
      </c>
      <c r="D22" s="274">
        <v>968</v>
      </c>
      <c r="E22" s="274" t="s">
        <v>11</v>
      </c>
      <c r="F22" s="274" t="s">
        <v>178</v>
      </c>
      <c r="G22" s="274">
        <v>968796</v>
      </c>
      <c r="H22" s="319"/>
      <c r="I22" s="274"/>
      <c r="J22" s="274"/>
      <c r="K22" s="285"/>
      <c r="L22" s="319"/>
      <c r="M22" s="274"/>
      <c r="N22" s="323"/>
      <c r="O22" s="325"/>
    </row>
    <row r="23" spans="2:15">
      <c r="B23" s="282" t="s">
        <v>167</v>
      </c>
      <c r="C23" s="247">
        <v>45400</v>
      </c>
      <c r="D23" s="274">
        <v>968</v>
      </c>
      <c r="E23" s="274" t="s">
        <v>11</v>
      </c>
      <c r="F23" s="274" t="s">
        <v>179</v>
      </c>
      <c r="G23" s="274">
        <v>701560</v>
      </c>
      <c r="H23" s="319"/>
      <c r="I23" s="274"/>
      <c r="J23" s="274"/>
      <c r="K23" s="285"/>
      <c r="L23" s="319"/>
      <c r="M23" s="274"/>
      <c r="N23" s="323"/>
      <c r="O23" s="325"/>
    </row>
    <row r="24" spans="2:15">
      <c r="B24" s="282" t="s">
        <v>167</v>
      </c>
      <c r="C24" s="247">
        <v>45400</v>
      </c>
      <c r="D24" s="274">
        <v>968</v>
      </c>
      <c r="E24" s="274" t="s">
        <v>11</v>
      </c>
      <c r="F24" s="274" t="s">
        <v>180</v>
      </c>
      <c r="G24" s="274">
        <v>701277</v>
      </c>
      <c r="H24" s="319"/>
      <c r="I24" s="274"/>
      <c r="J24" s="274"/>
      <c r="K24" s="285"/>
      <c r="L24" s="319"/>
      <c r="M24" s="274"/>
      <c r="N24" s="323"/>
      <c r="O24" s="325"/>
    </row>
    <row r="25" spans="2:15">
      <c r="B25" s="282" t="s">
        <v>167</v>
      </c>
      <c r="C25" s="247">
        <v>45400</v>
      </c>
      <c r="D25" s="274">
        <v>968</v>
      </c>
      <c r="E25" s="274" t="s">
        <v>11</v>
      </c>
      <c r="F25" s="274" t="s">
        <v>181</v>
      </c>
      <c r="G25" s="274">
        <v>697270</v>
      </c>
      <c r="H25" s="319"/>
      <c r="I25" s="274"/>
      <c r="J25" s="274"/>
      <c r="K25" s="285"/>
      <c r="L25" s="319"/>
      <c r="M25" s="274"/>
      <c r="N25" s="324"/>
      <c r="O25" s="325"/>
    </row>
    <row r="26" spans="2:15">
      <c r="B26" s="288" t="s">
        <v>167</v>
      </c>
      <c r="C26" s="290">
        <v>45400</v>
      </c>
      <c r="D26" s="288">
        <v>973</v>
      </c>
      <c r="E26" s="288" t="s">
        <v>12</v>
      </c>
      <c r="F26" s="288" t="s">
        <v>182</v>
      </c>
      <c r="G26" s="288">
        <v>698764</v>
      </c>
      <c r="H26" s="288"/>
      <c r="I26" s="288"/>
      <c r="J26" s="288"/>
      <c r="K26" s="288"/>
      <c r="L26" s="328">
        <v>380</v>
      </c>
      <c r="M26" s="288"/>
      <c r="N26" s="319">
        <f>L26-(SUM(M26:M46))</f>
        <v>380</v>
      </c>
      <c r="O26" s="328">
        <f>(SUM(M26:M46)/N26)</f>
        <v>0</v>
      </c>
    </row>
    <row r="27" spans="2:15">
      <c r="B27" s="288" t="s">
        <v>167</v>
      </c>
      <c r="C27" s="290">
        <v>45400</v>
      </c>
      <c r="D27" s="288">
        <v>973</v>
      </c>
      <c r="E27" s="288" t="s">
        <v>12</v>
      </c>
      <c r="F27" s="288" t="s">
        <v>183</v>
      </c>
      <c r="G27" s="288">
        <v>697578</v>
      </c>
      <c r="H27" s="288"/>
      <c r="I27" s="288"/>
      <c r="J27" s="288"/>
      <c r="K27" s="288"/>
      <c r="L27" s="328"/>
      <c r="M27" s="288"/>
      <c r="N27" s="319"/>
      <c r="O27" s="328"/>
    </row>
    <row r="28" spans="2:15">
      <c r="B28" s="288" t="s">
        <v>167</v>
      </c>
      <c r="C28" s="290">
        <v>45400</v>
      </c>
      <c r="D28" s="288">
        <v>973</v>
      </c>
      <c r="E28" s="288" t="s">
        <v>12</v>
      </c>
      <c r="F28" s="288" t="s">
        <v>184</v>
      </c>
      <c r="G28" s="288">
        <v>965267</v>
      </c>
      <c r="H28" s="288"/>
      <c r="I28" s="288"/>
      <c r="J28" s="288"/>
      <c r="K28" s="288"/>
      <c r="L28" s="328"/>
      <c r="M28" s="288"/>
      <c r="N28" s="319"/>
      <c r="O28" s="328"/>
    </row>
    <row r="29" spans="2:15">
      <c r="B29" s="288" t="s">
        <v>167</v>
      </c>
      <c r="C29" s="290">
        <v>45400</v>
      </c>
      <c r="D29" s="288">
        <v>973</v>
      </c>
      <c r="E29" s="288" t="s">
        <v>12</v>
      </c>
      <c r="F29" s="288" t="s">
        <v>185</v>
      </c>
      <c r="G29" s="288">
        <v>969467</v>
      </c>
      <c r="H29" s="288"/>
      <c r="I29" s="288"/>
      <c r="J29" s="288"/>
      <c r="K29" s="288"/>
      <c r="L29" s="328"/>
      <c r="M29" s="288"/>
      <c r="N29" s="319"/>
      <c r="O29" s="328"/>
    </row>
    <row r="30" spans="2:15">
      <c r="B30" s="288" t="s">
        <v>167</v>
      </c>
      <c r="C30" s="290">
        <v>45400</v>
      </c>
      <c r="D30" s="288">
        <v>973</v>
      </c>
      <c r="E30" s="288" t="s">
        <v>12</v>
      </c>
      <c r="F30" s="288" t="s">
        <v>186</v>
      </c>
      <c r="G30" s="288">
        <v>901588</v>
      </c>
      <c r="H30" s="288"/>
      <c r="I30" s="288"/>
      <c r="J30" s="288"/>
      <c r="K30" s="288"/>
      <c r="L30" s="328"/>
      <c r="M30" s="288"/>
      <c r="N30" s="319"/>
      <c r="O30" s="328"/>
    </row>
    <row r="31" spans="2:15">
      <c r="B31" s="288" t="s">
        <v>167</v>
      </c>
      <c r="C31" s="290">
        <v>45400</v>
      </c>
      <c r="D31" s="288">
        <v>973</v>
      </c>
      <c r="E31" s="288" t="s">
        <v>12</v>
      </c>
      <c r="F31" s="289" t="s">
        <v>187</v>
      </c>
      <c r="G31" s="288">
        <v>966826</v>
      </c>
      <c r="H31" s="288"/>
      <c r="I31" s="288"/>
      <c r="J31" s="288"/>
      <c r="K31" s="288"/>
      <c r="L31" s="328"/>
      <c r="M31" s="288"/>
      <c r="N31" s="319"/>
      <c r="O31" s="328"/>
    </row>
    <row r="32" spans="2:15">
      <c r="B32" s="288" t="s">
        <v>167</v>
      </c>
      <c r="C32" s="290">
        <v>45400</v>
      </c>
      <c r="D32" s="288">
        <v>973</v>
      </c>
      <c r="E32" s="288" t="s">
        <v>12</v>
      </c>
      <c r="F32" s="288" t="s">
        <v>188</v>
      </c>
      <c r="G32" s="288">
        <v>969425</v>
      </c>
      <c r="H32" s="288"/>
      <c r="I32" s="288"/>
      <c r="J32" s="288"/>
      <c r="K32" s="288"/>
      <c r="L32" s="328"/>
      <c r="M32" s="288"/>
      <c r="N32" s="319"/>
      <c r="O32" s="328"/>
    </row>
    <row r="33" spans="2:15">
      <c r="B33" s="288" t="s">
        <v>167</v>
      </c>
      <c r="C33" s="290">
        <v>45400</v>
      </c>
      <c r="D33" s="288">
        <v>973</v>
      </c>
      <c r="E33" s="288" t="s">
        <v>12</v>
      </c>
      <c r="F33" s="288" t="s">
        <v>189</v>
      </c>
      <c r="G33" s="288">
        <v>969501</v>
      </c>
      <c r="H33" s="288"/>
      <c r="I33" s="288"/>
      <c r="J33" s="288"/>
      <c r="K33" s="288"/>
      <c r="L33" s="328"/>
      <c r="M33" s="288"/>
      <c r="N33" s="319"/>
      <c r="O33" s="328"/>
    </row>
    <row r="34" spans="2:15">
      <c r="B34" s="288" t="s">
        <v>167</v>
      </c>
      <c r="C34" s="290">
        <v>45400</v>
      </c>
      <c r="D34" s="288">
        <v>973</v>
      </c>
      <c r="E34" s="288" t="s">
        <v>12</v>
      </c>
      <c r="F34" s="288" t="s">
        <v>190</v>
      </c>
      <c r="G34" s="288">
        <v>956427</v>
      </c>
      <c r="H34" s="288"/>
      <c r="I34" s="288"/>
      <c r="J34" s="288"/>
      <c r="K34" s="288"/>
      <c r="L34" s="328"/>
      <c r="M34" s="288"/>
      <c r="N34" s="319"/>
      <c r="O34" s="328"/>
    </row>
    <row r="35" spans="2:15">
      <c r="B35" s="288" t="s">
        <v>167</v>
      </c>
      <c r="C35" s="290">
        <v>45400</v>
      </c>
      <c r="D35" s="288">
        <v>973</v>
      </c>
      <c r="E35" s="288" t="s">
        <v>12</v>
      </c>
      <c r="F35" s="288" t="s">
        <v>191</v>
      </c>
      <c r="G35" s="288">
        <v>950875</v>
      </c>
      <c r="H35" s="288"/>
      <c r="I35" s="288"/>
      <c r="J35" s="288"/>
      <c r="K35" s="288"/>
      <c r="L35" s="328"/>
      <c r="M35" s="288"/>
      <c r="N35" s="319"/>
      <c r="O35" s="328"/>
    </row>
    <row r="36" spans="2:15">
      <c r="B36" s="288" t="s">
        <v>167</v>
      </c>
      <c r="C36" s="290">
        <v>45400</v>
      </c>
      <c r="D36" s="288">
        <v>973</v>
      </c>
      <c r="E36" s="288" t="s">
        <v>12</v>
      </c>
      <c r="F36" s="288" t="s">
        <v>192</v>
      </c>
      <c r="G36" s="288">
        <v>700755</v>
      </c>
      <c r="H36" s="288"/>
      <c r="I36" s="288"/>
      <c r="J36" s="288"/>
      <c r="K36" s="288"/>
      <c r="L36" s="328"/>
      <c r="M36" s="288"/>
      <c r="N36" s="319"/>
      <c r="O36" s="328"/>
    </row>
    <row r="37" spans="2:15">
      <c r="B37" s="288" t="s">
        <v>167</v>
      </c>
      <c r="C37" s="290">
        <v>45400</v>
      </c>
      <c r="D37" s="288">
        <v>973</v>
      </c>
      <c r="E37" s="288" t="s">
        <v>12</v>
      </c>
      <c r="F37" s="288" t="s">
        <v>193</v>
      </c>
      <c r="G37" s="288">
        <v>699979</v>
      </c>
      <c r="H37" s="288"/>
      <c r="I37" s="288"/>
      <c r="J37" s="288"/>
      <c r="K37" s="288"/>
      <c r="L37" s="328"/>
      <c r="M37" s="288"/>
      <c r="N37" s="319"/>
      <c r="O37" s="328"/>
    </row>
    <row r="38" spans="2:15">
      <c r="B38" s="288" t="s">
        <v>167</v>
      </c>
      <c r="C38" s="290">
        <v>45400</v>
      </c>
      <c r="D38" s="288">
        <v>973</v>
      </c>
      <c r="E38" s="288" t="s">
        <v>12</v>
      </c>
      <c r="F38" s="288" t="s">
        <v>194</v>
      </c>
      <c r="G38" s="288">
        <v>964673</v>
      </c>
      <c r="H38" s="288"/>
      <c r="I38" s="288"/>
      <c r="J38" s="288"/>
      <c r="K38" s="288"/>
      <c r="L38" s="328"/>
      <c r="M38" s="288"/>
      <c r="N38" s="319"/>
      <c r="O38" s="328"/>
    </row>
    <row r="39" spans="2:15">
      <c r="B39" s="288" t="s">
        <v>167</v>
      </c>
      <c r="C39" s="290">
        <v>45400</v>
      </c>
      <c r="D39" s="288">
        <v>973</v>
      </c>
      <c r="E39" s="288" t="s">
        <v>12</v>
      </c>
      <c r="F39" s="288" t="s">
        <v>195</v>
      </c>
      <c r="G39" s="288">
        <v>923266</v>
      </c>
      <c r="H39" s="288"/>
      <c r="I39" s="288"/>
      <c r="J39" s="288"/>
      <c r="K39" s="288"/>
      <c r="L39" s="328"/>
      <c r="M39" s="288"/>
      <c r="N39" s="319"/>
      <c r="O39" s="328"/>
    </row>
    <row r="40" spans="2:15">
      <c r="B40" s="288" t="s">
        <v>167</v>
      </c>
      <c r="C40" s="290">
        <v>45400</v>
      </c>
      <c r="D40" s="288">
        <v>973</v>
      </c>
      <c r="E40" s="288" t="s">
        <v>12</v>
      </c>
      <c r="F40" s="288" t="s">
        <v>196</v>
      </c>
      <c r="G40" s="288">
        <v>966707</v>
      </c>
      <c r="H40" s="288"/>
      <c r="I40" s="288"/>
      <c r="J40" s="288"/>
      <c r="K40" s="288"/>
      <c r="L40" s="328"/>
      <c r="M40" s="288"/>
      <c r="N40" s="319"/>
      <c r="O40" s="328"/>
    </row>
    <row r="41" spans="2:15">
      <c r="B41" s="288" t="s">
        <v>167</v>
      </c>
      <c r="C41" s="290">
        <v>45400</v>
      </c>
      <c r="D41" s="288">
        <v>973</v>
      </c>
      <c r="E41" s="288" t="s">
        <v>12</v>
      </c>
      <c r="F41" s="288" t="s">
        <v>197</v>
      </c>
      <c r="G41" s="288">
        <v>957989</v>
      </c>
      <c r="H41" s="288"/>
      <c r="I41" s="288"/>
      <c r="J41" s="288"/>
      <c r="K41" s="288"/>
      <c r="L41" s="328"/>
      <c r="M41" s="288"/>
      <c r="N41" s="319"/>
      <c r="O41" s="328"/>
    </row>
    <row r="42" spans="2:15">
      <c r="B42" s="288" t="s">
        <v>167</v>
      </c>
      <c r="C42" s="290">
        <v>45400</v>
      </c>
      <c r="D42" s="288">
        <v>973</v>
      </c>
      <c r="E42" s="288" t="s">
        <v>12</v>
      </c>
      <c r="F42" s="288" t="s">
        <v>198</v>
      </c>
      <c r="G42" s="288">
        <v>701336</v>
      </c>
      <c r="H42" s="288"/>
      <c r="I42" s="288"/>
      <c r="J42" s="288"/>
      <c r="K42" s="288"/>
      <c r="L42" s="328"/>
      <c r="M42" s="288"/>
      <c r="N42" s="319"/>
      <c r="O42" s="328"/>
    </row>
    <row r="43" spans="2:15">
      <c r="B43" s="288" t="s">
        <v>167</v>
      </c>
      <c r="C43" s="290">
        <v>45400</v>
      </c>
      <c r="D43" s="288">
        <v>973</v>
      </c>
      <c r="E43" s="288" t="s">
        <v>12</v>
      </c>
      <c r="F43" s="288" t="s">
        <v>199</v>
      </c>
      <c r="G43" s="288">
        <v>700697</v>
      </c>
      <c r="H43" s="288"/>
      <c r="I43" s="288"/>
      <c r="J43" s="288"/>
      <c r="K43" s="288"/>
      <c r="L43" s="328"/>
      <c r="M43" s="288"/>
      <c r="N43" s="319"/>
      <c r="O43" s="328"/>
    </row>
    <row r="44" spans="2:15">
      <c r="B44" s="288" t="s">
        <v>167</v>
      </c>
      <c r="C44" s="290">
        <v>45400</v>
      </c>
      <c r="D44" s="288">
        <v>973</v>
      </c>
      <c r="E44" s="288" t="s">
        <v>12</v>
      </c>
      <c r="F44" s="288" t="s">
        <v>200</v>
      </c>
      <c r="G44" s="288">
        <v>36113</v>
      </c>
      <c r="H44" s="288"/>
      <c r="I44" s="288"/>
      <c r="J44" s="288"/>
      <c r="K44" s="288"/>
      <c r="L44" s="328"/>
      <c r="M44" s="288"/>
      <c r="N44" s="319"/>
      <c r="O44" s="328"/>
    </row>
    <row r="45" spans="2:15">
      <c r="B45" s="288" t="s">
        <v>167</v>
      </c>
      <c r="C45" s="290">
        <v>45400</v>
      </c>
      <c r="D45" s="288">
        <v>973</v>
      </c>
      <c r="E45" s="288" t="s">
        <v>12</v>
      </c>
      <c r="F45" s="288" t="s">
        <v>201</v>
      </c>
      <c r="G45" s="288">
        <v>701618</v>
      </c>
      <c r="H45" s="288"/>
      <c r="I45" s="288"/>
      <c r="J45" s="288"/>
      <c r="K45" s="288"/>
      <c r="L45" s="328"/>
      <c r="M45" s="288"/>
      <c r="N45" s="319"/>
      <c r="O45" s="328"/>
    </row>
    <row r="46" spans="2:15">
      <c r="B46" s="288" t="s">
        <v>167</v>
      </c>
      <c r="C46" s="290">
        <v>45400</v>
      </c>
      <c r="D46" s="288">
        <v>973</v>
      </c>
      <c r="E46" s="288" t="s">
        <v>12</v>
      </c>
      <c r="F46" s="288" t="s">
        <v>202</v>
      </c>
      <c r="G46" s="288">
        <v>701450</v>
      </c>
      <c r="H46" s="288"/>
      <c r="I46" s="288"/>
      <c r="J46" s="288"/>
      <c r="K46" s="288"/>
      <c r="L46" s="328"/>
      <c r="M46" s="288"/>
      <c r="N46" s="319"/>
      <c r="O46" s="32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</sheetData>
  <mergeCells count="16">
    <mergeCell ref="H21:H25"/>
    <mergeCell ref="H13:H20"/>
    <mergeCell ref="J13:J20"/>
    <mergeCell ref="K13:K20"/>
    <mergeCell ref="L21:L25"/>
    <mergeCell ref="N21:N25"/>
    <mergeCell ref="O21:O25"/>
    <mergeCell ref="S3:W3"/>
    <mergeCell ref="O26:O46"/>
    <mergeCell ref="L26:L46"/>
    <mergeCell ref="N26:N46"/>
    <mergeCell ref="H2:K2"/>
    <mergeCell ref="H5:H12"/>
    <mergeCell ref="J5:J12"/>
    <mergeCell ref="K5:K12"/>
    <mergeCell ref="L2:O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P101"/>
  <sheetViews>
    <sheetView zoomScale="90" zoomScaleNormal="90" workbookViewId="0">
      <selection activeCell="B47" sqref="B47"/>
    </sheetView>
  </sheetViews>
  <sheetFormatPr baseColWidth="10" defaultRowHeight="15"/>
  <cols>
    <col min="3" max="3" width="51.1406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1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58" customFormat="1">
      <c r="N4" s="3"/>
    </row>
    <row r="5" spans="2:16" s="58" customFormat="1">
      <c r="B5" s="330" t="s">
        <v>155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2:16" s="58" customFormat="1"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2:16" s="58" customFormat="1">
      <c r="B7" s="306">
        <f>+Resumen!C4</f>
        <v>45407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</row>
    <row r="8" spans="2:16" s="58" customFormat="1" ht="15.75" thickBot="1">
      <c r="N8" s="3"/>
    </row>
    <row r="9" spans="2:16" ht="15.75" thickBot="1">
      <c r="E9" s="331" t="s">
        <v>117</v>
      </c>
      <c r="F9" s="332"/>
      <c r="G9" s="333"/>
      <c r="H9" s="331" t="s">
        <v>116</v>
      </c>
      <c r="I9" s="332"/>
      <c r="J9" s="333"/>
      <c r="K9" s="331" t="s">
        <v>63</v>
      </c>
      <c r="L9" s="332"/>
      <c r="M9" s="332"/>
      <c r="N9" s="332"/>
      <c r="O9" s="332"/>
      <c r="P9" s="333"/>
    </row>
    <row r="10" spans="2:16" ht="60.75" thickBot="1">
      <c r="B10" s="95" t="s">
        <v>17</v>
      </c>
      <c r="C10" s="96" t="s">
        <v>59</v>
      </c>
      <c r="D10" s="97" t="s">
        <v>34</v>
      </c>
      <c r="E10" s="98" t="s">
        <v>30</v>
      </c>
      <c r="F10" s="98" t="s">
        <v>60</v>
      </c>
      <c r="G10" s="98" t="s">
        <v>31</v>
      </c>
      <c r="H10" s="97" t="s">
        <v>61</v>
      </c>
      <c r="I10" s="97" t="s">
        <v>62</v>
      </c>
      <c r="J10" s="99" t="s">
        <v>35</v>
      </c>
      <c r="K10" s="100" t="s">
        <v>30</v>
      </c>
      <c r="L10" s="98" t="s">
        <v>60</v>
      </c>
      <c r="M10" s="98" t="s">
        <v>31</v>
      </c>
      <c r="N10" s="97" t="s">
        <v>61</v>
      </c>
      <c r="O10" s="97" t="s">
        <v>62</v>
      </c>
      <c r="P10" s="99" t="s">
        <v>35</v>
      </c>
    </row>
    <row r="11" spans="2:16" ht="15.75" thickBot="1">
      <c r="B11" s="337" t="s">
        <v>18</v>
      </c>
      <c r="C11" s="123" t="s">
        <v>36</v>
      </c>
      <c r="D11" s="101" t="s">
        <v>50</v>
      </c>
      <c r="E11" s="145">
        <v>5080.9989999999998</v>
      </c>
      <c r="F11" s="5"/>
      <c r="G11" s="18">
        <f>+E11+F11</f>
        <v>5080.9989999999998</v>
      </c>
      <c r="H11" s="5"/>
      <c r="I11" s="18">
        <f>+G11-H11</f>
        <v>5080.9989999999998</v>
      </c>
      <c r="J11" s="50">
        <f>+H11/G11</f>
        <v>0</v>
      </c>
      <c r="K11" s="120">
        <f t="shared" ref="K11:L15" si="0">E11</f>
        <v>5080.9989999999998</v>
      </c>
      <c r="L11" s="117">
        <f t="shared" si="0"/>
        <v>0</v>
      </c>
      <c r="M11" s="118">
        <f>+K11+L11</f>
        <v>5080.9989999999998</v>
      </c>
      <c r="N11" s="117">
        <f>H11</f>
        <v>0</v>
      </c>
      <c r="O11" s="118">
        <f>+M11-N11</f>
        <v>5080.9989999999998</v>
      </c>
      <c r="P11" s="115">
        <f t="shared" ref="P11:P17" si="1">+N11/M11</f>
        <v>0</v>
      </c>
    </row>
    <row r="12" spans="2:16" ht="15.75" thickBot="1">
      <c r="B12" s="339"/>
      <c r="C12" s="124" t="s">
        <v>37</v>
      </c>
      <c r="D12" s="101" t="s">
        <v>50</v>
      </c>
      <c r="E12" s="103">
        <v>139490.726</v>
      </c>
      <c r="F12" s="4"/>
      <c r="G12" s="16">
        <f>+E12+F12</f>
        <v>139490.726</v>
      </c>
      <c r="H12" s="112"/>
      <c r="I12" s="16">
        <f>+G12-H12</f>
        <v>139490.726</v>
      </c>
      <c r="J12" s="49">
        <f>+H12/G12</f>
        <v>0</v>
      </c>
      <c r="K12" s="120">
        <f t="shared" si="0"/>
        <v>139490.726</v>
      </c>
      <c r="L12" s="117">
        <f t="shared" si="0"/>
        <v>0</v>
      </c>
      <c r="M12" s="118">
        <f>+K12+L12</f>
        <v>139490.726</v>
      </c>
      <c r="N12" s="117">
        <f>H12</f>
        <v>0</v>
      </c>
      <c r="O12" s="118">
        <f>+M12-N12</f>
        <v>139490.726</v>
      </c>
      <c r="P12" s="115">
        <f t="shared" si="1"/>
        <v>0</v>
      </c>
    </row>
    <row r="13" spans="2:16" s="58" customFormat="1" ht="15.75" thickBot="1">
      <c r="B13" s="339"/>
      <c r="C13" s="124" t="s">
        <v>38</v>
      </c>
      <c r="D13" s="101" t="s">
        <v>50</v>
      </c>
      <c r="E13" s="150">
        <v>411316.59399999998</v>
      </c>
      <c r="F13" s="151"/>
      <c r="G13" s="16">
        <f t="shared" ref="G13:G14" si="2">+E13+F13</f>
        <v>411316.59399999998</v>
      </c>
      <c r="H13" s="152"/>
      <c r="I13" s="16">
        <f t="shared" ref="I13:I14" si="3">+G13-H13</f>
        <v>411316.59399999998</v>
      </c>
      <c r="J13" s="49">
        <f t="shared" ref="J13:J14" si="4">+H13/G13</f>
        <v>0</v>
      </c>
      <c r="K13" s="120">
        <f t="shared" ref="K13:K14" si="5">E13</f>
        <v>411316.59399999998</v>
      </c>
      <c r="L13" s="117">
        <f t="shared" ref="L13:L14" si="6">F13</f>
        <v>0</v>
      </c>
      <c r="M13" s="118">
        <f t="shared" ref="M13:M14" si="7">+K13+L13</f>
        <v>411316.59399999998</v>
      </c>
      <c r="N13" s="117">
        <f t="shared" ref="N13:N14" si="8">H13</f>
        <v>0</v>
      </c>
      <c r="O13" s="118">
        <f t="shared" ref="O13:O14" si="9">+M13-N13</f>
        <v>411316.59399999998</v>
      </c>
      <c r="P13" s="161">
        <f>+N13/M13</f>
        <v>0</v>
      </c>
    </row>
    <row r="14" spans="2:16" s="58" customFormat="1" ht="15.75" thickBot="1">
      <c r="B14" s="339"/>
      <c r="C14" s="165" t="s">
        <v>157</v>
      </c>
      <c r="D14" s="101" t="s">
        <v>50</v>
      </c>
      <c r="E14" s="103">
        <v>17885.366000000002</v>
      </c>
      <c r="F14" s="151">
        <f>-16731.47</f>
        <v>-16731.47</v>
      </c>
      <c r="G14" s="16">
        <f t="shared" si="2"/>
        <v>1153.8960000000006</v>
      </c>
      <c r="H14" s="152"/>
      <c r="I14" s="16">
        <f t="shared" si="3"/>
        <v>1153.8960000000006</v>
      </c>
      <c r="J14" s="49">
        <f t="shared" si="4"/>
        <v>0</v>
      </c>
      <c r="K14" s="120">
        <f t="shared" si="5"/>
        <v>17885.366000000002</v>
      </c>
      <c r="L14" s="117">
        <f t="shared" si="6"/>
        <v>-16731.47</v>
      </c>
      <c r="M14" s="118">
        <f t="shared" si="7"/>
        <v>1153.8960000000006</v>
      </c>
      <c r="N14" s="117">
        <f t="shared" si="8"/>
        <v>0</v>
      </c>
      <c r="O14" s="118">
        <f t="shared" si="9"/>
        <v>1153.8960000000006</v>
      </c>
      <c r="P14" s="115">
        <f t="shared" ref="P14" si="10">+N14/M14</f>
        <v>0</v>
      </c>
    </row>
    <row r="15" spans="2:16" s="58" customFormat="1" ht="15.75" thickBot="1">
      <c r="B15" s="340"/>
      <c r="C15" s="124" t="s">
        <v>158</v>
      </c>
      <c r="D15" s="101" t="s">
        <v>50</v>
      </c>
      <c r="E15" s="153">
        <v>3173.2089999999998</v>
      </c>
      <c r="F15" s="239">
        <v>-3173.2089999999998</v>
      </c>
      <c r="G15" s="240">
        <f>+E15+F15</f>
        <v>0</v>
      </c>
      <c r="H15" s="239"/>
      <c r="I15" s="240">
        <f>+G15-H15</f>
        <v>0</v>
      </c>
      <c r="J15" s="241" t="e">
        <f>+H15/G15</f>
        <v>#DIV/0!</v>
      </c>
      <c r="K15" s="242">
        <f>E15</f>
        <v>3173.2089999999998</v>
      </c>
      <c r="L15" s="243">
        <f t="shared" si="0"/>
        <v>-3173.2089999999998</v>
      </c>
      <c r="M15" s="244">
        <f>+K15+L15</f>
        <v>0</v>
      </c>
      <c r="N15" s="243">
        <f>H15</f>
        <v>0</v>
      </c>
      <c r="O15" s="244">
        <f>+M15-N15</f>
        <v>0</v>
      </c>
      <c r="P15" s="245" t="e">
        <f t="shared" si="1"/>
        <v>#DIV/0!</v>
      </c>
    </row>
    <row r="16" spans="2:16" s="7" customFormat="1" ht="15.75" thickBot="1">
      <c r="B16" s="19"/>
      <c r="C16" s="20"/>
      <c r="D16" s="175"/>
      <c r="E16" s="176">
        <f>SUM(E11:E15)</f>
        <v>576946.89400000009</v>
      </c>
      <c r="F16" s="177"/>
      <c r="G16" s="178"/>
      <c r="H16" s="177"/>
      <c r="I16" s="177"/>
      <c r="J16" s="179"/>
      <c r="K16" s="180">
        <f>SUM(K11:K15)</f>
        <v>576946.89400000009</v>
      </c>
      <c r="L16" s="181">
        <f>SUM(L11:L15)</f>
        <v>-19904.679</v>
      </c>
      <c r="M16" s="182">
        <f>SUM(M11:M15)</f>
        <v>557042.21499999997</v>
      </c>
      <c r="N16" s="183">
        <f>SUM(N11:N15)</f>
        <v>0</v>
      </c>
      <c r="O16" s="182">
        <f>SUM(O11:O15)</f>
        <v>557042.21499999997</v>
      </c>
      <c r="P16" s="61">
        <f t="shared" si="1"/>
        <v>0</v>
      </c>
    </row>
    <row r="17" spans="2:16" ht="20.100000000000001" customHeight="1" thickBot="1">
      <c r="B17" s="337" t="s">
        <v>21</v>
      </c>
      <c r="C17" s="125" t="s">
        <v>47</v>
      </c>
      <c r="D17" s="101" t="s">
        <v>50</v>
      </c>
      <c r="E17" s="160">
        <v>320.791</v>
      </c>
      <c r="F17" s="167"/>
      <c r="G17" s="18">
        <f>+E17+F17</f>
        <v>320.791</v>
      </c>
      <c r="H17" s="5"/>
      <c r="I17" s="18">
        <f>+G17-H17</f>
        <v>320.791</v>
      </c>
      <c r="J17" s="172">
        <f>+H17/G17</f>
        <v>0</v>
      </c>
      <c r="K17" s="173">
        <f>+E17</f>
        <v>320.791</v>
      </c>
      <c r="L17" s="174">
        <f>+F17</f>
        <v>0</v>
      </c>
      <c r="M17" s="173">
        <f>+K17+L17</f>
        <v>320.791</v>
      </c>
      <c r="N17" s="174">
        <f>+H17</f>
        <v>0</v>
      </c>
      <c r="O17" s="173">
        <f>+M17-N17</f>
        <v>320.791</v>
      </c>
      <c r="P17" s="47">
        <f t="shared" si="1"/>
        <v>0</v>
      </c>
    </row>
    <row r="18" spans="2:16" s="58" customFormat="1" ht="20.100000000000001" customHeight="1" thickBot="1">
      <c r="B18" s="338"/>
      <c r="C18" s="159" t="s">
        <v>54</v>
      </c>
      <c r="D18" s="101" t="s">
        <v>50</v>
      </c>
      <c r="E18" s="160">
        <v>1710.798</v>
      </c>
      <c r="F18" s="167"/>
      <c r="G18" s="18">
        <f>+E18+F18</f>
        <v>1710.798</v>
      </c>
      <c r="H18" s="5"/>
      <c r="I18" s="18">
        <f>+G18-H18</f>
        <v>1710.798</v>
      </c>
      <c r="J18" s="168">
        <f>+H18/G18</f>
        <v>0</v>
      </c>
      <c r="K18" s="169">
        <f>+E18</f>
        <v>1710.798</v>
      </c>
      <c r="L18" s="170">
        <f>+F18</f>
        <v>0</v>
      </c>
      <c r="M18" s="171">
        <f>+K18+L18</f>
        <v>1710.798</v>
      </c>
      <c r="N18" s="170">
        <f>+H18</f>
        <v>0</v>
      </c>
      <c r="O18" s="171">
        <f>+M18-N18</f>
        <v>1710.798</v>
      </c>
      <c r="P18" s="47">
        <f t="shared" ref="P18" si="11">+N18/M18</f>
        <v>0</v>
      </c>
    </row>
    <row r="19" spans="2:16" ht="20.100000000000001" customHeight="1" thickBot="1">
      <c r="B19" s="339"/>
      <c r="C19" s="127" t="s">
        <v>46</v>
      </c>
      <c r="D19" s="102" t="s">
        <v>50</v>
      </c>
      <c r="E19" s="103">
        <v>229.137</v>
      </c>
      <c r="F19" s="83"/>
      <c r="G19" s="16">
        <f t="shared" ref="G19:G29" si="12">+E19+F19</f>
        <v>229.137</v>
      </c>
      <c r="H19" s="4"/>
      <c r="I19" s="16">
        <f t="shared" ref="I19:I29" si="13">+G19-H19</f>
        <v>229.137</v>
      </c>
      <c r="J19" s="34">
        <f t="shared" ref="J19:J29" si="14">+H19/G19</f>
        <v>0</v>
      </c>
      <c r="K19" s="48">
        <f t="shared" ref="K19:K29" si="15">+E19</f>
        <v>229.137</v>
      </c>
      <c r="L19" s="40">
        <f t="shared" ref="L19:L29" si="16">+F19</f>
        <v>0</v>
      </c>
      <c r="M19" s="39">
        <f t="shared" ref="M19:M29" si="17">+K19+L19</f>
        <v>229.137</v>
      </c>
      <c r="N19" s="40">
        <f t="shared" ref="N19:N29" si="18">+H19</f>
        <v>0</v>
      </c>
      <c r="O19" s="39">
        <f t="shared" ref="O19:O29" si="19">+M19-N19</f>
        <v>229.137</v>
      </c>
      <c r="P19" s="47">
        <f t="shared" ref="P19:P29" si="20">+N19/M19</f>
        <v>0</v>
      </c>
    </row>
    <row r="20" spans="2:16" ht="20.100000000000001" customHeight="1" thickBot="1">
      <c r="B20" s="339"/>
      <c r="C20" s="126" t="s">
        <v>39</v>
      </c>
      <c r="D20" s="102" t="s">
        <v>50</v>
      </c>
      <c r="E20" s="103">
        <v>13365.611999999999</v>
      </c>
      <c r="F20" s="83"/>
      <c r="G20" s="16">
        <f t="shared" si="12"/>
        <v>13365.611999999999</v>
      </c>
      <c r="H20" s="4"/>
      <c r="I20" s="16">
        <f t="shared" si="13"/>
        <v>13365.611999999999</v>
      </c>
      <c r="J20" s="34">
        <f t="shared" si="14"/>
        <v>0</v>
      </c>
      <c r="K20" s="48">
        <f t="shared" si="15"/>
        <v>13365.611999999999</v>
      </c>
      <c r="L20" s="40">
        <f t="shared" si="16"/>
        <v>0</v>
      </c>
      <c r="M20" s="39">
        <f t="shared" si="17"/>
        <v>13365.611999999999</v>
      </c>
      <c r="N20" s="40">
        <f t="shared" si="18"/>
        <v>0</v>
      </c>
      <c r="O20" s="39">
        <f t="shared" si="19"/>
        <v>13365.611999999999</v>
      </c>
      <c r="P20" s="47">
        <f t="shared" si="20"/>
        <v>0</v>
      </c>
    </row>
    <row r="21" spans="2:16" ht="20.100000000000001" customHeight="1" thickBot="1">
      <c r="B21" s="339"/>
      <c r="C21" s="126" t="s">
        <v>40</v>
      </c>
      <c r="D21" s="102" t="s">
        <v>50</v>
      </c>
      <c r="E21" s="103">
        <v>98.686999999999998</v>
      </c>
      <c r="F21" s="83"/>
      <c r="G21" s="16">
        <f t="shared" si="12"/>
        <v>98.686999999999998</v>
      </c>
      <c r="H21" s="4"/>
      <c r="I21" s="16">
        <f t="shared" si="13"/>
        <v>98.686999999999998</v>
      </c>
      <c r="J21" s="34">
        <f t="shared" si="14"/>
        <v>0</v>
      </c>
      <c r="K21" s="48">
        <f t="shared" si="15"/>
        <v>98.686999999999998</v>
      </c>
      <c r="L21" s="40">
        <f t="shared" si="16"/>
        <v>0</v>
      </c>
      <c r="M21" s="39">
        <f t="shared" si="17"/>
        <v>98.686999999999998</v>
      </c>
      <c r="N21" s="40">
        <f t="shared" si="18"/>
        <v>0</v>
      </c>
      <c r="O21" s="39">
        <f t="shared" si="19"/>
        <v>98.686999999999998</v>
      </c>
      <c r="P21" s="47">
        <f t="shared" si="20"/>
        <v>0</v>
      </c>
    </row>
    <row r="22" spans="2:16" ht="20.100000000000001" customHeight="1" thickBot="1">
      <c r="B22" s="339"/>
      <c r="C22" s="126" t="s">
        <v>43</v>
      </c>
      <c r="D22" s="102" t="s">
        <v>50</v>
      </c>
      <c r="E22" s="154">
        <v>826.92700000000002</v>
      </c>
      <c r="F22" s="83"/>
      <c r="G22" s="16">
        <f t="shared" si="12"/>
        <v>826.92700000000002</v>
      </c>
      <c r="H22" s="4"/>
      <c r="I22" s="16">
        <f t="shared" si="13"/>
        <v>826.92700000000002</v>
      </c>
      <c r="J22" s="34">
        <f t="shared" si="14"/>
        <v>0</v>
      </c>
      <c r="K22" s="48">
        <f t="shared" si="15"/>
        <v>826.92700000000002</v>
      </c>
      <c r="L22" s="40">
        <f t="shared" si="16"/>
        <v>0</v>
      </c>
      <c r="M22" s="39">
        <f t="shared" si="17"/>
        <v>826.92700000000002</v>
      </c>
      <c r="N22" s="40">
        <f t="shared" si="18"/>
        <v>0</v>
      </c>
      <c r="O22" s="39">
        <f t="shared" si="19"/>
        <v>826.92700000000002</v>
      </c>
      <c r="P22" s="47">
        <f t="shared" si="20"/>
        <v>0</v>
      </c>
    </row>
    <row r="23" spans="2:16" ht="20.100000000000001" customHeight="1" thickBot="1">
      <c r="B23" s="339"/>
      <c r="C23" s="126" t="s">
        <v>41</v>
      </c>
      <c r="D23" s="102" t="s">
        <v>50</v>
      </c>
      <c r="E23" s="103">
        <v>23.632000000000001</v>
      </c>
      <c r="F23" s="83"/>
      <c r="G23" s="16">
        <f t="shared" si="12"/>
        <v>23.632000000000001</v>
      </c>
      <c r="H23" s="4"/>
      <c r="I23" s="16">
        <f t="shared" si="13"/>
        <v>23.632000000000001</v>
      </c>
      <c r="J23" s="34">
        <f t="shared" si="14"/>
        <v>0</v>
      </c>
      <c r="K23" s="48">
        <f t="shared" si="15"/>
        <v>23.632000000000001</v>
      </c>
      <c r="L23" s="40">
        <f t="shared" si="16"/>
        <v>0</v>
      </c>
      <c r="M23" s="39">
        <f t="shared" si="17"/>
        <v>23.632000000000001</v>
      </c>
      <c r="N23" s="40">
        <f t="shared" si="18"/>
        <v>0</v>
      </c>
      <c r="O23" s="39">
        <f t="shared" si="19"/>
        <v>23.632000000000001</v>
      </c>
      <c r="P23" s="47">
        <f t="shared" si="20"/>
        <v>0</v>
      </c>
    </row>
    <row r="24" spans="2:16" ht="20.100000000000001" customHeight="1" thickBot="1">
      <c r="B24" s="339"/>
      <c r="C24" s="127" t="s">
        <v>48</v>
      </c>
      <c r="D24" s="102" t="s">
        <v>50</v>
      </c>
      <c r="E24" s="103">
        <v>122.206</v>
      </c>
      <c r="F24" s="83"/>
      <c r="G24" s="16">
        <f t="shared" si="12"/>
        <v>122.206</v>
      </c>
      <c r="H24" s="4"/>
      <c r="I24" s="16">
        <f t="shared" si="13"/>
        <v>122.206</v>
      </c>
      <c r="J24" s="34">
        <f t="shared" si="14"/>
        <v>0</v>
      </c>
      <c r="K24" s="48">
        <f t="shared" si="15"/>
        <v>122.206</v>
      </c>
      <c r="L24" s="40">
        <f t="shared" si="16"/>
        <v>0</v>
      </c>
      <c r="M24" s="39">
        <f t="shared" si="17"/>
        <v>122.206</v>
      </c>
      <c r="N24" s="40">
        <f t="shared" si="18"/>
        <v>0</v>
      </c>
      <c r="O24" s="39">
        <f t="shared" si="19"/>
        <v>122.206</v>
      </c>
      <c r="P24" s="47">
        <f t="shared" si="20"/>
        <v>0</v>
      </c>
    </row>
    <row r="25" spans="2:16" ht="20.100000000000001" customHeight="1" thickBot="1">
      <c r="B25" s="339"/>
      <c r="C25" s="126" t="s">
        <v>45</v>
      </c>
      <c r="D25" s="102" t="s">
        <v>50</v>
      </c>
      <c r="E25" s="103">
        <v>76.379000000000005</v>
      </c>
      <c r="F25" s="83"/>
      <c r="G25" s="16">
        <f t="shared" si="12"/>
        <v>76.379000000000005</v>
      </c>
      <c r="H25" s="4"/>
      <c r="I25" s="16">
        <f t="shared" si="13"/>
        <v>76.379000000000005</v>
      </c>
      <c r="J25" s="34">
        <f t="shared" si="14"/>
        <v>0</v>
      </c>
      <c r="K25" s="48">
        <f t="shared" si="15"/>
        <v>76.379000000000005</v>
      </c>
      <c r="L25" s="40">
        <f t="shared" si="16"/>
        <v>0</v>
      </c>
      <c r="M25" s="39">
        <f t="shared" si="17"/>
        <v>76.379000000000005</v>
      </c>
      <c r="N25" s="40">
        <f t="shared" si="18"/>
        <v>0</v>
      </c>
      <c r="O25" s="39">
        <f t="shared" si="19"/>
        <v>76.379000000000005</v>
      </c>
      <c r="P25" s="47">
        <f t="shared" si="20"/>
        <v>0</v>
      </c>
    </row>
    <row r="26" spans="2:16" ht="20.100000000000001" customHeight="1" thickBot="1">
      <c r="B26" s="339"/>
      <c r="C26" s="127" t="s">
        <v>49</v>
      </c>
      <c r="D26" s="102" t="s">
        <v>50</v>
      </c>
      <c r="E26" s="103">
        <v>122.206</v>
      </c>
      <c r="F26" s="83"/>
      <c r="G26" s="16">
        <f t="shared" si="12"/>
        <v>122.206</v>
      </c>
      <c r="H26" s="4"/>
      <c r="I26" s="16">
        <f t="shared" si="13"/>
        <v>122.206</v>
      </c>
      <c r="J26" s="34">
        <f t="shared" si="14"/>
        <v>0</v>
      </c>
      <c r="K26" s="48">
        <f t="shared" si="15"/>
        <v>122.206</v>
      </c>
      <c r="L26" s="40">
        <f t="shared" si="16"/>
        <v>0</v>
      </c>
      <c r="M26" s="39">
        <f t="shared" si="17"/>
        <v>122.206</v>
      </c>
      <c r="N26" s="40">
        <f t="shared" si="18"/>
        <v>0</v>
      </c>
      <c r="O26" s="39">
        <f t="shared" si="19"/>
        <v>122.206</v>
      </c>
      <c r="P26" s="47">
        <f t="shared" si="20"/>
        <v>0</v>
      </c>
    </row>
    <row r="27" spans="2:16" ht="20.100000000000001" customHeight="1" thickBot="1">
      <c r="B27" s="339"/>
      <c r="C27" s="126" t="s">
        <v>44</v>
      </c>
      <c r="D27" s="102" t="s">
        <v>50</v>
      </c>
      <c r="E27" s="103">
        <v>2.8540000000000001</v>
      </c>
      <c r="F27" s="83"/>
      <c r="G27" s="16">
        <f t="shared" si="12"/>
        <v>2.8540000000000001</v>
      </c>
      <c r="H27" s="4"/>
      <c r="I27" s="16">
        <f t="shared" si="13"/>
        <v>2.8540000000000001</v>
      </c>
      <c r="J27" s="34">
        <f t="shared" si="14"/>
        <v>0</v>
      </c>
      <c r="K27" s="48">
        <f t="shared" si="15"/>
        <v>2.8540000000000001</v>
      </c>
      <c r="L27" s="40">
        <f t="shared" si="16"/>
        <v>0</v>
      </c>
      <c r="M27" s="39">
        <f t="shared" si="17"/>
        <v>2.8540000000000001</v>
      </c>
      <c r="N27" s="40">
        <f t="shared" si="18"/>
        <v>0</v>
      </c>
      <c r="O27" s="39">
        <f t="shared" si="19"/>
        <v>2.8540000000000001</v>
      </c>
      <c r="P27" s="47">
        <f t="shared" si="20"/>
        <v>0</v>
      </c>
    </row>
    <row r="28" spans="2:16" ht="20.100000000000001" customHeight="1" thickBot="1">
      <c r="B28" s="339"/>
      <c r="C28" s="126" t="s">
        <v>42</v>
      </c>
      <c r="D28" s="102" t="s">
        <v>50</v>
      </c>
      <c r="E28" s="103">
        <v>13004.216</v>
      </c>
      <c r="F28" s="83"/>
      <c r="G28" s="16">
        <f t="shared" si="12"/>
        <v>13004.216</v>
      </c>
      <c r="H28" s="4"/>
      <c r="I28" s="16">
        <f t="shared" si="13"/>
        <v>13004.216</v>
      </c>
      <c r="J28" s="34">
        <f t="shared" si="14"/>
        <v>0</v>
      </c>
      <c r="K28" s="48">
        <f t="shared" si="15"/>
        <v>13004.216</v>
      </c>
      <c r="L28" s="40">
        <f t="shared" si="16"/>
        <v>0</v>
      </c>
      <c r="M28" s="39">
        <f t="shared" si="17"/>
        <v>13004.216</v>
      </c>
      <c r="N28" s="40">
        <f t="shared" si="18"/>
        <v>0</v>
      </c>
      <c r="O28" s="39">
        <f t="shared" si="19"/>
        <v>13004.216</v>
      </c>
      <c r="P28" s="47">
        <f t="shared" si="20"/>
        <v>0</v>
      </c>
    </row>
    <row r="29" spans="2:16" ht="20.100000000000001" customHeight="1" thickBot="1">
      <c r="B29" s="339"/>
      <c r="C29" s="126" t="s">
        <v>115</v>
      </c>
      <c r="D29" s="102" t="s">
        <v>50</v>
      </c>
      <c r="E29" s="103">
        <v>351.34300000000002</v>
      </c>
      <c r="F29" s="83"/>
      <c r="G29" s="16">
        <f t="shared" si="12"/>
        <v>351.34300000000002</v>
      </c>
      <c r="H29" s="4"/>
      <c r="I29" s="16">
        <f t="shared" si="13"/>
        <v>351.34300000000002</v>
      </c>
      <c r="J29" s="34">
        <f t="shared" si="14"/>
        <v>0</v>
      </c>
      <c r="K29" s="48">
        <f t="shared" si="15"/>
        <v>351.34300000000002</v>
      </c>
      <c r="L29" s="40">
        <f t="shared" si="16"/>
        <v>0</v>
      </c>
      <c r="M29" s="39">
        <f t="shared" si="17"/>
        <v>351.34300000000002</v>
      </c>
      <c r="N29" s="40">
        <f t="shared" si="18"/>
        <v>0</v>
      </c>
      <c r="O29" s="39">
        <f t="shared" si="19"/>
        <v>351.34300000000002</v>
      </c>
      <c r="P29" s="47">
        <f t="shared" si="20"/>
        <v>0</v>
      </c>
    </row>
    <row r="30" spans="2:16" s="58" customFormat="1" ht="20.100000000000001" customHeight="1" thickBot="1">
      <c r="B30" s="340"/>
      <c r="C30" s="184" t="s">
        <v>156</v>
      </c>
      <c r="D30" s="102" t="s">
        <v>50</v>
      </c>
      <c r="E30" s="162">
        <v>296.71300000000002</v>
      </c>
      <c r="F30" s="163"/>
      <c r="G30" s="16">
        <f t="shared" ref="G30" si="21">+E30+F30</f>
        <v>296.71300000000002</v>
      </c>
      <c r="H30" s="4"/>
      <c r="I30" s="16">
        <f t="shared" ref="I30" si="22">+G30-H30</f>
        <v>296.71300000000002</v>
      </c>
      <c r="J30" s="34">
        <f t="shared" ref="J30" si="23">+H30/G30</f>
        <v>0</v>
      </c>
      <c r="K30" s="48">
        <f t="shared" ref="K30" si="24">+E30</f>
        <v>296.71300000000002</v>
      </c>
      <c r="L30" s="40">
        <f t="shared" ref="L30" si="25">+F30</f>
        <v>0</v>
      </c>
      <c r="M30" s="39">
        <f t="shared" ref="M30" si="26">+K30+L30</f>
        <v>296.71300000000002</v>
      </c>
      <c r="N30" s="40">
        <f t="shared" ref="N30" si="27">+H30</f>
        <v>0</v>
      </c>
      <c r="O30" s="39">
        <f t="shared" ref="O30" si="28">+M30-N30</f>
        <v>296.71300000000002</v>
      </c>
      <c r="P30" s="47">
        <f t="shared" ref="P30" si="29">+N30/M30</f>
        <v>0</v>
      </c>
    </row>
    <row r="31" spans="2:16" s="8" customFormat="1" ht="15.75" thickBot="1">
      <c r="B31" s="19"/>
      <c r="C31" s="22"/>
      <c r="D31" s="21"/>
      <c r="E31" s="166">
        <f>SUM(E17:E30)</f>
        <v>30551.501</v>
      </c>
      <c r="F31" s="6"/>
      <c r="G31" s="6"/>
      <c r="H31" s="6"/>
      <c r="I31" s="6"/>
      <c r="J31" s="35"/>
      <c r="K31" s="70">
        <f>SUM(K17:K30)</f>
        <v>30551.501</v>
      </c>
      <c r="L31" s="65">
        <f>SUM(L17:L30)</f>
        <v>0</v>
      </c>
      <c r="M31" s="65">
        <f>SUM(M17:M30)</f>
        <v>30551.501</v>
      </c>
      <c r="N31" s="76">
        <f>SUM(N17:N30)</f>
        <v>0</v>
      </c>
      <c r="O31" s="65">
        <f>SUM(O17:O30)</f>
        <v>30551.501</v>
      </c>
      <c r="P31" s="38">
        <f t="shared" ref="P31:P36" si="30">+N31/M31</f>
        <v>0</v>
      </c>
    </row>
    <row r="32" spans="2:16" ht="15.75" thickBot="1">
      <c r="B32" s="341" t="s">
        <v>19</v>
      </c>
      <c r="C32" s="121" t="s">
        <v>51</v>
      </c>
      <c r="D32" s="27" t="s">
        <v>50</v>
      </c>
      <c r="E32" s="28">
        <v>4.8810000000000002</v>
      </c>
      <c r="F32" s="26"/>
      <c r="G32" s="32">
        <f>+E32+F32</f>
        <v>4.8810000000000002</v>
      </c>
      <c r="H32" s="26"/>
      <c r="I32" s="32">
        <f>+G32-H32</f>
        <v>4.8810000000000002</v>
      </c>
      <c r="J32" s="45">
        <f>+H32/G32</f>
        <v>0</v>
      </c>
      <c r="K32" s="116">
        <f t="shared" ref="K32:L34" si="31">E32</f>
        <v>4.8810000000000002</v>
      </c>
      <c r="L32" s="117">
        <f t="shared" si="31"/>
        <v>0</v>
      </c>
      <c r="M32" s="118">
        <f>+K32+L32</f>
        <v>4.8810000000000002</v>
      </c>
      <c r="N32" s="117">
        <f>H32</f>
        <v>0</v>
      </c>
      <c r="O32" s="118">
        <f>+M32-N32</f>
        <v>4.8810000000000002</v>
      </c>
      <c r="P32" s="119">
        <f t="shared" si="30"/>
        <v>0</v>
      </c>
    </row>
    <row r="33" spans="2:16" ht="15.75" thickBot="1">
      <c r="B33" s="342"/>
      <c r="C33" s="122" t="s">
        <v>52</v>
      </c>
      <c r="D33" s="27" t="s">
        <v>50</v>
      </c>
      <c r="E33" s="29">
        <v>313.08800000000002</v>
      </c>
      <c r="F33" s="10"/>
      <c r="G33" s="33">
        <f>+E33+F33</f>
        <v>313.08800000000002</v>
      </c>
      <c r="H33" s="80"/>
      <c r="I33" s="33">
        <f>+G33-H33</f>
        <v>313.08800000000002</v>
      </c>
      <c r="J33" s="46">
        <f>+H33/G33</f>
        <v>0</v>
      </c>
      <c r="K33" s="116">
        <f t="shared" si="31"/>
        <v>313.08800000000002</v>
      </c>
      <c r="L33" s="117">
        <f t="shared" si="31"/>
        <v>0</v>
      </c>
      <c r="M33" s="118">
        <f>+K33+L33</f>
        <v>313.08800000000002</v>
      </c>
      <c r="N33" s="117">
        <f>H33</f>
        <v>0</v>
      </c>
      <c r="O33" s="118">
        <f>+M33-N33</f>
        <v>313.08800000000002</v>
      </c>
      <c r="P33" s="119">
        <f t="shared" si="30"/>
        <v>0</v>
      </c>
    </row>
    <row r="34" spans="2:16">
      <c r="B34" s="342"/>
      <c r="C34" s="122" t="s">
        <v>53</v>
      </c>
      <c r="D34" s="27" t="s">
        <v>50</v>
      </c>
      <c r="E34" s="29">
        <v>1167.0309999999999</v>
      </c>
      <c r="F34" s="10"/>
      <c r="G34" s="33">
        <f>+E34+F34</f>
        <v>1167.0309999999999</v>
      </c>
      <c r="H34" s="84"/>
      <c r="I34" s="33">
        <f>+G34-H34</f>
        <v>1167.0309999999999</v>
      </c>
      <c r="J34" s="46">
        <f>+H34/G34</f>
        <v>0</v>
      </c>
      <c r="K34" s="116">
        <f t="shared" si="31"/>
        <v>1167.0309999999999</v>
      </c>
      <c r="L34" s="117">
        <f t="shared" si="31"/>
        <v>0</v>
      </c>
      <c r="M34" s="118">
        <f>+K34+L34</f>
        <v>1167.0309999999999</v>
      </c>
      <c r="N34" s="117">
        <f>H34</f>
        <v>0</v>
      </c>
      <c r="O34" s="118">
        <f>+M34-N34</f>
        <v>1167.0309999999999</v>
      </c>
      <c r="P34" s="119">
        <f t="shared" si="30"/>
        <v>0</v>
      </c>
    </row>
    <row r="35" spans="2:16" s="9" customFormat="1" ht="15.75" thickBot="1">
      <c r="B35" s="23"/>
      <c r="C35" s="24"/>
      <c r="D35" s="21"/>
      <c r="E35" s="147">
        <f>SUM(E32:E34)</f>
        <v>1485</v>
      </c>
      <c r="F35" s="25"/>
      <c r="G35" s="25"/>
      <c r="H35" s="25"/>
      <c r="I35" s="25"/>
      <c r="J35" s="38"/>
      <c r="K35" s="69">
        <f>SUM(K32:K34)</f>
        <v>1485</v>
      </c>
      <c r="L35" s="62">
        <f>SUM(L32:L34)</f>
        <v>0</v>
      </c>
      <c r="M35" s="62">
        <f>SUM(M32:M34)</f>
        <v>1485</v>
      </c>
      <c r="N35" s="62">
        <f>SUM(N32:N34)</f>
        <v>0</v>
      </c>
      <c r="O35" s="62">
        <f>SUM(O32:O34)</f>
        <v>1485</v>
      </c>
      <c r="P35" s="81">
        <f t="shared" si="30"/>
        <v>0</v>
      </c>
    </row>
    <row r="36" spans="2:16">
      <c r="B36" s="334" t="s">
        <v>28</v>
      </c>
      <c r="C36" s="121" t="s">
        <v>54</v>
      </c>
      <c r="D36" s="30" t="s">
        <v>55</v>
      </c>
      <c r="E36" s="185">
        <v>204.947</v>
      </c>
      <c r="F36" s="26"/>
      <c r="G36" s="32">
        <f>+E36+F36</f>
        <v>204.947</v>
      </c>
      <c r="H36" s="26"/>
      <c r="I36" s="32">
        <f>+G36-H36</f>
        <v>204.947</v>
      </c>
      <c r="J36" s="36">
        <f>+H36/G36</f>
        <v>0</v>
      </c>
      <c r="K36" s="42">
        <f>+E36</f>
        <v>204.947</v>
      </c>
      <c r="L36" s="15">
        <f>+F36</f>
        <v>0</v>
      </c>
      <c r="M36" s="43">
        <f>+K36+L36</f>
        <v>204.947</v>
      </c>
      <c r="N36" s="86">
        <f t="shared" ref="N36:N43" si="32">+H36</f>
        <v>0</v>
      </c>
      <c r="O36" s="43">
        <f>+M36-N36</f>
        <v>204.947</v>
      </c>
      <c r="P36" s="36">
        <f t="shared" si="30"/>
        <v>0</v>
      </c>
    </row>
    <row r="37" spans="2:16">
      <c r="B37" s="335"/>
      <c r="C37" s="122" t="s">
        <v>39</v>
      </c>
      <c r="D37" s="31" t="s">
        <v>55</v>
      </c>
      <c r="E37" s="185">
        <v>892.30700000000002</v>
      </c>
      <c r="F37" s="10">
        <f>-890</f>
        <v>-890</v>
      </c>
      <c r="G37" s="33">
        <f t="shared" ref="G37:G43" si="33">+E37+F37</f>
        <v>2.3070000000000164</v>
      </c>
      <c r="H37" s="10"/>
      <c r="I37" s="33">
        <f t="shared" ref="I37:I43" si="34">+G37-H37</f>
        <v>2.3070000000000164</v>
      </c>
      <c r="J37" s="37">
        <f t="shared" ref="J37:J43" si="35">+H37/G37</f>
        <v>0</v>
      </c>
      <c r="K37" s="44">
        <f t="shared" ref="K37:K43" si="36">+E37</f>
        <v>892.30700000000002</v>
      </c>
      <c r="L37" s="14">
        <f>+F37</f>
        <v>-890</v>
      </c>
      <c r="M37" s="41">
        <f t="shared" ref="M37:M43" si="37">+K37+L37</f>
        <v>2.3070000000000164</v>
      </c>
      <c r="N37" s="85">
        <f t="shared" si="32"/>
        <v>0</v>
      </c>
      <c r="O37" s="41">
        <f t="shared" ref="O37:O43" si="38">+M37-N37</f>
        <v>2.3070000000000164</v>
      </c>
      <c r="P37" s="37">
        <f t="shared" ref="P37:P43" si="39">+N37/M37</f>
        <v>0</v>
      </c>
    </row>
    <row r="38" spans="2:16">
      <c r="B38" s="335"/>
      <c r="C38" s="122" t="s">
        <v>45</v>
      </c>
      <c r="D38" s="31" t="s">
        <v>55</v>
      </c>
      <c r="E38" s="185">
        <v>0.15</v>
      </c>
      <c r="F38" s="10"/>
      <c r="G38" s="33">
        <f t="shared" si="33"/>
        <v>0.15</v>
      </c>
      <c r="H38" s="10"/>
      <c r="I38" s="33">
        <f t="shared" si="34"/>
        <v>0.15</v>
      </c>
      <c r="J38" s="37">
        <f t="shared" si="35"/>
        <v>0</v>
      </c>
      <c r="K38" s="44">
        <f t="shared" si="36"/>
        <v>0.15</v>
      </c>
      <c r="L38" s="14">
        <f t="shared" ref="L38:L43" si="40">+F38</f>
        <v>0</v>
      </c>
      <c r="M38" s="41">
        <f t="shared" si="37"/>
        <v>0.15</v>
      </c>
      <c r="N38" s="85">
        <f t="shared" si="32"/>
        <v>0</v>
      </c>
      <c r="O38" s="41">
        <f t="shared" si="38"/>
        <v>0.15</v>
      </c>
      <c r="P38" s="37">
        <f t="shared" si="39"/>
        <v>0</v>
      </c>
    </row>
    <row r="39" spans="2:16">
      <c r="B39" s="335"/>
      <c r="C39" s="122" t="s">
        <v>56</v>
      </c>
      <c r="D39" s="31" t="s">
        <v>55</v>
      </c>
      <c r="E39" s="185">
        <v>5.7460000000000004</v>
      </c>
      <c r="F39" s="10"/>
      <c r="G39" s="33">
        <f t="shared" si="33"/>
        <v>5.7460000000000004</v>
      </c>
      <c r="H39" s="10"/>
      <c r="I39" s="33">
        <f t="shared" si="34"/>
        <v>5.7460000000000004</v>
      </c>
      <c r="J39" s="37">
        <f t="shared" si="35"/>
        <v>0</v>
      </c>
      <c r="K39" s="44">
        <f t="shared" si="36"/>
        <v>5.7460000000000004</v>
      </c>
      <c r="L39" s="14">
        <f t="shared" si="40"/>
        <v>0</v>
      </c>
      <c r="M39" s="41">
        <f t="shared" si="37"/>
        <v>5.7460000000000004</v>
      </c>
      <c r="N39" s="85">
        <f t="shared" si="32"/>
        <v>0</v>
      </c>
      <c r="O39" s="41">
        <f t="shared" si="38"/>
        <v>5.7460000000000004</v>
      </c>
      <c r="P39" s="37">
        <f t="shared" si="39"/>
        <v>0</v>
      </c>
    </row>
    <row r="40" spans="2:16">
      <c r="B40" s="335"/>
      <c r="C40" s="122" t="s">
        <v>144</v>
      </c>
      <c r="D40" s="31" t="s">
        <v>55</v>
      </c>
      <c r="E40" s="185">
        <v>6.4950000000000001</v>
      </c>
      <c r="F40" s="10"/>
      <c r="G40" s="33">
        <f t="shared" si="33"/>
        <v>6.4950000000000001</v>
      </c>
      <c r="H40" s="10"/>
      <c r="I40" s="33">
        <f t="shared" si="34"/>
        <v>6.4950000000000001</v>
      </c>
      <c r="J40" s="37">
        <f t="shared" si="35"/>
        <v>0</v>
      </c>
      <c r="K40" s="44">
        <f t="shared" si="36"/>
        <v>6.4950000000000001</v>
      </c>
      <c r="L40" s="14">
        <f t="shared" si="40"/>
        <v>0</v>
      </c>
      <c r="M40" s="41">
        <f t="shared" si="37"/>
        <v>6.4950000000000001</v>
      </c>
      <c r="N40" s="85">
        <f t="shared" si="32"/>
        <v>0</v>
      </c>
      <c r="O40" s="41">
        <f t="shared" si="38"/>
        <v>6.4950000000000001</v>
      </c>
      <c r="P40" s="37">
        <f t="shared" si="39"/>
        <v>0</v>
      </c>
    </row>
    <row r="41" spans="2:16">
      <c r="B41" s="335"/>
      <c r="C41" s="186" t="s">
        <v>156</v>
      </c>
      <c r="D41" s="31" t="s">
        <v>55</v>
      </c>
      <c r="E41" s="185">
        <v>2.9769999999999999</v>
      </c>
      <c r="F41" s="10"/>
      <c r="G41" s="33">
        <f t="shared" si="33"/>
        <v>2.9769999999999999</v>
      </c>
      <c r="H41" s="10"/>
      <c r="I41" s="33">
        <f t="shared" si="34"/>
        <v>2.9769999999999999</v>
      </c>
      <c r="J41" s="37">
        <f t="shared" si="35"/>
        <v>0</v>
      </c>
      <c r="K41" s="44">
        <f t="shared" si="36"/>
        <v>2.9769999999999999</v>
      </c>
      <c r="L41" s="14">
        <f t="shared" si="40"/>
        <v>0</v>
      </c>
      <c r="M41" s="41">
        <f t="shared" si="37"/>
        <v>2.9769999999999999</v>
      </c>
      <c r="N41" s="85">
        <f t="shared" si="32"/>
        <v>0</v>
      </c>
      <c r="O41" s="41">
        <f t="shared" si="38"/>
        <v>2.9769999999999999</v>
      </c>
      <c r="P41" s="37">
        <f t="shared" si="39"/>
        <v>0</v>
      </c>
    </row>
    <row r="42" spans="2:16">
      <c r="B42" s="335"/>
      <c r="C42" s="186" t="s">
        <v>57</v>
      </c>
      <c r="D42" s="31" t="s">
        <v>55</v>
      </c>
      <c r="E42" s="185">
        <v>383.03</v>
      </c>
      <c r="F42" s="10">
        <f>-380</f>
        <v>-380</v>
      </c>
      <c r="G42" s="33">
        <f t="shared" si="33"/>
        <v>3.0299999999999727</v>
      </c>
      <c r="H42" s="10"/>
      <c r="I42" s="33">
        <f t="shared" si="34"/>
        <v>3.0299999999999727</v>
      </c>
      <c r="J42" s="37">
        <f t="shared" si="35"/>
        <v>0</v>
      </c>
      <c r="K42" s="44">
        <f t="shared" si="36"/>
        <v>383.03</v>
      </c>
      <c r="L42" s="14">
        <f t="shared" si="40"/>
        <v>-380</v>
      </c>
      <c r="M42" s="41">
        <f t="shared" si="37"/>
        <v>3.0299999999999727</v>
      </c>
      <c r="N42" s="85">
        <f t="shared" si="32"/>
        <v>0</v>
      </c>
      <c r="O42" s="41">
        <f t="shared" si="38"/>
        <v>3.0299999999999727</v>
      </c>
      <c r="P42" s="37">
        <f t="shared" si="39"/>
        <v>0</v>
      </c>
    </row>
    <row r="43" spans="2:16">
      <c r="B43" s="335"/>
      <c r="C43" s="186" t="s">
        <v>58</v>
      </c>
      <c r="D43" s="31" t="s">
        <v>55</v>
      </c>
      <c r="E43" s="185">
        <v>2.593</v>
      </c>
      <c r="F43" s="10"/>
      <c r="G43" s="33">
        <f t="shared" si="33"/>
        <v>2.593</v>
      </c>
      <c r="H43" s="10"/>
      <c r="I43" s="33">
        <f t="shared" si="34"/>
        <v>2.593</v>
      </c>
      <c r="J43" s="37">
        <f t="shared" si="35"/>
        <v>0</v>
      </c>
      <c r="K43" s="44">
        <f t="shared" si="36"/>
        <v>2.593</v>
      </c>
      <c r="L43" s="14">
        <f t="shared" si="40"/>
        <v>0</v>
      </c>
      <c r="M43" s="41">
        <f t="shared" si="37"/>
        <v>2.593</v>
      </c>
      <c r="N43" s="85">
        <f t="shared" si="32"/>
        <v>0</v>
      </c>
      <c r="O43" s="41">
        <f t="shared" si="38"/>
        <v>2.593</v>
      </c>
      <c r="P43" s="37">
        <f t="shared" si="39"/>
        <v>0</v>
      </c>
    </row>
    <row r="44" spans="2:16" s="58" customFormat="1">
      <c r="B44" s="336"/>
      <c r="C44" s="186" t="s">
        <v>159</v>
      </c>
      <c r="D44" s="31" t="s">
        <v>55</v>
      </c>
      <c r="E44" s="185">
        <v>1.7549999999999999</v>
      </c>
      <c r="F44" s="164"/>
      <c r="G44" s="33">
        <f t="shared" ref="G44" si="41">+E44+F44</f>
        <v>1.7549999999999999</v>
      </c>
      <c r="H44" s="10"/>
      <c r="I44" s="33">
        <f t="shared" ref="I44" si="42">+G44-H44</f>
        <v>1.7549999999999999</v>
      </c>
      <c r="J44" s="37">
        <f t="shared" ref="J44" si="43">+H44/G44</f>
        <v>0</v>
      </c>
      <c r="K44" s="44">
        <f t="shared" ref="K44" si="44">+E44</f>
        <v>1.7549999999999999</v>
      </c>
      <c r="L44" s="59">
        <f t="shared" ref="L44" si="45">+F44</f>
        <v>0</v>
      </c>
      <c r="M44" s="41">
        <f t="shared" ref="M44" si="46">+K44+L44</f>
        <v>1.7549999999999999</v>
      </c>
      <c r="N44" s="114">
        <f t="shared" ref="N44" si="47">+H44</f>
        <v>0</v>
      </c>
      <c r="O44" s="41">
        <f t="shared" ref="O44" si="48">+M44-N44</f>
        <v>1.7549999999999999</v>
      </c>
      <c r="P44" s="37">
        <f t="shared" ref="P44" si="49">+N44/M44</f>
        <v>0</v>
      </c>
    </row>
    <row r="45" spans="2:16">
      <c r="E45" s="149">
        <f>SUM(E36:E44)</f>
        <v>1500.0000000000002</v>
      </c>
      <c r="F45">
        <f>SUM(F36:F44)</f>
        <v>-1270</v>
      </c>
      <c r="K45" s="63">
        <f>SUM(K36:K44)</f>
        <v>1500.0000000000002</v>
      </c>
      <c r="L45" s="63">
        <f>SUM(L36:L44)</f>
        <v>-1270</v>
      </c>
      <c r="M45" s="63">
        <f>SUM(M36:M44)</f>
        <v>230</v>
      </c>
      <c r="N45" s="88">
        <f>SUM(N36:N44)</f>
        <v>0</v>
      </c>
      <c r="O45" s="63">
        <f>SUM(O36:O44)</f>
        <v>230</v>
      </c>
      <c r="P45" s="64">
        <f>+N45/M45</f>
        <v>0</v>
      </c>
    </row>
    <row r="48" spans="2:16">
      <c r="C48" s="148"/>
      <c r="D48" s="148"/>
      <c r="E48" s="148"/>
      <c r="F48" s="148"/>
      <c r="G48" s="148"/>
      <c r="H48" s="148"/>
      <c r="I48" s="148"/>
    </row>
    <row r="49" spans="2:14">
      <c r="B49" s="146"/>
      <c r="C49" s="148"/>
      <c r="D49" s="148"/>
      <c r="E49" s="148"/>
      <c r="F49" s="148"/>
      <c r="G49" s="148"/>
      <c r="H49" s="148"/>
      <c r="I49" s="148"/>
      <c r="J49" s="58"/>
      <c r="K49" s="58"/>
      <c r="L49" s="58"/>
    </row>
    <row r="50" spans="2:14">
      <c r="K50" s="58"/>
      <c r="L50" s="58"/>
    </row>
    <row r="51" spans="2:14" ht="16.5" customHeight="1">
      <c r="K51" s="58"/>
      <c r="M51" s="3"/>
      <c r="N51"/>
    </row>
    <row r="52" spans="2:14" ht="15" customHeight="1">
      <c r="K52" s="58"/>
      <c r="M52" s="3"/>
      <c r="N52"/>
    </row>
    <row r="53" spans="2:14" ht="15.75" customHeight="1">
      <c r="K53" s="58"/>
      <c r="M53" s="3"/>
      <c r="N53"/>
    </row>
    <row r="54" spans="2:14">
      <c r="N54"/>
    </row>
    <row r="55" spans="2:14">
      <c r="N55"/>
    </row>
    <row r="56" spans="2:14">
      <c r="N56"/>
    </row>
    <row r="57" spans="2:14">
      <c r="N57"/>
    </row>
    <row r="58" spans="2:14">
      <c r="N58"/>
    </row>
    <row r="59" spans="2:14">
      <c r="N59"/>
    </row>
    <row r="60" spans="2:14">
      <c r="N60"/>
    </row>
    <row r="61" spans="2:14">
      <c r="N61"/>
    </row>
    <row r="62" spans="2:14">
      <c r="N62"/>
    </row>
    <row r="63" spans="2:14">
      <c r="N63"/>
    </row>
    <row r="64" spans="2:14">
      <c r="N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 customFormat="1"/>
    <row r="98" spans="14:14" customFormat="1"/>
    <row r="99" spans="14:14" customFormat="1"/>
    <row r="100" spans="14:14" customFormat="1" ht="15" customHeight="1">
      <c r="N100" s="3"/>
    </row>
    <row r="101" spans="14:14" customFormat="1" ht="15.75" customHeight="1">
      <c r="N101" s="3"/>
    </row>
  </sheetData>
  <sortState ref="C16:C32">
    <sortCondition ref="C16"/>
  </sortState>
  <mergeCells count="9">
    <mergeCell ref="B5:P6"/>
    <mergeCell ref="B7:P7"/>
    <mergeCell ref="H9:J9"/>
    <mergeCell ref="E9:G9"/>
    <mergeCell ref="B36:B44"/>
    <mergeCell ref="K9:P9"/>
    <mergeCell ref="B17:B30"/>
    <mergeCell ref="B32:B34"/>
    <mergeCell ref="B11:B15"/>
  </mergeCells>
  <conditionalFormatting sqref="J11:J44 P11:P45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33 M32 M31:O31 M11 G12 M17 M36:M43 G34 M19:M29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E37" sqref="E37"/>
    </sheetView>
  </sheetViews>
  <sheetFormatPr baseColWidth="10" defaultRowHeight="15"/>
  <cols>
    <col min="2" max="2" width="18.7109375" customWidth="1"/>
    <col min="3" max="3" width="27.28515625" customWidth="1"/>
    <col min="4" max="4" width="22.28515625" hidden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343" t="s">
        <v>148</v>
      </c>
      <c r="C2" s="343"/>
      <c r="D2" s="343"/>
      <c r="E2" s="343"/>
      <c r="F2" s="343"/>
      <c r="G2" s="343"/>
      <c r="H2" s="343"/>
      <c r="I2" s="343"/>
    </row>
    <row r="3" spans="2:9">
      <c r="B3" s="344">
        <f>Resumen!C4</f>
        <v>45407</v>
      </c>
      <c r="C3" s="344"/>
      <c r="D3" s="344"/>
      <c r="E3" s="344"/>
      <c r="F3" s="344"/>
      <c r="G3" s="344"/>
      <c r="H3" s="344"/>
      <c r="I3" s="344"/>
    </row>
    <row r="4" spans="2:9">
      <c r="B4" s="68"/>
      <c r="C4" s="68"/>
      <c r="D4" s="68"/>
      <c r="E4" s="68"/>
      <c r="F4" s="68"/>
      <c r="G4" s="68"/>
      <c r="H4" s="68"/>
      <c r="I4" s="68"/>
    </row>
    <row r="5" spans="2:9">
      <c r="B5" s="113" t="s">
        <v>128</v>
      </c>
      <c r="C5" s="113" t="s">
        <v>26</v>
      </c>
      <c r="D5" s="113" t="s">
        <v>34</v>
      </c>
      <c r="E5" s="113" t="s">
        <v>149</v>
      </c>
      <c r="F5" s="113" t="s">
        <v>129</v>
      </c>
      <c r="G5" s="113" t="s">
        <v>130</v>
      </c>
      <c r="H5" s="113" t="s">
        <v>131</v>
      </c>
      <c r="I5" s="113" t="s">
        <v>33</v>
      </c>
    </row>
  </sheetData>
  <mergeCells count="2">
    <mergeCell ref="B2:I2"/>
    <mergeCell ref="B3:I3"/>
  </mergeCells>
  <phoneticPr fontId="3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"/>
  <sheetViews>
    <sheetView workbookViewId="0">
      <selection activeCell="F31" sqref="F31"/>
    </sheetView>
  </sheetViews>
  <sheetFormatPr baseColWidth="10" defaultRowHeight="15"/>
  <cols>
    <col min="1" max="1" width="11.42578125" style="68"/>
    <col min="2" max="2" width="26.7109375" style="68" bestFit="1" customWidth="1"/>
    <col min="3" max="3" width="17.42578125" style="68" bestFit="1" customWidth="1"/>
    <col min="4" max="4" width="7" style="68" bestFit="1" customWidth="1"/>
    <col min="5" max="5" width="22.28515625" style="68" hidden="1" customWidth="1"/>
    <col min="6" max="6" width="24.42578125" style="68" bestFit="1" customWidth="1"/>
    <col min="7" max="7" width="10.7109375" style="68" bestFit="1" customWidth="1"/>
    <col min="8" max="8" width="8.7109375" style="68" bestFit="1" customWidth="1"/>
    <col min="9" max="9" width="13.42578125" style="68" bestFit="1" customWidth="1"/>
    <col min="10" max="16384" width="11.42578125" style="68"/>
  </cols>
  <sheetData>
    <row r="2" spans="2:9">
      <c r="B2" s="139" t="s">
        <v>93</v>
      </c>
      <c r="C2" s="139" t="s">
        <v>133</v>
      </c>
      <c r="D2" s="139" t="s">
        <v>110</v>
      </c>
      <c r="E2" s="139" t="s">
        <v>134</v>
      </c>
      <c r="F2" s="140" t="s">
        <v>149</v>
      </c>
      <c r="G2" s="140" t="s">
        <v>129</v>
      </c>
      <c r="H2" s="140" t="s">
        <v>130</v>
      </c>
      <c r="I2" s="140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workbookViewId="0">
      <selection activeCell="M11" sqref="M11"/>
    </sheetView>
  </sheetViews>
  <sheetFormatPr baseColWidth="10" defaultRowHeight="15"/>
  <cols>
    <col min="1" max="1" width="11.42578125" style="68"/>
    <col min="2" max="2" width="20.7109375" style="68" customWidth="1"/>
    <col min="3" max="3" width="15.5703125" style="68" customWidth="1"/>
    <col min="4" max="5" width="18.42578125" style="68" customWidth="1"/>
    <col min="6" max="6" width="13.42578125" style="68" customWidth="1"/>
    <col min="7" max="7" width="11.42578125" style="68"/>
    <col min="8" max="8" width="14.42578125" style="68" customWidth="1"/>
    <col min="9" max="16384" width="11.42578125" style="68"/>
  </cols>
  <sheetData>
    <row r="3" spans="1:16">
      <c r="C3" s="345" t="s">
        <v>154</v>
      </c>
      <c r="D3" s="345"/>
      <c r="E3" s="345"/>
      <c r="F3" s="345"/>
      <c r="G3" s="345"/>
      <c r="H3" s="345"/>
    </row>
    <row r="4" spans="1:16">
      <c r="B4" s="106"/>
      <c r="C4" s="346">
        <f>Resumen!C4</f>
        <v>45407</v>
      </c>
      <c r="D4" s="346"/>
      <c r="E4" s="346"/>
      <c r="F4" s="346"/>
      <c r="G4" s="346"/>
      <c r="H4" s="346"/>
      <c r="I4" s="106"/>
      <c r="J4" s="106"/>
      <c r="O4" s="345" t="s">
        <v>124</v>
      </c>
      <c r="P4" s="345"/>
    </row>
    <row r="5" spans="1:16">
      <c r="B5" s="107" t="s">
        <v>125</v>
      </c>
      <c r="C5" s="107" t="s">
        <v>109</v>
      </c>
      <c r="D5" s="107" t="s">
        <v>110</v>
      </c>
      <c r="E5" s="107" t="s">
        <v>22</v>
      </c>
      <c r="F5" s="107" t="s">
        <v>101</v>
      </c>
      <c r="G5" s="107" t="s">
        <v>126</v>
      </c>
      <c r="H5" s="107" t="s">
        <v>6</v>
      </c>
      <c r="I5" s="107" t="s">
        <v>7</v>
      </c>
      <c r="J5" s="105"/>
      <c r="O5" s="109" t="s">
        <v>99</v>
      </c>
      <c r="P5" s="110" t="e">
        <f>+#REF!+H19+H26+H33+H42</f>
        <v>#REF!</v>
      </c>
    </row>
    <row r="6" spans="1:16">
      <c r="A6" s="108"/>
      <c r="O6" s="109" t="s">
        <v>119</v>
      </c>
      <c r="P6" s="104"/>
    </row>
    <row r="7" spans="1:16">
      <c r="A7" s="108"/>
    </row>
    <row r="8" spans="1:16">
      <c r="A8" s="108"/>
    </row>
    <row r="9" spans="1:16">
      <c r="A9" s="106"/>
    </row>
    <row r="10" spans="1:16">
      <c r="A10" s="106"/>
    </row>
    <row r="11" spans="1:16">
      <c r="A11" s="106"/>
    </row>
    <row r="12" spans="1:16">
      <c r="A12" s="106"/>
    </row>
    <row r="13" spans="1:16">
      <c r="A13" s="106"/>
    </row>
    <row r="14" spans="1:16">
      <c r="A14" s="90"/>
    </row>
    <row r="15" spans="1:16">
      <c r="A15" s="90"/>
    </row>
    <row r="16" spans="1:16">
      <c r="A16" s="90"/>
    </row>
    <row r="17" spans="1:10">
      <c r="A17" s="90"/>
    </row>
    <row r="18" spans="1:10">
      <c r="B18" s="94"/>
      <c r="C18" s="94"/>
      <c r="D18" s="106"/>
      <c r="E18" s="106"/>
      <c r="F18" s="106"/>
      <c r="G18" s="106"/>
      <c r="H18" s="106"/>
      <c r="I18" s="106"/>
      <c r="J18" s="90"/>
    </row>
    <row r="19" spans="1:10">
      <c r="B19" s="94"/>
      <c r="C19" s="94"/>
      <c r="D19" s="106"/>
      <c r="E19" s="106"/>
      <c r="F19" s="106"/>
      <c r="G19" s="106"/>
      <c r="H19" s="106"/>
      <c r="I19" s="106"/>
      <c r="J19" s="106"/>
    </row>
    <row r="20" spans="1:10"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>
      <c r="B24" s="111"/>
      <c r="C24" s="94"/>
      <c r="D24" s="106"/>
      <c r="E24" s="106"/>
      <c r="F24" s="106"/>
      <c r="G24" s="106"/>
      <c r="H24" s="106"/>
      <c r="I24" s="106"/>
      <c r="J24" s="108"/>
    </row>
    <row r="25" spans="1:10">
      <c r="B25" s="111"/>
      <c r="C25" s="94"/>
      <c r="D25" s="106"/>
      <c r="E25" s="106"/>
      <c r="F25" s="106"/>
      <c r="G25" s="106"/>
      <c r="H25" s="106"/>
      <c r="I25" s="106"/>
      <c r="J25" s="108"/>
    </row>
    <row r="26" spans="1:10"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B31" s="111"/>
      <c r="C31" s="94"/>
      <c r="D31" s="106"/>
      <c r="E31" s="106"/>
      <c r="F31" s="106"/>
      <c r="G31" s="106"/>
      <c r="H31" s="106"/>
      <c r="I31" s="106"/>
      <c r="J31" s="108"/>
    </row>
    <row r="32" spans="1:10">
      <c r="B32" s="111"/>
      <c r="C32" s="94"/>
      <c r="D32" s="106"/>
      <c r="E32" s="106"/>
      <c r="F32" s="106"/>
      <c r="G32" s="106"/>
      <c r="H32" s="106"/>
      <c r="I32" s="106"/>
      <c r="J32" s="108"/>
    </row>
    <row r="33" spans="2:10">
      <c r="B33" s="106"/>
      <c r="C33" s="106"/>
      <c r="D33" s="106"/>
      <c r="E33" s="106"/>
      <c r="F33" s="106"/>
      <c r="G33" s="106"/>
      <c r="H33" s="106"/>
      <c r="I33" s="106"/>
      <c r="J33" s="106"/>
    </row>
    <row r="34" spans="2:10">
      <c r="B34" s="106"/>
      <c r="C34" s="106"/>
      <c r="D34" s="106"/>
      <c r="E34" s="106"/>
      <c r="F34" s="106"/>
      <c r="G34" s="106"/>
      <c r="H34" s="106"/>
      <c r="I34" s="106"/>
      <c r="J34" s="106"/>
    </row>
    <row r="35" spans="2:10">
      <c r="B35" s="106"/>
      <c r="C35" s="106"/>
      <c r="D35" s="106"/>
      <c r="E35" s="106"/>
      <c r="F35" s="106"/>
      <c r="G35" s="106"/>
      <c r="H35" s="106"/>
      <c r="I35" s="106"/>
      <c r="J35" s="106"/>
    </row>
    <row r="36" spans="2:10">
      <c r="B36" s="106"/>
      <c r="C36" s="106"/>
      <c r="D36" s="106"/>
      <c r="E36" s="106"/>
      <c r="F36" s="106"/>
      <c r="G36" s="106"/>
      <c r="H36" s="106"/>
      <c r="I36" s="106"/>
      <c r="J36" s="106"/>
    </row>
    <row r="37" spans="2:10">
      <c r="B37" s="105"/>
      <c r="C37" s="105"/>
      <c r="D37" s="105"/>
      <c r="E37" s="105"/>
      <c r="F37" s="105"/>
      <c r="G37" s="105"/>
      <c r="H37" s="105"/>
      <c r="I37" s="105"/>
      <c r="J37" s="105"/>
    </row>
    <row r="38" spans="2:10">
      <c r="B38" s="94"/>
      <c r="C38" s="94"/>
      <c r="D38" s="106"/>
      <c r="E38" s="106"/>
      <c r="F38" s="106"/>
      <c r="G38" s="106"/>
      <c r="H38" s="106"/>
      <c r="I38" s="106"/>
      <c r="J38" s="90"/>
    </row>
    <row r="39" spans="2:10">
      <c r="B39" s="94"/>
      <c r="C39" s="94"/>
      <c r="D39" s="106"/>
      <c r="E39" s="106"/>
      <c r="F39" s="106"/>
      <c r="G39" s="106"/>
      <c r="H39" s="106"/>
      <c r="I39" s="106"/>
      <c r="J39" s="90"/>
    </row>
    <row r="40" spans="2:10">
      <c r="B40" s="94"/>
      <c r="C40" s="94"/>
      <c r="D40" s="106"/>
      <c r="E40" s="106"/>
      <c r="F40" s="106"/>
      <c r="G40" s="106"/>
      <c r="H40" s="106"/>
      <c r="I40" s="106"/>
      <c r="J40" s="90"/>
    </row>
    <row r="41" spans="2:10">
      <c r="B41" s="94"/>
      <c r="C41" s="94"/>
      <c r="D41" s="106"/>
      <c r="E41" s="106"/>
      <c r="F41" s="106"/>
      <c r="G41" s="106"/>
      <c r="H41" s="106"/>
      <c r="I41" s="106"/>
      <c r="J41" s="90"/>
    </row>
    <row r="42" spans="2:10">
      <c r="B42" s="106"/>
      <c r="C42" s="106"/>
      <c r="D42" s="106"/>
      <c r="E42" s="106"/>
      <c r="F42" s="106"/>
      <c r="G42" s="106"/>
      <c r="H42" s="106"/>
      <c r="I42" s="106"/>
      <c r="J42" s="106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62"/>
  <sheetViews>
    <sheetView zoomScale="90" zoomScaleNormal="90" workbookViewId="0">
      <selection activeCell="J41" sqref="J41"/>
    </sheetView>
  </sheetViews>
  <sheetFormatPr baseColWidth="10" defaultRowHeight="15"/>
  <cols>
    <col min="1" max="2" width="19" bestFit="1" customWidth="1"/>
    <col min="4" max="4" width="17.85546875" bestFit="1" customWidth="1"/>
    <col min="5" max="5" width="29.5703125" bestFit="1" customWidth="1"/>
    <col min="14" max="14" width="11.42578125" style="51"/>
  </cols>
  <sheetData>
    <row r="1" spans="1:17">
      <c r="A1" s="54" t="s">
        <v>65</v>
      </c>
      <c r="B1" s="54" t="s">
        <v>66</v>
      </c>
      <c r="C1" s="54" t="s">
        <v>67</v>
      </c>
      <c r="D1" s="54" t="s">
        <v>68</v>
      </c>
      <c r="E1" s="52" t="s">
        <v>69</v>
      </c>
      <c r="F1" s="54" t="s">
        <v>70</v>
      </c>
      <c r="G1" s="54" t="s">
        <v>71</v>
      </c>
      <c r="H1" s="54" t="s">
        <v>72</v>
      </c>
      <c r="I1" s="54" t="s">
        <v>73</v>
      </c>
      <c r="J1" s="54" t="s">
        <v>74</v>
      </c>
      <c r="K1" s="54" t="s">
        <v>127</v>
      </c>
      <c r="L1" s="55" t="s">
        <v>75</v>
      </c>
      <c r="M1" s="56" t="s">
        <v>76</v>
      </c>
      <c r="N1" s="73" t="s">
        <v>77</v>
      </c>
      <c r="O1" s="57" t="s">
        <v>78</v>
      </c>
      <c r="P1" s="2" t="s">
        <v>79</v>
      </c>
      <c r="Q1" s="2" t="s">
        <v>80</v>
      </c>
    </row>
    <row r="2" spans="1:17">
      <c r="A2" s="128" t="s">
        <v>81</v>
      </c>
      <c r="B2" s="128" t="s">
        <v>81</v>
      </c>
      <c r="C2" s="128" t="s">
        <v>82</v>
      </c>
      <c r="D2" s="128" t="s">
        <v>83</v>
      </c>
      <c r="E2" s="128" t="str">
        <f>+Industrial!C11</f>
        <v>ARICA SEAFOOD PRODUCER S.A.</v>
      </c>
      <c r="F2" s="131">
        <v>45292</v>
      </c>
      <c r="G2" s="131">
        <v>45657</v>
      </c>
      <c r="H2" s="128">
        <f>+Industrial!E11</f>
        <v>5080.9989999999998</v>
      </c>
      <c r="I2" s="58">
        <f>+Industrial!F11</f>
        <v>0</v>
      </c>
      <c r="J2" s="58">
        <f>+Industrial!G11</f>
        <v>5080.9989999999998</v>
      </c>
      <c r="K2" s="58">
        <f>+Industrial!H11</f>
        <v>0</v>
      </c>
      <c r="L2" s="58">
        <f>+Industrial!I11</f>
        <v>5080.9989999999998</v>
      </c>
      <c r="M2" s="17">
        <f>+Industrial!J11</f>
        <v>0</v>
      </c>
      <c r="N2" s="74" t="s">
        <v>64</v>
      </c>
      <c r="O2" s="51">
        <f>+Resumen!C$4</f>
        <v>45407</v>
      </c>
      <c r="P2">
        <v>2024</v>
      </c>
    </row>
    <row r="3" spans="1:17">
      <c r="A3" s="128" t="s">
        <v>81</v>
      </c>
      <c r="B3" s="128" t="s">
        <v>81</v>
      </c>
      <c r="C3" s="128" t="s">
        <v>82</v>
      </c>
      <c r="D3" s="128" t="s">
        <v>83</v>
      </c>
      <c r="E3" s="128" t="str">
        <f>+Industrial!C12</f>
        <v>CAMANCHACA S.A</v>
      </c>
      <c r="F3" s="131">
        <v>45292</v>
      </c>
      <c r="G3" s="131">
        <v>45657</v>
      </c>
      <c r="H3" s="128">
        <f>+Industrial!E12</f>
        <v>139490.726</v>
      </c>
      <c r="I3" s="58">
        <f>+Industrial!F12</f>
        <v>0</v>
      </c>
      <c r="J3" s="58">
        <f>+Industrial!G12</f>
        <v>139490.726</v>
      </c>
      <c r="K3" s="58">
        <f>+Industrial!H12</f>
        <v>0</v>
      </c>
      <c r="L3" s="58">
        <f>+Industrial!I12</f>
        <v>139490.726</v>
      </c>
      <c r="M3" s="17">
        <f>+Industrial!J12</f>
        <v>0</v>
      </c>
      <c r="N3" s="74" t="s">
        <v>64</v>
      </c>
      <c r="O3" s="51">
        <f>+Resumen!C$4</f>
        <v>45407</v>
      </c>
      <c r="P3" s="58">
        <v>2024</v>
      </c>
    </row>
    <row r="4" spans="1:17" s="58" customFormat="1">
      <c r="A4" s="128" t="s">
        <v>81</v>
      </c>
      <c r="B4" s="128" t="s">
        <v>81</v>
      </c>
      <c r="C4" s="128" t="s">
        <v>82</v>
      </c>
      <c r="D4" s="128" t="s">
        <v>83</v>
      </c>
      <c r="E4" s="128" t="str">
        <f>+Industrial!C13</f>
        <v>CORPESCA S.A</v>
      </c>
      <c r="F4" s="131">
        <v>45292</v>
      </c>
      <c r="G4" s="131">
        <v>45657</v>
      </c>
      <c r="H4" s="128">
        <f>+Industrial!E13</f>
        <v>411316.59399999998</v>
      </c>
      <c r="I4" s="58">
        <f>+Industrial!F13</f>
        <v>0</v>
      </c>
      <c r="J4" s="58">
        <f>+Industrial!G13</f>
        <v>411316.59399999998</v>
      </c>
      <c r="K4" s="58">
        <f>+Industrial!H13</f>
        <v>0</v>
      </c>
      <c r="L4" s="58">
        <f>+Industrial!I13</f>
        <v>411316.59399999998</v>
      </c>
      <c r="M4" s="17">
        <f>+Industrial!J13</f>
        <v>0</v>
      </c>
      <c r="N4" s="74" t="s">
        <v>64</v>
      </c>
      <c r="O4" s="51">
        <f>+Resumen!C$4</f>
        <v>45407</v>
      </c>
      <c r="P4" s="58">
        <v>2024</v>
      </c>
    </row>
    <row r="5" spans="1:17" s="58" customFormat="1">
      <c r="A5" s="128" t="s">
        <v>81</v>
      </c>
      <c r="B5" s="128" t="s">
        <v>81</v>
      </c>
      <c r="C5" s="128" t="s">
        <v>82</v>
      </c>
      <c r="D5" s="128" t="s">
        <v>83</v>
      </c>
      <c r="E5" s="128" t="str">
        <f>+Industrial!C14</f>
        <v>DEL NORTE SpA SIND. PESQ.</v>
      </c>
      <c r="F5" s="131">
        <v>45292</v>
      </c>
      <c r="G5" s="131">
        <v>45657</v>
      </c>
      <c r="H5" s="128">
        <f>+Industrial!E14</f>
        <v>17885.366000000002</v>
      </c>
      <c r="I5" s="58">
        <f>+Industrial!F14</f>
        <v>-16731.47</v>
      </c>
      <c r="J5" s="58">
        <f>+Industrial!G14</f>
        <v>1153.8960000000006</v>
      </c>
      <c r="K5" s="58">
        <f>+Industrial!H14</f>
        <v>0</v>
      </c>
      <c r="L5" s="58">
        <f>+Industrial!I14</f>
        <v>1153.8960000000006</v>
      </c>
      <c r="M5" s="17">
        <f>+Industrial!J14</f>
        <v>0</v>
      </c>
      <c r="N5" s="74" t="s">
        <v>64</v>
      </c>
      <c r="O5" s="51">
        <f>+Resumen!C$4</f>
        <v>45407</v>
      </c>
      <c r="P5" s="58">
        <v>2024</v>
      </c>
    </row>
    <row r="6" spans="1:17" s="58" customFormat="1">
      <c r="A6" s="128" t="s">
        <v>81</v>
      </c>
      <c r="B6" s="128" t="s">
        <v>81</v>
      </c>
      <c r="C6" s="128" t="s">
        <v>82</v>
      </c>
      <c r="D6" s="128" t="s">
        <v>83</v>
      </c>
      <c r="E6" s="128" t="str">
        <f>+Industrial!C15</f>
        <v>ESPACIO PESQUERO SpA.</v>
      </c>
      <c r="F6" s="131">
        <v>45292</v>
      </c>
      <c r="G6" s="131">
        <v>45657</v>
      </c>
      <c r="H6" s="128">
        <f>+Industrial!E15</f>
        <v>3173.2089999999998</v>
      </c>
      <c r="I6" s="58">
        <f>+Industrial!F15</f>
        <v>-3173.2089999999998</v>
      </c>
      <c r="J6" s="58">
        <f>+Industrial!G15</f>
        <v>0</v>
      </c>
      <c r="K6" s="58">
        <f>+Industrial!H15</f>
        <v>0</v>
      </c>
      <c r="L6" s="58">
        <f>+Industrial!I15</f>
        <v>0</v>
      </c>
      <c r="M6" s="17" t="e">
        <f>+Industrial!J15</f>
        <v>#DIV/0!</v>
      </c>
      <c r="N6" s="74" t="s">
        <v>64</v>
      </c>
      <c r="O6" s="51">
        <f>+Resumen!C$4</f>
        <v>45407</v>
      </c>
      <c r="P6" s="58">
        <v>2024</v>
      </c>
    </row>
    <row r="7" spans="1:17" s="132" customFormat="1">
      <c r="A7" s="136" t="s">
        <v>81</v>
      </c>
      <c r="B7" s="136" t="s">
        <v>81</v>
      </c>
      <c r="C7" s="136" t="s">
        <v>82</v>
      </c>
      <c r="D7" s="136" t="s">
        <v>83</v>
      </c>
      <c r="E7" s="136" t="s">
        <v>85</v>
      </c>
      <c r="F7" s="158">
        <v>45292</v>
      </c>
      <c r="G7" s="158">
        <v>45657</v>
      </c>
      <c r="H7" s="137">
        <f>+Industrial!K16</f>
        <v>576946.89400000009</v>
      </c>
      <c r="I7" s="132">
        <f>+Industrial!L16</f>
        <v>-19904.679</v>
      </c>
      <c r="J7" s="132">
        <f>+Industrial!M16</f>
        <v>557042.21499999997</v>
      </c>
      <c r="K7" s="132">
        <f>+Industrial!N16</f>
        <v>0</v>
      </c>
      <c r="L7" s="132">
        <f>+Industrial!O16</f>
        <v>557042.21499999997</v>
      </c>
      <c r="M7" s="133">
        <f>+Industrial!P16</f>
        <v>0</v>
      </c>
      <c r="N7" s="134" t="s">
        <v>64</v>
      </c>
      <c r="O7" s="135">
        <f>+Resumen!C$4</f>
        <v>45407</v>
      </c>
      <c r="P7" s="58">
        <v>2024</v>
      </c>
    </row>
    <row r="8" spans="1:17">
      <c r="A8" s="128" t="s">
        <v>81</v>
      </c>
      <c r="B8" s="128" t="s">
        <v>81</v>
      </c>
      <c r="C8" s="128" t="s">
        <v>84</v>
      </c>
      <c r="D8" s="128" t="s">
        <v>83</v>
      </c>
      <c r="E8" s="128" t="str">
        <f>+Industrial!C17</f>
        <v>ABASTECIMIENTO DEL PACIFICO S.A.</v>
      </c>
      <c r="F8" s="131">
        <v>45292</v>
      </c>
      <c r="G8" s="131">
        <v>45657</v>
      </c>
      <c r="H8" s="128">
        <f>+Industrial!E17</f>
        <v>320.791</v>
      </c>
      <c r="I8" s="58">
        <f>+Industrial!F17</f>
        <v>0</v>
      </c>
      <c r="J8" s="58">
        <f>+Industrial!G17</f>
        <v>320.791</v>
      </c>
      <c r="K8" s="58">
        <f>+Industrial!H17</f>
        <v>0</v>
      </c>
      <c r="L8" s="58">
        <f>+Industrial!I17</f>
        <v>320.791</v>
      </c>
      <c r="M8" s="17">
        <f>+Industrial!J17</f>
        <v>0</v>
      </c>
      <c r="N8" s="74" t="s">
        <v>64</v>
      </c>
      <c r="O8" s="51">
        <f>+Resumen!C$4</f>
        <v>45407</v>
      </c>
      <c r="P8" s="58">
        <v>2024</v>
      </c>
    </row>
    <row r="9" spans="1:17" s="58" customFormat="1">
      <c r="A9" s="128" t="s">
        <v>81</v>
      </c>
      <c r="B9" s="128" t="s">
        <v>81</v>
      </c>
      <c r="C9" s="128" t="s">
        <v>84</v>
      </c>
      <c r="D9" s="128" t="s">
        <v>83</v>
      </c>
      <c r="E9" s="128" t="str">
        <f>+Industrial!C18</f>
        <v xml:space="preserve">ALIMENTOS MARINOS S.A.          </v>
      </c>
      <c r="F9" s="131">
        <v>45292</v>
      </c>
      <c r="G9" s="131">
        <v>45657</v>
      </c>
      <c r="H9" s="128">
        <f>+Industrial!E18</f>
        <v>1710.798</v>
      </c>
      <c r="I9" s="128">
        <f>+Industrial!F18</f>
        <v>0</v>
      </c>
      <c r="J9" s="128">
        <f>+Industrial!G18</f>
        <v>1710.798</v>
      </c>
      <c r="K9" s="128">
        <f>+Industrial!H18</f>
        <v>0</v>
      </c>
      <c r="L9" s="128">
        <f>+Industrial!I18</f>
        <v>1710.798</v>
      </c>
      <c r="M9" s="129">
        <f>+Industrial!J18</f>
        <v>0</v>
      </c>
      <c r="N9" s="74" t="s">
        <v>64</v>
      </c>
      <c r="O9" s="51">
        <f>+Resumen!C$4</f>
        <v>45407</v>
      </c>
      <c r="P9" s="58">
        <v>2024</v>
      </c>
    </row>
    <row r="10" spans="1:17">
      <c r="A10" s="128" t="s">
        <v>81</v>
      </c>
      <c r="B10" s="128" t="s">
        <v>81</v>
      </c>
      <c r="C10" s="128" t="s">
        <v>84</v>
      </c>
      <c r="D10" s="128" t="s">
        <v>83</v>
      </c>
      <c r="E10" s="128" t="str">
        <f>+Industrial!C19</f>
        <v>ATILIO REYES BARRERA</v>
      </c>
      <c r="F10" s="131">
        <v>45292</v>
      </c>
      <c r="G10" s="131">
        <v>45657</v>
      </c>
      <c r="H10" s="128">
        <f>+Industrial!E19</f>
        <v>229.137</v>
      </c>
      <c r="I10" s="58">
        <f>+Industrial!F19</f>
        <v>0</v>
      </c>
      <c r="J10" s="58">
        <f>+Industrial!G19</f>
        <v>229.137</v>
      </c>
      <c r="K10" s="58">
        <f>+Industrial!H19</f>
        <v>0</v>
      </c>
      <c r="L10" s="58">
        <f>+Industrial!I19</f>
        <v>229.137</v>
      </c>
      <c r="M10" s="17">
        <f>+Industrial!J19</f>
        <v>0</v>
      </c>
      <c r="N10" s="74" t="s">
        <v>64</v>
      </c>
      <c r="O10" s="51">
        <f>+Resumen!C$4</f>
        <v>45407</v>
      </c>
      <c r="P10" s="58">
        <v>2024</v>
      </c>
    </row>
    <row r="11" spans="1:17">
      <c r="A11" s="128" t="s">
        <v>81</v>
      </c>
      <c r="B11" s="128" t="s">
        <v>81</v>
      </c>
      <c r="C11" s="128" t="s">
        <v>84</v>
      </c>
      <c r="D11" s="128" t="s">
        <v>83</v>
      </c>
      <c r="E11" s="128" t="str">
        <f>+Industrial!C20</f>
        <v xml:space="preserve">BAHIA CALDERA S.A. PESQ.          </v>
      </c>
      <c r="F11" s="131">
        <v>45292</v>
      </c>
      <c r="G11" s="131">
        <v>45657</v>
      </c>
      <c r="H11" s="128">
        <f>+Industrial!E20</f>
        <v>13365.611999999999</v>
      </c>
      <c r="I11" s="58">
        <f>+Industrial!F20</f>
        <v>0</v>
      </c>
      <c r="J11" s="58">
        <f>+Industrial!G20</f>
        <v>13365.611999999999</v>
      </c>
      <c r="K11" s="58">
        <f>+Industrial!H20</f>
        <v>0</v>
      </c>
      <c r="L11" s="58">
        <f>+Industrial!I20</f>
        <v>13365.611999999999</v>
      </c>
      <c r="M11" s="17">
        <f>+Industrial!J20</f>
        <v>0</v>
      </c>
      <c r="N11" s="74" t="s">
        <v>64</v>
      </c>
      <c r="O11" s="51">
        <f>+Resumen!C$4</f>
        <v>45407</v>
      </c>
      <c r="P11" s="58">
        <v>2024</v>
      </c>
    </row>
    <row r="12" spans="1:17">
      <c r="A12" s="128" t="s">
        <v>81</v>
      </c>
      <c r="B12" s="128" t="s">
        <v>81</v>
      </c>
      <c r="C12" s="128" t="s">
        <v>84</v>
      </c>
      <c r="D12" s="128" t="s">
        <v>83</v>
      </c>
      <c r="E12" s="128" t="str">
        <f>+Industrial!C21</f>
        <v xml:space="preserve">BLUMAR S.A.                                              </v>
      </c>
      <c r="F12" s="131">
        <v>45292</v>
      </c>
      <c r="G12" s="131">
        <v>45657</v>
      </c>
      <c r="H12" s="128">
        <f>+Industrial!E21</f>
        <v>98.686999999999998</v>
      </c>
      <c r="I12" s="58">
        <f>+Industrial!F21</f>
        <v>0</v>
      </c>
      <c r="J12" s="58">
        <f>+Industrial!G21</f>
        <v>98.686999999999998</v>
      </c>
      <c r="K12" s="58">
        <f>+Industrial!H21</f>
        <v>0</v>
      </c>
      <c r="L12" s="58">
        <f>+Industrial!I21</f>
        <v>98.686999999999998</v>
      </c>
      <c r="M12" s="17">
        <f>+Industrial!J21</f>
        <v>0</v>
      </c>
      <c r="N12" s="74" t="s">
        <v>64</v>
      </c>
      <c r="O12" s="51">
        <f>+Resumen!C$4</f>
        <v>45407</v>
      </c>
      <c r="P12" s="58">
        <v>2024</v>
      </c>
    </row>
    <row r="13" spans="1:17">
      <c r="A13" s="128" t="s">
        <v>81</v>
      </c>
      <c r="B13" s="128" t="s">
        <v>81</v>
      </c>
      <c r="C13" s="128" t="s">
        <v>84</v>
      </c>
      <c r="D13" s="128" t="s">
        <v>83</v>
      </c>
      <c r="E13" s="128" t="str">
        <f>+Industrial!C22</f>
        <v xml:space="preserve">CAMANCHACA PESCA SUR S.A.  </v>
      </c>
      <c r="F13" s="131">
        <v>45292</v>
      </c>
      <c r="G13" s="131">
        <v>45657</v>
      </c>
      <c r="H13" s="128">
        <f>+Industrial!E22</f>
        <v>826.92700000000002</v>
      </c>
      <c r="I13" s="58">
        <f>+Industrial!F22</f>
        <v>0</v>
      </c>
      <c r="J13" s="58">
        <f>+Industrial!G22</f>
        <v>826.92700000000002</v>
      </c>
      <c r="K13" s="58">
        <f>+Industrial!H22</f>
        <v>0</v>
      </c>
      <c r="L13" s="58">
        <f>+Industrial!I22</f>
        <v>826.92700000000002</v>
      </c>
      <c r="M13" s="17">
        <f>+Industrial!J22</f>
        <v>0</v>
      </c>
      <c r="N13" s="74" t="s">
        <v>64</v>
      </c>
      <c r="O13" s="51">
        <f>+Resumen!C$4</f>
        <v>45407</v>
      </c>
      <c r="P13" s="58">
        <v>2024</v>
      </c>
    </row>
    <row r="14" spans="1:17">
      <c r="A14" s="128" t="s">
        <v>81</v>
      </c>
      <c r="B14" s="128" t="s">
        <v>81</v>
      </c>
      <c r="C14" s="128" t="s">
        <v>84</v>
      </c>
      <c r="D14" s="128" t="s">
        <v>83</v>
      </c>
      <c r="E14" s="128" t="str">
        <f>+Industrial!C23</f>
        <v xml:space="preserve">CAMANCHACA S.A. CIA. PESQ    </v>
      </c>
      <c r="F14" s="131">
        <v>45292</v>
      </c>
      <c r="G14" s="131">
        <v>45657</v>
      </c>
      <c r="H14" s="128">
        <f>+Industrial!E23</f>
        <v>23.632000000000001</v>
      </c>
      <c r="I14" s="58">
        <f>+Industrial!F23</f>
        <v>0</v>
      </c>
      <c r="J14" s="58">
        <f>+Industrial!G23</f>
        <v>23.632000000000001</v>
      </c>
      <c r="K14" s="58">
        <f>+Industrial!H23</f>
        <v>0</v>
      </c>
      <c r="L14" s="58">
        <f>+Industrial!I23</f>
        <v>23.632000000000001</v>
      </c>
      <c r="M14" s="17">
        <f>+Industrial!J23</f>
        <v>0</v>
      </c>
      <c r="N14" s="74" t="s">
        <v>64</v>
      </c>
      <c r="O14" s="51">
        <f>+Resumen!C$4</f>
        <v>45407</v>
      </c>
      <c r="P14" s="58">
        <v>2024</v>
      </c>
    </row>
    <row r="15" spans="1:17">
      <c r="A15" s="128" t="s">
        <v>81</v>
      </c>
      <c r="B15" s="128" t="s">
        <v>81</v>
      </c>
      <c r="C15" s="128" t="s">
        <v>84</v>
      </c>
      <c r="D15" s="128" t="s">
        <v>83</v>
      </c>
      <c r="E15" s="128" t="str">
        <f>+Industrial!C24</f>
        <v>ERIC ARACENA REYNUABA</v>
      </c>
      <c r="F15" s="131">
        <v>45292</v>
      </c>
      <c r="G15" s="131">
        <v>45657</v>
      </c>
      <c r="H15" s="128">
        <f>+Industrial!E24</f>
        <v>122.206</v>
      </c>
      <c r="I15" s="58">
        <f>+Industrial!F24</f>
        <v>0</v>
      </c>
      <c r="J15" s="58">
        <f>+Industrial!G24</f>
        <v>122.206</v>
      </c>
      <c r="K15" s="58">
        <f>+Industrial!H24</f>
        <v>0</v>
      </c>
      <c r="L15" s="58">
        <f>+Industrial!I24</f>
        <v>122.206</v>
      </c>
      <c r="M15" s="17">
        <f>+Industrial!J24</f>
        <v>0</v>
      </c>
      <c r="N15" s="74" t="s">
        <v>64</v>
      </c>
      <c r="O15" s="51">
        <f>+Resumen!C$4</f>
        <v>45407</v>
      </c>
      <c r="P15" s="58">
        <v>2024</v>
      </c>
    </row>
    <row r="16" spans="1:17">
      <c r="A16" s="128" t="s">
        <v>81</v>
      </c>
      <c r="B16" s="128" t="s">
        <v>81</v>
      </c>
      <c r="C16" s="128" t="s">
        <v>84</v>
      </c>
      <c r="D16" s="128" t="s">
        <v>83</v>
      </c>
      <c r="E16" s="128" t="str">
        <f>+Industrial!C25</f>
        <v>FOODCORP CHILE S.A.</v>
      </c>
      <c r="F16" s="131">
        <v>45292</v>
      </c>
      <c r="G16" s="131">
        <v>45657</v>
      </c>
      <c r="H16" s="128">
        <f>+Industrial!E25</f>
        <v>76.379000000000005</v>
      </c>
      <c r="I16" s="58">
        <f>+Industrial!F25</f>
        <v>0</v>
      </c>
      <c r="J16" s="58">
        <f>+Industrial!G25</f>
        <v>76.379000000000005</v>
      </c>
      <c r="K16" s="58">
        <f>+Industrial!H25</f>
        <v>0</v>
      </c>
      <c r="L16" s="58">
        <f>+Industrial!I25</f>
        <v>76.379000000000005</v>
      </c>
      <c r="M16" s="17">
        <f>+Industrial!J25</f>
        <v>0</v>
      </c>
      <c r="N16" s="74" t="s">
        <v>64</v>
      </c>
      <c r="O16" s="51">
        <f>+Resumen!C$4</f>
        <v>45407</v>
      </c>
      <c r="P16" s="58">
        <v>2024</v>
      </c>
    </row>
    <row r="17" spans="1:16">
      <c r="A17" s="128" t="s">
        <v>81</v>
      </c>
      <c r="B17" s="128" t="s">
        <v>81</v>
      </c>
      <c r="C17" s="128" t="s">
        <v>84</v>
      </c>
      <c r="D17" s="128" t="s">
        <v>83</v>
      </c>
      <c r="E17" s="128" t="str">
        <f>+Industrial!C26</f>
        <v>GIULLIANO REYNUABA SALAS</v>
      </c>
      <c r="F17" s="131">
        <v>45292</v>
      </c>
      <c r="G17" s="131">
        <v>45657</v>
      </c>
      <c r="H17" s="128">
        <f>+Industrial!E26</f>
        <v>122.206</v>
      </c>
      <c r="I17" s="58">
        <f>+Industrial!F26</f>
        <v>0</v>
      </c>
      <c r="J17" s="58">
        <f>+Industrial!G26</f>
        <v>122.206</v>
      </c>
      <c r="K17" s="58">
        <f>+Industrial!H26</f>
        <v>0</v>
      </c>
      <c r="L17" s="58">
        <f>+Industrial!I26</f>
        <v>122.206</v>
      </c>
      <c r="M17" s="17">
        <f>+Industrial!J26</f>
        <v>0</v>
      </c>
      <c r="N17" s="74" t="s">
        <v>64</v>
      </c>
      <c r="O17" s="51">
        <f>+Resumen!C$4</f>
        <v>45407</v>
      </c>
      <c r="P17" s="58">
        <v>2024</v>
      </c>
    </row>
    <row r="18" spans="1:16">
      <c r="A18" s="128" t="s">
        <v>81</v>
      </c>
      <c r="B18" s="128" t="s">
        <v>81</v>
      </c>
      <c r="C18" s="128" t="s">
        <v>84</v>
      </c>
      <c r="D18" s="128" t="s">
        <v>83</v>
      </c>
      <c r="E18" s="128" t="str">
        <f>+Industrial!C27</f>
        <v xml:space="preserve">LANDES S.A. SOC. PESQ.                           </v>
      </c>
      <c r="F18" s="131">
        <v>45292</v>
      </c>
      <c r="G18" s="131">
        <v>45657</v>
      </c>
      <c r="H18" s="128">
        <f>+Industrial!E27</f>
        <v>2.8540000000000001</v>
      </c>
      <c r="I18" s="58">
        <f>+Industrial!F27</f>
        <v>0</v>
      </c>
      <c r="J18" s="58">
        <f>+Industrial!G27</f>
        <v>2.8540000000000001</v>
      </c>
      <c r="K18" s="58">
        <f>+Industrial!H27</f>
        <v>0</v>
      </c>
      <c r="L18" s="58">
        <f>+Industrial!I27</f>
        <v>2.8540000000000001</v>
      </c>
      <c r="M18" s="17">
        <f>+Industrial!J27</f>
        <v>0</v>
      </c>
      <c r="N18" s="74" t="s">
        <v>64</v>
      </c>
      <c r="O18" s="51">
        <f>+Resumen!C$4</f>
        <v>45407</v>
      </c>
      <c r="P18" s="58">
        <v>2024</v>
      </c>
    </row>
    <row r="19" spans="1:16">
      <c r="A19" s="128" t="s">
        <v>81</v>
      </c>
      <c r="B19" s="128" t="s">
        <v>81</v>
      </c>
      <c r="C19" s="128" t="s">
        <v>84</v>
      </c>
      <c r="D19" s="128" t="s">
        <v>83</v>
      </c>
      <c r="E19" s="128" t="str">
        <f>+Industrial!C28</f>
        <v xml:space="preserve">ORIZON S.A                                                   </v>
      </c>
      <c r="F19" s="131">
        <v>45292</v>
      </c>
      <c r="G19" s="131">
        <v>45657</v>
      </c>
      <c r="H19" s="128">
        <f>+Industrial!E28</f>
        <v>13004.216</v>
      </c>
      <c r="I19" s="58">
        <f>+Industrial!F28</f>
        <v>0</v>
      </c>
      <c r="J19" s="58">
        <f>+Industrial!G28</f>
        <v>13004.216</v>
      </c>
      <c r="K19" s="58">
        <f>+Industrial!H28</f>
        <v>0</v>
      </c>
      <c r="L19" s="58">
        <f>+Industrial!I28</f>
        <v>13004.216</v>
      </c>
      <c r="M19" s="17">
        <f>+Industrial!J28</f>
        <v>0</v>
      </c>
      <c r="N19" s="74" t="s">
        <v>64</v>
      </c>
      <c r="O19" s="51">
        <f>+Resumen!C$4</f>
        <v>45407</v>
      </c>
      <c r="P19" s="58">
        <v>2024</v>
      </c>
    </row>
    <row r="20" spans="1:16">
      <c r="A20" s="128" t="s">
        <v>81</v>
      </c>
      <c r="B20" s="128" t="s">
        <v>81</v>
      </c>
      <c r="C20" s="128" t="s">
        <v>84</v>
      </c>
      <c r="D20" s="128" t="s">
        <v>83</v>
      </c>
      <c r="E20" s="128" t="str">
        <f>+Industrial!C29</f>
        <v>PROCESOS TECNOLOGICOS DEL BIO BIO SpA</v>
      </c>
      <c r="F20" s="131">
        <v>45292</v>
      </c>
      <c r="G20" s="131">
        <v>45657</v>
      </c>
      <c r="H20" s="128">
        <f>+Industrial!E29</f>
        <v>351.34300000000002</v>
      </c>
      <c r="I20" s="58">
        <f>+Industrial!F29</f>
        <v>0</v>
      </c>
      <c r="J20" s="58">
        <f>+Industrial!G29</f>
        <v>351.34300000000002</v>
      </c>
      <c r="K20" s="58">
        <f>+Industrial!H29</f>
        <v>0</v>
      </c>
      <c r="L20" s="58">
        <f>+Industrial!I29</f>
        <v>351.34300000000002</v>
      </c>
      <c r="M20" s="17">
        <f>+Industrial!J29</f>
        <v>0</v>
      </c>
      <c r="N20" s="74" t="s">
        <v>64</v>
      </c>
      <c r="O20" s="51">
        <f>+Resumen!C$4</f>
        <v>45407</v>
      </c>
      <c r="P20" s="58">
        <v>2024</v>
      </c>
    </row>
    <row r="21" spans="1:16" s="58" customFormat="1">
      <c r="A21" s="128" t="s">
        <v>81</v>
      </c>
      <c r="B21" s="128" t="s">
        <v>81</v>
      </c>
      <c r="C21" s="128" t="s">
        <v>84</v>
      </c>
      <c r="D21" s="128" t="s">
        <v>83</v>
      </c>
      <c r="E21" s="128" t="str">
        <f>+Industrial!C30</f>
        <v>SIPESUR SPA</v>
      </c>
      <c r="F21" s="131">
        <v>45292</v>
      </c>
      <c r="G21" s="131">
        <v>45657</v>
      </c>
      <c r="H21" s="128">
        <f>+Industrial!E30</f>
        <v>296.71300000000002</v>
      </c>
      <c r="I21" s="58">
        <f>+Industrial!F30</f>
        <v>0</v>
      </c>
      <c r="J21" s="58">
        <f>+Industrial!G30</f>
        <v>296.71300000000002</v>
      </c>
      <c r="K21" s="58">
        <f>+Industrial!H30</f>
        <v>0</v>
      </c>
      <c r="L21" s="58">
        <f>+Industrial!I30</f>
        <v>296.71300000000002</v>
      </c>
      <c r="M21" s="17">
        <f>+Industrial!J30</f>
        <v>0</v>
      </c>
      <c r="N21" s="74" t="s">
        <v>64</v>
      </c>
      <c r="O21" s="51">
        <f>+Resumen!C$4</f>
        <v>45407</v>
      </c>
      <c r="P21" s="58">
        <v>2024</v>
      </c>
    </row>
    <row r="22" spans="1:16" s="132" customFormat="1">
      <c r="A22" s="136" t="s">
        <v>81</v>
      </c>
      <c r="B22" s="136" t="s">
        <v>81</v>
      </c>
      <c r="C22" s="136" t="s">
        <v>84</v>
      </c>
      <c r="D22" s="136" t="s">
        <v>83</v>
      </c>
      <c r="E22" s="136" t="s">
        <v>85</v>
      </c>
      <c r="F22" s="158">
        <v>45292</v>
      </c>
      <c r="G22" s="158">
        <v>45657</v>
      </c>
      <c r="H22" s="136">
        <f>+Industrial!K31</f>
        <v>30551.501</v>
      </c>
      <c r="I22" s="132">
        <f>+Industrial!L31</f>
        <v>0</v>
      </c>
      <c r="J22" s="132">
        <f>+Industrial!M31</f>
        <v>30551.501</v>
      </c>
      <c r="K22" s="132">
        <f>+Industrial!N31</f>
        <v>0</v>
      </c>
      <c r="L22" s="132">
        <f>+Industrial!O31</f>
        <v>30551.501</v>
      </c>
      <c r="M22" s="133">
        <f>+Industrial!P31</f>
        <v>0</v>
      </c>
      <c r="N22" s="134" t="s">
        <v>64</v>
      </c>
      <c r="O22" s="135">
        <f>+Resumen!C$4</f>
        <v>45407</v>
      </c>
      <c r="P22" s="58">
        <v>2024</v>
      </c>
    </row>
    <row r="23" spans="1:16">
      <c r="A23" s="128" t="s">
        <v>86</v>
      </c>
      <c r="B23" s="128" t="s">
        <v>86</v>
      </c>
      <c r="C23" s="128" t="s">
        <v>82</v>
      </c>
      <c r="D23" s="128" t="s">
        <v>83</v>
      </c>
      <c r="E23" s="128" t="str">
        <f>+Industrial!C32</f>
        <v xml:space="preserve">ARICA SEAFOOD PRODUCER S.A.  </v>
      </c>
      <c r="F23" s="131">
        <v>45292</v>
      </c>
      <c r="G23" s="131">
        <v>45657</v>
      </c>
      <c r="H23" s="128">
        <f>+Industrial!E32</f>
        <v>4.8810000000000002</v>
      </c>
      <c r="I23" s="58">
        <f>+Industrial!F32</f>
        <v>0</v>
      </c>
      <c r="J23" s="58">
        <f>+Industrial!G32</f>
        <v>4.8810000000000002</v>
      </c>
      <c r="K23" s="58">
        <f>+Industrial!H32</f>
        <v>0</v>
      </c>
      <c r="L23" s="58">
        <f>+Industrial!I32</f>
        <v>4.8810000000000002</v>
      </c>
      <c r="M23" s="17">
        <f>+Industrial!J32</f>
        <v>0</v>
      </c>
      <c r="N23" s="74" t="s">
        <v>64</v>
      </c>
      <c r="O23" s="51">
        <f>+Resumen!C$4</f>
        <v>45407</v>
      </c>
      <c r="P23" s="58">
        <v>2024</v>
      </c>
    </row>
    <row r="24" spans="1:16">
      <c r="A24" s="128" t="s">
        <v>86</v>
      </c>
      <c r="B24" s="128" t="s">
        <v>86</v>
      </c>
      <c r="C24" s="128" t="s">
        <v>82</v>
      </c>
      <c r="D24" s="128" t="s">
        <v>83</v>
      </c>
      <c r="E24" s="128" t="str">
        <f>+Industrial!C33</f>
        <v xml:space="preserve">CAMANCHACA S.A. CIA. PESQ      </v>
      </c>
      <c r="F24" s="131">
        <v>45292</v>
      </c>
      <c r="G24" s="131">
        <v>45657</v>
      </c>
      <c r="H24" s="128">
        <f>+Industrial!E33</f>
        <v>313.08800000000002</v>
      </c>
      <c r="I24" s="58">
        <f>+Industrial!F33</f>
        <v>0</v>
      </c>
      <c r="J24" s="58">
        <f>+Industrial!G33</f>
        <v>313.08800000000002</v>
      </c>
      <c r="K24" s="58">
        <f>+Industrial!H33</f>
        <v>0</v>
      </c>
      <c r="L24" s="58">
        <f>+Industrial!I33</f>
        <v>313.08800000000002</v>
      </c>
      <c r="M24" s="17">
        <f>+Industrial!J33</f>
        <v>0</v>
      </c>
      <c r="N24" s="74" t="s">
        <v>64</v>
      </c>
      <c r="O24" s="51">
        <f>+Resumen!C$4</f>
        <v>45407</v>
      </c>
      <c r="P24" s="58">
        <v>2024</v>
      </c>
    </row>
    <row r="25" spans="1:16">
      <c r="A25" s="128" t="s">
        <v>86</v>
      </c>
      <c r="B25" s="128" t="s">
        <v>86</v>
      </c>
      <c r="C25" s="128" t="s">
        <v>82</v>
      </c>
      <c r="D25" s="128" t="s">
        <v>83</v>
      </c>
      <c r="E25" s="128" t="str">
        <f>+Industrial!C34</f>
        <v xml:space="preserve">CORPESCA S.A.                             </v>
      </c>
      <c r="F25" s="131">
        <v>45292</v>
      </c>
      <c r="G25" s="131">
        <v>45657</v>
      </c>
      <c r="H25" s="128">
        <f>+Industrial!E34</f>
        <v>1167.0309999999999</v>
      </c>
      <c r="I25" s="58">
        <f>+Industrial!F34</f>
        <v>0</v>
      </c>
      <c r="J25" s="58">
        <f>+Industrial!G34</f>
        <v>1167.0309999999999</v>
      </c>
      <c r="K25" s="58">
        <f>+Industrial!H34</f>
        <v>0</v>
      </c>
      <c r="L25" s="58">
        <f>+Industrial!I34</f>
        <v>1167.0309999999999</v>
      </c>
      <c r="M25" s="17">
        <f>+Industrial!J34</f>
        <v>0</v>
      </c>
      <c r="N25" s="74" t="s">
        <v>64</v>
      </c>
      <c r="O25" s="51">
        <f>+Resumen!C$4</f>
        <v>45407</v>
      </c>
      <c r="P25" s="58">
        <v>2024</v>
      </c>
    </row>
    <row r="26" spans="1:16" s="132" customFormat="1">
      <c r="A26" s="136" t="s">
        <v>86</v>
      </c>
      <c r="B26" s="136" t="s">
        <v>86</v>
      </c>
      <c r="C26" s="136" t="s">
        <v>82</v>
      </c>
      <c r="D26" s="136" t="s">
        <v>83</v>
      </c>
      <c r="E26" s="136" t="s">
        <v>85</v>
      </c>
      <c r="F26" s="158">
        <v>45292</v>
      </c>
      <c r="G26" s="158">
        <v>45657</v>
      </c>
      <c r="H26" s="138">
        <f>Industrial!E35</f>
        <v>1485</v>
      </c>
      <c r="I26" s="132">
        <f>+Industrial!L35</f>
        <v>0</v>
      </c>
      <c r="J26" s="132">
        <f>+Industrial!M35</f>
        <v>1485</v>
      </c>
      <c r="K26" s="132">
        <f>+Industrial!N35</f>
        <v>0</v>
      </c>
      <c r="L26" s="132">
        <f>+Industrial!O35</f>
        <v>1485</v>
      </c>
      <c r="M26" s="133">
        <f>+Industrial!P35</f>
        <v>0</v>
      </c>
      <c r="N26" s="134" t="s">
        <v>64</v>
      </c>
      <c r="O26" s="135">
        <f>+Resumen!C$4</f>
        <v>45407</v>
      </c>
      <c r="P26" s="58">
        <v>2024</v>
      </c>
    </row>
    <row r="27" spans="1:16">
      <c r="A27" s="128" t="s">
        <v>86</v>
      </c>
      <c r="B27" s="128" t="s">
        <v>86</v>
      </c>
      <c r="C27" s="128" t="s">
        <v>84</v>
      </c>
      <c r="D27" s="128" t="s">
        <v>83</v>
      </c>
      <c r="E27" s="128" t="str">
        <f>+Industrial!C36</f>
        <v xml:space="preserve">ALIMENTOS MARINOS S.A.          </v>
      </c>
      <c r="F27" s="131">
        <v>45292</v>
      </c>
      <c r="G27" s="131">
        <v>45657</v>
      </c>
      <c r="H27" s="128">
        <f>+Industrial!E36</f>
        <v>204.947</v>
      </c>
      <c r="I27" s="58">
        <f>+Industrial!F36</f>
        <v>0</v>
      </c>
      <c r="J27" s="58">
        <f>+Industrial!G36</f>
        <v>204.947</v>
      </c>
      <c r="K27" s="58">
        <f>+Industrial!H36</f>
        <v>0</v>
      </c>
      <c r="L27" s="58">
        <f>+Industrial!I36</f>
        <v>204.947</v>
      </c>
      <c r="M27" s="17">
        <f>+Industrial!J36</f>
        <v>0</v>
      </c>
      <c r="N27" s="74" t="s">
        <v>64</v>
      </c>
      <c r="O27" s="51">
        <f>+Resumen!C$4</f>
        <v>45407</v>
      </c>
      <c r="P27" s="58">
        <v>2024</v>
      </c>
    </row>
    <row r="28" spans="1:16">
      <c r="A28" s="128" t="s">
        <v>86</v>
      </c>
      <c r="B28" s="128" t="s">
        <v>86</v>
      </c>
      <c r="C28" s="128" t="s">
        <v>84</v>
      </c>
      <c r="D28" s="128" t="s">
        <v>83</v>
      </c>
      <c r="E28" s="128" t="str">
        <f>+Industrial!C37</f>
        <v xml:space="preserve">BAHIA CALDERA S.A. PESQ.          </v>
      </c>
      <c r="F28" s="131">
        <v>45292</v>
      </c>
      <c r="G28" s="131">
        <v>45657</v>
      </c>
      <c r="H28" s="128">
        <f>+Industrial!E37</f>
        <v>892.30700000000002</v>
      </c>
      <c r="I28" s="58">
        <f>+Industrial!F37</f>
        <v>-890</v>
      </c>
      <c r="J28" s="58">
        <f>+Industrial!G37</f>
        <v>2.3070000000000164</v>
      </c>
      <c r="K28" s="58">
        <f>+Industrial!H37</f>
        <v>0</v>
      </c>
      <c r="L28" s="58">
        <f>+Industrial!I37</f>
        <v>2.3070000000000164</v>
      </c>
      <c r="M28" s="17">
        <f>+Industrial!J37</f>
        <v>0</v>
      </c>
      <c r="N28" s="74" t="s">
        <v>64</v>
      </c>
      <c r="O28" s="51">
        <f>+Resumen!C$4</f>
        <v>45407</v>
      </c>
      <c r="P28" s="58">
        <v>2024</v>
      </c>
    </row>
    <row r="29" spans="1:16">
      <c r="A29" s="128" t="s">
        <v>86</v>
      </c>
      <c r="B29" s="128" t="s">
        <v>86</v>
      </c>
      <c r="C29" s="128" t="s">
        <v>84</v>
      </c>
      <c r="D29" s="128" t="s">
        <v>83</v>
      </c>
      <c r="E29" s="128" t="str">
        <f>+Industrial!C38</f>
        <v>FOODCORP CHILE S.A.</v>
      </c>
      <c r="F29" s="131">
        <v>45292</v>
      </c>
      <c r="G29" s="131">
        <v>45657</v>
      </c>
      <c r="H29" s="128">
        <f>+Industrial!E38</f>
        <v>0.15</v>
      </c>
      <c r="I29" s="58">
        <f>+Industrial!F38</f>
        <v>0</v>
      </c>
      <c r="J29" s="58">
        <f>+Industrial!G38</f>
        <v>0.15</v>
      </c>
      <c r="K29" s="58">
        <f>+Industrial!H38</f>
        <v>0</v>
      </c>
      <c r="L29" s="58">
        <f>+Industrial!I38</f>
        <v>0.15</v>
      </c>
      <c r="M29" s="17">
        <f>+Industrial!J38</f>
        <v>0</v>
      </c>
      <c r="N29" s="74" t="s">
        <v>64</v>
      </c>
      <c r="O29" s="51">
        <f>+Resumen!C$4</f>
        <v>45407</v>
      </c>
      <c r="P29" s="58">
        <v>2024</v>
      </c>
    </row>
    <row r="30" spans="1:16">
      <c r="A30" s="128" t="s">
        <v>86</v>
      </c>
      <c r="B30" s="128" t="s">
        <v>86</v>
      </c>
      <c r="C30" s="128" t="s">
        <v>84</v>
      </c>
      <c r="D30" s="128" t="s">
        <v>83</v>
      </c>
      <c r="E30" s="128" t="str">
        <f>+Industrial!C39</f>
        <v>BLUMAR S.A.</v>
      </c>
      <c r="F30" s="131">
        <v>45292</v>
      </c>
      <c r="G30" s="131">
        <v>45657</v>
      </c>
      <c r="H30" s="128">
        <f>+Industrial!E39</f>
        <v>5.7460000000000004</v>
      </c>
      <c r="I30" s="58">
        <f>+Industrial!F39</f>
        <v>0</v>
      </c>
      <c r="J30" s="58">
        <f>+Industrial!G39</f>
        <v>5.7460000000000004</v>
      </c>
      <c r="K30" s="58">
        <f>+Industrial!H39</f>
        <v>0</v>
      </c>
      <c r="L30" s="58">
        <f>+Industrial!I39</f>
        <v>5.7460000000000004</v>
      </c>
      <c r="M30" s="17">
        <f>+Industrial!J39</f>
        <v>0</v>
      </c>
      <c r="N30" s="74" t="s">
        <v>64</v>
      </c>
      <c r="O30" s="51">
        <f>+Resumen!C$4</f>
        <v>45407</v>
      </c>
      <c r="P30" s="58">
        <v>2024</v>
      </c>
    </row>
    <row r="31" spans="1:16">
      <c r="A31" s="128" t="s">
        <v>86</v>
      </c>
      <c r="B31" s="128" t="s">
        <v>86</v>
      </c>
      <c r="C31" s="128" t="s">
        <v>84</v>
      </c>
      <c r="D31" s="128" t="s">
        <v>83</v>
      </c>
      <c r="E31" s="128" t="str">
        <f>+Industrial!C40</f>
        <v>CAMANCHACA S.A.</v>
      </c>
      <c r="F31" s="131">
        <v>45292</v>
      </c>
      <c r="G31" s="131">
        <v>45657</v>
      </c>
      <c r="H31" s="128">
        <f>+Industrial!E40</f>
        <v>6.4950000000000001</v>
      </c>
      <c r="I31" s="58">
        <f>+Industrial!F40</f>
        <v>0</v>
      </c>
      <c r="J31" s="58">
        <f>+Industrial!G40</f>
        <v>6.4950000000000001</v>
      </c>
      <c r="K31" s="58">
        <f>+Industrial!H40</f>
        <v>0</v>
      </c>
      <c r="L31" s="58">
        <f>+Industrial!I40</f>
        <v>6.4950000000000001</v>
      </c>
      <c r="M31" s="17">
        <f>+Industrial!J40</f>
        <v>0</v>
      </c>
      <c r="N31" s="74" t="s">
        <v>64</v>
      </c>
      <c r="O31" s="51">
        <f>+Resumen!C$4</f>
        <v>45407</v>
      </c>
      <c r="P31" s="58">
        <v>2024</v>
      </c>
    </row>
    <row r="32" spans="1:16">
      <c r="A32" s="128" t="s">
        <v>86</v>
      </c>
      <c r="B32" s="128" t="s">
        <v>86</v>
      </c>
      <c r="C32" s="128" t="s">
        <v>84</v>
      </c>
      <c r="D32" s="128" t="s">
        <v>83</v>
      </c>
      <c r="E32" s="128" t="str">
        <f>+Industrial!C41</f>
        <v>SIPESUR SPA</v>
      </c>
      <c r="F32" s="131">
        <v>45292</v>
      </c>
      <c r="G32" s="131">
        <v>45657</v>
      </c>
      <c r="H32" s="128">
        <f>+Industrial!E41</f>
        <v>2.9769999999999999</v>
      </c>
      <c r="I32" s="58">
        <f>+Industrial!F41</f>
        <v>0</v>
      </c>
      <c r="J32" s="58">
        <f>+Industrial!G41</f>
        <v>2.9769999999999999</v>
      </c>
      <c r="K32" s="58">
        <f>+Industrial!H41</f>
        <v>0</v>
      </c>
      <c r="L32" s="58">
        <f>+Industrial!I41</f>
        <v>2.9769999999999999</v>
      </c>
      <c r="M32" s="17">
        <f>+Industrial!J41</f>
        <v>0</v>
      </c>
      <c r="N32" s="74" t="s">
        <v>64</v>
      </c>
      <c r="O32" s="51">
        <f>+Resumen!C$4</f>
        <v>45407</v>
      </c>
      <c r="P32" s="58">
        <v>2024</v>
      </c>
    </row>
    <row r="33" spans="1:16">
      <c r="A33" s="128" t="s">
        <v>86</v>
      </c>
      <c r="B33" s="128" t="s">
        <v>86</v>
      </c>
      <c r="C33" s="128" t="s">
        <v>84</v>
      </c>
      <c r="D33" s="128" t="s">
        <v>83</v>
      </c>
      <c r="E33" s="128" t="str">
        <f>+Industrial!C42</f>
        <v>ORIZON S.A.</v>
      </c>
      <c r="F33" s="131">
        <v>45292</v>
      </c>
      <c r="G33" s="131">
        <v>45657</v>
      </c>
      <c r="H33" s="128">
        <f>+Industrial!E42</f>
        <v>383.03</v>
      </c>
      <c r="I33" s="58">
        <f>+Industrial!F42</f>
        <v>-380</v>
      </c>
      <c r="J33" s="58">
        <f>+Industrial!G42</f>
        <v>3.0299999999999727</v>
      </c>
      <c r="K33" s="58">
        <f>+Industrial!H42</f>
        <v>0</v>
      </c>
      <c r="L33" s="58">
        <f>+Industrial!I42</f>
        <v>3.0299999999999727</v>
      </c>
      <c r="M33" s="17">
        <f>+Industrial!J42</f>
        <v>0</v>
      </c>
      <c r="N33" s="74" t="s">
        <v>64</v>
      </c>
      <c r="O33" s="51">
        <f>+Resumen!C$4</f>
        <v>45407</v>
      </c>
      <c r="P33" s="58">
        <v>2024</v>
      </c>
    </row>
    <row r="34" spans="1:16">
      <c r="A34" s="128" t="s">
        <v>86</v>
      </c>
      <c r="B34" s="128" t="s">
        <v>86</v>
      </c>
      <c r="C34" s="128" t="s">
        <v>84</v>
      </c>
      <c r="D34" s="128" t="s">
        <v>83</v>
      </c>
      <c r="E34" s="128" t="str">
        <f>+Industrial!C43</f>
        <v>CAMANCHACA PESCA SUR S.A.</v>
      </c>
      <c r="F34" s="131">
        <v>45292</v>
      </c>
      <c r="G34" s="131">
        <v>45657</v>
      </c>
      <c r="H34" s="128">
        <f>+Industrial!E43</f>
        <v>2.593</v>
      </c>
      <c r="I34" s="58">
        <f>+Industrial!F43</f>
        <v>0</v>
      </c>
      <c r="J34" s="58">
        <f>+Industrial!G43</f>
        <v>2.593</v>
      </c>
      <c r="K34" s="58">
        <f>+Industrial!H43</f>
        <v>0</v>
      </c>
      <c r="L34" s="58">
        <f>+Industrial!I43</f>
        <v>2.593</v>
      </c>
      <c r="M34" s="17">
        <f>+Industrial!J43</f>
        <v>0</v>
      </c>
      <c r="N34" s="74" t="s">
        <v>64</v>
      </c>
      <c r="O34" s="51">
        <f>+Resumen!C$4</f>
        <v>45407</v>
      </c>
      <c r="P34" s="58">
        <v>2024</v>
      </c>
    </row>
    <row r="35" spans="1:16" s="58" customFormat="1">
      <c r="A35" s="128" t="s">
        <v>86</v>
      </c>
      <c r="B35" s="128" t="s">
        <v>86</v>
      </c>
      <c r="C35" s="128" t="s">
        <v>84</v>
      </c>
      <c r="D35" s="128" t="s">
        <v>83</v>
      </c>
      <c r="E35" s="128" t="str">
        <f>+Industrial!C44</f>
        <v>LANDES S.A. SOC. PESQ.</v>
      </c>
      <c r="F35" s="131">
        <v>45292</v>
      </c>
      <c r="G35" s="131">
        <v>45657</v>
      </c>
      <c r="H35" s="128">
        <f>+Industrial!E44</f>
        <v>1.7549999999999999</v>
      </c>
      <c r="I35" s="58">
        <f>+Industrial!F44</f>
        <v>0</v>
      </c>
      <c r="J35" s="58">
        <f>+Industrial!G44</f>
        <v>1.7549999999999999</v>
      </c>
      <c r="K35" s="58">
        <f>+Industrial!H44</f>
        <v>0</v>
      </c>
      <c r="L35" s="58">
        <f>+Industrial!I44</f>
        <v>1.7549999999999999</v>
      </c>
      <c r="M35" s="17">
        <f>+Industrial!J44</f>
        <v>0</v>
      </c>
      <c r="N35" s="74" t="s">
        <v>64</v>
      </c>
      <c r="O35" s="51">
        <f>+Resumen!C$4</f>
        <v>45407</v>
      </c>
      <c r="P35" s="58">
        <v>2024</v>
      </c>
    </row>
    <row r="36" spans="1:16" s="136" customFormat="1">
      <c r="A36" s="136" t="s">
        <v>86</v>
      </c>
      <c r="B36" s="136" t="s">
        <v>86</v>
      </c>
      <c r="C36" s="136" t="s">
        <v>84</v>
      </c>
      <c r="D36" s="136" t="s">
        <v>83</v>
      </c>
      <c r="E36" s="136" t="s">
        <v>85</v>
      </c>
      <c r="F36" s="158">
        <v>45292</v>
      </c>
      <c r="G36" s="158">
        <v>45657</v>
      </c>
      <c r="H36" s="136">
        <f>+Industrial!K45</f>
        <v>1500.0000000000002</v>
      </c>
      <c r="I36" s="136">
        <f>+Industrial!L45</f>
        <v>-1270</v>
      </c>
      <c r="J36" s="136">
        <f>+Industrial!M45</f>
        <v>230</v>
      </c>
      <c r="K36" s="136">
        <f>+Industrial!N45</f>
        <v>0</v>
      </c>
      <c r="L36" s="136">
        <f>+Industrial!O45</f>
        <v>230</v>
      </c>
      <c r="M36" s="156">
        <f>+Industrial!P45</f>
        <v>0</v>
      </c>
      <c r="N36" s="157" t="s">
        <v>64</v>
      </c>
      <c r="O36" s="158">
        <f>+Resumen!C$4</f>
        <v>45407</v>
      </c>
      <c r="P36" s="58">
        <v>2024</v>
      </c>
    </row>
    <row r="37" spans="1:16" ht="16.5" customHeight="1">
      <c r="A37" s="128" t="s">
        <v>81</v>
      </c>
      <c r="B37" s="128" t="s">
        <v>81</v>
      </c>
      <c r="C37" s="128" t="s">
        <v>87</v>
      </c>
      <c r="D37" s="128" t="s">
        <v>93</v>
      </c>
      <c r="E37" s="128" t="str">
        <f>+'Artesanal Anchoveta XV-IV'!D7</f>
        <v>MACROZONA XV - I</v>
      </c>
      <c r="F37" s="131">
        <v>45292</v>
      </c>
      <c r="G37" s="131">
        <v>45657</v>
      </c>
      <c r="H37" s="128">
        <f>+'Artesanal Anchoveta XV-IV'!F7</f>
        <v>73151</v>
      </c>
      <c r="I37" s="58">
        <f>+'Artesanal Anchoveta XV-IV'!G7</f>
        <v>0</v>
      </c>
      <c r="J37" s="58">
        <f>+'Artesanal Anchoveta XV-IV'!H7</f>
        <v>73151</v>
      </c>
      <c r="K37" s="58">
        <f>+'Artesanal Anchoveta XV-IV'!I7</f>
        <v>41572</v>
      </c>
      <c r="L37" s="58">
        <f>+'Artesanal Anchoveta XV-IV'!K7</f>
        <v>31579</v>
      </c>
      <c r="M37" s="17">
        <f>+'Artesanal Anchoveta XV-IV'!L7</f>
        <v>0.56830391929023527</v>
      </c>
      <c r="N37" s="74" t="s">
        <v>64</v>
      </c>
      <c r="O37" s="51">
        <f>+Resumen!C$4</f>
        <v>45407</v>
      </c>
      <c r="P37" s="58">
        <v>2024</v>
      </c>
    </row>
    <row r="38" spans="1:16" s="136" customFormat="1">
      <c r="A38" s="136" t="s">
        <v>81</v>
      </c>
      <c r="B38" s="136" t="s">
        <v>81</v>
      </c>
      <c r="C38" s="136" t="s">
        <v>87</v>
      </c>
      <c r="D38" s="136" t="s">
        <v>93</v>
      </c>
      <c r="E38" s="136" t="s">
        <v>95</v>
      </c>
      <c r="F38" s="158">
        <v>45292</v>
      </c>
      <c r="G38" s="158">
        <v>45657</v>
      </c>
      <c r="H38" s="136">
        <f>Resumen!E9</f>
        <v>73151</v>
      </c>
      <c r="I38" s="136">
        <f>Resumen!F9</f>
        <v>0</v>
      </c>
      <c r="J38" s="136">
        <f>Resumen!G9</f>
        <v>73151</v>
      </c>
      <c r="K38" s="136">
        <f>Resumen!H9</f>
        <v>41572</v>
      </c>
      <c r="L38" s="136">
        <f>Resumen!I9</f>
        <v>31579</v>
      </c>
      <c r="M38" s="156">
        <f>Resumen!J9</f>
        <v>0.56830391929023527</v>
      </c>
      <c r="N38" s="157" t="s">
        <v>64</v>
      </c>
      <c r="O38" s="158">
        <f>+Resumen!C$4</f>
        <v>45407</v>
      </c>
      <c r="P38" s="58">
        <v>2024</v>
      </c>
    </row>
    <row r="39" spans="1:16">
      <c r="A39" s="128" t="s">
        <v>81</v>
      </c>
      <c r="B39" s="128" t="s">
        <v>81</v>
      </c>
      <c r="C39" s="128" t="s">
        <v>10</v>
      </c>
      <c r="D39" s="128" t="s">
        <v>93</v>
      </c>
      <c r="E39" s="128" t="str">
        <f>+'Artesanal Anchoveta XV-IV'!D8</f>
        <v>REGIÓN II</v>
      </c>
      <c r="F39" s="131">
        <v>45292</v>
      </c>
      <c r="G39" s="131">
        <v>45657</v>
      </c>
      <c r="H39" s="128">
        <f>+'Artesanal Anchoveta XV-IV'!F8</f>
        <v>27707</v>
      </c>
      <c r="I39" s="58">
        <f>+'Artesanal Anchoveta XV-IV'!G8</f>
        <v>0</v>
      </c>
      <c r="J39" s="58">
        <f>+'Artesanal Anchoveta XV-IV'!H8</f>
        <v>27707</v>
      </c>
      <c r="K39" s="58">
        <f>+'Artesanal Anchoveta XV-IV'!I8</f>
        <v>0.1</v>
      </c>
      <c r="L39" s="58">
        <f>+'Artesanal Anchoveta XV-IV'!K8</f>
        <v>27706.9</v>
      </c>
      <c r="M39" s="17">
        <f>+'Artesanal Anchoveta XV-IV'!L8</f>
        <v>3.6091962319991339E-6</v>
      </c>
      <c r="N39" s="74" t="str">
        <f>'Artesanal Anchoveta XV-IV'!M8</f>
        <v>-</v>
      </c>
      <c r="O39" s="51">
        <f>+Resumen!C$4</f>
        <v>45407</v>
      </c>
      <c r="P39" s="58">
        <v>2024</v>
      </c>
    </row>
    <row r="40" spans="1:16" s="136" customFormat="1">
      <c r="A40" s="136" t="s">
        <v>81</v>
      </c>
      <c r="B40" s="136" t="s">
        <v>81</v>
      </c>
      <c r="C40" s="136" t="s">
        <v>10</v>
      </c>
      <c r="D40" s="136" t="s">
        <v>93</v>
      </c>
      <c r="E40" s="136" t="s">
        <v>96</v>
      </c>
      <c r="F40" s="158">
        <v>45292</v>
      </c>
      <c r="G40" s="158">
        <v>45657</v>
      </c>
      <c r="H40" s="136">
        <f>+'Artesanal Anchoveta XV-IV'!N8</f>
        <v>27707</v>
      </c>
      <c r="I40" s="136">
        <f>+'Artesanal Anchoveta XV-IV'!O8</f>
        <v>0</v>
      </c>
      <c r="J40" s="136">
        <f>+'Artesanal Anchoveta XV-IV'!P8</f>
        <v>27707</v>
      </c>
      <c r="K40" s="136">
        <f>+'Artesanal Anchoveta XV-IV'!Q8</f>
        <v>0.1</v>
      </c>
      <c r="L40" s="136">
        <f>+'Artesanal Anchoveta XV-IV'!R8</f>
        <v>27706.9</v>
      </c>
      <c r="M40" s="156">
        <f>+'Artesanal Anchoveta XV-IV'!S8</f>
        <v>3.6091962319991339E-6</v>
      </c>
      <c r="N40" s="157" t="s">
        <v>64</v>
      </c>
      <c r="O40" s="158">
        <f>+Resumen!C$4</f>
        <v>45407</v>
      </c>
      <c r="P40" s="58">
        <v>2024</v>
      </c>
    </row>
    <row r="41" spans="1:16" s="136" customFormat="1">
      <c r="A41" s="136" t="s">
        <v>81</v>
      </c>
      <c r="B41" s="136" t="s">
        <v>81</v>
      </c>
      <c r="C41" s="136" t="s">
        <v>15</v>
      </c>
      <c r="D41" s="136" t="s">
        <v>93</v>
      </c>
      <c r="E41" s="136" t="s">
        <v>142</v>
      </c>
      <c r="F41" s="158">
        <v>45292</v>
      </c>
      <c r="G41" s="158">
        <v>45657</v>
      </c>
      <c r="H41" s="136">
        <f>+'Artesanal Anchoveta XV-IV'!F9</f>
        <v>1000</v>
      </c>
      <c r="I41" s="136">
        <f>+'Artesanal Anchoveta XV-IV'!G9</f>
        <v>0</v>
      </c>
      <c r="J41" s="136">
        <f>+'Artesanal Anchoveta XV-IV'!H9</f>
        <v>1000</v>
      </c>
      <c r="K41" s="136">
        <f>+'Artesanal Anchoveta XV-IV'!I9</f>
        <v>0</v>
      </c>
      <c r="L41" s="136">
        <f>+'Artesanal Anchoveta XV-IV'!K9</f>
        <v>1000</v>
      </c>
      <c r="M41" s="156">
        <f>+'Artesanal Anchoveta XV-IV'!L9</f>
        <v>0</v>
      </c>
      <c r="N41" s="157" t="str">
        <f>'Artesanal Anchoveta XV-IV'!M9</f>
        <v>-</v>
      </c>
      <c r="O41" s="158">
        <f>+Resumen!C$4</f>
        <v>45407</v>
      </c>
      <c r="P41" s="58">
        <v>2024</v>
      </c>
    </row>
    <row r="42" spans="1:16">
      <c r="A42" s="128" t="s">
        <v>81</v>
      </c>
      <c r="B42" s="128" t="s">
        <v>81</v>
      </c>
      <c r="C42" s="128" t="s">
        <v>11</v>
      </c>
      <c r="D42" s="128" t="s">
        <v>93</v>
      </c>
      <c r="E42" s="128" t="str">
        <f>+'Artesanal Anchoveta XV-IV'!D10</f>
        <v>REGIÓN III</v>
      </c>
      <c r="F42" s="131">
        <v>45292</v>
      </c>
      <c r="G42" s="131">
        <v>45657</v>
      </c>
      <c r="H42" s="128">
        <f>+'Artesanal Anchoveta XV-IV'!F10</f>
        <v>21036</v>
      </c>
      <c r="I42" s="58">
        <f>+'Artesanal Anchoveta XV-IV'!G10</f>
        <v>0</v>
      </c>
      <c r="J42" s="58">
        <f>+'Artesanal Anchoveta XV-IV'!H10</f>
        <v>21036</v>
      </c>
      <c r="K42" s="58">
        <f>+'Artesanal Anchoveta XV-IV'!I10</f>
        <v>0</v>
      </c>
      <c r="L42" s="58">
        <f>+'Artesanal Anchoveta XV-IV'!K10</f>
        <v>21036</v>
      </c>
      <c r="M42" s="17">
        <f>+'Artesanal Anchoveta XV-IV'!L10</f>
        <v>0</v>
      </c>
      <c r="N42" s="74" t="s">
        <v>64</v>
      </c>
      <c r="O42" s="51">
        <f>+Resumen!C$4</f>
        <v>45407</v>
      </c>
      <c r="P42" s="58">
        <v>2024</v>
      </c>
    </row>
    <row r="43" spans="1:16" s="136" customFormat="1">
      <c r="A43" s="136" t="s">
        <v>81</v>
      </c>
      <c r="B43" s="136" t="s">
        <v>81</v>
      </c>
      <c r="C43" s="136" t="s">
        <v>11</v>
      </c>
      <c r="D43" s="136" t="s">
        <v>93</v>
      </c>
      <c r="E43" s="136" t="s">
        <v>96</v>
      </c>
      <c r="F43" s="158">
        <v>45292</v>
      </c>
      <c r="G43" s="158">
        <v>45657</v>
      </c>
      <c r="H43" s="136">
        <f>+'Artesanal Anchoveta XV-IV'!N10</f>
        <v>21036</v>
      </c>
      <c r="I43" s="136">
        <f>+'Artesanal Anchoveta XV-IV'!O10</f>
        <v>0</v>
      </c>
      <c r="J43" s="136">
        <f>+'Artesanal Anchoveta XV-IV'!P10</f>
        <v>21036</v>
      </c>
      <c r="K43" s="136">
        <f>+'Artesanal Anchoveta XV-IV'!Q10</f>
        <v>0</v>
      </c>
      <c r="L43" s="136">
        <f>+'Artesanal Anchoveta XV-IV'!R10</f>
        <v>21036</v>
      </c>
      <c r="M43" s="156">
        <f>+'Artesanal Anchoveta XV-IV'!S10</f>
        <v>0</v>
      </c>
      <c r="N43" s="157" t="s">
        <v>64</v>
      </c>
      <c r="O43" s="158">
        <f>+Resumen!C$4</f>
        <v>45407</v>
      </c>
      <c r="P43" s="58">
        <v>2024</v>
      </c>
    </row>
    <row r="44" spans="1:16">
      <c r="A44" s="128" t="s">
        <v>81</v>
      </c>
      <c r="B44" s="128" t="s">
        <v>81</v>
      </c>
      <c r="C44" s="128" t="s">
        <v>12</v>
      </c>
      <c r="D44" s="128" t="s">
        <v>94</v>
      </c>
      <c r="E44" s="128" t="str">
        <f>+'Artesanal Anchoveta XV-IV'!D11</f>
        <v>AG de Coquimbo RAG 55-4</v>
      </c>
      <c r="F44" s="131">
        <v>45292</v>
      </c>
      <c r="G44" s="131">
        <v>45657</v>
      </c>
      <c r="H44" s="128">
        <f>+'Artesanal Anchoveta XV-IV'!F11</f>
        <v>293.78699999999998</v>
      </c>
      <c r="I44" s="58">
        <f>+'Artesanal Anchoveta XV-IV'!G11</f>
        <v>0</v>
      </c>
      <c r="J44" s="58">
        <f>+'Artesanal Anchoveta XV-IV'!H11</f>
        <v>293.78699999999998</v>
      </c>
      <c r="K44" s="58">
        <f>+'Artesanal Anchoveta XV-IV'!I11</f>
        <v>0</v>
      </c>
      <c r="L44" s="58">
        <f>+'Artesanal Anchoveta XV-IV'!K11</f>
        <v>293.78699999999998</v>
      </c>
      <c r="M44" s="17">
        <f>+'Artesanal Anchoveta XV-IV'!L11</f>
        <v>0</v>
      </c>
      <c r="N44" s="74" t="s">
        <v>64</v>
      </c>
      <c r="O44" s="51">
        <f>+Resumen!C$4</f>
        <v>45407</v>
      </c>
      <c r="P44" s="58">
        <v>2024</v>
      </c>
    </row>
    <row r="45" spans="1:16" s="58" customFormat="1">
      <c r="A45" s="128" t="s">
        <v>81</v>
      </c>
      <c r="B45" s="128" t="s">
        <v>81</v>
      </c>
      <c r="C45" s="128" t="s">
        <v>12</v>
      </c>
      <c r="D45" s="128" t="s">
        <v>94</v>
      </c>
      <c r="E45" s="128" t="str">
        <f>+'Artesanal Anchoveta XV-IV'!D12</f>
        <v>CERCOPESCA Rol 4276</v>
      </c>
      <c r="F45" s="131">
        <v>45292</v>
      </c>
      <c r="G45" s="131">
        <v>45657</v>
      </c>
      <c r="H45" s="128">
        <f>+'Artesanal Anchoveta XV-IV'!F12</f>
        <v>7985.9570000000003</v>
      </c>
      <c r="I45" s="58">
        <f>+'Artesanal Anchoveta XV-IV'!G12</f>
        <v>0</v>
      </c>
      <c r="J45" s="58">
        <f>+'Artesanal Anchoveta XV-IV'!H12</f>
        <v>7985.9570000000003</v>
      </c>
      <c r="K45" s="58">
        <f>+'Artesanal Anchoveta XV-IV'!I12</f>
        <v>0</v>
      </c>
      <c r="L45" s="58">
        <f>+'Artesanal Anchoveta XV-IV'!K12</f>
        <v>7985.9570000000003</v>
      </c>
      <c r="M45" s="17">
        <f>+'Artesanal Anchoveta XV-IV'!L12</f>
        <v>0</v>
      </c>
      <c r="N45" s="74" t="s">
        <v>64</v>
      </c>
      <c r="O45" s="51">
        <f>+Resumen!C$4</f>
        <v>45407</v>
      </c>
      <c r="P45" s="58">
        <v>2024</v>
      </c>
    </row>
    <row r="46" spans="1:16" s="58" customFormat="1">
      <c r="A46" s="128" t="s">
        <v>81</v>
      </c>
      <c r="B46" s="128" t="s">
        <v>81</v>
      </c>
      <c r="C46" s="128" t="s">
        <v>12</v>
      </c>
      <c r="D46" s="128" t="s">
        <v>94</v>
      </c>
      <c r="E46" s="128" t="str">
        <f>+'Artesanal Anchoveta XV-IV'!D13</f>
        <v>STI de Coquimbo RSU 04.04.0472</v>
      </c>
      <c r="F46" s="131">
        <v>45292</v>
      </c>
      <c r="G46" s="131">
        <v>45657</v>
      </c>
      <c r="H46" s="128">
        <f>+'Artesanal Anchoveta XV-IV'!F13</f>
        <v>49.655999999999999</v>
      </c>
      <c r="I46" s="128">
        <f>+'Artesanal Anchoveta XV-IV'!G13</f>
        <v>0</v>
      </c>
      <c r="J46" s="128">
        <f>+'Artesanal Anchoveta XV-IV'!H13</f>
        <v>49.655999999999999</v>
      </c>
      <c r="K46" s="58">
        <f>+'Artesanal Anchoveta XV-IV'!I13</f>
        <v>0</v>
      </c>
      <c r="L46" s="58">
        <f>+'Artesanal Anchoveta XV-IV'!K13</f>
        <v>49.655999999999999</v>
      </c>
      <c r="M46" s="17">
        <f>+'Artesanal Anchoveta XV-IV'!L13</f>
        <v>0</v>
      </c>
      <c r="N46" s="74"/>
      <c r="O46" s="51">
        <f>+Resumen!C$4</f>
        <v>45407</v>
      </c>
      <c r="P46" s="58">
        <v>2024</v>
      </c>
    </row>
    <row r="47" spans="1:16" s="58" customFormat="1">
      <c r="A47" s="128" t="s">
        <v>81</v>
      </c>
      <c r="B47" s="128" t="s">
        <v>81</v>
      </c>
      <c r="C47" s="128" t="s">
        <v>12</v>
      </c>
      <c r="D47" s="128" t="s">
        <v>94</v>
      </c>
      <c r="E47" s="128" t="str">
        <f>'Artesanal Anchoveta XV-IV'!D14</f>
        <v>CUOTA RESIDUAL</v>
      </c>
      <c r="F47" s="131">
        <v>45292</v>
      </c>
      <c r="G47" s="131">
        <v>45657</v>
      </c>
      <c r="H47" s="128">
        <f>'Artesanal Anchoveta XV-IV'!F14</f>
        <v>686.1</v>
      </c>
      <c r="I47" s="58">
        <f>'Artesanal Anchoveta XV-IV'!G14</f>
        <v>0</v>
      </c>
      <c r="J47" s="58">
        <f>+'Artesanal Anchoveta XV-IV'!H14</f>
        <v>686.1</v>
      </c>
      <c r="K47" s="58">
        <f>+'Artesanal Anchoveta XV-IV'!I14</f>
        <v>0</v>
      </c>
      <c r="L47" s="58">
        <f>+'Artesanal Anchoveta XV-IV'!K14</f>
        <v>686.1</v>
      </c>
      <c r="M47" s="17">
        <f>+'Artesanal Anchoveta XV-IV'!L14</f>
        <v>0</v>
      </c>
      <c r="N47" s="74" t="s">
        <v>64</v>
      </c>
      <c r="O47" s="51">
        <f>+Resumen!C$4</f>
        <v>45407</v>
      </c>
      <c r="P47" s="58">
        <v>2024</v>
      </c>
    </row>
    <row r="48" spans="1:16" s="128" customFormat="1">
      <c r="A48" s="128" t="s">
        <v>81</v>
      </c>
      <c r="B48" s="128" t="s">
        <v>81</v>
      </c>
      <c r="C48" s="128" t="s">
        <v>12</v>
      </c>
      <c r="D48" s="128" t="s">
        <v>94</v>
      </c>
      <c r="E48" s="128" t="s">
        <v>143</v>
      </c>
      <c r="F48" s="131">
        <v>45292</v>
      </c>
      <c r="G48" s="131">
        <v>45657</v>
      </c>
      <c r="H48" s="128">
        <f>'Artesanal Anchoveta XV-IV'!F15</f>
        <v>500</v>
      </c>
      <c r="I48" s="128">
        <f>'Artesanal Anchoveta XV-IV'!G15</f>
        <v>0</v>
      </c>
      <c r="J48" s="128">
        <f>+'Artesanal Anchoveta XV-IV'!H15</f>
        <v>500</v>
      </c>
      <c r="K48" s="128">
        <f>+'Artesanal Anchoveta XV-IV'!I15</f>
        <v>0</v>
      </c>
      <c r="L48" s="128">
        <f>+'Artesanal Anchoveta XV-IV'!K15</f>
        <v>500</v>
      </c>
      <c r="M48" s="129">
        <f>+'Artesanal Anchoveta XV-IV'!L15</f>
        <v>0</v>
      </c>
      <c r="N48" s="130" t="s">
        <v>64</v>
      </c>
      <c r="O48" s="131">
        <f>+Resumen!C$4</f>
        <v>45407</v>
      </c>
      <c r="P48" s="58">
        <v>2024</v>
      </c>
    </row>
    <row r="49" spans="1:16" s="136" customFormat="1">
      <c r="A49" s="136" t="s">
        <v>81</v>
      </c>
      <c r="B49" s="136" t="s">
        <v>81</v>
      </c>
      <c r="C49" s="136" t="s">
        <v>12</v>
      </c>
      <c r="D49" s="136" t="s">
        <v>94</v>
      </c>
      <c r="E49" s="136" t="s">
        <v>96</v>
      </c>
      <c r="F49" s="158">
        <v>45292</v>
      </c>
      <c r="G49" s="158">
        <v>45657</v>
      </c>
      <c r="H49" s="136">
        <f>+Resumen!E15</f>
        <v>9015.5000000000018</v>
      </c>
      <c r="I49" s="136">
        <f>+Resumen!F15</f>
        <v>0</v>
      </c>
      <c r="J49" s="136">
        <f>+Resumen!G15</f>
        <v>8965.844000000001</v>
      </c>
      <c r="K49" s="136">
        <f>+Resumen!H15</f>
        <v>0</v>
      </c>
      <c r="L49" s="136">
        <f>+Resumen!I15</f>
        <v>8965.844000000001</v>
      </c>
      <c r="M49" s="156">
        <f>+Resumen!J15</f>
        <v>0</v>
      </c>
      <c r="N49" s="157" t="s">
        <v>64</v>
      </c>
      <c r="O49" s="158">
        <f>+Resumen!C$4</f>
        <v>45407</v>
      </c>
      <c r="P49" s="58">
        <v>2024</v>
      </c>
    </row>
    <row r="50" spans="1:16">
      <c r="A50" s="128" t="s">
        <v>86</v>
      </c>
      <c r="B50" s="128" t="s">
        <v>86</v>
      </c>
      <c r="C50" s="128" t="s">
        <v>87</v>
      </c>
      <c r="D50" s="128" t="s">
        <v>88</v>
      </c>
      <c r="E50" s="128" t="str">
        <f>+'Artesanal S.española XV-IV'!D7</f>
        <v>MACROZONA XV - I</v>
      </c>
      <c r="F50" s="131">
        <v>45292</v>
      </c>
      <c r="G50" s="131">
        <v>45657</v>
      </c>
      <c r="H50" s="128">
        <f>+'Artesanal S.española XV-IV'!F7</f>
        <v>1323</v>
      </c>
      <c r="I50" s="58">
        <f>+'Artesanal S.española XV-IV'!G7</f>
        <v>0</v>
      </c>
      <c r="J50" s="58">
        <f>+'Artesanal S.española XV-IV'!H7</f>
        <v>1323</v>
      </c>
      <c r="K50" s="58">
        <f>+'Artesanal S.española XV-IV'!I7</f>
        <v>567.10400000000004</v>
      </c>
      <c r="L50" s="58">
        <f>+'Artesanal S.española XV-IV'!J7</f>
        <v>755.89599999999996</v>
      </c>
      <c r="M50" s="17">
        <f>+'Artesanal S.española XV-IV'!K7</f>
        <v>0.42865003779289496</v>
      </c>
      <c r="N50" s="74" t="s">
        <v>64</v>
      </c>
      <c r="O50" s="51">
        <f>+Resumen!C$4</f>
        <v>45407</v>
      </c>
      <c r="P50" s="58">
        <v>2024</v>
      </c>
    </row>
    <row r="51" spans="1:16" s="136" customFormat="1">
      <c r="A51" s="136" t="s">
        <v>86</v>
      </c>
      <c r="B51" s="136" t="s">
        <v>86</v>
      </c>
      <c r="C51" s="136" t="s">
        <v>87</v>
      </c>
      <c r="D51" s="136" t="s">
        <v>88</v>
      </c>
      <c r="E51" s="136" t="s">
        <v>95</v>
      </c>
      <c r="F51" s="158">
        <v>45292</v>
      </c>
      <c r="G51" s="158">
        <v>45657</v>
      </c>
      <c r="H51" s="136">
        <f>+'Artesanal S.española XV-IV'!M7</f>
        <v>1323</v>
      </c>
      <c r="I51" s="136">
        <f>+'Artesanal S.española XV-IV'!N7</f>
        <v>0</v>
      </c>
      <c r="J51" s="136">
        <f>+'Artesanal S.española XV-IV'!O7</f>
        <v>1323</v>
      </c>
      <c r="K51" s="136">
        <f>+'Artesanal S.española XV-IV'!P7</f>
        <v>567.10400000000004</v>
      </c>
      <c r="L51" s="136">
        <f>+'Artesanal S.española XV-IV'!Q7</f>
        <v>755.89599999999996</v>
      </c>
      <c r="M51" s="156">
        <f>+'Artesanal S.española XV-IV'!R7</f>
        <v>0.42865003779289496</v>
      </c>
      <c r="N51" s="157" t="s">
        <v>64</v>
      </c>
      <c r="O51" s="158">
        <f>+Resumen!C$4</f>
        <v>45407</v>
      </c>
      <c r="P51" s="58">
        <v>2024</v>
      </c>
    </row>
    <row r="52" spans="1:16" s="128" customFormat="1">
      <c r="A52" s="128" t="s">
        <v>86</v>
      </c>
      <c r="B52" s="128" t="s">
        <v>86</v>
      </c>
      <c r="C52" s="128" t="s">
        <v>10</v>
      </c>
      <c r="D52" s="128" t="s">
        <v>93</v>
      </c>
      <c r="E52" s="128" t="str">
        <f>+'Artesanal S.española XV-IV'!D8</f>
        <v>REGIÓN II</v>
      </c>
      <c r="F52" s="131">
        <v>45292</v>
      </c>
      <c r="G52" s="131">
        <v>45657</v>
      </c>
      <c r="H52" s="128">
        <f>+'Artesanal S.española XV-IV'!F8</f>
        <v>5007</v>
      </c>
      <c r="I52" s="128">
        <f>+'Artesanal S.española XV-IV'!G8</f>
        <v>0</v>
      </c>
      <c r="J52" s="128">
        <f>+'Artesanal S.española XV-IV'!H8</f>
        <v>5007</v>
      </c>
      <c r="K52" s="128">
        <f>+'Artesanal S.española XV-IV'!I8</f>
        <v>3899.212</v>
      </c>
      <c r="L52" s="128">
        <f>+'Artesanal S.española XV-IV'!J8</f>
        <v>1107.788</v>
      </c>
      <c r="M52" s="129">
        <f>+'Artesanal S.española XV-IV'!K8</f>
        <v>0.77875214699420814</v>
      </c>
      <c r="N52" s="130">
        <f>'Artesanal S.española XV-IV'!L8</f>
        <v>0</v>
      </c>
      <c r="O52" s="131">
        <f>+Resumen!C$4</f>
        <v>45407</v>
      </c>
      <c r="P52" s="58">
        <v>2024</v>
      </c>
    </row>
    <row r="53" spans="1:16" s="136" customFormat="1">
      <c r="A53" s="136" t="s">
        <v>86</v>
      </c>
      <c r="B53" s="136" t="s">
        <v>86</v>
      </c>
      <c r="C53" s="136" t="s">
        <v>10</v>
      </c>
      <c r="D53" s="136" t="s">
        <v>93</v>
      </c>
      <c r="E53" s="136" t="s">
        <v>95</v>
      </c>
      <c r="F53" s="158">
        <v>45292</v>
      </c>
      <c r="G53" s="158">
        <v>45657</v>
      </c>
      <c r="H53" s="136">
        <f>+'Artesanal S.española XV-IV'!M8</f>
        <v>5007</v>
      </c>
      <c r="I53" s="136">
        <f>+'Artesanal S.española XV-IV'!N8</f>
        <v>0</v>
      </c>
      <c r="J53" s="136">
        <f>+'Artesanal S.española XV-IV'!O8</f>
        <v>5007</v>
      </c>
      <c r="K53" s="136">
        <f>+'Artesanal S.española XV-IV'!P8</f>
        <v>3899.212</v>
      </c>
      <c r="L53" s="136">
        <f>+'Artesanal S.española XV-IV'!Q8</f>
        <v>1107.788</v>
      </c>
      <c r="M53" s="156">
        <f>+'Artesanal S.española XV-IV'!R8</f>
        <v>0.77875214699420814</v>
      </c>
      <c r="N53" s="157" t="s">
        <v>64</v>
      </c>
      <c r="O53" s="158">
        <f>+Resumen!C$4</f>
        <v>45407</v>
      </c>
      <c r="P53" s="58">
        <v>2024</v>
      </c>
    </row>
    <row r="54" spans="1:16" s="136" customFormat="1">
      <c r="A54" s="136" t="s">
        <v>86</v>
      </c>
      <c r="B54" s="136" t="s">
        <v>86</v>
      </c>
      <c r="C54" s="136" t="s">
        <v>15</v>
      </c>
      <c r="D54" s="136" t="s">
        <v>93</v>
      </c>
      <c r="E54" s="136" t="s">
        <v>142</v>
      </c>
      <c r="F54" s="131">
        <v>45292</v>
      </c>
      <c r="G54" s="131">
        <v>45657</v>
      </c>
      <c r="H54" s="128">
        <f>+'Artesanal S.española XV-IV'!F9</f>
        <v>500</v>
      </c>
      <c r="I54" s="128">
        <f>+'Artesanal S.española XV-IV'!G9</f>
        <v>0</v>
      </c>
      <c r="J54" s="128">
        <f>+'Artesanal S.española XV-IV'!H9</f>
        <v>500</v>
      </c>
      <c r="K54" s="128">
        <f>+'Artesanal S.española XV-IV'!I9</f>
        <v>0</v>
      </c>
      <c r="L54" s="128">
        <f>+'Artesanal S.española XV-IV'!J9</f>
        <v>500</v>
      </c>
      <c r="M54" s="129">
        <f>+'Artesanal S.española XV-IV'!K9</f>
        <v>0</v>
      </c>
      <c r="N54" s="130" t="s">
        <v>64</v>
      </c>
      <c r="O54" s="131">
        <f>+Resumen!C$4</f>
        <v>45407</v>
      </c>
      <c r="P54" s="58">
        <v>2024</v>
      </c>
    </row>
    <row r="55" spans="1:16" s="128" customFormat="1">
      <c r="A55" s="128" t="s">
        <v>86</v>
      </c>
      <c r="B55" s="128" t="s">
        <v>86</v>
      </c>
      <c r="C55" s="128" t="s">
        <v>11</v>
      </c>
      <c r="D55" s="128" t="s">
        <v>93</v>
      </c>
      <c r="E55" s="128" t="str">
        <f>+'Artesanal S.española XV-IV'!D10</f>
        <v>REGIÓN III</v>
      </c>
      <c r="F55" s="131">
        <v>45292</v>
      </c>
      <c r="G55" s="131">
        <v>45657</v>
      </c>
      <c r="H55" s="128">
        <f>+'Artesanal S.española XV-IV'!F10</f>
        <v>650</v>
      </c>
      <c r="I55" s="128">
        <f>+'Artesanal S.española XV-IV'!G10</f>
        <v>0</v>
      </c>
      <c r="J55" s="128">
        <f>+'Artesanal S.española XV-IV'!H10</f>
        <v>650</v>
      </c>
      <c r="K55" s="128">
        <f>+'Artesanal S.española XV-IV'!I10</f>
        <v>952.19899999999996</v>
      </c>
      <c r="L55" s="128">
        <f>+'Artesanal S.española XV-IV'!J10</f>
        <v>-302.19899999999996</v>
      </c>
      <c r="M55" s="129">
        <f>+'Artesanal S.española XV-IV'!K9</f>
        <v>0</v>
      </c>
      <c r="N55" s="130" t="s">
        <v>64</v>
      </c>
      <c r="O55" s="131">
        <f>+Resumen!C$4</f>
        <v>45407</v>
      </c>
      <c r="P55" s="58">
        <v>2024</v>
      </c>
    </row>
    <row r="56" spans="1:16" s="136" customFormat="1">
      <c r="A56" s="136" t="s">
        <v>86</v>
      </c>
      <c r="B56" s="136" t="s">
        <v>86</v>
      </c>
      <c r="C56" s="136" t="s">
        <v>11</v>
      </c>
      <c r="D56" s="136" t="s">
        <v>93</v>
      </c>
      <c r="E56" s="136" t="s">
        <v>95</v>
      </c>
      <c r="F56" s="158">
        <v>45292</v>
      </c>
      <c r="G56" s="158">
        <v>45657</v>
      </c>
      <c r="H56" s="136">
        <f>+'Artesanal S.española XV-IV'!M10</f>
        <v>650</v>
      </c>
      <c r="I56" s="136">
        <f>+'Artesanal S.española XV-IV'!N10</f>
        <v>0</v>
      </c>
      <c r="J56" s="136">
        <f>+'Artesanal S.española XV-IV'!O10</f>
        <v>650</v>
      </c>
      <c r="K56" s="136">
        <f>+'Artesanal S.española XV-IV'!P10</f>
        <v>952.19899999999996</v>
      </c>
      <c r="L56" s="136">
        <f>+'Artesanal S.española XV-IV'!Q10</f>
        <v>-302.19899999999996</v>
      </c>
      <c r="M56" s="156">
        <f>+'Artesanal S.española XV-IV'!R9</f>
        <v>0</v>
      </c>
      <c r="N56" s="157" t="s">
        <v>64</v>
      </c>
      <c r="O56" s="158">
        <f>+Resumen!C$4</f>
        <v>45407</v>
      </c>
      <c r="P56" s="58">
        <v>2024</v>
      </c>
    </row>
    <row r="57" spans="1:16" s="128" customFormat="1">
      <c r="A57" s="128" t="s">
        <v>86</v>
      </c>
      <c r="B57" s="128" t="s">
        <v>86</v>
      </c>
      <c r="C57" s="128" t="s">
        <v>12</v>
      </c>
      <c r="D57" s="128" t="s">
        <v>93</v>
      </c>
      <c r="E57" s="128" t="str">
        <f>+'Artesanal S.española XV-IV'!D11</f>
        <v>REGIÓN IV</v>
      </c>
      <c r="F57" s="131">
        <v>45292</v>
      </c>
      <c r="G57" s="131">
        <v>45657</v>
      </c>
      <c r="H57" s="128">
        <f>+'Artesanal S.española XV-IV'!F11</f>
        <v>650</v>
      </c>
      <c r="I57" s="128">
        <f>+'Artesanal S.española XV-IV'!G11</f>
        <v>0</v>
      </c>
      <c r="J57" s="128">
        <f>+'Artesanal S.española XV-IV'!H11</f>
        <v>650</v>
      </c>
      <c r="K57" s="128">
        <f>+'Artesanal S.española XV-IV'!I11</f>
        <v>369.82100000000003</v>
      </c>
      <c r="L57" s="128">
        <f>+'Artesanal S.española XV-IV'!J11</f>
        <v>280.17899999999997</v>
      </c>
      <c r="M57" s="129">
        <f>+'Artesanal S.española XV-IV'!K11</f>
        <v>0.56895538461538464</v>
      </c>
      <c r="N57" s="130" t="s">
        <v>64</v>
      </c>
      <c r="O57" s="131">
        <f>+Resumen!C$4</f>
        <v>45407</v>
      </c>
      <c r="P57" s="58">
        <v>2024</v>
      </c>
    </row>
    <row r="58" spans="1:16" s="128" customFormat="1">
      <c r="A58" s="128" t="s">
        <v>86</v>
      </c>
      <c r="B58" s="128" t="s">
        <v>86</v>
      </c>
      <c r="C58" s="128" t="s">
        <v>12</v>
      </c>
      <c r="D58" s="128" t="s">
        <v>93</v>
      </c>
      <c r="E58" s="128" t="s">
        <v>143</v>
      </c>
      <c r="F58" s="131">
        <v>45292</v>
      </c>
      <c r="G58" s="131">
        <v>45657</v>
      </c>
      <c r="H58" s="128">
        <f>+'Artesanal S.española XV-IV'!F12</f>
        <v>200</v>
      </c>
      <c r="I58" s="128">
        <f>+'Artesanal S.española XV-IV'!G12</f>
        <v>0</v>
      </c>
      <c r="J58" s="128">
        <f>+'Artesanal S.española XV-IV'!H12</f>
        <v>200</v>
      </c>
      <c r="K58" s="128">
        <f>+'Artesanal S.española XV-IV'!I12</f>
        <v>8.3320000000000007</v>
      </c>
      <c r="L58" s="128">
        <f>+'Artesanal S.española XV-IV'!J12</f>
        <v>191.66800000000001</v>
      </c>
      <c r="M58" s="129">
        <f>+'Artesanal S.española XV-IV'!K12</f>
        <v>4.1660000000000003E-2</v>
      </c>
      <c r="N58" s="130" t="s">
        <v>64</v>
      </c>
      <c r="O58" s="131">
        <f>+Resumen!C$4</f>
        <v>45407</v>
      </c>
      <c r="P58" s="58">
        <v>2024</v>
      </c>
    </row>
    <row r="59" spans="1:16" s="136" customFormat="1">
      <c r="A59" s="136" t="s">
        <v>86</v>
      </c>
      <c r="B59" s="136" t="s">
        <v>86</v>
      </c>
      <c r="C59" s="136" t="s">
        <v>12</v>
      </c>
      <c r="D59" s="136" t="s">
        <v>93</v>
      </c>
      <c r="E59" s="136" t="s">
        <v>95</v>
      </c>
      <c r="F59" s="158">
        <v>45292</v>
      </c>
      <c r="G59" s="158">
        <v>45657</v>
      </c>
      <c r="H59" s="136">
        <f>+'Artesanal S.española XV-IV'!M11</f>
        <v>650</v>
      </c>
      <c r="I59" s="136">
        <f>+'Artesanal S.española XV-IV'!N11</f>
        <v>0</v>
      </c>
      <c r="J59" s="136">
        <f>+'Artesanal S.española XV-IV'!O11</f>
        <v>650</v>
      </c>
      <c r="K59" s="136">
        <f>+'Artesanal S.española XV-IV'!P11</f>
        <v>369.82100000000003</v>
      </c>
      <c r="L59" s="136">
        <f>+'Artesanal S.española XV-IV'!Q11</f>
        <v>280.17899999999997</v>
      </c>
      <c r="M59" s="156">
        <f>+'Artesanal S.española XV-IV'!R11</f>
        <v>0.56895538461538464</v>
      </c>
      <c r="N59" s="157" t="s">
        <v>64</v>
      </c>
      <c r="O59" s="158">
        <f>+Resumen!C$4</f>
        <v>45407</v>
      </c>
      <c r="P59" s="58">
        <v>2024</v>
      </c>
    </row>
    <row r="60" spans="1:16">
      <c r="A60" s="53"/>
      <c r="B60" s="53"/>
    </row>
    <row r="61" spans="1:16">
      <c r="A61" s="53"/>
      <c r="B61" s="53"/>
    </row>
    <row r="62" spans="1:16">
      <c r="A62" s="53"/>
      <c r="B62" s="53"/>
    </row>
  </sheetData>
  <autoFilter ref="A1:Q59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Artesanal Anchoveta XV-IV</vt:lpstr>
      <vt:lpstr>Artesanal S.española XV-IV</vt:lpstr>
      <vt:lpstr>Cesiones ind y colec</vt:lpstr>
      <vt:lpstr>Industrial</vt:lpstr>
      <vt:lpstr>Remanente Anchoveta</vt:lpstr>
      <vt:lpstr>Remanente Ces. Ind. Anchoveta </vt:lpstr>
      <vt:lpstr>P. Investigación</vt:lpstr>
      <vt:lpstr>Publicacion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ARCE VERGARA,MARCELA MARGARITA</cp:lastModifiedBy>
  <dcterms:created xsi:type="dcterms:W3CDTF">2019-10-16T16:01:09Z</dcterms:created>
  <dcterms:modified xsi:type="dcterms:W3CDTF">2024-04-25T13:38:17Z</dcterms:modified>
</cp:coreProperties>
</file>